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MPSC Cases\ER-2022-XXXX Rider EEIC\"/>
    </mc:Choice>
  </mc:AlternateContent>
  <bookViews>
    <workbookView xWindow="3612" yWindow="936" windowWidth="23232" windowHeight="10776" tabRatio="879"/>
  </bookViews>
  <sheets>
    <sheet name="MEEIA 3 calcs" sheetId="27" r:id="rId1"/>
    <sheet name="PAYS interest" sheetId="32" r:id="rId2"/>
    <sheet name="MEEIA 3 adjs" sheetId="31" r:id="rId3"/>
    <sheet name="M3 Allocations - TD" sheetId="28" r:id="rId4"/>
    <sheet name="M3 TD amort" sheetId="29" r:id="rId5"/>
    <sheet name="MEEIA 2 calcs" sheetId="1" r:id="rId6"/>
    <sheet name="MEEIA 2 adjs" sheetId="33" r:id="rId7"/>
    <sheet name="M2 Allocations - TD" sheetId="11" r:id="rId8"/>
    <sheet name="M2 TD amort" sheetId="22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i">#N/A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#N/A</definedName>
    <definedName name="\U">#REF!</definedName>
    <definedName name="\V">#REF!</definedName>
    <definedName name="\W">[1]JobDefinition!#REF!</definedName>
    <definedName name="\X">#REF!</definedName>
    <definedName name="\Y">#REF!</definedName>
    <definedName name="\Z">#REF!</definedName>
    <definedName name="_" hidden="1">#REF!</definedName>
    <definedName name="____________________________________Key2" hidden="1">#REF!</definedName>
    <definedName name="___________________________________Key2" hidden="1">#REF!</definedName>
    <definedName name="__________________________________Key2" hidden="1">#REF!</definedName>
    <definedName name="_________________________________Key2" hidden="1">#REF!</definedName>
    <definedName name="________________________________Key2" hidden="1">#REF!</definedName>
    <definedName name="_______________________________Key2" hidden="1">#REF!</definedName>
    <definedName name="______________________________Key2" hidden="1">#REF!</definedName>
    <definedName name="_____________________________Key2" hidden="1">#REF!</definedName>
    <definedName name="____________________________Key2" hidden="1">#REF!</definedName>
    <definedName name="___________________________Key2" hidden="1">#REF!</definedName>
    <definedName name="__________________________Key2" hidden="1">#REF!</definedName>
    <definedName name="_________________________Key2" hidden="1">#REF!</definedName>
    <definedName name="________________________Key2" hidden="1">#REF!</definedName>
    <definedName name="_______________________Key2" hidden="1">#REF!</definedName>
    <definedName name="______________________Key2" hidden="1">#REF!</definedName>
    <definedName name="_____________________Key2" hidden="1">#REF!</definedName>
    <definedName name="_____________________p1">'[2]#REF'!$A$1:$Q$49</definedName>
    <definedName name="____________________Com1">[3]Roadmap!$B$217</definedName>
    <definedName name="____________________Com2">[3]Roadmap!$B$218</definedName>
    <definedName name="____________________Com3">[4]Roadmap!$B$209</definedName>
    <definedName name="____________________COM94">#REF!</definedName>
    <definedName name="____________________COM95">#REF!</definedName>
    <definedName name="____________________EXH1">#REF!</definedName>
    <definedName name="____________________EXH5">#REF!</definedName>
    <definedName name="____________________JV13">#REF!</definedName>
    <definedName name="____________________Key2" hidden="1">#REF!</definedName>
    <definedName name="____________________ms01">#REF!</definedName>
    <definedName name="____________________ms02">#REF!</definedName>
    <definedName name="____________________ms03">#REF!</definedName>
    <definedName name="____________________ms04">#REF!</definedName>
    <definedName name="____________________omd1">[5]Roadmap!$C$160</definedName>
    <definedName name="____________________omd2">[6]Roadmap!$C$96</definedName>
    <definedName name="____________________p1">'[7]#REF'!$A$1:$Q$49</definedName>
    <definedName name="____________________rb1">[8]Roadmap!$C$110</definedName>
    <definedName name="____________________rbd1">[9]Roadmap!$C$156</definedName>
    <definedName name="____________________rbd2">[10]Roadmap!$C$157</definedName>
    <definedName name="____________________RMC2">'[11]RMC-Descrip'!#REF!</definedName>
    <definedName name="____________________SF3">#REF!</definedName>
    <definedName name="____________________td01">'[12]WPC-11.1a'!$J$115</definedName>
    <definedName name="____________________td02">'[12]WPC-11.1a'!$J$86</definedName>
    <definedName name="____________________td03">'[12]WPC-11.1a'!$J$57</definedName>
    <definedName name="____________________td04">'[13]WPC-11.1a'!$J$26</definedName>
    <definedName name="____________________TDG01">'[12]WPC-11.1a'!$H$123</definedName>
    <definedName name="____________________TDG02">'[12]WPC-11.1a'!$H$94</definedName>
    <definedName name="____________________TDG03">'[12]WPC-11.1a'!$H$65</definedName>
    <definedName name="____________________TDG04">'[12]WPC-11.1a'!$H$36</definedName>
    <definedName name="___________________Com1">[3]Roadmap!$B$217</definedName>
    <definedName name="___________________Com2">[3]Roadmap!$B$218</definedName>
    <definedName name="___________________Com3">[4]Roadmap!$B$209</definedName>
    <definedName name="___________________COM94">#REF!</definedName>
    <definedName name="___________________COM95">#REF!</definedName>
    <definedName name="___________________EXH1">#REF!</definedName>
    <definedName name="___________________EXH5">#REF!</definedName>
    <definedName name="___________________JV13">#REF!</definedName>
    <definedName name="___________________Key2" hidden="1">#REF!</definedName>
    <definedName name="___________________ms01">#REF!</definedName>
    <definedName name="___________________ms02">#REF!</definedName>
    <definedName name="___________________ms03">#REF!</definedName>
    <definedName name="___________________ms04">#REF!</definedName>
    <definedName name="___________________omd1">[5]Roadmap!$C$160</definedName>
    <definedName name="___________________omd2">[6]Roadmap!$C$96</definedName>
    <definedName name="___________________p1">'[7]#REF'!$A$1:$Q$49</definedName>
    <definedName name="___________________rb1">[8]Roadmap!$C$110</definedName>
    <definedName name="___________________rbd1">[9]Roadmap!$C$156</definedName>
    <definedName name="___________________rbd2">[10]Roadmap!$C$157</definedName>
    <definedName name="___________________RMC2">'[11]RMC-Descrip'!#REF!</definedName>
    <definedName name="___________________SF3">#REF!</definedName>
    <definedName name="___________________td01">'[12]WPC-11.1a'!$J$115</definedName>
    <definedName name="___________________td02">'[12]WPC-11.1a'!$J$86</definedName>
    <definedName name="___________________td03">'[12]WPC-11.1a'!$J$57</definedName>
    <definedName name="___________________td04">'[13]WPC-11.1a'!$J$26</definedName>
    <definedName name="___________________TDG01">'[12]WPC-11.1a'!$H$123</definedName>
    <definedName name="___________________TDG02">'[12]WPC-11.1a'!$H$94</definedName>
    <definedName name="___________________TDG03">'[12]WPC-11.1a'!$H$65</definedName>
    <definedName name="___________________TDG04">'[12]WPC-11.1a'!$H$36</definedName>
    <definedName name="__________________Com1">[14]Roadmap!$B$217</definedName>
    <definedName name="__________________Com2">[14]Roadmap!$B$218</definedName>
    <definedName name="__________________Com3">[15]Roadmap!$B$209</definedName>
    <definedName name="__________________COM94">#REF!</definedName>
    <definedName name="__________________COM95">#REF!</definedName>
    <definedName name="__________________EXH1">#REF!</definedName>
    <definedName name="__________________EXH5">#REF!</definedName>
    <definedName name="__________________JV13">#REF!</definedName>
    <definedName name="__________________Key2" hidden="1">#REF!</definedName>
    <definedName name="__________________ms01">#REF!</definedName>
    <definedName name="__________________ms02">#REF!</definedName>
    <definedName name="__________________ms03">#REF!</definedName>
    <definedName name="__________________ms04">#REF!</definedName>
    <definedName name="__________________om1">[8]Roadmap!$C$112</definedName>
    <definedName name="__________________om2">[8]Roadmap!$C$113</definedName>
    <definedName name="__________________omd1">[5]Roadmap!$C$160</definedName>
    <definedName name="__________________omd2">[6]Roadmap!$C$96</definedName>
    <definedName name="__________________p1">'[16]#REF'!$A$1:$Q$49</definedName>
    <definedName name="__________________rb1">[17]Roadmap!$C$110</definedName>
    <definedName name="__________________rb2">[8]Roadmap!$C$111</definedName>
    <definedName name="__________________rbd1">[9]Roadmap!$C$156</definedName>
    <definedName name="__________________rbd2">[10]Roadmap!$C$157</definedName>
    <definedName name="__________________RMC2">'[18]RMC-Descrip'!#REF!</definedName>
    <definedName name="__________________SF3">#REF!</definedName>
    <definedName name="__________________td01">'[19]WPC-11.1a'!$J$115</definedName>
    <definedName name="__________________td02">'[19]WPC-11.1a'!$J$86</definedName>
    <definedName name="__________________td03">'[19]WPC-11.1a'!$J$57</definedName>
    <definedName name="__________________td04">'[20]WPC-11.1a'!$J$26</definedName>
    <definedName name="__________________TDG01">'[19]WPC-11.1a'!$H$123</definedName>
    <definedName name="__________________TDG02">'[19]WPC-11.1a'!$H$94</definedName>
    <definedName name="__________________TDG03">'[19]WPC-11.1a'!$H$65</definedName>
    <definedName name="__________________TDG04">'[19]WPC-11.1a'!$H$36</definedName>
    <definedName name="_________________Com1">[14]Roadmap!$B$217</definedName>
    <definedName name="_________________Com2">[14]Roadmap!$B$218</definedName>
    <definedName name="_________________Com3">[15]Roadmap!$B$209</definedName>
    <definedName name="_________________COM94">#REF!</definedName>
    <definedName name="_________________COM95">#REF!</definedName>
    <definedName name="_________________EXH1">#REF!</definedName>
    <definedName name="_________________EXH5">#REF!</definedName>
    <definedName name="_________________JV13">#REF!</definedName>
    <definedName name="_________________Key2" hidden="1">#REF!</definedName>
    <definedName name="_________________ms01">#REF!</definedName>
    <definedName name="_________________ms02">#REF!</definedName>
    <definedName name="_________________ms03">#REF!</definedName>
    <definedName name="_________________ms04">#REF!</definedName>
    <definedName name="_________________om1">[8]Roadmap!$C$112</definedName>
    <definedName name="_________________om2">[8]Roadmap!$C$113</definedName>
    <definedName name="_________________omd1">[5]Roadmap!$C$160</definedName>
    <definedName name="_________________omd2">[6]Roadmap!$C$96</definedName>
    <definedName name="_________________p1">'[16]#REF'!$A$1:$Q$49</definedName>
    <definedName name="_________________rb1">[17]Roadmap!$C$110</definedName>
    <definedName name="_________________rb2">[8]Roadmap!$C$111</definedName>
    <definedName name="_________________rbd1">[9]Roadmap!$C$156</definedName>
    <definedName name="_________________rbd2">[10]Roadmap!$C$157</definedName>
    <definedName name="_________________RMC2">'[18]RMC-Descrip'!#REF!</definedName>
    <definedName name="_________________SF3">#REF!</definedName>
    <definedName name="_________________td01">'[19]WPC-11.1a'!$J$115</definedName>
    <definedName name="_________________td02">'[19]WPC-11.1a'!$J$86</definedName>
    <definedName name="_________________td03">'[19]WPC-11.1a'!$J$57</definedName>
    <definedName name="_________________td04">'[20]WPC-11.1a'!$J$26</definedName>
    <definedName name="_________________TDG01">'[19]WPC-11.1a'!$H$123</definedName>
    <definedName name="_________________TDG02">'[19]WPC-11.1a'!$H$94</definedName>
    <definedName name="_________________TDG03">'[19]WPC-11.1a'!$H$65</definedName>
    <definedName name="_________________TDG04">'[19]WPC-11.1a'!$H$36</definedName>
    <definedName name="________________Com1">[14]Roadmap!$B$217</definedName>
    <definedName name="________________Com2">[14]Roadmap!$B$218</definedName>
    <definedName name="________________Com3">[15]Roadmap!$B$209</definedName>
    <definedName name="________________COM94">#REF!</definedName>
    <definedName name="________________COM95">#REF!</definedName>
    <definedName name="________________EXH1">#REF!</definedName>
    <definedName name="________________EXH5">#REF!</definedName>
    <definedName name="________________JV13">#REF!</definedName>
    <definedName name="________________Key2" hidden="1">#REF!</definedName>
    <definedName name="________________ms01">#REF!</definedName>
    <definedName name="________________ms02">#REF!</definedName>
    <definedName name="________________ms03">#REF!</definedName>
    <definedName name="________________ms04">#REF!</definedName>
    <definedName name="________________om1">[17]Roadmap!$C$112</definedName>
    <definedName name="________________om2">[17]Roadmap!$C$113</definedName>
    <definedName name="________________omd1">[5]Roadmap!$C$160</definedName>
    <definedName name="________________omd2">[6]Roadmap!$C$96</definedName>
    <definedName name="________________p1">'[16]#REF'!$A$1:$Q$49</definedName>
    <definedName name="________________rb1">[17]Roadmap!$C$110</definedName>
    <definedName name="________________rb2">[17]Roadmap!$C$111</definedName>
    <definedName name="________________rbd1">[9]Roadmap!$C$156</definedName>
    <definedName name="________________rbd2">[10]Roadmap!$C$157</definedName>
    <definedName name="________________RMC2">'[18]RMC-Descrip'!#REF!</definedName>
    <definedName name="________________SF3">#REF!</definedName>
    <definedName name="________________td01">'[19]WPC-11.1a'!$J$115</definedName>
    <definedName name="________________td02">'[19]WPC-11.1a'!$J$86</definedName>
    <definedName name="________________td03">'[19]WPC-11.1a'!$J$57</definedName>
    <definedName name="________________td04">'[20]WPC-11.1a'!$J$26</definedName>
    <definedName name="________________TDG01">'[19]WPC-11.1a'!$H$123</definedName>
    <definedName name="________________TDG02">'[19]WPC-11.1a'!$H$94</definedName>
    <definedName name="________________TDG03">'[19]WPC-11.1a'!$H$65</definedName>
    <definedName name="________________TDG04">'[19]WPC-11.1a'!$H$36</definedName>
    <definedName name="_______________Com1">[14]Roadmap!$B$217</definedName>
    <definedName name="_______________Com2">[14]Roadmap!$B$218</definedName>
    <definedName name="_______________Com3">[15]Roadmap!$B$209</definedName>
    <definedName name="_______________COM94">#REF!</definedName>
    <definedName name="_______________COM95">#REF!</definedName>
    <definedName name="_______________EXH1">#REF!</definedName>
    <definedName name="_______________EXH5">#REF!</definedName>
    <definedName name="_______________JV13">#REF!</definedName>
    <definedName name="_______________Key2" hidden="1">#REF!</definedName>
    <definedName name="_______________ms01">#REF!</definedName>
    <definedName name="_______________ms02">#REF!</definedName>
    <definedName name="_______________ms03">#REF!</definedName>
    <definedName name="_______________ms04">#REF!</definedName>
    <definedName name="_______________om1">[17]Roadmap!$C$112</definedName>
    <definedName name="_______________om2">[17]Roadmap!$C$113</definedName>
    <definedName name="_______________omd1">[5]Roadmap!$C$160</definedName>
    <definedName name="_______________omd2">[6]Roadmap!$C$96</definedName>
    <definedName name="_______________p1">'[16]#REF'!$A$1:$Q$49</definedName>
    <definedName name="_______________rb1">[17]Roadmap!$C$110</definedName>
    <definedName name="_______________rb2">[17]Roadmap!$C$111</definedName>
    <definedName name="_______________rbd1">[9]Roadmap!$C$156</definedName>
    <definedName name="_______________rbd2">[10]Roadmap!$C$157</definedName>
    <definedName name="_______________RMC2">'[18]RMC-Descrip'!#REF!</definedName>
    <definedName name="_______________SF3">#REF!</definedName>
    <definedName name="_______________td01">'[19]WPC-11.1a'!$J$115</definedName>
    <definedName name="_______________td02">'[19]WPC-11.1a'!$J$86</definedName>
    <definedName name="_______________td03">'[19]WPC-11.1a'!$J$57</definedName>
    <definedName name="_______________td04">'[20]WPC-11.1a'!$J$26</definedName>
    <definedName name="_______________TDG01">'[19]WPC-11.1a'!$H$123</definedName>
    <definedName name="_______________TDG02">'[19]WPC-11.1a'!$H$94</definedName>
    <definedName name="_______________TDG03">'[19]WPC-11.1a'!$H$65</definedName>
    <definedName name="_______________TDG04">'[19]WPC-11.1a'!$H$36</definedName>
    <definedName name="______________Com1">[14]Roadmap!$B$217</definedName>
    <definedName name="______________Com2">[14]Roadmap!$B$218</definedName>
    <definedName name="______________Com3">[15]Roadmap!$B$209</definedName>
    <definedName name="______________COM94">#REF!</definedName>
    <definedName name="______________COM95">#REF!</definedName>
    <definedName name="______________EXH1">#REF!</definedName>
    <definedName name="______________EXH5">#REF!</definedName>
    <definedName name="______________JV13">#REF!</definedName>
    <definedName name="______________Key2" hidden="1">#REF!</definedName>
    <definedName name="______________ms01">#REF!</definedName>
    <definedName name="______________ms02">#REF!</definedName>
    <definedName name="______________ms03">#REF!</definedName>
    <definedName name="______________ms04">#REF!</definedName>
    <definedName name="______________om1">[17]Roadmap!$C$112</definedName>
    <definedName name="______________om2">[17]Roadmap!$C$113</definedName>
    <definedName name="______________omd1">[5]Roadmap!$C$160</definedName>
    <definedName name="______________omd2">[6]Roadmap!$C$96</definedName>
    <definedName name="______________p1">'[16]#REF'!$A$1:$Q$49</definedName>
    <definedName name="______________rb1">[17]Roadmap!$C$110</definedName>
    <definedName name="______________rb2">[17]Roadmap!$C$111</definedName>
    <definedName name="______________rbd1">[9]Roadmap!$C$156</definedName>
    <definedName name="______________rbd2">[10]Roadmap!$C$157</definedName>
    <definedName name="______________RMC2">'[18]RMC-Descrip'!#REF!</definedName>
    <definedName name="______________SF3">#REF!</definedName>
    <definedName name="______________td01">'[19]WPC-11.1a'!$J$115</definedName>
    <definedName name="______________td02">'[19]WPC-11.1a'!$J$86</definedName>
    <definedName name="______________td03">'[19]WPC-11.1a'!$J$57</definedName>
    <definedName name="______________td04">'[20]WPC-11.1a'!$J$26</definedName>
    <definedName name="______________TDG01">'[19]WPC-11.1a'!$H$123</definedName>
    <definedName name="______________TDG02">'[19]WPC-11.1a'!$H$94</definedName>
    <definedName name="______________TDG03">'[19]WPC-11.1a'!$H$65</definedName>
    <definedName name="______________TDG04">'[19]WPC-11.1a'!$H$36</definedName>
    <definedName name="_____________Com1">[21]Roadmap!$B$217</definedName>
    <definedName name="_____________Com2">[21]Roadmap!$B$218</definedName>
    <definedName name="_____________Com3">[4]Roadmap!$B$209</definedName>
    <definedName name="_____________COM94">#REF!</definedName>
    <definedName name="_____________COM95">#REF!</definedName>
    <definedName name="_____________EXH1">#REF!</definedName>
    <definedName name="_____________EXH5">#REF!</definedName>
    <definedName name="_____________JV13">#REF!</definedName>
    <definedName name="_____________Key2" hidden="1">#REF!</definedName>
    <definedName name="_____________ms01">#REF!</definedName>
    <definedName name="_____________ms02">#REF!</definedName>
    <definedName name="_____________ms03">#REF!</definedName>
    <definedName name="_____________ms04">#REF!</definedName>
    <definedName name="_____________om1">[17]Roadmap!$C$112</definedName>
    <definedName name="_____________om2">[17]Roadmap!$C$113</definedName>
    <definedName name="_____________omd1">[9]Roadmap!$C$158</definedName>
    <definedName name="_____________omd2">[6]Roadmap!$C$96</definedName>
    <definedName name="_____________p1">'[22]#REF'!$A$1:$Q$49</definedName>
    <definedName name="_____________rb1">[23]INDEX!$B$165</definedName>
    <definedName name="_____________rb2">[17]Roadmap!$C$111</definedName>
    <definedName name="_____________rbd1">[9]Roadmap!$C$156</definedName>
    <definedName name="_____________rbd2">[10]Roadmap!$C$157</definedName>
    <definedName name="_____________RMC2">'[24]RMC-Descrip'!#REF!</definedName>
    <definedName name="_____________SF3">#REF!</definedName>
    <definedName name="_____________td01">'[12]WPC-11.1a'!$J$115</definedName>
    <definedName name="_____________td02">'[12]WPC-11.1a'!$J$86</definedName>
    <definedName name="_____________td03">'[12]WPC-11.1a'!$J$57</definedName>
    <definedName name="_____________td04">'[13]WPC-11.1a'!$J$26</definedName>
    <definedName name="_____________TDG01">'[12]WPC-11.1a'!$H$123</definedName>
    <definedName name="_____________TDG02">'[12]WPC-11.1a'!$H$94</definedName>
    <definedName name="_____________TDG03">'[12]WPC-11.1a'!$H$65</definedName>
    <definedName name="_____________TDG04">'[12]WPC-11.1a'!$H$36</definedName>
    <definedName name="____________Com1">[3]Roadmap!$B$217</definedName>
    <definedName name="____________Com2">[25]Roadmap!$C$187</definedName>
    <definedName name="____________Com3">[4]Roadmap!$B$209</definedName>
    <definedName name="____________COM94">#REF!</definedName>
    <definedName name="____________COM95">#REF!</definedName>
    <definedName name="____________EXH1">#REF!</definedName>
    <definedName name="____________EXH5">#REF!</definedName>
    <definedName name="____________JV13">#REF!</definedName>
    <definedName name="____________Key2" hidden="1">#REF!</definedName>
    <definedName name="____________ms01">#REF!</definedName>
    <definedName name="____________ms02">#REF!</definedName>
    <definedName name="____________ms03">#REF!</definedName>
    <definedName name="____________ms04">#REF!</definedName>
    <definedName name="____________om1">[17]Roadmap!$C$112</definedName>
    <definedName name="____________om2">[17]Roadmap!$C$113</definedName>
    <definedName name="____________OMD1">[25]Roadmap!$C$194</definedName>
    <definedName name="____________omd2">[6]Roadmap!$C$96</definedName>
    <definedName name="____________p1">'[26]#REF'!$A$1:$Q$49</definedName>
    <definedName name="____________rb1">[27]Roadmap!$C$110</definedName>
    <definedName name="____________rb2">[17]Roadmap!$C$111</definedName>
    <definedName name="____________rbd1">[9]Roadmap!$C$156</definedName>
    <definedName name="____________rbd2">[10]Roadmap!$C$157</definedName>
    <definedName name="____________RMC2">'[18]RMC-Descrip'!#REF!</definedName>
    <definedName name="____________SF3">#REF!</definedName>
    <definedName name="____________td01">'[19]WPC-11.1a'!$J$115</definedName>
    <definedName name="____________td02">'[19]WPC-11.1a'!$J$86</definedName>
    <definedName name="____________td03">'[19]WPC-11.1a'!$J$57</definedName>
    <definedName name="____________td04">'[28]WPC-11.1a'!$J$26</definedName>
    <definedName name="____________TDG01">'[19]WPC-11.1a'!$H$123</definedName>
    <definedName name="____________TDG02">'[19]WPC-11.1a'!$H$94</definedName>
    <definedName name="____________TDG03">'[19]WPC-11.1a'!$H$65</definedName>
    <definedName name="____________TDG04">'[19]WPC-11.1a'!$H$36</definedName>
    <definedName name="___________Com1">[3]Roadmap!$B$217</definedName>
    <definedName name="___________Com2">[3]Roadmap!$B$218</definedName>
    <definedName name="___________Com3">[4]Roadmap!$B$209</definedName>
    <definedName name="___________COM94">#REF!</definedName>
    <definedName name="___________COM95">#REF!</definedName>
    <definedName name="___________EXH1">#REF!</definedName>
    <definedName name="___________EXH5">#REF!</definedName>
    <definedName name="___________JV13">#REF!</definedName>
    <definedName name="___________Key2" hidden="1">#REF!</definedName>
    <definedName name="___________ms01">#REF!</definedName>
    <definedName name="___________ms02">#REF!</definedName>
    <definedName name="___________ms03">#REF!</definedName>
    <definedName name="___________ms04">#REF!</definedName>
    <definedName name="___________om1">[27]Roadmap!$C$112</definedName>
    <definedName name="___________om2">[23]INDEX!$B$168</definedName>
    <definedName name="___________omd1">[5]Roadmap!$C$160</definedName>
    <definedName name="___________omd2">[6]Roadmap!$C$96</definedName>
    <definedName name="___________p1">'[7]#REF'!$A$1:$Q$49</definedName>
    <definedName name="___________rb1">[8]Roadmap!$C$110</definedName>
    <definedName name="___________rb2">[23]INDEX!$B$166</definedName>
    <definedName name="___________rbd1">[9]Roadmap!$C$156</definedName>
    <definedName name="___________rbd2">[10]Roadmap!$C$157</definedName>
    <definedName name="___________RMC2">'[11]RMC-Descrip'!#REF!</definedName>
    <definedName name="___________SF3">#REF!</definedName>
    <definedName name="___________td01">'[12]WPC-11.1a'!$J$115</definedName>
    <definedName name="___________td02">'[12]WPC-11.1a'!$J$86</definedName>
    <definedName name="___________td03">'[12]WPC-11.1a'!$J$57</definedName>
    <definedName name="___________td04">'[13]WPC-11.1a'!$J$26</definedName>
    <definedName name="___________TDG01">'[12]WPC-11.1a'!$H$123</definedName>
    <definedName name="___________TDG02">'[12]WPC-11.1a'!$H$94</definedName>
    <definedName name="___________TDG03">'[12]WPC-11.1a'!$H$65</definedName>
    <definedName name="___________TDG04">'[12]WPC-11.1a'!$H$36</definedName>
    <definedName name="__________Com1">[29]Roadmap!$B$217</definedName>
    <definedName name="__________Com2">[29]Roadmap!$B$218</definedName>
    <definedName name="__________Com3">[30]Roadmap!$B$209</definedName>
    <definedName name="__________COM94">#REF!</definedName>
    <definedName name="__________COM95">#REF!</definedName>
    <definedName name="__________EXH1">#REF!</definedName>
    <definedName name="__________EXH5">#REF!</definedName>
    <definedName name="__________JV13">#REF!</definedName>
    <definedName name="__________Key2" hidden="1">#REF!</definedName>
    <definedName name="__________ms01">#REF!</definedName>
    <definedName name="__________ms02">#REF!</definedName>
    <definedName name="__________ms03">#REF!</definedName>
    <definedName name="__________ms04">#REF!</definedName>
    <definedName name="__________om1">[17]Roadmap!$C$112</definedName>
    <definedName name="__________om2">[31]INDEX!$B$159</definedName>
    <definedName name="__________omd1">[5]Roadmap!$C$160</definedName>
    <definedName name="__________omd2">[6]Roadmap!$C$96</definedName>
    <definedName name="__________p1">'[32]#REF'!$A$1:$Q$49</definedName>
    <definedName name="__________rb1">[33]Roadmap!$C$110</definedName>
    <definedName name="__________rb2">[27]Roadmap!$C$111</definedName>
    <definedName name="__________rbd1">[9]Roadmap!$C$156</definedName>
    <definedName name="__________rbd2">[10]Roadmap!$C$157</definedName>
    <definedName name="__________RMC2">'[34]RMC-Descrip'!#REF!</definedName>
    <definedName name="__________SF3">#REF!</definedName>
    <definedName name="__________td01">'[35]WPC-11.1a'!$J$115</definedName>
    <definedName name="__________td02">'[35]WPC-11.1a'!$J$86</definedName>
    <definedName name="__________td03">'[35]WPC-11.1a'!$J$57</definedName>
    <definedName name="__________td04">'[36]WPC-11.1a'!$J$26</definedName>
    <definedName name="__________TDG01">'[35]WPC-11.1a'!$H$123</definedName>
    <definedName name="__________TDG02">'[35]WPC-11.1a'!$H$94</definedName>
    <definedName name="__________TDG03">'[35]WPC-11.1a'!$H$65</definedName>
    <definedName name="__________TDG04">'[35]WPC-11.1a'!$H$36</definedName>
    <definedName name="_________Com1">[29]Roadmap!$B$217</definedName>
    <definedName name="_________Com2">[29]Roadmap!$B$218</definedName>
    <definedName name="_________Com3">[30]Roadmap!$B$209</definedName>
    <definedName name="_________COM94">#REF!</definedName>
    <definedName name="_________COM95">#REF!</definedName>
    <definedName name="_________EXH1">#REF!</definedName>
    <definedName name="_________EXH5">#REF!</definedName>
    <definedName name="_________JV13">#REF!</definedName>
    <definedName name="_________Key2" hidden="1">#REF!</definedName>
    <definedName name="_________ms01">#REF!</definedName>
    <definedName name="_________ms02">#REF!</definedName>
    <definedName name="_________ms03">#REF!</definedName>
    <definedName name="_________ms04">#REF!</definedName>
    <definedName name="_________om1">[8]Roadmap!$C$112</definedName>
    <definedName name="_________om2">[8]Roadmap!$C$113</definedName>
    <definedName name="_________omd1">[5]Roadmap!$C$160</definedName>
    <definedName name="_________omd2">[6]Roadmap!$C$96</definedName>
    <definedName name="_________p1">'[32]#REF'!$A$1:$Q$49</definedName>
    <definedName name="_________rb1">[33]Roadmap!$C$110</definedName>
    <definedName name="_________rb2">[8]Roadmap!$C$111</definedName>
    <definedName name="_________rbd1">[9]Roadmap!$C$156</definedName>
    <definedName name="_________rbd2">[10]Roadmap!$C$157</definedName>
    <definedName name="_________RMC2">'[34]RMC-Descrip'!#REF!</definedName>
    <definedName name="_________SF3">#REF!</definedName>
    <definedName name="_________td01">'[35]WPC-11.1a'!$J$115</definedName>
    <definedName name="_________td02">'[35]WPC-11.1a'!$J$86</definedName>
    <definedName name="_________td03">'[35]WPC-11.1a'!$J$57</definedName>
    <definedName name="_________td04">'[36]WPC-11.1a'!$J$26</definedName>
    <definedName name="_________TDG01">'[35]WPC-11.1a'!$H$123</definedName>
    <definedName name="_________TDG02">'[35]WPC-11.1a'!$H$94</definedName>
    <definedName name="_________TDG03">'[35]WPC-11.1a'!$H$65</definedName>
    <definedName name="_________TDG04">'[35]WPC-11.1a'!$H$36</definedName>
    <definedName name="________Com1">[14]Roadmap!$B$217</definedName>
    <definedName name="________Com2">[14]Roadmap!$B$218</definedName>
    <definedName name="________Com3">[15]Roadmap!$B$209</definedName>
    <definedName name="________COM94">#REF!</definedName>
    <definedName name="________COM95">#REF!</definedName>
    <definedName name="________EXH1">#REF!</definedName>
    <definedName name="________EXH5">#REF!</definedName>
    <definedName name="________JV13">#REF!</definedName>
    <definedName name="________Key2" hidden="1">#REF!</definedName>
    <definedName name="________ms01">#REF!</definedName>
    <definedName name="________ms02">#REF!</definedName>
    <definedName name="________ms03">#REF!</definedName>
    <definedName name="________ms04">#REF!</definedName>
    <definedName name="________om1">[17]Roadmap!$C$112</definedName>
    <definedName name="________om2">[17]Roadmap!$C$113</definedName>
    <definedName name="________omd1">[5]Roadmap!$C$160</definedName>
    <definedName name="________omd2">[6]Roadmap!$C$96</definedName>
    <definedName name="________p1">'[16]#REF'!$A$1:$Q$49</definedName>
    <definedName name="________rb1">[17]Roadmap!$C$110</definedName>
    <definedName name="________rb2">[17]Roadmap!$C$111</definedName>
    <definedName name="________rbd1">[9]Roadmap!$C$156</definedName>
    <definedName name="________rbd2">[10]Roadmap!$C$157</definedName>
    <definedName name="________RMC2">'[18]RMC-Descrip'!#REF!</definedName>
    <definedName name="________SF3">#REF!</definedName>
    <definedName name="________td01">'[19]WPC-11.1a'!$J$115</definedName>
    <definedName name="________td02">'[19]WPC-11.1a'!$J$86</definedName>
    <definedName name="________td03">'[19]WPC-11.1a'!$J$57</definedName>
    <definedName name="________td04">'[20]WPC-11.1a'!$J$26</definedName>
    <definedName name="________TDG01">'[19]WPC-11.1a'!$H$123</definedName>
    <definedName name="________TDG02">'[19]WPC-11.1a'!$H$94</definedName>
    <definedName name="________TDG03">'[19]WPC-11.1a'!$H$65</definedName>
    <definedName name="________TDG04">'[19]WPC-11.1a'!$H$36</definedName>
    <definedName name="_______Com1">[14]Roadmap!$B$217</definedName>
    <definedName name="_______Com2">[14]Roadmap!$B$218</definedName>
    <definedName name="_______Com3">[15]Roadmap!$B$209</definedName>
    <definedName name="_______COM94">#REF!</definedName>
    <definedName name="_______COM95">#REF!</definedName>
    <definedName name="_______EXH1">#REF!</definedName>
    <definedName name="_______EXH5">#REF!</definedName>
    <definedName name="_______JV13">#REF!</definedName>
    <definedName name="_______Key2" hidden="1">#REF!</definedName>
    <definedName name="_______ms01">#REF!</definedName>
    <definedName name="_______ms02">#REF!</definedName>
    <definedName name="_______ms03">#REF!</definedName>
    <definedName name="_______ms04">#REF!</definedName>
    <definedName name="_______om1">[17]Roadmap!$C$112</definedName>
    <definedName name="_______om2">[17]Roadmap!$C$113</definedName>
    <definedName name="_______omd1">[5]Roadmap!$C$160</definedName>
    <definedName name="_______omd2">[6]Roadmap!$C$96</definedName>
    <definedName name="_______p1">'[16]#REF'!$A$1:$Q$49</definedName>
    <definedName name="_______rb1">[17]Roadmap!$C$110</definedName>
    <definedName name="_______rb2">[17]Roadmap!$C$111</definedName>
    <definedName name="_______rbd1">[9]Roadmap!$C$156</definedName>
    <definedName name="_______rbd2">[10]Roadmap!$C$157</definedName>
    <definedName name="_______RMC2">'[18]RMC-Descrip'!#REF!</definedName>
    <definedName name="_______SF3">#REF!</definedName>
    <definedName name="_______td01">'[19]WPC-11.1a'!$J$115</definedName>
    <definedName name="_______td02">'[19]WPC-11.1a'!$J$86</definedName>
    <definedName name="_______td03">'[19]WPC-11.1a'!$J$57</definedName>
    <definedName name="_______td04">'[20]WPC-11.1a'!$J$26</definedName>
    <definedName name="_______TDG01">'[19]WPC-11.1a'!$H$123</definedName>
    <definedName name="_______TDG02">'[19]WPC-11.1a'!$H$94</definedName>
    <definedName name="_______TDG03">'[19]WPC-11.1a'!$H$65</definedName>
    <definedName name="_______TDG04">'[19]WPC-11.1a'!$H$36</definedName>
    <definedName name="______Com1">[3]Roadmap!$B$217</definedName>
    <definedName name="______Com2">[25]Roadmap!$C$187</definedName>
    <definedName name="______Com3">[4]Roadmap!$B$209</definedName>
    <definedName name="______COM94">#REF!</definedName>
    <definedName name="______COM95">#REF!</definedName>
    <definedName name="______EXH1">#REF!</definedName>
    <definedName name="______EXH5">#REF!</definedName>
    <definedName name="______JV13">#REF!</definedName>
    <definedName name="______Key2" hidden="1">#REF!</definedName>
    <definedName name="______ms01">#REF!</definedName>
    <definedName name="______ms02">#REF!</definedName>
    <definedName name="______ms03">#REF!</definedName>
    <definedName name="______ms04">#REF!</definedName>
    <definedName name="______om1">[17]Roadmap!$C$112</definedName>
    <definedName name="______om2">[31]INDEX!$B$159</definedName>
    <definedName name="______OMD1">[25]Roadmap!$C$194</definedName>
    <definedName name="______omd2">[6]Roadmap!$C$96</definedName>
    <definedName name="______p1">'[26]#REF'!$A$1:$Q$49</definedName>
    <definedName name="______rb1">[27]Roadmap!$C$110</definedName>
    <definedName name="______rb2">[27]Roadmap!$C$111</definedName>
    <definedName name="______rbd1">[9]Roadmap!$C$156</definedName>
    <definedName name="______rbd2">[10]Roadmap!$C$157</definedName>
    <definedName name="______RMC2">'[18]RMC-Descrip'!#REF!</definedName>
    <definedName name="______SF3">#REF!</definedName>
    <definedName name="______td01">'[19]WPC-11.1a'!$J$115</definedName>
    <definedName name="______td02">'[19]WPC-11.1a'!$J$86</definedName>
    <definedName name="______td03">'[19]WPC-11.1a'!$J$57</definedName>
    <definedName name="______td04">'[28]WPC-11.1a'!$J$26</definedName>
    <definedName name="______TDG01">'[19]WPC-11.1a'!$H$123</definedName>
    <definedName name="______TDG02">'[19]WPC-11.1a'!$H$94</definedName>
    <definedName name="______TDG03">'[19]WPC-11.1a'!$H$65</definedName>
    <definedName name="______TDG04">'[19]WPC-11.1a'!$H$36</definedName>
    <definedName name="_____Com1">[21]Roadmap!$B$217</definedName>
    <definedName name="_____Com2">[21]Roadmap!$B$218</definedName>
    <definedName name="_____Com3">[4]Roadmap!$B$209</definedName>
    <definedName name="_____COM94">#REF!</definedName>
    <definedName name="_____COM95">#REF!</definedName>
    <definedName name="_____EXH1">#REF!</definedName>
    <definedName name="_____EXH5">#REF!</definedName>
    <definedName name="_____JV13">#REF!</definedName>
    <definedName name="_____Key2" hidden="1">#REF!</definedName>
    <definedName name="_____ms01">#REF!</definedName>
    <definedName name="_____ms02">#REF!</definedName>
    <definedName name="_____ms03">#REF!</definedName>
    <definedName name="_____ms04">#REF!</definedName>
    <definedName name="_____om1">[27]Roadmap!$C$112</definedName>
    <definedName name="_____om2">[23]INDEX!$B$168</definedName>
    <definedName name="_____omd1">[9]Roadmap!$C$158</definedName>
    <definedName name="_____omd2">[6]Roadmap!$C$96</definedName>
    <definedName name="_____p1">'[22]#REF'!$A$1:$Q$49</definedName>
    <definedName name="_____rb1">[23]INDEX!$B$165</definedName>
    <definedName name="_____rb2">[23]INDEX!$B$166</definedName>
    <definedName name="_____rbd1">[9]Roadmap!$C$156</definedName>
    <definedName name="_____rbd2">[10]Roadmap!$C$157</definedName>
    <definedName name="_____RMC2">'[24]RMC-Descrip'!#REF!</definedName>
    <definedName name="_____SF3">#REF!</definedName>
    <definedName name="_____td01">#REF!</definedName>
    <definedName name="_____td02">#REF!</definedName>
    <definedName name="_____td03">#REF!</definedName>
    <definedName name="_____td04">#REF!</definedName>
    <definedName name="_____TDG01">#REF!</definedName>
    <definedName name="_____TDG02">#REF!</definedName>
    <definedName name="_____TDG03">#REF!</definedName>
    <definedName name="_____TDG04">#REF!</definedName>
    <definedName name="____Com1">[14]Roadmap!$B$217</definedName>
    <definedName name="____Com2">[25]Roadmap!$C$187</definedName>
    <definedName name="____Com3">[15]Roadmap!$B$209</definedName>
    <definedName name="____COM94">#REF!</definedName>
    <definedName name="____COM95">#REF!</definedName>
    <definedName name="____EXH1">#REF!</definedName>
    <definedName name="____EXH5">#REF!</definedName>
    <definedName name="____JV13">#REF!</definedName>
    <definedName name="____Key2" hidden="1">#REF!</definedName>
    <definedName name="____ms01">#REF!</definedName>
    <definedName name="____ms02">#REF!</definedName>
    <definedName name="____ms03">#REF!</definedName>
    <definedName name="____ms04">#REF!</definedName>
    <definedName name="____om1">[17]Roadmap!$C$112</definedName>
    <definedName name="____om2">[31]INDEX!$B$159</definedName>
    <definedName name="____OMD1">[25]Roadmap!$C$194</definedName>
    <definedName name="____omd2">[6]Roadmap!$C$96</definedName>
    <definedName name="____p1">'[26]#REF'!$A$1:$Q$49</definedName>
    <definedName name="____rb1">[27]Roadmap!$C$110</definedName>
    <definedName name="____rb2">[27]Roadmap!$C$111</definedName>
    <definedName name="____rbd1">[9]Roadmap!$C$156</definedName>
    <definedName name="____rbd2">[10]Roadmap!$C$157</definedName>
    <definedName name="____RMC2">'[18]RMC-Descrip'!#REF!</definedName>
    <definedName name="____SF3">#REF!</definedName>
    <definedName name="____td01">'[19]WPC-11.1a'!$J$115</definedName>
    <definedName name="____td02">'[19]WPC-11.1a'!$J$86</definedName>
    <definedName name="____td03">'[19]WPC-11.1a'!$J$57</definedName>
    <definedName name="____td04">'[28]WPC-11.1a'!$J$26</definedName>
    <definedName name="____TDG01">'[19]WPC-11.1a'!$H$123</definedName>
    <definedName name="____TDG02">'[19]WPC-11.1a'!$H$94</definedName>
    <definedName name="____TDG03">'[19]WPC-11.1a'!$H$65</definedName>
    <definedName name="____TDG04">'[19]WPC-11.1a'!$H$36</definedName>
    <definedName name="___Com1">[14]Roadmap!$B$217</definedName>
    <definedName name="___Com2">[14]Roadmap!$B$218</definedName>
    <definedName name="___Com3">[4]Roadmap!$B$209</definedName>
    <definedName name="___COM94">#REF!</definedName>
    <definedName name="___COM95">#REF!</definedName>
    <definedName name="___EXH1">#REF!</definedName>
    <definedName name="___EXH5">#REF!</definedName>
    <definedName name="___JV13">#REF!</definedName>
    <definedName name="___Key2" hidden="1">#REF!</definedName>
    <definedName name="___ms01">#REF!</definedName>
    <definedName name="___ms02">#REF!</definedName>
    <definedName name="___ms03">#REF!</definedName>
    <definedName name="___ms04">#REF!</definedName>
    <definedName name="___om1">[17]Roadmap!$C$112</definedName>
    <definedName name="___om2">[17]Roadmap!$C$113</definedName>
    <definedName name="___omd1">[9]Roadmap!$C$158</definedName>
    <definedName name="___omd2">[6]Roadmap!$C$96</definedName>
    <definedName name="___p1">'[7]#REF'!$A$1:$Q$49</definedName>
    <definedName name="___rb1">[17]Roadmap!$C$110</definedName>
    <definedName name="___rb2">[17]Roadmap!$C$111</definedName>
    <definedName name="___rbd1">[9]Roadmap!$C$156</definedName>
    <definedName name="___rbd2">[10]Roadmap!$C$157</definedName>
    <definedName name="___RMC2">'[18]RMC-Descrip'!#REF!</definedName>
    <definedName name="___SF3">#REF!</definedName>
    <definedName name="___td01">'[19]WPC-11.1a'!$J$115</definedName>
    <definedName name="___td02">'[19]WPC-11.1a'!$J$86</definedName>
    <definedName name="___td03">'[19]WPC-11.1a'!$J$57</definedName>
    <definedName name="___td04">'[20]WPC-11.1a'!$J$26</definedName>
    <definedName name="___TDG01">'[19]WPC-11.1a'!$H$123</definedName>
    <definedName name="___TDG02">'[19]WPC-11.1a'!$H$94</definedName>
    <definedName name="___TDG03">'[19]WPC-11.1a'!$H$65</definedName>
    <definedName name="___TDG04">'[19]WPC-11.1a'!$H$36</definedName>
    <definedName name="__Com1">[3]Roadmap!$B$217</definedName>
    <definedName name="__Com2">[3]Roadmap!$B$218</definedName>
    <definedName name="__Com3">[4]Roadmap!$B$209</definedName>
    <definedName name="__COM94">#REF!</definedName>
    <definedName name="__COM95">#REF!</definedName>
    <definedName name="__EXH1">#REF!</definedName>
    <definedName name="__EXH5">#REF!</definedName>
    <definedName name="__JV13">#REF!</definedName>
    <definedName name="__key1" hidden="1">#REF!</definedName>
    <definedName name="__Key2" hidden="1">#REF!</definedName>
    <definedName name="__ms01">#REF!</definedName>
    <definedName name="__ms02">#REF!</definedName>
    <definedName name="__ms03">#REF!</definedName>
    <definedName name="__ms04">#REF!</definedName>
    <definedName name="__om1">[8]Roadmap!$C$112</definedName>
    <definedName name="__om2">[37]Roadmap!$C$139</definedName>
    <definedName name="__omd1">[38]Roadmap!$C$158</definedName>
    <definedName name="__omd2">[39]Roadmap!$C$96</definedName>
    <definedName name="__p1">'[7]#REF'!$A$1:$Q$49</definedName>
    <definedName name="__rb1">[8]Roadmap!$C$110</definedName>
    <definedName name="__rb2">[8]Roadmap!$C$111</definedName>
    <definedName name="__rbd1">[38]Roadmap!$C$156</definedName>
    <definedName name="__rbd2">[40]Roadmap!$C$157</definedName>
    <definedName name="__RMC2">'[11]RMC-Descrip'!#REF!</definedName>
    <definedName name="__SF3">#REF!</definedName>
    <definedName name="__td01">'[12]WPC-11.1a'!$J$115</definedName>
    <definedName name="__td02">'[12]WPC-11.1a'!$J$86</definedName>
    <definedName name="__td03">'[12]WPC-11.1a'!$J$57</definedName>
    <definedName name="__td04">'[13]WPC-11.1a'!$J$26</definedName>
    <definedName name="__TDG01">'[12]WPC-11.1a'!$H$123</definedName>
    <definedName name="__TDG02">'[12]WPC-11.1a'!$H$94</definedName>
    <definedName name="__TDG03">'[12]WPC-11.1a'!$H$65</definedName>
    <definedName name="__TDG04">'[12]WPC-11.1a'!$H$36</definedName>
    <definedName name="_1__123Graph_ACONTRACT_BY_B_U" hidden="1">'[41]QRE Charts'!$D$275:$Q$275</definedName>
    <definedName name="_10__123Graph_BQRE_S_BY_TYPE" hidden="1">'[41]QRE''s'!$D$100:$R$100</definedName>
    <definedName name="_11__123Graph_BSENS_COMPARISON" hidden="1">'[41]QRE Charts'!$E$366:$O$366</definedName>
    <definedName name="_12__123Graph_BSUPPLIES_BY_B_U" hidden="1">'[41]QRE Charts'!$D$250:$Q$250</definedName>
    <definedName name="_13__123Graph_BTAX_CREDIT" hidden="1">'[41]QRE Charts'!$E$332:$E$342</definedName>
    <definedName name="_14__123Graph_BWAGES_BY_B_U" hidden="1">'[41]QRE Charts'!$D$224:$R$224</definedName>
    <definedName name="_15__123Graph_CCONTRACT_BY_B_U" hidden="1">'[41]QRE Charts'!$D$277:$Q$277</definedName>
    <definedName name="_16__123Graph_CQRE_S_BY_CO." hidden="1">'[41]QRE Charts'!$D$303:$R$303</definedName>
    <definedName name="_17__123Graph_CQRE_S_BY_TYPE" hidden="1">'[41]QRE''s'!$D$101:$R$101</definedName>
    <definedName name="_18__123Graph_CSENS_COMPARISON" hidden="1">'[41]QRE Charts'!$E$367:$O$367</definedName>
    <definedName name="_19__123Graph_CSUPPLIES_BY_B_U" hidden="1">'[41]QRE Charts'!$D$251:$Q$251</definedName>
    <definedName name="_2__123Graph_AQRE_S_BY_CO." hidden="1">'[41]QRE Charts'!$D$301:$R$301</definedName>
    <definedName name="_20__123Graph_CWAGES_BY_B_U" hidden="1">'[41]QRE Charts'!$D$225:$R$225</definedName>
    <definedName name="_20_MWS">#REF!</definedName>
    <definedName name="_21__123Graph_DCONTRACT_BY_B_U" hidden="1">'[41]QRE Charts'!$D$278:$Q$278</definedName>
    <definedName name="_21_MWS">#REF!</definedName>
    <definedName name="_22__123Graph_DQRE_S_BY_CO." hidden="1">'[41]QRE Charts'!$D$304:$R$304</definedName>
    <definedName name="_23__123Graph_DSUPPLIES_BY_B_U" hidden="1">'[41]QRE Charts'!$D$252:$Q$252</definedName>
    <definedName name="_23_MWS">#REF!</definedName>
    <definedName name="_24__123Graph_DWAGES_BY_B_U" hidden="1">'[41]QRE Charts'!$D$226:$R$226</definedName>
    <definedName name="_24_MWS">#REF!</definedName>
    <definedName name="_25__123Graph_ECONTRACT_BY_B_U" hidden="1">'[41]QRE Charts'!$D$279:$Q$279</definedName>
    <definedName name="_26__123Graph_EQRE_S_BY_CO." hidden="1">'[41]QRE Charts'!$D$305:$R$305</definedName>
    <definedName name="_27__123Graph_ESUPPLIES_BY_B_U" hidden="1">'[41]QRE Charts'!$D$253:$Q$253</definedName>
    <definedName name="_28__123Graph_EWAGES_BY_B_U" hidden="1">'[41]QRE Charts'!$D$227:$R$227</definedName>
    <definedName name="_29__123Graph_FCONTRACT_BY_B_U" hidden="1">'[41]QRE Charts'!$D$280:$Q$280</definedName>
    <definedName name="_3__123Graph_AQRE_S_BY_TYPE" hidden="1">'[41]QRE''s'!$D$99:$R$99</definedName>
    <definedName name="_30__123Graph_FQRE_S_BY_CO." hidden="1">'[41]QRE Charts'!$D$306:$R$306</definedName>
    <definedName name="_31__123Graph_FSUPPLIES_BY_B_U" hidden="1">'[41]QRE Charts'!$D$254:$Q$254</definedName>
    <definedName name="_32__123Graph_FWAGES_BY_B_U" hidden="1">'[41]QRE Charts'!$D$228:$R$228</definedName>
    <definedName name="_33__123Graph_XCONTRACT_BY_B_U" hidden="1">'[41]QRE Charts'!$D$222:$R$222</definedName>
    <definedName name="_34__123Graph_XQRE_S_BY_CO." hidden="1">'[41]QRE Charts'!$D$222:$R$222</definedName>
    <definedName name="_35__123Graph_XQRE_S_BY_TYPE" hidden="1">'[41]QRE Charts'!$D$222:$R$222</definedName>
    <definedName name="_35_MWS">#REF!</definedName>
    <definedName name="_36__123Graph_XSUPPLIES_BY_B_U" hidden="1">'[41]QRE Charts'!$D$222:$R$222</definedName>
    <definedName name="_37__123Graph_XTAX_CREDIT" hidden="1">'[41]QRE Charts'!$C$332:$C$342</definedName>
    <definedName name="_38_0_0_K" hidden="1">#REF!</definedName>
    <definedName name="_39_0_0_K" hidden="1">[42]Masterdata!#REF!</definedName>
    <definedName name="_3YR_SUMMARY">#REF!</definedName>
    <definedName name="_4__123Graph_ASENS_COMPARISON" hidden="1">'[41]QRE Charts'!$E$365:$O$365</definedName>
    <definedName name="_40_0_0_S" hidden="1">#REF!</definedName>
    <definedName name="_40_MWS">#REF!</definedName>
    <definedName name="_41_0_0_S" hidden="1">[42]Masterdata!#REF!</definedName>
    <definedName name="_45_MWS">#REF!</definedName>
    <definedName name="_5__123Graph_ASUPPLIES_BY_B_U" hidden="1">'[41]QRE Charts'!$D$249:$Q$249</definedName>
    <definedName name="_50_MWS">#REF!</definedName>
    <definedName name="_55_MWS">#REF!</definedName>
    <definedName name="_6__123Graph_ATAX_CREDIT" hidden="1">'[41]QRE Charts'!$D$332:$D$342</definedName>
    <definedName name="_7__123Graph_AWAGES_BY_B_U" hidden="1">'[41]QRE Charts'!$D$223:$R$223</definedName>
    <definedName name="_8__123Graph_BCONTRACT_BY_B_U" hidden="1">'[41]QRE Charts'!$D$276:$Q$276</definedName>
    <definedName name="_84_PHASE1">[41]Comparison!$E$9:$E$165</definedName>
    <definedName name="_85_PHASE1">[41]Comparison!$I$9:$I$165</definedName>
    <definedName name="_86_PHASE1">[41]Comparison!$M$9:$M$165</definedName>
    <definedName name="_87_PHASE1">[41]Comparison!$Q$9:$Q$165</definedName>
    <definedName name="_88_PHASE1">[41]Comparison!$U$9:$U$165</definedName>
    <definedName name="_89_PHASE1">[41]Comparison!$AD$9:$AD$165</definedName>
    <definedName name="_9__123Graph_BQRE_S_BY_CO." hidden="1">'[41]QRE Charts'!$D$302:$R$302</definedName>
    <definedName name="_90_PHASE1">[41]Comparison!$AH$9:$AH$165</definedName>
    <definedName name="_91_PHASE1">[41]Comparison!$AL$9:$AL$165</definedName>
    <definedName name="_92_PHASE1">[41]Comparison!$AP$9:$AP$165</definedName>
    <definedName name="_93_PHASE1">[41]Comparison!$AT$9:$AT$165</definedName>
    <definedName name="_94_PHASE1">[41]Comparison!$AX$9:$AX$165</definedName>
    <definedName name="_95_PHASE1">[41]Comparison!$BB$9:$BB$165</definedName>
    <definedName name="_96_PHASE1">[41]Comparison!$BF$9:$BF$165</definedName>
    <definedName name="_97_PHASE1">[41]Comparison!$BJ$9:$BJ$165</definedName>
    <definedName name="_98_PHASE1">[41]Comparison!$BN$9:$BN$165</definedName>
    <definedName name="_AAL1">#REF!</definedName>
    <definedName name="_agr8690">[41]Model!$I$58</definedName>
    <definedName name="_agr8790">[41]Model!$I$59</definedName>
    <definedName name="_agr8791">[41]Model!$J$59</definedName>
    <definedName name="_agr8890">[41]Model!$I$60</definedName>
    <definedName name="_agr8891">[41]Model!$J$60</definedName>
    <definedName name="_agr8892">[41]Model!$K$60</definedName>
    <definedName name="_agr8990">[41]Model!$I$61</definedName>
    <definedName name="_agr8991">[41]Model!$J$61</definedName>
    <definedName name="_agr8992">[41]Model!$K$61</definedName>
    <definedName name="_agr8993">[41]Model!$L$61</definedName>
    <definedName name="_agr9091">[41]Model!$J$62</definedName>
    <definedName name="_agr9092">[41]Model!$K$62</definedName>
    <definedName name="_agr9093">[41]Model!$L$62</definedName>
    <definedName name="_agr9094">[41]Model!$M$62</definedName>
    <definedName name="_agr9192">[41]Model!$K$63</definedName>
    <definedName name="_agr9193">[41]Model!$L$63</definedName>
    <definedName name="_agr9194">[41]Model!$M$63</definedName>
    <definedName name="_agr9195">[41]Model!$N$63</definedName>
    <definedName name="_agr9293">[41]Model!$L$64</definedName>
    <definedName name="_agr9294">[41]Model!$M$64</definedName>
    <definedName name="_agr9295">[41]Model!$N$64</definedName>
    <definedName name="_agr9296">[41]Model!$O$64</definedName>
    <definedName name="_agr9394">[41]Model!$M$65</definedName>
    <definedName name="_agr9395">[41]Model!$N$65</definedName>
    <definedName name="_agr9396">[41]Model!$O$65</definedName>
    <definedName name="_agr9397">[41]Model!$P$65</definedName>
    <definedName name="_agr9495">[41]Model!$N$66</definedName>
    <definedName name="_agr9496">[41]Model!$O$66</definedName>
    <definedName name="_agr9497">[41]Model!$P$66</definedName>
    <definedName name="_agr9498">[41]Model!$Q$66</definedName>
    <definedName name="_agr9596">[41]Model!$O$67</definedName>
    <definedName name="_agr9597">[41]Model!$P$67</definedName>
    <definedName name="_agr9598">[41]Model!$Q$67</definedName>
    <definedName name="_agr9697">[41]Model!$P$68</definedName>
    <definedName name="_agr9698">[41]Model!$Q$68</definedName>
    <definedName name="_agr9798">[41]Model!$Q$69</definedName>
    <definedName name="_ALT_PPONU_D__Q">#REF!</definedName>
    <definedName name="_AMO_UniqueIdentifier" hidden="1">"'bcb5811d-712a-4535-a3da-8914e2dcdab9'"</definedName>
    <definedName name="_Com1">#REF!</definedName>
    <definedName name="_Com2">#REF!</definedName>
    <definedName name="_Com3">#REF!</definedName>
    <definedName name="_COM94">#REF!</definedName>
    <definedName name="_COM95">#REF!</definedName>
    <definedName name="_EXH1">#REF!</definedName>
    <definedName name="_EXH5">#REF!</definedName>
    <definedName name="_Fill" hidden="1">'[43]o&amp;m'!#REF!</definedName>
    <definedName name="_JV13">#REF!</definedName>
    <definedName name="_Key1" hidden="1">#REF!</definedName>
    <definedName name="_Key2" hidden="1">#REF!</definedName>
    <definedName name="_key7">[44]Sheet2!$AE$1:$AE$24</definedName>
    <definedName name="_mm1">#REF!</definedName>
    <definedName name="_mm10">#REF!</definedName>
    <definedName name="_mm11">#REF!</definedName>
    <definedName name="_mm12">#REF!</definedName>
    <definedName name="_mm13">#REF!</definedName>
    <definedName name="_mm14">#REF!</definedName>
    <definedName name="_mm15">#REF!</definedName>
    <definedName name="_mm16">#REF!</definedName>
    <definedName name="_mm17">#REF!</definedName>
    <definedName name="_mm18">#REF!</definedName>
    <definedName name="_mm19">#REF!</definedName>
    <definedName name="_mm2">#REF!</definedName>
    <definedName name="_mm3">#REF!</definedName>
    <definedName name="_mm4">#REF!</definedName>
    <definedName name="_mm5">#REF!</definedName>
    <definedName name="_mm7">#REF!</definedName>
    <definedName name="_mm8">#REF!</definedName>
    <definedName name="_mm9">#REF!</definedName>
    <definedName name="_ms01">#REF!</definedName>
    <definedName name="_ms02">#REF!</definedName>
    <definedName name="_ms03">#REF!</definedName>
    <definedName name="_ms04">#REF!</definedName>
    <definedName name="_om1">[45]Roadmap!$B$138</definedName>
    <definedName name="_om2">[45]Roadmap!$B$139</definedName>
    <definedName name="_OMD1">#REF!</definedName>
    <definedName name="_OMD2">#REF!</definedName>
    <definedName name="_Order1" hidden="1">255</definedName>
    <definedName name="_Order2" hidden="1">255</definedName>
    <definedName name="_p1">'[7]#REF'!$A$1:$Q$49</definedName>
    <definedName name="_pgm5">[44]Sheet2!$AF$1:$AF$3</definedName>
    <definedName name="_qre2">'[46]IDR 15'!$A$1:$H$214</definedName>
    <definedName name="_qre84">'[41]QRE''s'!$D:$D</definedName>
    <definedName name="_qre8490">[41]Model!$I$126</definedName>
    <definedName name="_qre8491">[41]Model!$J$126</definedName>
    <definedName name="_qre8492">[41]Model!$K$126</definedName>
    <definedName name="_qre8493">[41]Model!$L$126</definedName>
    <definedName name="_qre8494">[41]Model!$M$126</definedName>
    <definedName name="_qre8495">[41]Model!$N$126</definedName>
    <definedName name="_qre8496">[41]Model!$O$126</definedName>
    <definedName name="_qre8497">[41]Model!$P$126</definedName>
    <definedName name="_qre8498">[41]Model!$Q$126</definedName>
    <definedName name="_qre85">'[41]QRE''s'!$E:$E</definedName>
    <definedName name="_qre8590">[41]Model!$I$127</definedName>
    <definedName name="_qre8591">[41]Model!$J$127</definedName>
    <definedName name="_qre8592">[41]Model!$K$127</definedName>
    <definedName name="_qre8593">[41]Model!$L$127</definedName>
    <definedName name="_qre8594">[41]Model!$M$127</definedName>
    <definedName name="_qre8595">[41]Model!$N$127</definedName>
    <definedName name="_qre8596">[41]Model!$O$127</definedName>
    <definedName name="_qre8597">[41]Model!$P$127</definedName>
    <definedName name="_qre8598">[41]Model!$Q$127</definedName>
    <definedName name="_qre86">'[41]QRE''s'!$F:$F</definedName>
    <definedName name="_qre8690">[41]Model!$I$128</definedName>
    <definedName name="_qre8691">[41]Model!$J$128</definedName>
    <definedName name="_qre8692">[41]Model!$K$128</definedName>
    <definedName name="_qre8693">[41]Model!$L$128</definedName>
    <definedName name="_qre8694">[41]Model!$M$128</definedName>
    <definedName name="_qre8695">[41]Model!$N$128</definedName>
    <definedName name="_qre8696">[41]Model!$O$128</definedName>
    <definedName name="_qre8697">[41]Model!$P$128</definedName>
    <definedName name="_qre8698">[41]Model!$Q$128</definedName>
    <definedName name="_qre87">'[41]QRE''s'!$G:$G</definedName>
    <definedName name="_qre8790">[41]Model!$I$129</definedName>
    <definedName name="_qre8791">[41]Model!$J$129</definedName>
    <definedName name="_qre8792">[41]Model!$K$129</definedName>
    <definedName name="_qre8793">[41]Model!$L$129</definedName>
    <definedName name="_qre8794">[41]Model!$M$129</definedName>
    <definedName name="_qre8795">[41]Model!$N$129</definedName>
    <definedName name="_qre8796">[41]Model!$O$129</definedName>
    <definedName name="_qre8797">[41]Model!$P$129</definedName>
    <definedName name="_qre8798">[41]Model!$Q$129</definedName>
    <definedName name="_qre88">'[41]QRE''s'!$H:$H</definedName>
    <definedName name="_qre8890">[41]Model!$I$130</definedName>
    <definedName name="_qre8891">[41]Model!$J$130</definedName>
    <definedName name="_qre8892">[41]Model!$K$130</definedName>
    <definedName name="_qre8893">[41]Model!$L$130</definedName>
    <definedName name="_qre8894">[41]Model!$M$130</definedName>
    <definedName name="_qre8895">[41]Model!$N$130</definedName>
    <definedName name="_qre8896">[41]Model!$O$130</definedName>
    <definedName name="_qre8897">[41]Model!$P$130</definedName>
    <definedName name="_qre8898">[41]Model!$Q$130</definedName>
    <definedName name="_qre89">'[41]QRE''s'!$I:$I</definedName>
    <definedName name="_qre90">'[41]QRE''s'!$J:$J</definedName>
    <definedName name="_qre91">'[41]QRE''s'!$K:$K</definedName>
    <definedName name="_qre92">'[41]QRE''s'!$L:$L</definedName>
    <definedName name="_qre93">'[41]QRE''s'!$M:$M</definedName>
    <definedName name="_qre94">'[41]QRE''s'!$N:$N</definedName>
    <definedName name="_qre95">'[41]QRE''s'!$O:$O</definedName>
    <definedName name="_qre96">'[41]QRE''s'!$P:$P</definedName>
    <definedName name="_qre97">'[41]QRE''s'!$Q:$Q</definedName>
    <definedName name="_qre98">'[41]QRE''s'!$R:$R</definedName>
    <definedName name="_rb1">[45]Roadmap!$B$136</definedName>
    <definedName name="_rb2">[45]Roadmap!$B$137</definedName>
    <definedName name="_RBD1">#REF!</definedName>
    <definedName name="_RBD2">#REF!</definedName>
    <definedName name="_reg4">[44]Sheet2!$AF$1:$AF$3</definedName>
    <definedName name="_RMC2">'[18]RMC-Descrip'!#REF!</definedName>
    <definedName name="_ryr56565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_ryr56565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_ryr56565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_SF3">#REF!</definedName>
    <definedName name="_Sort" hidden="1">#REF!</definedName>
    <definedName name="_td01">'[19]WPC-11.1a'!$J$115</definedName>
    <definedName name="_td02">'[19]WPC-11.1a'!$J$86</definedName>
    <definedName name="_td03">'[19]WPC-11.1a'!$J$57</definedName>
    <definedName name="_td04">'[20]WPC-11.1a'!$J$26</definedName>
    <definedName name="_TDG01">'[19]WPC-11.1a'!$H$123</definedName>
    <definedName name="_TDG02">'[19]WPC-11.1a'!$H$94</definedName>
    <definedName name="_TDG03">'[19]WPC-11.1a'!$H$65</definedName>
    <definedName name="_TDG04">'[19]WPC-11.1a'!$H$36</definedName>
    <definedName name="_tqc90">'[41]QRE''s'!$J$101</definedName>
    <definedName name="_tqc91">'[41]QRE''s'!$K$101</definedName>
    <definedName name="_tqc92">'[41]QRE''s'!$L$101</definedName>
    <definedName name="_tqc93">'[41]QRE''s'!$M$101</definedName>
    <definedName name="_tqc94">'[41]QRE''s'!$N$101</definedName>
    <definedName name="_tqc95">'[41]QRE''s'!$O$101</definedName>
    <definedName name="_tqc96">'[41]QRE''s'!$P$101</definedName>
    <definedName name="_tqc97">'[41]QRE''s'!$Q$101</definedName>
    <definedName name="_tqc98">'[41]QRE''s'!$R$101</definedName>
    <definedName name="_tql90">'[41]QRE''s'!$J$99</definedName>
    <definedName name="_tql91">'[41]QRE''s'!$K$99</definedName>
    <definedName name="_tql92">'[41]QRE''s'!$L$99</definedName>
    <definedName name="_tql93">'[41]QRE''s'!$M$99</definedName>
    <definedName name="_tql94">'[41]QRE''s'!$N$99</definedName>
    <definedName name="_tql95">'[41]QRE''s'!$O$99</definedName>
    <definedName name="_tql96">'[41]QRE''s'!$P$99</definedName>
    <definedName name="_tql97">'[41]QRE''s'!$Q$99</definedName>
    <definedName name="_tql98">'[41]QRE''s'!$R$99</definedName>
    <definedName name="_tqs90">'[41]QRE''s'!$J$100</definedName>
    <definedName name="_tqs91">'[41]QRE''s'!$K$100</definedName>
    <definedName name="_tqs92">'[41]QRE''s'!$L$100</definedName>
    <definedName name="_tqs93">'[41]QRE''s'!$M$100</definedName>
    <definedName name="_tqs94">'[41]QRE''s'!$N$100</definedName>
    <definedName name="_tqs95">'[41]QRE''s'!$O$100</definedName>
    <definedName name="_tqs96">'[41]QRE''s'!$P$100</definedName>
    <definedName name="_tqs97">'[41]QRE''s'!$Q$100</definedName>
    <definedName name="_tqs98">'[41]QRE''s'!$R$100</definedName>
    <definedName name="_WORLDOX">#REF!</definedName>
    <definedName name="a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a">#REF!</definedName>
    <definedName name="AAL">#REF!</definedName>
    <definedName name="AALDR">#REF!</definedName>
    <definedName name="AALSAP">#REF!</definedName>
    <definedName name="aashitii">'[47]2005 CapEx (By VP By Dept) Budg'!$A$3:$P$431</definedName>
    <definedName name="ac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c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c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ccount_name">[48]FLAP!#REF!</definedName>
    <definedName name="Account_Number">[48]FLAP!#REF!</definedName>
    <definedName name="Accounts">#REF!</definedName>
    <definedName name="ACCTG_SERV">#REF!</definedName>
    <definedName name="ACTUAL_YTD">[49]Administrator!$L$60</definedName>
    <definedName name="acx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cx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cx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ddress">#REF!</definedName>
    <definedName name="adfsadfds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dfsadfds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dfsadfd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f">'[50]WPC-11.1a'!#REF!</definedName>
    <definedName name="afds">[51]Roadmap!$B$226</definedName>
    <definedName name="afdsE">[52]Roadmap!$B$226</definedName>
    <definedName name="afE">'[53]WPC-11.1a'!#REF!</definedName>
    <definedName name="AIP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IP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IP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ircgrtm1">[41]AIRC!#REF!</definedName>
    <definedName name="aircgrtm2">[41]AIRC!#REF!</definedName>
    <definedName name="aircgrtm3">[41]AIRC!#REF!</definedName>
    <definedName name="aircgrtm4">[41]AIRC!#REF!</definedName>
    <definedName name="aircqre">[41]AIRC!$C$15</definedName>
    <definedName name="aircqrelabel">[41]AIRC!$B$15</definedName>
    <definedName name="airctitle">[41]AIRC!$A$1</definedName>
    <definedName name="airctm1">[41]AIRC!#REF!</definedName>
    <definedName name="airctm2">[41]AIRC!#REF!</definedName>
    <definedName name="airctm3">[41]AIRC!#REF!</definedName>
    <definedName name="airctm4">[41]AIRC!#REF!</definedName>
    <definedName name="ALERT1">#REF!</definedName>
    <definedName name="ALERT2">#REF!</definedName>
    <definedName name="ALERT3">#REF!</definedName>
    <definedName name="all">#REF!</definedName>
    <definedName name="ALL_ACCRUALS">#REF!</definedName>
    <definedName name="ALL_PAYMENTS">#REF!</definedName>
    <definedName name="ALL_QRES">[41]Sens_QRE_Factor!$D$8:$R$98</definedName>
    <definedName name="ALL_QRES0.75">'[41]QRE Charts'!$E$365</definedName>
    <definedName name="ALL_QRES0.80">'[41]QRE Charts'!$F$365</definedName>
    <definedName name="ALL_QRES0.85">'[41]QRE Charts'!$G$365</definedName>
    <definedName name="ALL_QRES0.90">'[41]QRE Charts'!$H$365</definedName>
    <definedName name="ALL_QRES0.95">'[41]QRE Charts'!$I$365</definedName>
    <definedName name="ALL_QRES1.00">'[41]QRE Charts'!$J$365</definedName>
    <definedName name="ALL_QRES1.05">'[41]QRE Charts'!$K$365</definedName>
    <definedName name="ALL_QRES1.10">'[41]QRE Charts'!$L$365</definedName>
    <definedName name="ALL_QRES1.15">'[41]QRE Charts'!$M$365</definedName>
    <definedName name="ALL_QRES1.20">'[41]QRE Charts'!$N$365</definedName>
    <definedName name="ALL_QRES1.25">'[41]QRE Charts'!$O$365</definedName>
    <definedName name="ALL_SENS_FACT">#REF!</definedName>
    <definedName name="Allocation">'[18]2005-SR-AllocFactors'!$B$6:$F$2461</definedName>
    <definedName name="AllocationE">'[11]2005-SR-AllocFactors'!$B$6:$F$2461</definedName>
    <definedName name="Allocators">'[54]Allocation Matrix'!$C$4:$Q$17</definedName>
    <definedName name="ALLYRS_MESSAGE">#REF!</definedName>
    <definedName name="alsdfa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lsdfa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lsdf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merenCIPS">'[55]C - 17c'!#REF!</definedName>
    <definedName name="AmerenCIPSE">'[56]C - 17c'!#REF!</definedName>
    <definedName name="Amounts">#REF!</definedName>
    <definedName name="anish">#REF!</definedName>
    <definedName name="anish21212">#REF!</definedName>
    <definedName name="anisha2157">'[47]2005 CapEx (By VP By Dept) Budg'!$A$3:$P$431</definedName>
    <definedName name="anisha216">'[47]2005 CapEx (By VP By Dept) Budg'!$A$3:$P$431</definedName>
    <definedName name="anishhh">'[47]2005 CapEx (By VP By Dept) Budg'!$A$3:$P$431</definedName>
    <definedName name="anishilov">'[47]2005 CapEx (By VP By Dept) Budg'!$A$3:$P$431</definedName>
    <definedName name="ANT">#REF!</definedName>
    <definedName name="APA">'[57]PECO Bal Sht'!#REF!</definedName>
    <definedName name="ApprvDate">#REF!</definedName>
    <definedName name="ApprvEmplNbr">#REF!</definedName>
    <definedName name="Apr">#REF!</definedName>
    <definedName name="APV">#REF!</definedName>
    <definedName name="Area">'[58]all EED O&amp;M BO data'!$W$2:$W$5000</definedName>
    <definedName name="as">'[47]2005 CapEx (By VP By Dept) Budg'!$A$3:$P$395</definedName>
    <definedName name="AS2DocOpenMode" hidden="1">"AS2DocumentEdit"</definedName>
    <definedName name="asasasas">'[47]2005 CapEx (By VP By Dept) Budg'!$A$3:$P$431</definedName>
    <definedName name="ASD">'[57]PECO Bal Sht'!#REF!</definedName>
    <definedName name="asdada">#REF!</definedName>
    <definedName name="asdasd">'[47]2005 CapEx (By VP By Dept) Budg'!$A$3:$P$431</definedName>
    <definedName name="asdasda">#REF!</definedName>
    <definedName name="asdf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df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dfasdfasdfasdfsdfa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dfasdfasdfasdfsdfa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dfasdfasdfasdfsdf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dfasfasf">#REF!</definedName>
    <definedName name="asdfsd">#REF!</definedName>
    <definedName name="asdfsdf">'[47]2005 CapEx (By VP By Dept) Budg'!$A$3:$P$431</definedName>
    <definedName name="asdfsdfsadfs">'[47]2005 CapEx (By VP By Dept) Budg'!$A$3:$P$431</definedName>
    <definedName name="asfas">#REF!</definedName>
    <definedName name="asfasdfasfasfsadf">#REF!</definedName>
    <definedName name="asfsdfsdfsdfsfwer">#REF!</definedName>
    <definedName name="asfsdfsfs">#REF!</definedName>
    <definedName name="asfsft">#REF!</definedName>
    <definedName name="asgdfsjgfdk1">'[47]2005 CapEx (By VP By Dept) Budg'!$A$3:$P$431</definedName>
    <definedName name="ashaita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haita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hait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hhhjjjjjj">'[47]2005 CapEx (By VP By Dept) Budg'!$A$3:$P$431</definedName>
    <definedName name="ashi21">'[47]2005 CapEx (By VP By Dept) Budg'!$A$3:$P$431</definedName>
    <definedName name="ashia">#REF!</definedName>
    <definedName name="ashita">#REF!</definedName>
    <definedName name="ashita216">'[47]2005 CapEx (By VP By Dept) Budg'!$A$3:$P$431</definedName>
    <definedName name="ASO_SUMMARY">#REF!</definedName>
    <definedName name="AsOfDt">'[59]#REF'!$B$2</definedName>
    <definedName name="ASPGE">#REF!</definedName>
    <definedName name="ASPINTAN">#REF!</definedName>
    <definedName name="asrada">#REF!</definedName>
    <definedName name="assd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sd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sd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Asset_Management">#REF!</definedName>
    <definedName name="Asset_Management_">#REF!</definedName>
    <definedName name="AuditDescr">#REF!</definedName>
    <definedName name="Aug">#REF!</definedName>
    <definedName name="b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b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b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b_u_10">'[41]QRE''s'!$39:$94</definedName>
    <definedName name="b_u_11">'[41]QRE''s'!$43:$94</definedName>
    <definedName name="b_u_12">'[41]QRE''s'!$47:$94</definedName>
    <definedName name="b_u_13">'[41]QRE''s'!$51:$94</definedName>
    <definedName name="b_u_14">'[41]QRE''s'!$55:$94</definedName>
    <definedName name="b_u_15">'[41]QRE''s'!$59:$94</definedName>
    <definedName name="b_u_16">'[41]QRE''s'!$63:$94</definedName>
    <definedName name="b_u_17">'[41]QRE''s'!$67:$94</definedName>
    <definedName name="b_u_18">'[41]QRE''s'!$71:$94</definedName>
    <definedName name="b_u_19">'[41]QRE''s'!$75:$94</definedName>
    <definedName name="b_u_2">'[41]QRE''s'!$11:$94</definedName>
    <definedName name="b_u_20">'[41]QRE''s'!$79:$94</definedName>
    <definedName name="b_u_21">'[41]QRE''s'!$83:$94</definedName>
    <definedName name="b_u_22">'[41]QRE''s'!$87:$94</definedName>
    <definedName name="b_u_23">'[41]QRE''s'!$91:$94</definedName>
    <definedName name="b_u_3">'[41]QRE''s'!$11:$94</definedName>
    <definedName name="b_u_4">'[41]QRE''s'!$15:$94</definedName>
    <definedName name="b_u_5">'[41]QRE''s'!$19:$94</definedName>
    <definedName name="b_u_6">'[41]QRE''s'!$23:$94</definedName>
    <definedName name="b_u_7">'[41]QRE''s'!$27:$94</definedName>
    <definedName name="b_u_8">'[41]QRE''s'!$31:$94</definedName>
    <definedName name="b_u_9">'[41]QRE''s'!$35:$94</definedName>
    <definedName name="Balance_Sheet_Date">[60]Update!$B$3</definedName>
    <definedName name="Balance_Sheet_Heading">[60]Update!$B$4</definedName>
    <definedName name="BalSht">#REF!</definedName>
    <definedName name="BalShtE">#REF!</definedName>
    <definedName name="bankidrange">[61]Control!$AI$5:$AI$284</definedName>
    <definedName name="BASE_DETAIL_QRE">[41]Sens_QRE_Factor!$D$8:$H$98</definedName>
    <definedName name="BASE_MESSAGE">#REF!</definedName>
    <definedName name="BASE_QRES">[41]Sens_QRE_Factor!$D$8:$H$98</definedName>
    <definedName name="BASE_QRES0.75">'[41]QRE Charts'!$E$366</definedName>
    <definedName name="BASE_QRES0.80">'[41]QRE Charts'!$F$366</definedName>
    <definedName name="BASE_QRES0.85">'[41]QRE Charts'!$G$366</definedName>
    <definedName name="BASE_QRES0.90">'[41]QRE Charts'!$H$366</definedName>
    <definedName name="BASE_QRES0.95">'[41]QRE Charts'!$I$366</definedName>
    <definedName name="BASE_QRES1.00">'[41]QRE Charts'!$J$366</definedName>
    <definedName name="BASE_QRES1.05">'[41]QRE Charts'!$K$366</definedName>
    <definedName name="BASE_QRES1.10">'[41]QRE Charts'!$L$366</definedName>
    <definedName name="BASE_QRES1.15">'[41]QRE Charts'!$M$366</definedName>
    <definedName name="BASE_QRES1.20">'[41]QRE Charts'!$N$366</definedName>
    <definedName name="BASE_QRES1.25">'[41]QRE Charts'!$O$366</definedName>
    <definedName name="BASE_SENS_FACT">#REF!</definedName>
    <definedName name="Baseline">'[62]Valid Table Values'!#REF!</definedName>
    <definedName name="bcbcvb">'[47]2005 CapEx (By VP By Dept) Budg'!$A$3:$P$431</definedName>
    <definedName name="beny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beny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beny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Bi10LTIP_Table">'[63]98LTIP6b-10b'!$A$7:$D$17</definedName>
    <definedName name="booka_g">#REF!</definedName>
    <definedName name="bpgr84">[41]Print!$C$48</definedName>
    <definedName name="bpgr85">[41]Print!$E$48</definedName>
    <definedName name="bpgr86">[41]Print!$G$48</definedName>
    <definedName name="bpgr87">[41]Print!$I$48</definedName>
    <definedName name="bpgr88">[41]Print!$K$48</definedName>
    <definedName name="bpqre84">[41]Print!$C$41</definedName>
    <definedName name="bpqre85">[41]Print!$E$41</definedName>
    <definedName name="bpqre86">[41]Print!$G$41</definedName>
    <definedName name="bpqre87">[41]Print!$I$41</definedName>
    <definedName name="bpqre88">[41]Print!$K$41</definedName>
    <definedName name="Brett041">'[47]2005 CapEx (By VP By Dept) Budg'!$A$3:$P$431</definedName>
    <definedName name="Brett0415">'[47]2005 CapEx (By VP By Dept) Budg'!$A$3:$P$431</definedName>
    <definedName name="Brett0416">#REF!</definedName>
    <definedName name="Brett042">#REF!</definedName>
    <definedName name="brett0420">'[47]2005 CapEx (By VP By Dept) Budg'!$A$3:$P$431</definedName>
    <definedName name="brett0421">#REF!</definedName>
    <definedName name="Brett0422">'[47]2005 CapEx (By VP By Dept) Budg'!$A$3:$P$431</definedName>
    <definedName name="Brett0423">#REF!</definedName>
    <definedName name="Brett0601">'[47]2005 CapEx (By VP By Dept) Budg'!$A$3:$P$431</definedName>
    <definedName name="Brett0602">#REF!</definedName>
    <definedName name="Brett403">'[47]2005 CapEx (By VP By Dept) Budg'!$A$3:$P$431</definedName>
    <definedName name="Brett404">#REF!</definedName>
    <definedName name="Brett406">'[47]2005 CapEx (By VP By Dept) Budg'!$A$3:$P$431</definedName>
    <definedName name="Brett407">#REF!</definedName>
    <definedName name="Brett408">'[47]2005 CapEx (By VP By Dept) Budg'!$A$3:$P$431</definedName>
    <definedName name="Brett409">#REF!</definedName>
    <definedName name="Brett410">'[47]2005 CapEx (By VP By Dept) Budg'!$A$3:$P$431</definedName>
    <definedName name="Brett411">#REF!</definedName>
    <definedName name="Brett418">'[47]2005 CapEx (By VP By Dept) Budg'!$A$3:$P$431</definedName>
    <definedName name="Brett419">#REF!</definedName>
    <definedName name="BSYEAREND">[64]SETUP!$C$21</definedName>
    <definedName name="bu10total84">[41]B_U_10!$C$95</definedName>
    <definedName name="bu10total84a">[41]B_U_10!$C$103</definedName>
    <definedName name="bu10total85">[41]B_U_10!$D$95</definedName>
    <definedName name="bu10total85a">[41]B_U_10!$D$103</definedName>
    <definedName name="bu10total86">[41]B_U_10!$E$95</definedName>
    <definedName name="bu10total86a">[41]B_U_10!$E$103</definedName>
    <definedName name="bu10total87">[41]B_U_10!$F$95</definedName>
    <definedName name="bu10total87a">[41]B_U_10!$F$103</definedName>
    <definedName name="bu10total88">[41]B_U_10!$G$95</definedName>
    <definedName name="bu10total88a">[41]B_U_10!$G$103</definedName>
    <definedName name="bu10total89">[41]B_U_10!$H$95</definedName>
    <definedName name="bu10total89a">[41]B_U_10!$H$103</definedName>
    <definedName name="bu10total90">[41]B_U_10!$I$95</definedName>
    <definedName name="bu10total90a">[41]B_U_10!$I$103</definedName>
    <definedName name="bu10total91">[41]B_U_10!$J$95</definedName>
    <definedName name="bu10total91a">[41]B_U_10!$J$103</definedName>
    <definedName name="bu10total92">[41]B_U_10!$K$95</definedName>
    <definedName name="bu10total92a">[41]B_U_10!$K$103</definedName>
    <definedName name="bu10total93">[41]B_U_10!$L$95</definedName>
    <definedName name="bu10total93a">[41]B_U_10!$L$103</definedName>
    <definedName name="bu10total94">[41]B_U_10!$M$95</definedName>
    <definedName name="bu10total94a">[41]B_U_10!$M$103</definedName>
    <definedName name="bu10total95">[41]B_U_10!$N$95</definedName>
    <definedName name="bu10total95a">[41]B_U_10!$N$103</definedName>
    <definedName name="bu10total96">[41]B_U_10!$O$95</definedName>
    <definedName name="bu10total96a">[41]B_U_10!$O$103</definedName>
    <definedName name="bu10total97">[41]B_U_10!$P$95</definedName>
    <definedName name="bu10total97a">[41]B_U_10!$P$103</definedName>
    <definedName name="bu10total98">[41]B_U_10!$Q$95</definedName>
    <definedName name="bu10total98a">[41]B_U_10!$Q$103</definedName>
    <definedName name="bu11total84">[41]B_U_11!$C$95</definedName>
    <definedName name="bu11total84a">[41]B_U_11!$C$103</definedName>
    <definedName name="bu11total85">[41]B_U_11!$D$95</definedName>
    <definedName name="bu11total85a">[41]B_U_11!$D$103</definedName>
    <definedName name="bu11total86">[41]B_U_11!$E$95</definedName>
    <definedName name="bu11total86a">[41]B_U_11!$E$103</definedName>
    <definedName name="bu11total87">[41]B_U_11!$F$95</definedName>
    <definedName name="bu11total87a">[41]B_U_11!$F$103</definedName>
    <definedName name="bu11total88">[41]B_U_11!$G$95</definedName>
    <definedName name="bu11total88a">[41]B_U_11!$G$103</definedName>
    <definedName name="bu11total89">[41]B_U_11!$H$95</definedName>
    <definedName name="bu11total89a">[41]B_U_11!$H$103</definedName>
    <definedName name="bu11total90">[41]B_U_11!$I$95</definedName>
    <definedName name="bu11total90a">[41]B_U_11!$I$103</definedName>
    <definedName name="bu11total91">[41]B_U_11!$J$95</definedName>
    <definedName name="bu11total91a">[41]B_U_11!$J$103</definedName>
    <definedName name="bu11total92">[41]B_U_11!$K$95</definedName>
    <definedName name="bu11total92a">[41]B_U_11!$K$103</definedName>
    <definedName name="bu11total93">[41]B_U_11!$L$95</definedName>
    <definedName name="bu11total93a">[41]B_U_11!$L$103</definedName>
    <definedName name="bu11total94">[41]B_U_11!$M$95</definedName>
    <definedName name="bu11total94a">[41]B_U_11!$M$103</definedName>
    <definedName name="bu11total95">[41]B_U_11!$N$95</definedName>
    <definedName name="bu11total95a">[41]B_U_11!$N$103</definedName>
    <definedName name="bu11total96">[41]B_U_11!$O$95</definedName>
    <definedName name="bu11total96a">[41]B_U_11!$O$103</definedName>
    <definedName name="bu11total97">[41]B_U_11!$P$95</definedName>
    <definedName name="bu11total97a">[41]B_U_11!$P$103</definedName>
    <definedName name="bu11total98">[41]B_U_11!$Q$95</definedName>
    <definedName name="bu11total98a">[41]B_U_11!$Q$103</definedName>
    <definedName name="bu12total84">[41]B_U_12!$C$95</definedName>
    <definedName name="bu12total84a">[41]B_U_12!$C$103</definedName>
    <definedName name="bu12total85">[41]B_U_12!$D$95</definedName>
    <definedName name="bu12total85a">[41]B_U_12!$D$103</definedName>
    <definedName name="bu12total86">[41]B_U_12!$E$95</definedName>
    <definedName name="bu12total86a">[41]B_U_12!$E$103</definedName>
    <definedName name="bu12total87">[41]B_U_12!$F$95</definedName>
    <definedName name="bu12total87a">[41]B_U_12!$F$103</definedName>
    <definedName name="bu12total88">[41]B_U_12!$G$95</definedName>
    <definedName name="bu12total88a">[41]B_U_12!$G$103</definedName>
    <definedName name="bu12total89">[41]B_U_12!$H$95</definedName>
    <definedName name="bu12total89a">[41]B_U_12!$H$103</definedName>
    <definedName name="bu12total90">[41]B_U_12!$I$95</definedName>
    <definedName name="bu12total90a">[41]B_U_12!$I$103</definedName>
    <definedName name="bu12total91">[41]B_U_12!$J$95</definedName>
    <definedName name="bu12total91a">[41]B_U_12!$J$103</definedName>
    <definedName name="bu12total92">[41]B_U_12!$K$95</definedName>
    <definedName name="bu12total92a">[41]B_U_12!$K$103</definedName>
    <definedName name="bu12total93">[41]B_U_12!$L$95</definedName>
    <definedName name="bu12total93a">[41]B_U_12!$L$103</definedName>
    <definedName name="bu12total94">[41]B_U_12!$M$95</definedName>
    <definedName name="bu12total94a">[41]B_U_12!$M$103</definedName>
    <definedName name="bu12total95">[41]B_U_12!$N$95</definedName>
    <definedName name="bu12total95a">[41]B_U_12!$N$103</definedName>
    <definedName name="bu12total96">[41]B_U_12!$O$95</definedName>
    <definedName name="bu12total96a">[41]B_U_12!$O$103</definedName>
    <definedName name="bu12total97">[41]B_U_12!$P$95</definedName>
    <definedName name="bu12total97a">[41]B_U_12!$P$103</definedName>
    <definedName name="bu12total98">[41]B_U_12!$Q$95</definedName>
    <definedName name="bu12total98a">[41]B_U_12!$Q$103</definedName>
    <definedName name="bu13total84">[41]B_U_13!$C$95</definedName>
    <definedName name="bu13total84a">[41]B_U_13!$C$103</definedName>
    <definedName name="bu13total85">[41]B_U_13!$D$95</definedName>
    <definedName name="bu13total85a">[41]B_U_13!$D$103</definedName>
    <definedName name="bu13total86">[41]B_U_13!$E$95</definedName>
    <definedName name="bu13total86a">[41]B_U_13!$E$103</definedName>
    <definedName name="bu13total87">[41]B_U_13!$F$95</definedName>
    <definedName name="bu13total87a">[41]B_U_13!$F$103</definedName>
    <definedName name="bu13total88">[41]B_U_13!$G$95</definedName>
    <definedName name="bu13total88a">[41]B_U_13!$G$103</definedName>
    <definedName name="bu13total89">[41]B_U_13!$H$95</definedName>
    <definedName name="bu13total89a">[41]B_U_13!$H$103</definedName>
    <definedName name="bu13total90">[41]B_U_13!$I$95</definedName>
    <definedName name="bu13total90a">[41]B_U_13!$I$103</definedName>
    <definedName name="bu13total91">[41]B_U_13!$J$95</definedName>
    <definedName name="bu13total91a">[41]B_U_13!$J$103</definedName>
    <definedName name="bu13total92">[41]B_U_13!$K$95</definedName>
    <definedName name="bu13total92a">[41]B_U_13!$K$103</definedName>
    <definedName name="bu13total93">[41]B_U_13!$L$95</definedName>
    <definedName name="bu13total93a">[41]B_U_13!$L$103</definedName>
    <definedName name="bu13total94">[41]B_U_13!$M$95</definedName>
    <definedName name="bu13total94a">[41]B_U_13!$M$103</definedName>
    <definedName name="bu13total95">[41]B_U_13!$N$95</definedName>
    <definedName name="bu13total95a">[41]B_U_13!$N$103</definedName>
    <definedName name="bu13total96">[41]B_U_13!$O$95</definedName>
    <definedName name="bu13total96a">[41]B_U_13!$O$103</definedName>
    <definedName name="bu13total97">[41]B_U_13!$P$95</definedName>
    <definedName name="bu13total97a">[41]B_U_13!$P$103</definedName>
    <definedName name="bu13total98">[41]B_U_13!$Q$95</definedName>
    <definedName name="bu13total98a">[41]B_U_13!$Q$103</definedName>
    <definedName name="bu14total84">[41]B_U_14!$C$95</definedName>
    <definedName name="bu14total84a">[41]B_U_14!$C$103</definedName>
    <definedName name="bu14total85">[41]B_U_14!$D$95</definedName>
    <definedName name="bu14total85a">[41]B_U_14!$D$103</definedName>
    <definedName name="bu14total86">[41]B_U_14!$E$95</definedName>
    <definedName name="bu14total86a">[41]B_U_14!$E$103</definedName>
    <definedName name="bu14total87">[41]B_U_14!$F$95</definedName>
    <definedName name="bu14total87a">[41]B_U_14!$F$103</definedName>
    <definedName name="bu14total88">[41]B_U_14!$G$95</definedName>
    <definedName name="bu14total88a">[41]B_U_14!$G$103</definedName>
    <definedName name="bu14total89">[41]B_U_14!$H$95</definedName>
    <definedName name="bu14total89a">[41]B_U_14!$H$103</definedName>
    <definedName name="bu14total90">[41]B_U_14!$I$95</definedName>
    <definedName name="bu14total90a">[41]B_U_14!$I$103</definedName>
    <definedName name="bu14total91">[41]B_U_14!$J$95</definedName>
    <definedName name="bu14total91a">[41]B_U_14!$J$103</definedName>
    <definedName name="bu14total92">[41]B_U_14!$K$95</definedName>
    <definedName name="bu14total92a">[41]B_U_14!$K$103</definedName>
    <definedName name="bu14total93">[41]B_U_14!$L$95</definedName>
    <definedName name="bu14total93a">[41]B_U_14!$L$103</definedName>
    <definedName name="bu14total94">[41]B_U_14!$M$95</definedName>
    <definedName name="bu14total94a">[41]B_U_14!$M$103</definedName>
    <definedName name="bu14total95">[41]B_U_14!$N$95</definedName>
    <definedName name="bu14total95a">[41]B_U_14!$N$103</definedName>
    <definedName name="bu14total96">[41]B_U_14!$O$95</definedName>
    <definedName name="bu14total96a">[41]B_U_14!$O$103</definedName>
    <definedName name="bu14total97">[41]B_U_14!$P$95</definedName>
    <definedName name="bu14total97a">[41]B_U_14!$P$103</definedName>
    <definedName name="bu14total98">[41]B_U_14!$Q$95</definedName>
    <definedName name="bu14total98a">[41]B_U_14!$Q$103</definedName>
    <definedName name="bu15total84">[41]B_U_15!$C$95</definedName>
    <definedName name="bu15total84a">[41]B_U_15!$C$103</definedName>
    <definedName name="bu15total85">[41]B_U_15!$D$95</definedName>
    <definedName name="bu15total85a">[41]B_U_15!$D$103</definedName>
    <definedName name="bu15total86">[41]B_U_15!$E$95</definedName>
    <definedName name="bu15total86a">[41]B_U_15!$E$103</definedName>
    <definedName name="bu15total87">[41]B_U_15!$F$95</definedName>
    <definedName name="bu15total87a">[41]B_U_15!$F$103</definedName>
    <definedName name="bu15total88">[41]B_U_15!$G$95</definedName>
    <definedName name="bu15total88a">[41]B_U_15!$G$103</definedName>
    <definedName name="bu15total89">[41]B_U_15!$H$95</definedName>
    <definedName name="bu15total89a">[41]B_U_15!$H$103</definedName>
    <definedName name="bu15total90">[41]B_U_15!$I$95</definedName>
    <definedName name="bu15total90a">[41]B_U_15!$I$103</definedName>
    <definedName name="bu15total91">[41]B_U_15!$J$95</definedName>
    <definedName name="bu15total91a">[41]B_U_15!$J$103</definedName>
    <definedName name="bu15total92">[41]B_U_15!$K$95</definedName>
    <definedName name="bu15total92a">[41]B_U_15!$K$103</definedName>
    <definedName name="bu15total93">[41]B_U_15!$L$95</definedName>
    <definedName name="bu15total93a">[41]B_U_15!$L$103</definedName>
    <definedName name="bu15total94">[41]B_U_15!$M$95</definedName>
    <definedName name="bu15total94a">[41]B_U_15!$M$103</definedName>
    <definedName name="bu15total95">[41]B_U_15!$N$95</definedName>
    <definedName name="bu15total95a">[41]B_U_15!$N$103</definedName>
    <definedName name="bu15total96">[41]B_U_15!$O$95</definedName>
    <definedName name="bu15total96a">[41]B_U_15!$O$103</definedName>
    <definedName name="bu15total97">[41]B_U_15!$P$95</definedName>
    <definedName name="bu15total97a">[41]B_U_15!$P$103</definedName>
    <definedName name="bu15total98">[41]B_U_15!$Q$95</definedName>
    <definedName name="bu15total98a">[41]B_U_15!$Q$103</definedName>
    <definedName name="bu16total84">[41]B_U_16!$C$95</definedName>
    <definedName name="bu16total84a">[41]B_U_16!$C$103</definedName>
    <definedName name="bu16total85">[41]B_U_16!$D$95</definedName>
    <definedName name="bu16total85a">[41]B_U_16!$D$103</definedName>
    <definedName name="bu16total86">[41]B_U_16!$E$95</definedName>
    <definedName name="bu16total86a">[41]B_U_16!$E$103</definedName>
    <definedName name="bu16total87">[41]B_U_16!$F$95</definedName>
    <definedName name="bu16total87a">[41]B_U_16!$F$103</definedName>
    <definedName name="bu16total88">[41]B_U_16!$G$95</definedName>
    <definedName name="bu16total88a">[41]B_U_16!$G$103</definedName>
    <definedName name="bu16total89">[41]B_U_16!$H$95</definedName>
    <definedName name="bu16total89a">[41]B_U_16!$H$103</definedName>
    <definedName name="bu16total90">[41]B_U_16!$I$95</definedName>
    <definedName name="bu16total90a">[41]B_U_16!$I$103</definedName>
    <definedName name="bu16total91">[41]B_U_16!$J$95</definedName>
    <definedName name="bu16total91a">[41]B_U_16!$J$103</definedName>
    <definedName name="bu16total92">[41]B_U_16!$K$95</definedName>
    <definedName name="bu16total92a">[41]B_U_16!$K$103</definedName>
    <definedName name="bu16total93">[41]B_U_16!$L$95</definedName>
    <definedName name="bu16total93a">[41]B_U_16!$L$103</definedName>
    <definedName name="bu16total94">[41]B_U_16!$M$95</definedName>
    <definedName name="bu16total94a">[41]B_U_16!$M$103</definedName>
    <definedName name="bu16total95">[41]B_U_16!$N$95</definedName>
    <definedName name="bu16total95a">[41]B_U_16!$N$103</definedName>
    <definedName name="bu16total96">[41]B_U_16!$O$95</definedName>
    <definedName name="bu16total96a">[41]B_U_16!$O$103</definedName>
    <definedName name="bu16total97">[41]B_U_16!$P$95</definedName>
    <definedName name="bu16total97a">[41]B_U_16!$P$103</definedName>
    <definedName name="bu16total98">[41]B_U_16!$Q$95</definedName>
    <definedName name="bu16total98a">[41]B_U_16!$Q$103</definedName>
    <definedName name="bu17total84">[41]B_U_17!$C$95</definedName>
    <definedName name="bu17total84a">[41]B_U_17!$C$103</definedName>
    <definedName name="bu17total85">[41]B_U_17!$D$95</definedName>
    <definedName name="bu17total85a">[41]B_U_17!$D$103</definedName>
    <definedName name="bu17total86">[41]B_U_17!$E$95</definedName>
    <definedName name="bu17total86a">[41]B_U_17!$E$103</definedName>
    <definedName name="bu17total87">[41]B_U_17!$F$95</definedName>
    <definedName name="bu17total87a">[41]B_U_17!$F$103</definedName>
    <definedName name="bu17total88">[41]B_U_17!$G$95</definedName>
    <definedName name="bu17total88a">[41]B_U_17!$G$103</definedName>
    <definedName name="bu17total89">[41]B_U_17!$H$95</definedName>
    <definedName name="bu17total89a">[41]B_U_17!$H$103</definedName>
    <definedName name="bu17total90">[41]B_U_17!$I$95</definedName>
    <definedName name="bu17total90a">[41]B_U_17!$I$103</definedName>
    <definedName name="bu17total91">[41]B_U_17!$J$95</definedName>
    <definedName name="bu17total91a">[41]B_U_17!$J$103</definedName>
    <definedName name="bu17total92">[41]B_U_17!$K$95</definedName>
    <definedName name="bu17total92a">[41]B_U_17!$K$103</definedName>
    <definedName name="bu17total93">[41]B_U_17!$L$95</definedName>
    <definedName name="bu17total93a">[41]B_U_17!$L$103</definedName>
    <definedName name="bu17total94">[41]B_U_17!$M$95</definedName>
    <definedName name="bu17total94a">[41]B_U_17!$M$103</definedName>
    <definedName name="bu17total95">[41]B_U_17!$N$95</definedName>
    <definedName name="bu17total95a">[41]B_U_17!$N$103</definedName>
    <definedName name="bu17total96">[41]B_U_17!$O$95</definedName>
    <definedName name="bu17total96a">[41]B_U_17!$O$103</definedName>
    <definedName name="bu17total97">[41]B_U_17!$P$95</definedName>
    <definedName name="bu17total97a">[41]B_U_17!$P$103</definedName>
    <definedName name="bu17total98">[41]B_U_17!$Q$95</definedName>
    <definedName name="bu17total98a">[41]B_U_17!$Q$103</definedName>
    <definedName name="bu18total84">[41]B_U_18!$C$95</definedName>
    <definedName name="bu18total84a">[41]B_U_18!$C$103</definedName>
    <definedName name="bu18total85">[41]B_U_18!$D$95</definedName>
    <definedName name="bu18total85a">[41]B_U_18!$D$103</definedName>
    <definedName name="bu18total86">[41]B_U_18!$E$95</definedName>
    <definedName name="bu18total86a">[41]B_U_18!$E$103</definedName>
    <definedName name="bu18total87">[41]B_U_18!$F$95</definedName>
    <definedName name="bu18total87a">[41]B_U_18!$F$103</definedName>
    <definedName name="bu18total88">[41]B_U_18!$G$95</definedName>
    <definedName name="bu18total88a">[41]B_U_18!$G$103</definedName>
    <definedName name="bu18total89">[41]B_U_18!$H$95</definedName>
    <definedName name="bu18total89a">[41]B_U_18!$H$103</definedName>
    <definedName name="bu18total90">[41]B_U_18!$I$95</definedName>
    <definedName name="bu18total90a">[41]B_U_18!$I$103</definedName>
    <definedName name="bu18total91">[41]B_U_18!$J$95</definedName>
    <definedName name="bu18total91a">[41]B_U_18!$J$103</definedName>
    <definedName name="bu18total92">[41]B_U_18!$K$95</definedName>
    <definedName name="bu18total92a">[41]B_U_18!$K$103</definedName>
    <definedName name="bu18total93">[41]B_U_18!$L$95</definedName>
    <definedName name="bu18total93a">[41]B_U_18!$L$103</definedName>
    <definedName name="bu18total94">[41]B_U_18!$M$95</definedName>
    <definedName name="bu18total94a">[41]B_U_18!$M$103</definedName>
    <definedName name="bu18total95">[41]B_U_18!$N$95</definedName>
    <definedName name="bu18total95a">[41]B_U_18!$N$103</definedName>
    <definedName name="bu18total96">[41]B_U_18!$O$95</definedName>
    <definedName name="bu18total96a">[41]B_U_18!$O$103</definedName>
    <definedName name="bu18total97">[41]B_U_18!$P$95</definedName>
    <definedName name="bu18total97a">[41]B_U_18!$P$103</definedName>
    <definedName name="bu18total98">[41]B_U_18!$Q$95</definedName>
    <definedName name="bu18total98a">[41]B_U_18!$Q$103</definedName>
    <definedName name="bu19total84">[41]B_U_19!$C$95</definedName>
    <definedName name="bu19total84a">[41]B_U_19!$C$103</definedName>
    <definedName name="bu19total85">[41]B_U_19!$D$95</definedName>
    <definedName name="bu19total85a">[41]B_U_19!$D$103</definedName>
    <definedName name="bu19total86">[41]B_U_19!$E$95</definedName>
    <definedName name="bu19total86a">[41]B_U_19!$E$103</definedName>
    <definedName name="bu19total87">[41]B_U_19!$F$95</definedName>
    <definedName name="bu19total87a">[41]B_U_19!$F$103</definedName>
    <definedName name="bu19total88">[41]B_U_19!$G$95</definedName>
    <definedName name="bu19total88a">[41]B_U_19!$G$103</definedName>
    <definedName name="bu19total89">[41]B_U_19!$H$95</definedName>
    <definedName name="bu19total89a">[41]B_U_19!$H$103</definedName>
    <definedName name="bu19total90">[41]B_U_19!$I$95</definedName>
    <definedName name="bu19total90a">[41]B_U_19!$I$103</definedName>
    <definedName name="bu19total91">[41]B_U_19!$J$95</definedName>
    <definedName name="bu19total91a">[41]B_U_19!$J$103</definedName>
    <definedName name="bu19total92">[41]B_U_19!$K$95</definedName>
    <definedName name="bu19total92a">[41]B_U_19!$K$103</definedName>
    <definedName name="bu19total93">[41]B_U_19!$L$95</definedName>
    <definedName name="bu19total93a">[41]B_U_19!$L$103</definedName>
    <definedName name="bu19total94">[41]B_U_19!$M$95</definedName>
    <definedName name="bu19total94a">[41]B_U_19!$M$103</definedName>
    <definedName name="bu19total95">[41]B_U_19!$N$95</definedName>
    <definedName name="bu19total95a">[41]B_U_19!$N$103</definedName>
    <definedName name="bu19total96">[41]B_U_19!$O$95</definedName>
    <definedName name="bu19total96a">[41]B_U_19!$O$103</definedName>
    <definedName name="bu19total97">[41]B_U_19!$P$95</definedName>
    <definedName name="bu19total97a">[41]B_U_19!$P$103</definedName>
    <definedName name="bu19total98">[41]B_U_19!$Q$95</definedName>
    <definedName name="bu19total98a">[41]B_U_19!$Q$103</definedName>
    <definedName name="bu1total84">'[41]PHASE II'!$C$95</definedName>
    <definedName name="bu1total84a">'[41]PHASE II'!$C$103</definedName>
    <definedName name="bu1total85">'[41]PHASE II'!$D$95</definedName>
    <definedName name="bu1total85a">'[41]PHASE II'!$D$103</definedName>
    <definedName name="bu1total86">'[41]PHASE II'!$E$95</definedName>
    <definedName name="bu1total86a">'[41]PHASE II'!$E$103</definedName>
    <definedName name="bu1total87">'[41]PHASE II'!$F$95</definedName>
    <definedName name="bu1total87a">'[41]PHASE II'!$F$103</definedName>
    <definedName name="bu1total88">'[41]PHASE II'!$G$95</definedName>
    <definedName name="bu1total88a">'[41]PHASE II'!$G$103</definedName>
    <definedName name="bu1total89">'[41]PHASE II'!$H$95</definedName>
    <definedName name="bu1total89a">'[41]PHASE II'!$H$103</definedName>
    <definedName name="bu1total90">'[41]PHASE II'!$I$95</definedName>
    <definedName name="bu1total90a">'[41]PHASE II'!$I$103</definedName>
    <definedName name="bu1total91">'[41]PHASE II'!$K$95</definedName>
    <definedName name="bu1total91a">'[41]PHASE II'!$K$103</definedName>
    <definedName name="bu1total92">'[41]PHASE II'!$M$95</definedName>
    <definedName name="bu1total92a">'[41]PHASE II'!$M$103</definedName>
    <definedName name="bu1total93">'[41]PHASE II'!$O$95</definedName>
    <definedName name="bu1total93a">'[41]PHASE II'!$O$103</definedName>
    <definedName name="bu1total94">'[41]PHASE II'!$Q$95</definedName>
    <definedName name="bu1total94a">'[41]PHASE II'!$Q$103</definedName>
    <definedName name="bu1total95">'[41]PHASE II'!$S$95</definedName>
    <definedName name="bu1total95a">'[41]PHASE II'!$S$103</definedName>
    <definedName name="bu1total96">'[41]PHASE II'!$T$95</definedName>
    <definedName name="bu1total96a">'[41]PHASE II'!$T$103</definedName>
    <definedName name="bu1total97">'[41]PHASE II'!$U$95</definedName>
    <definedName name="bu1total97a">'[41]PHASE II'!$U$103</definedName>
    <definedName name="bu1total98">'[41]PHASE II'!$W$95</definedName>
    <definedName name="bu1total98a">'[41]PHASE II'!$W$103</definedName>
    <definedName name="bu20total84">[41]B_U_20!$C$95</definedName>
    <definedName name="bu20total84a">[41]B_U_20!$C$103</definedName>
    <definedName name="bu20total85">[41]B_U_20!$D$95</definedName>
    <definedName name="bu20total85a">[41]B_U_20!$D$103</definedName>
    <definedName name="bu20total86">[41]B_U_20!$E$95</definedName>
    <definedName name="bu20total86a">[41]B_U_20!$E$103</definedName>
    <definedName name="bu20total87">[41]B_U_20!$F$95</definedName>
    <definedName name="bu20total87a">[41]B_U_20!$F$103</definedName>
    <definedName name="bu20total88">[41]B_U_20!$G$95</definedName>
    <definedName name="bu20total88a">[41]B_U_20!$G$103</definedName>
    <definedName name="bu20total89">[41]B_U_20!$H$95</definedName>
    <definedName name="bu20total89a">[41]B_U_20!$H$103</definedName>
    <definedName name="bu20total90">[41]B_U_20!$I$95</definedName>
    <definedName name="bu20total90a">[41]B_U_20!$I$103</definedName>
    <definedName name="bu20total91">[41]B_U_20!$J$95</definedName>
    <definedName name="bu20total91a">[41]B_U_20!$J$103</definedName>
    <definedName name="bu20total92">[41]B_U_20!$K$95</definedName>
    <definedName name="bu20total92a">[41]B_U_20!$K$103</definedName>
    <definedName name="bu20total93">[41]B_U_20!$L$95</definedName>
    <definedName name="bu20total93a">[41]B_U_20!$L$103</definedName>
    <definedName name="bu20total94">[41]B_U_20!$M$95</definedName>
    <definedName name="bu20total94a">[41]B_U_20!$M$103</definedName>
    <definedName name="bu20total95">[41]B_U_20!$N$95</definedName>
    <definedName name="bu20total95a">[41]B_U_20!$N$103</definedName>
    <definedName name="bu20total96">[41]B_U_20!$O$95</definedName>
    <definedName name="bu20total96a">[41]B_U_20!$O$103</definedName>
    <definedName name="bu20total97">[41]B_U_20!$P$95</definedName>
    <definedName name="bu20total97a">[41]B_U_20!$P$103</definedName>
    <definedName name="bu20total98">[41]B_U_20!$Q$95</definedName>
    <definedName name="bu20total98a">[41]B_U_20!$Q$103</definedName>
    <definedName name="bu21total84">[41]B_U_21!$C$95</definedName>
    <definedName name="bu21total84a">[41]B_U_21!$C$103</definedName>
    <definedName name="bu21total85">[41]B_U_21!$D$95</definedName>
    <definedName name="bu21total85a">[41]B_U_21!$D$103</definedName>
    <definedName name="bu21total86">[41]B_U_21!$E$95</definedName>
    <definedName name="bu21total86a">[41]B_U_21!$E$103</definedName>
    <definedName name="bu21total87">[41]B_U_21!$F$95</definedName>
    <definedName name="bu21total87a">[41]B_U_21!$F$103</definedName>
    <definedName name="bu21total88">[41]B_U_21!$G$95</definedName>
    <definedName name="bu21total88a">[41]B_U_21!$G$103</definedName>
    <definedName name="bu21total89">[41]B_U_21!$H$95</definedName>
    <definedName name="bu21total89a">[41]B_U_21!$H$103</definedName>
    <definedName name="bu21total90">[41]B_U_21!$I$95</definedName>
    <definedName name="bu21total90a">[41]B_U_21!$I$103</definedName>
    <definedName name="bu21total91">[41]B_U_21!$J$95</definedName>
    <definedName name="bu21total91a">[41]B_U_21!$J$103</definedName>
    <definedName name="bu21total92">[41]B_U_21!$K$95</definedName>
    <definedName name="bu21total92a">[41]B_U_21!$K$103</definedName>
    <definedName name="bu21total93">[41]B_U_21!$L$95</definedName>
    <definedName name="bu21total93a">[41]B_U_21!$L$103</definedName>
    <definedName name="bu21total94">[41]B_U_21!$M$95</definedName>
    <definedName name="bu21total94a">[41]B_U_21!$M$103</definedName>
    <definedName name="bu21total95">[41]B_U_21!$N$95</definedName>
    <definedName name="bu21total95a">[41]B_U_21!$N$103</definedName>
    <definedName name="bu21total96">[41]B_U_21!$O$95</definedName>
    <definedName name="bu21total96a">[41]B_U_21!$O$103</definedName>
    <definedName name="bu21total97">[41]B_U_21!$P$95</definedName>
    <definedName name="bu21total97a">[41]B_U_21!$P$103</definedName>
    <definedName name="bu21total98">[41]B_U_21!$Q$95</definedName>
    <definedName name="bu21total98a">[41]B_U_21!$Q$103</definedName>
    <definedName name="bu22total84">[41]B_U_22!$C$95</definedName>
    <definedName name="bu22total84a">[41]B_U_22!$C$103</definedName>
    <definedName name="bu22total85">[41]B_U_22!$D$95</definedName>
    <definedName name="bu22total85a">[41]B_U_22!$D$103</definedName>
    <definedName name="bu22total86">[41]B_U_22!$E$95</definedName>
    <definedName name="bu22total86a">[41]B_U_22!$E$103</definedName>
    <definedName name="bu22total87">[41]B_U_22!$F$95</definedName>
    <definedName name="bu22total87a">[41]B_U_22!$F$103</definedName>
    <definedName name="bu22total88">[41]B_U_22!$G$95</definedName>
    <definedName name="bu22total88a">[41]B_U_22!$G$103</definedName>
    <definedName name="bu22total89">[41]B_U_22!$H$95</definedName>
    <definedName name="bu22total89a">[41]B_U_22!$H$103</definedName>
    <definedName name="bu22total90">[41]B_U_22!$I$95</definedName>
    <definedName name="bu22total90a">[41]B_U_22!$I$103</definedName>
    <definedName name="bu22total91">[41]B_U_22!$J$95</definedName>
    <definedName name="bu22total91a">[41]B_U_22!$J$103</definedName>
    <definedName name="bu22total92">[41]B_U_22!$K$95</definedName>
    <definedName name="bu22total92a">[41]B_U_22!$K$103</definedName>
    <definedName name="bu22total93">[41]B_U_22!$L$95</definedName>
    <definedName name="bu22total93a">[41]B_U_22!$L$103</definedName>
    <definedName name="bu22total94">[41]B_U_22!$M$95</definedName>
    <definedName name="bu22total94a">[41]B_U_22!$M$103</definedName>
    <definedName name="bu22total95">[41]B_U_22!$N$95</definedName>
    <definedName name="bu22total95a">[41]B_U_22!$N$103</definedName>
    <definedName name="bu22total96">[41]B_U_22!$O$95</definedName>
    <definedName name="bu22total96a">[41]B_U_22!$O$103</definedName>
    <definedName name="bu22total97">[41]B_U_22!$P$95</definedName>
    <definedName name="bu22total97a">[41]B_U_22!$P$103</definedName>
    <definedName name="bu22total98">[41]B_U_22!$Q$95</definedName>
    <definedName name="bu22total98a">[41]B_U_22!$Q$103</definedName>
    <definedName name="bu23total84">[41]B_U_23!$C$95</definedName>
    <definedName name="bu23total84a">[41]B_U_23!$C$103</definedName>
    <definedName name="bu23total85">[41]B_U_23!$D$95</definedName>
    <definedName name="bu23total85a">[41]B_U_23!$D$103</definedName>
    <definedName name="bu23total86">[41]B_U_23!$E$95</definedName>
    <definedName name="bu23total86a">[41]B_U_23!$E$103</definedName>
    <definedName name="bu23total87">[41]B_U_23!$F$95</definedName>
    <definedName name="bu23total87a">[41]B_U_23!$F$103</definedName>
    <definedName name="bu23total88">[41]B_U_23!$G$95</definedName>
    <definedName name="bu23total88a">[41]B_U_23!$G$103</definedName>
    <definedName name="bu23total89">[41]B_U_23!$H$95</definedName>
    <definedName name="bu23total89a">[41]B_U_23!$H$103</definedName>
    <definedName name="bu23total90">[41]B_U_23!$I$95</definedName>
    <definedName name="bu23total90a">[41]B_U_23!$I$103</definedName>
    <definedName name="bu23total91">[41]B_U_23!$J$95</definedName>
    <definedName name="bu23total91a">[41]B_U_23!$J$103</definedName>
    <definedName name="bu23total92">[41]B_U_23!$K$95</definedName>
    <definedName name="bu23total92a">[41]B_U_23!$K$103</definedName>
    <definedName name="bu23total93">[41]B_U_23!$L$95</definedName>
    <definedName name="bu23total93a">[41]B_U_23!$L$103</definedName>
    <definedName name="bu23total94">[41]B_U_23!$M$95</definedName>
    <definedName name="bu23total94a">[41]B_U_23!$M$103</definedName>
    <definedName name="bu23total95">[41]B_U_23!$N$95</definedName>
    <definedName name="bu23total95a">[41]B_U_23!$N$103</definedName>
    <definedName name="bu23total96">[41]B_U_23!$O$95</definedName>
    <definedName name="bu23total96a">[41]B_U_23!$O$103</definedName>
    <definedName name="bu23total97">[41]B_U_23!$P$95</definedName>
    <definedName name="bu23total97a">[41]B_U_23!$P$103</definedName>
    <definedName name="bu23total98">[41]B_U_23!$Q$95</definedName>
    <definedName name="bu23total98a">[41]B_U_23!$Q$103</definedName>
    <definedName name="bu2total84">'[41]ORIGINAL CLAIM'!$C$95</definedName>
    <definedName name="bu2total84a">'[41]ORIGINAL CLAIM'!$C$103</definedName>
    <definedName name="bu2total85">'[41]ORIGINAL CLAIM'!$D$95</definedName>
    <definedName name="bu2total85a">'[41]ORIGINAL CLAIM'!$D$103</definedName>
    <definedName name="bu2total86">'[41]ORIGINAL CLAIM'!$E$95</definedName>
    <definedName name="bu2total86a">'[41]ORIGINAL CLAIM'!$E$103</definedName>
    <definedName name="bu2total87">'[41]ORIGINAL CLAIM'!$F$95</definedName>
    <definedName name="bu2total87a">'[41]ORIGINAL CLAIM'!$F$103</definedName>
    <definedName name="bu2total88">'[41]ORIGINAL CLAIM'!$G$95</definedName>
    <definedName name="bu2total88a">'[41]ORIGINAL CLAIM'!$G$103</definedName>
    <definedName name="bu2total89">'[41]ORIGINAL CLAIM'!$H$95</definedName>
    <definedName name="bu2total89a">'[41]ORIGINAL CLAIM'!$H$103</definedName>
    <definedName name="bu2total90">'[41]ORIGINAL CLAIM'!$I$95</definedName>
    <definedName name="bu2total90a">'[41]ORIGINAL CLAIM'!$I$103</definedName>
    <definedName name="bu2total91">'[41]ORIGINAL CLAIM'!$J$95</definedName>
    <definedName name="bu2total91a">'[41]ORIGINAL CLAIM'!$J$103</definedName>
    <definedName name="bu2total92">'[41]ORIGINAL CLAIM'!$K$95</definedName>
    <definedName name="bu2total92a">'[41]ORIGINAL CLAIM'!$K$103</definedName>
    <definedName name="bu2total93">'[41]ORIGINAL CLAIM'!$L$95</definedName>
    <definedName name="bu2total93a">'[41]ORIGINAL CLAIM'!$L$103</definedName>
    <definedName name="bu2total94">'[41]ORIGINAL CLAIM'!$M$95</definedName>
    <definedName name="bu2total94a">'[41]ORIGINAL CLAIM'!$M$103</definedName>
    <definedName name="bu2total95">'[41]ORIGINAL CLAIM'!$N$95</definedName>
    <definedName name="bu2total95a">'[41]ORIGINAL CLAIM'!$N$103</definedName>
    <definedName name="bu2total96">'[41]ORIGINAL CLAIM'!$O$95</definedName>
    <definedName name="bu2total96a">'[41]ORIGINAL CLAIM'!$O$103</definedName>
    <definedName name="bu2total97">'[41]ORIGINAL CLAIM'!$P$95</definedName>
    <definedName name="bu2total97a">'[41]ORIGINAL CLAIM'!$P$103</definedName>
    <definedName name="bu2total98">'[41]ORIGINAL CLAIM'!$Q$95</definedName>
    <definedName name="bu2total98a">'[41]ORIGINAL CLAIM'!$Q$103</definedName>
    <definedName name="bu3total84">[41]B_U_3!$C$95</definedName>
    <definedName name="bu3total84a">[41]B_U_3!$C$103</definedName>
    <definedName name="bu3total85">[41]B_U_3!$D$95</definedName>
    <definedName name="bu3total85a">[41]B_U_3!$D$103</definedName>
    <definedName name="bu3total86">[41]B_U_3!$E$95</definedName>
    <definedName name="bu3total86a">[41]B_U_3!$E$103</definedName>
    <definedName name="bu3total87">[41]B_U_3!$F$95</definedName>
    <definedName name="bu3total87a">[41]B_U_3!$F$103</definedName>
    <definedName name="bu3total88">[41]B_U_3!$G$95</definedName>
    <definedName name="bu3total88a">[41]B_U_3!$G$103</definedName>
    <definedName name="bu3total89">[41]B_U_3!$H$95</definedName>
    <definedName name="bu3total89a">[41]B_U_3!$H$103</definedName>
    <definedName name="bu3total90">[41]B_U_3!$I$95</definedName>
    <definedName name="bu3total90a">[41]B_U_3!$I$103</definedName>
    <definedName name="bu3total91">[41]B_U_3!$J$95</definedName>
    <definedName name="bu3total91a">[41]B_U_3!$J$103</definedName>
    <definedName name="bu3total92">[41]B_U_3!$K$95</definedName>
    <definedName name="bu3total92a">[41]B_U_3!$K$103</definedName>
    <definedName name="bu3total93">[41]B_U_3!$L$95</definedName>
    <definedName name="bu3total93a">[41]B_U_3!$L$103</definedName>
    <definedName name="bu3total94">[41]B_U_3!$M$95</definedName>
    <definedName name="bu3total94a">[41]B_U_3!$M$103</definedName>
    <definedName name="bu3total95">[41]B_U_3!$N$95</definedName>
    <definedName name="bu3total95a">[41]B_U_3!$N$103</definedName>
    <definedName name="bu3total96">[41]B_U_3!$O$95</definedName>
    <definedName name="bu3total96a">[41]B_U_3!$O$103</definedName>
    <definedName name="bu3total97">[41]B_U_3!$P$95</definedName>
    <definedName name="bu3total97a">[41]B_U_3!$P$103</definedName>
    <definedName name="bu3total98">[41]B_U_3!$Q$95</definedName>
    <definedName name="bu3total98a">[41]B_U_3!$Q$103</definedName>
    <definedName name="bu4total84">[41]B_U_4!$C$95</definedName>
    <definedName name="bu4total84a">[41]B_U_4!$C$103</definedName>
    <definedName name="bu4total85">[41]B_U_4!$D$95</definedName>
    <definedName name="bu4total85a">[41]B_U_4!$D$103</definedName>
    <definedName name="bu4total86">[41]B_U_4!$E$95</definedName>
    <definedName name="bu4total86a">[41]B_U_4!$E$103</definedName>
    <definedName name="bu4total87">[41]B_U_4!$F$95</definedName>
    <definedName name="bu4total87a">[41]B_U_4!$F$103</definedName>
    <definedName name="bu4total88">[41]B_U_4!$G$95</definedName>
    <definedName name="bu4total88a">[41]B_U_4!$G$103</definedName>
    <definedName name="bu4total89">[41]B_U_4!$H$95</definedName>
    <definedName name="bu4total89a">[41]B_U_4!$H$103</definedName>
    <definedName name="bu4total90">[41]B_U_4!$I$95</definedName>
    <definedName name="bu4total90a">[41]B_U_4!$I$103</definedName>
    <definedName name="bu4total91">[41]B_U_4!$J$95</definedName>
    <definedName name="bu4total91a">[41]B_U_4!$J$103</definedName>
    <definedName name="bu4total92">[41]B_U_4!$K$95</definedName>
    <definedName name="bu4total92a">[41]B_U_4!$K$103</definedName>
    <definedName name="bu4total93">[41]B_U_4!$L$95</definedName>
    <definedName name="bu4total93a">[41]B_U_4!$L$103</definedName>
    <definedName name="bu4total94">[41]B_U_4!$M$95</definedName>
    <definedName name="bu4total94a">[41]B_U_4!$M$103</definedName>
    <definedName name="bu4total95">[41]B_U_4!$N$95</definedName>
    <definedName name="bu4total95a">[41]B_U_4!$N$103</definedName>
    <definedName name="bu4total96">[41]B_U_4!$O$95</definedName>
    <definedName name="bu4total96a">[41]B_U_4!$O$103</definedName>
    <definedName name="bu4total97">[41]B_U_4!$P$95</definedName>
    <definedName name="bu4total97a">[41]B_U_4!$P$103</definedName>
    <definedName name="bu4total98">[41]B_U_4!$Q$95</definedName>
    <definedName name="bu4total98a">[41]B_U_4!$Q$103</definedName>
    <definedName name="bu5total84">[41]B_U_5!$C$95</definedName>
    <definedName name="bu5total84a">[41]B_U_5!$C$103</definedName>
    <definedName name="bu5total85">[41]B_U_5!$D$95</definedName>
    <definedName name="bu5total85a">[41]B_U_5!$D$103</definedName>
    <definedName name="bu5total86">[41]B_U_5!$E$95</definedName>
    <definedName name="bu5total86a">[41]B_U_5!$E$103</definedName>
    <definedName name="bu5total87">[41]B_U_5!$F$95</definedName>
    <definedName name="bu5total87a">[41]B_U_5!$F$103</definedName>
    <definedName name="bu5total88">[41]B_U_5!$G$95</definedName>
    <definedName name="bu5total88a">[41]B_U_5!$G$103</definedName>
    <definedName name="bu5total89">[41]B_U_5!$H$95</definedName>
    <definedName name="bu5total89a">[41]B_U_5!$H$103</definedName>
    <definedName name="bu5total90">[41]B_U_5!$I$95</definedName>
    <definedName name="bu5total90a">[41]B_U_5!$I$103</definedName>
    <definedName name="bu5total91">[41]B_U_5!$J$95</definedName>
    <definedName name="bu5total91a">[41]B_U_5!$J$103</definedName>
    <definedName name="bu5total92">[41]B_U_5!$K$95</definedName>
    <definedName name="bu5total92a">[41]B_U_5!$K$103</definedName>
    <definedName name="bu5total93">[41]B_U_5!$L$95</definedName>
    <definedName name="bu5total93a">[41]B_U_5!$L$103</definedName>
    <definedName name="bu5total94">[41]B_U_5!$M$95</definedName>
    <definedName name="bu5total94a">[41]B_U_5!$M$103</definedName>
    <definedName name="bu5total95">[41]B_U_5!$N$95</definedName>
    <definedName name="bu5total95a">[41]B_U_5!$N$103</definedName>
    <definedName name="bu5total96">[41]B_U_5!$O$95</definedName>
    <definedName name="bu5total96a">[41]B_U_5!$O$103</definedName>
    <definedName name="bu5total97">[41]B_U_5!$P$95</definedName>
    <definedName name="bu5total97a">[41]B_U_5!$P$103</definedName>
    <definedName name="bu5total98">[41]B_U_5!$Q$95</definedName>
    <definedName name="bu5total98a">[41]B_U_5!$Q$103</definedName>
    <definedName name="bu6total84">[41]B_U_6!$C$94</definedName>
    <definedName name="bu6total84a">[41]B_U_6!$C$103</definedName>
    <definedName name="bu6total85">[41]B_U_6!$D$94</definedName>
    <definedName name="bu6total85a">[41]B_U_6!$D$103</definedName>
    <definedName name="bu6total86">[41]B_U_6!$E$94</definedName>
    <definedName name="bu6total86a">[41]B_U_6!$E$103</definedName>
    <definedName name="bu6total87">[41]B_U_6!$F$94</definedName>
    <definedName name="bu6total87a">[41]B_U_6!$F$103</definedName>
    <definedName name="bu6total88">[41]B_U_6!$G$94</definedName>
    <definedName name="bu6total88a">[41]B_U_6!$G$103</definedName>
    <definedName name="bu6total89">[41]B_U_6!$H$94</definedName>
    <definedName name="bu6total89a">[41]B_U_6!$H$103</definedName>
    <definedName name="bu6total90">[41]B_U_6!$I$94</definedName>
    <definedName name="bu6total90a">[41]B_U_6!$I$103</definedName>
    <definedName name="bu6total91">[41]B_U_6!$J$94</definedName>
    <definedName name="bu6total91a">[41]B_U_6!$J$103</definedName>
    <definedName name="bu6total92">[41]B_U_6!$K$94</definedName>
    <definedName name="bu6total92a">[41]B_U_6!$K$103</definedName>
    <definedName name="bu6total93">[41]B_U_6!$L$94</definedName>
    <definedName name="bu6total93a">[41]B_U_6!$L$103</definedName>
    <definedName name="bu6total94">[41]B_U_6!$M$94</definedName>
    <definedName name="bu6total94a">[41]B_U_6!$M$103</definedName>
    <definedName name="bu6total95">[41]B_U_6!$N$94</definedName>
    <definedName name="bu6total95a">[41]B_U_6!$N$103</definedName>
    <definedName name="bu6total96">[41]B_U_6!$O$94</definedName>
    <definedName name="bu6total96a">[41]B_U_6!$O$103</definedName>
    <definedName name="bu6total97">[41]B_U_6!$P$94</definedName>
    <definedName name="bu6total97a">[41]B_U_6!$P$103</definedName>
    <definedName name="bu6total98">[41]B_U_6!$Q$94</definedName>
    <definedName name="bu6total98a">[41]B_U_6!$Q$103</definedName>
    <definedName name="bu7total84">[41]B_U_7!$C$95</definedName>
    <definedName name="bu7total84a">[41]B_U_7!$C$103</definedName>
    <definedName name="bu7total85">[41]B_U_7!$D$95</definedName>
    <definedName name="bu7total85a">[41]B_U_7!$D$103</definedName>
    <definedName name="bu7total86">[41]B_U_7!$E$95</definedName>
    <definedName name="bu7total86a">[41]B_U_7!$E$103</definedName>
    <definedName name="bu7total87">[41]B_U_7!$F$95</definedName>
    <definedName name="bu7total87a">[41]B_U_7!$F$103</definedName>
    <definedName name="bu7total88">[41]B_U_7!$G$95</definedName>
    <definedName name="bu7total88a">[41]B_U_7!$G$103</definedName>
    <definedName name="bu7total89">[41]B_U_7!$H$95</definedName>
    <definedName name="bu7total89a">[41]B_U_7!$H$103</definedName>
    <definedName name="bu7total90">[41]B_U_7!$I$95</definedName>
    <definedName name="bu7total90a">[41]B_U_7!$I$103</definedName>
    <definedName name="bu7total91">[41]B_U_7!$J$95</definedName>
    <definedName name="bu7total91a">[41]B_U_7!$J$103</definedName>
    <definedName name="bu7total92">[41]B_U_7!$K$95</definedName>
    <definedName name="bu7total92a">[41]B_U_7!$K$103</definedName>
    <definedName name="bu7total93">[41]B_U_7!$L$95</definedName>
    <definedName name="bu7total93a">[41]B_U_7!$L$103</definedName>
    <definedName name="bu7total94">[41]B_U_7!$M$95</definedName>
    <definedName name="bu7total94a">[41]B_U_7!$M$103</definedName>
    <definedName name="bu7total95">[41]B_U_7!$N$95</definedName>
    <definedName name="bu7total95a">[41]B_U_7!$N$103</definedName>
    <definedName name="bu7total96">[41]B_U_7!$O$95</definedName>
    <definedName name="bu7total96a">[41]B_U_7!$O$103</definedName>
    <definedName name="bu7total97">[41]B_U_7!$P$95</definedName>
    <definedName name="bu7total97a">[41]B_U_7!$P$103</definedName>
    <definedName name="bu7total98">[41]B_U_7!$Q$95</definedName>
    <definedName name="bu7total98a">[41]B_U_7!$Q$103</definedName>
    <definedName name="bu8total84">[41]B_U_8!$C$94</definedName>
    <definedName name="bu8total84a">[41]B_U_8!$C$103</definedName>
    <definedName name="bu8total85">[41]B_U_8!$D$94</definedName>
    <definedName name="bu8total85a">[41]B_U_8!$D$103</definedName>
    <definedName name="bu8total86">[41]B_U_8!$E$94</definedName>
    <definedName name="bu8total86a">[41]B_U_8!$E$103</definedName>
    <definedName name="bu8total87">[41]B_U_8!$F$94</definedName>
    <definedName name="bu8total87a">[41]B_U_8!$F$103</definedName>
    <definedName name="bu8total88">[41]B_U_8!$G$94</definedName>
    <definedName name="bu8total88a">[41]B_U_8!$G$103</definedName>
    <definedName name="bu8total89">[41]B_U_8!$H$94</definedName>
    <definedName name="bu8total89a">[41]B_U_8!$H$103</definedName>
    <definedName name="bu8total90">[41]B_U_8!$I$94</definedName>
    <definedName name="bu8total90a">[41]B_U_8!$I$103</definedName>
    <definedName name="bu8total91">[41]B_U_8!$J$94</definedName>
    <definedName name="bu8total91a">[41]B_U_8!$J$103</definedName>
    <definedName name="bu8total92">[41]B_U_8!$K$94</definedName>
    <definedName name="bu8total92a">[41]B_U_8!$K$103</definedName>
    <definedName name="bu8total93">[41]B_U_8!$L$94</definedName>
    <definedName name="bu8total93a">[41]B_U_8!$L$103</definedName>
    <definedName name="bu8total94">[41]B_U_8!$M$94</definedName>
    <definedName name="bu8total94a">[41]B_U_8!$M$103</definedName>
    <definedName name="bu8total95">[41]B_U_8!$N$94</definedName>
    <definedName name="bu8total95a">[41]B_U_8!$N$103</definedName>
    <definedName name="bu8total96">[41]B_U_8!$O$94</definedName>
    <definedName name="bu8total96a">[41]B_U_8!$O$103</definedName>
    <definedName name="bu8total97">[41]B_U_8!$P$94</definedName>
    <definedName name="bu8total97a">[41]B_U_8!$P$103</definedName>
    <definedName name="bu8total98">[41]B_U_8!$Q$94</definedName>
    <definedName name="bu8total98a">[41]B_U_8!$Q$103</definedName>
    <definedName name="bu9total84">[41]B_U_9!$C$95</definedName>
    <definedName name="bu9total84a">[41]B_U_9!$C$103</definedName>
    <definedName name="bu9total85">[41]B_U_9!$D$95</definedName>
    <definedName name="bu9total85a">[41]B_U_9!$D$103</definedName>
    <definedName name="bu9total86">[41]B_U_9!$E$95</definedName>
    <definedName name="bu9total86a">[41]B_U_9!$E$103</definedName>
    <definedName name="bu9total87">[41]B_U_9!$F$95</definedName>
    <definedName name="bu9total87a">[41]B_U_9!$F$103</definedName>
    <definedName name="bu9total88">[41]B_U_9!$G$95</definedName>
    <definedName name="bu9total88a">[41]B_U_9!$G$103</definedName>
    <definedName name="bu9total89">[41]B_U_9!$H$95</definedName>
    <definedName name="bu9total89a">[41]B_U_9!$H$103</definedName>
    <definedName name="bu9total90">[41]B_U_9!$I$95</definedName>
    <definedName name="bu9total90a">[41]B_U_9!$I$103</definedName>
    <definedName name="bu9total91">[41]B_U_9!$J$95</definedName>
    <definedName name="bu9total91a">[41]B_U_9!$J$103</definedName>
    <definedName name="bu9total92">[41]B_U_9!$K$95</definedName>
    <definedName name="bu9total92a">[41]B_U_9!$K$103</definedName>
    <definedName name="bu9total93">[41]B_U_9!$L$95</definedName>
    <definedName name="bu9total93a">[41]B_U_9!$L$103</definedName>
    <definedName name="bu9total94">[41]B_U_9!$M$95</definedName>
    <definedName name="bu9total94a">[41]B_U_9!$M$103</definedName>
    <definedName name="bu9total95">[41]B_U_9!$N$95</definedName>
    <definedName name="bu9total95a">[41]B_U_9!$N$103</definedName>
    <definedName name="bu9total96">[41]B_U_9!$O$95</definedName>
    <definedName name="bu9total96a">[41]B_U_9!$O$103</definedName>
    <definedName name="bu9total97">[41]B_U_9!$P$95</definedName>
    <definedName name="bu9total97a">[41]B_U_9!$P$103</definedName>
    <definedName name="bu9total98">[41]B_U_9!$Q$95</definedName>
    <definedName name="bu9total98a">[41]B_U_9!$Q$103</definedName>
    <definedName name="BUDGET_YTD">[49]Administrator!$J$60</definedName>
    <definedName name="BudgetPJF">'[65]Bdgt PJF to Acct.'!$A$5:$P$61</definedName>
    <definedName name="BUName">[66]SETUP!$C$9</definedName>
    <definedName name="BUTypeAreaRes">'[58]all EED O&amp;M BO data'!$AB$2:$AB$5000</definedName>
    <definedName name="bvfzxcvxczxc">'[47]2005 CapEx (By VP By Dept) Budg'!$A$3:$P$431</definedName>
    <definedName name="bvvlhlkhjl">#REF!</definedName>
    <definedName name="C_">#REF!</definedName>
    <definedName name="C_3">#REF!</definedName>
    <definedName name="C_3_10">[67]SchC2x_1!#REF!</definedName>
    <definedName name="Cal">'[47]2005 CapEx (By VP By Dept) Budg'!$A$3:$P$431</definedName>
    <definedName name="CalculationC">'[47]2005 CapEx (By VP By Dept) Budg'!$A$3:$P$377</definedName>
    <definedName name="CalculationCom">'[47]2005 CapEx (By VP By Dept) Budg'!$A$3:$P$377</definedName>
    <definedName name="CalculationComEd">#REF!</definedName>
    <definedName name="calculationD">'[47]2005 CapEx (By VP By Dept) Budg'!$A$3:$P$377</definedName>
    <definedName name="CalculationP">[68]Calculations!$A$3:$P$382</definedName>
    <definedName name="CalculationPeco">'[47]2005 CapEx (By VP By Dept) Budg'!$A$3:$P$382</definedName>
    <definedName name="Calculations">'[47]2005 CapEx (By VP By Dept) Budg'!$A$3:$P$431</definedName>
    <definedName name="CalculationsC">'[47]2005 CapEx (By VP By Dept) Budg'!$A$3:$P$377</definedName>
    <definedName name="CalculationsC1">'[47]2005 CapEx (By VP By Dept) Budg'!$A$3:$P$377</definedName>
    <definedName name="CalculationsC3">#REF!</definedName>
    <definedName name="CalculationsC4">#REF!</definedName>
    <definedName name="CalculationsC5">#REF!</definedName>
    <definedName name="CalculationsP">'[47]2005 CapEx (By VP By Dept) Budg'!$A$3:$P$382</definedName>
    <definedName name="CalculationsP1">'[47]2005 CapEx (By VP By Dept) Budg'!$A$3:$P$382</definedName>
    <definedName name="CalculationsP2">'[47]2005 CapEx (By VP By Dept) Budg'!$A$3:$P$382</definedName>
    <definedName name="CalculationsP3">#REF!</definedName>
    <definedName name="CalculationsP4">#REF!</definedName>
    <definedName name="CalculationsP5">#REF!</definedName>
    <definedName name="CalculationsP6">#REF!</definedName>
    <definedName name="CalculationsPe">'[47]2005 CapEx (By VP By Dept) Budg'!$A$3:$P$382</definedName>
    <definedName name="CalculationsPeco">'[47]2005 CapEx (By VP By Dept) Budg'!$A$3:$P$382</definedName>
    <definedName name="CalculatP">'[47]2005 CapEx (By VP By Dept) Budg'!$A$3:$P$382</definedName>
    <definedName name="CAPA">'[69]ACT CAP'!$D$7:$T$32</definedName>
    <definedName name="CAPB">'[69]BUD CAP'!$D$7:$O$32</definedName>
    <definedName name="Capital">#REF!</definedName>
    <definedName name="CapitalExpenditures">'[70]WPC - 2.5'!#REF!</definedName>
    <definedName name="cbcvbcv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cbcvbcv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cbcvbcv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CBEast">'[71]CBPP Summary'!$I$5:$J$16</definedName>
    <definedName name="CBWest">'[71]CBPP Summary'!$I$19:$J$25</definedName>
    <definedName name="CBWorkbookPriority" hidden="1">-250256570</definedName>
    <definedName name="cc1end">[41]Model!$68:$68</definedName>
    <definedName name="cc1subrange">[41]Model!$48:$75</definedName>
    <definedName name="cc2origin">[41]Model!$A$76</definedName>
    <definedName name="cc2subrange">[41]Model!$124:$146</definedName>
    <definedName name="cc3subrange">[41]Model!$152:$179</definedName>
    <definedName name="ccbbcvbc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ccbbcvbc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ccbbcvbc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cccc">#REF!</definedName>
    <definedName name="Choose_Prefs">[72]!Choose_Prefs</definedName>
    <definedName name="chrtContract">'[41]QRE Charts'!$C$274:$R$297</definedName>
    <definedName name="chrtSensitivity">'[41]QRE Charts'!$D$372:$O$375</definedName>
    <definedName name="chrtSensWages">'[41]Sens_QRE''s'!$C$118:$R$141</definedName>
    <definedName name="chrtSupplies">'[41]QRE Charts'!$C$248:$R$271</definedName>
    <definedName name="chrtTax">'[41]QRE Charts'!$C$327:$E$342</definedName>
    <definedName name="chrtTotalByCo">'[41]QRE Charts'!$C$300:$R$323</definedName>
    <definedName name="chrtTotalByType">'[41]QRE Charts'!$C$216:$R$219</definedName>
    <definedName name="chrtWages">'[41]QRE Charts'!$C$222:$R$245</definedName>
    <definedName name="CKDATES">#REF!</definedName>
    <definedName name="CkDescr">[73]DR_Form!#REF!</definedName>
    <definedName name="ClaculationC">#REF!</definedName>
    <definedName name="ClaculationP">#REF!</definedName>
    <definedName name="ClaculationsC">#REF!</definedName>
    <definedName name="Class">#REF!</definedName>
    <definedName name="CLDR">#REF!</definedName>
    <definedName name="CoAreaDept">'[58]all EED O&amp;M BO data'!$AA$2:$AA$5000</definedName>
    <definedName name="com">[74]Roadmap!$C$159</definedName>
    <definedName name="Com1E">[75]Roadmap!$C$186</definedName>
    <definedName name="Com2E">[75]Roadmap!$C$187</definedName>
    <definedName name="comed1">'[47]2005 CapEx (By VP By Dept) Budg'!$A$3:$P$377</definedName>
    <definedName name="comed2">'[47]2005 CapEx (By VP By Dept) Budg'!$A$3:$P$377</definedName>
    <definedName name="comedmfr2">'[47]2005 CapEx (By VP By Dept) Budg'!$A$3:$P$377</definedName>
    <definedName name="Company">[76]Common!$B$2</definedName>
    <definedName name="Company_Name">[41]Menu!$I$11</definedName>
    <definedName name="CompanyCount">'[41]QRE Charts'!$F$214</definedName>
    <definedName name="COMPAR_PRT_RNG">[41]Comparison!$B$8:$BT$170</definedName>
    <definedName name="complex">[77]lists!#REF!</definedName>
    <definedName name="ContactExt">#REF!</definedName>
    <definedName name="ContactName">#REF!</definedName>
    <definedName name="CONVERT_IT">#REF!</definedName>
    <definedName name="CONVERT_RTN">#REF!</definedName>
    <definedName name="Corp">[17]Roadmap!$C$109</definedName>
    <definedName name="corp1">[31]INDEX!$B$154</definedName>
    <definedName name="corp1E">[78]INDEX!$B$154</definedName>
    <definedName name="corp2">[79]Roadmap!$B$171</definedName>
    <definedName name="CorpE">[8]Roadmap!$C$109</definedName>
    <definedName name="COSTCARECAPCHAR">'[80]ASO Fees'!#REF!</definedName>
    <definedName name="COSTCAREMEDCASE">'[80]ASO Fees'!#REF!</definedName>
    <definedName name="COSTCARESUM">'[80]ASO Fees'!#REF!</definedName>
    <definedName name="COUNTER">'[41]Macro Tables'!$C$21</definedName>
    <definedName name="CPTL94">#REF!</definedName>
    <definedName name="CPTL95">#REF!</definedName>
    <definedName name="CR_AMT">[48]FLAP!#REF!</definedName>
    <definedName name="credit_rate">[41]Print!$I$18</definedName>
    <definedName name="CREDIT1">'[81]One Year Credit Facility (2 (3)'!$A$23:$D$34</definedName>
    <definedName name="creditsummary">[41]Model!$A$180:$E$201</definedName>
    <definedName name="CUR_QRES">[41]Sens_QRE_Factor!$I$8:$R$98</definedName>
    <definedName name="CUR_QRES0.75">'[41]QRE Charts'!$E$367</definedName>
    <definedName name="CUR_QRES0.80">'[41]QRE Charts'!$F$367</definedName>
    <definedName name="CUR_QRES0.85">'[41]QRE Charts'!$G$367</definedName>
    <definedName name="CUR_QRES0.90">'[41]QRE Charts'!$H$367</definedName>
    <definedName name="CUR_QRES0.95">'[41]QRE Charts'!$I$367</definedName>
    <definedName name="CUR_QRES1.00">'[41]QRE Charts'!$J$367</definedName>
    <definedName name="CUR_QRES1.05">'[41]QRE Charts'!$K$367</definedName>
    <definedName name="CUR_QRES1.10">'[41]QRE Charts'!$L$367</definedName>
    <definedName name="CUR_QRES1.15">'[41]QRE Charts'!$M$367</definedName>
    <definedName name="CUR_QRES1.20">'[41]QRE Charts'!$N$367</definedName>
    <definedName name="CUR_QRES1.25">'[41]QRE Charts'!$O$367</definedName>
    <definedName name="CUR_SENS_FACT">#REF!</definedName>
    <definedName name="CURRENT">#REF!</definedName>
    <definedName name="CURRENT_MESSAGE">#REF!</definedName>
    <definedName name="CurrentEndDate">[66]SETUP!#REF!</definedName>
    <definedName name="CurrPeriod">[82]Tables!$H$4</definedName>
    <definedName name="CustCred4thQtr">#REF!</definedName>
    <definedName name="CustCred4thQtrE">#REF!</definedName>
    <definedName name="CustCredDec">#REF!</definedName>
    <definedName name="CustCredDecE">#REF!</definedName>
    <definedName name="cvxvvdxzv">'[47]2005 CapEx (By VP By Dept) Budg'!$A$3:$P$431</definedName>
    <definedName name="CYDR">'[83]change07 by plan'!$D$28</definedName>
    <definedName name="d">'[84]WO Type Id PJF Acct'!$C$6:$Q$59</definedName>
    <definedName name="D_1">#REF!</definedName>
    <definedName name="D3CY_AMOUNT">#REF!</definedName>
    <definedName name="D3CY_COST">#REF!</definedName>
    <definedName name="D3HY_COST">'[85]FY 2005'!#REF!</definedName>
    <definedName name="D3TY_AMOUNT">#REF!</definedName>
    <definedName name="D3TY_COST">#REF!</definedName>
    <definedName name="dadasdad">'[47]2005 CapEx (By VP By Dept) Budg'!$A$3:$P$431</definedName>
    <definedName name="dadasdas">#REF!</definedName>
    <definedName name="dafklaf">'[47]2005 CapEx (By VP By Dept) Budg'!$A$3:$P$431</definedName>
    <definedName name="dasdadad">'[47]2005 CapEx (By VP By Dept) Budg'!$A$3:$P$431</definedName>
    <definedName name="DASDD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ASDD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ASDD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asfasfdsdaf">'[47]2005 CapEx (By VP By Dept) Budg'!$A$3:$P$431</definedName>
    <definedName name="Data">#REF!</definedName>
    <definedName name="_xlnm.Database">#REF!</definedName>
    <definedName name="Database2">#REF!</definedName>
    <definedName name="DatabaseE">#REF!</definedName>
    <definedName name="DATAFEEDER">[86]!DATAFEEDER</definedName>
    <definedName name="DateNumber">[66]SETUP!#REF!</definedName>
    <definedName name="DateNumberCurrentPrior">#REF!</definedName>
    <definedName name="DateNumberQtrPrior">#REF!</definedName>
    <definedName name="DateNumberYearEndPrior">#REF!</definedName>
    <definedName name="DateText">#REF!</definedName>
    <definedName name="DB_AMT">[48]FLAP!#REF!</definedName>
    <definedName name="dd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d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d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dd">#REF!</definedName>
    <definedName name="dddd">#REF!</definedName>
    <definedName name="ddfsaf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dfsaf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dfsa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dvsdfsdfsdf">'[47]2005 CapEx (By VP By Dept) Budg'!$A$3:$P$431</definedName>
    <definedName name="DEANNA">#REF!</definedName>
    <definedName name="Dec">#REF!</definedName>
    <definedName name="DELAWARE">#REF!</definedName>
    <definedName name="DeliverCk">#REF!</definedName>
    <definedName name="DeliverExt">#REF!</definedName>
    <definedName name="DENT_NU">#REF!</definedName>
    <definedName name="DENT_U">#REF!</definedName>
    <definedName name="DETAIL">#REF!</definedName>
    <definedName name="dfasdfsdfZX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asdfsdfZX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asdfsdfZX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d">36787.5547596065</definedName>
    <definedName name="dfdffgdfgd">#REF!</definedName>
    <definedName name="dfdsfs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dsfs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dsf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gdfgh">#REF!</definedName>
    <definedName name="dfgsdgdsfgd">'[47]2005 CapEx (By VP By Dept) Budg'!$A$3:$P$431</definedName>
    <definedName name="dfsasdfasdfsdfasdfasdf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sasdfasdfsdfasdfasdf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sasdfasdfsdfasdfa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fsasdfasfs">#REF!</definedName>
    <definedName name="dfsdfsf">#REF!</definedName>
    <definedName name="dfsfasfasfs">#REF!</definedName>
    <definedName name="dfssdfsdfsdfsdf">'[47]2005 CapEx (By VP By Dept) Budg'!$A$3:$P$431</definedName>
    <definedName name="Discount10">#REF!</definedName>
    <definedName name="Discount11">#REF!</definedName>
    <definedName name="Discount12">#REF!</definedName>
    <definedName name="Discount13">#REF!</definedName>
    <definedName name="Discount14">#REF!</definedName>
    <definedName name="Discount15">#REF!</definedName>
    <definedName name="Discount2">#REF!</definedName>
    <definedName name="Discount3">#REF!</definedName>
    <definedName name="Discount4">#REF!</definedName>
    <definedName name="Discount5">#REF!</definedName>
    <definedName name="Discount6">#REF!</definedName>
    <definedName name="Discount7">#REF!</definedName>
    <definedName name="Discount8">#REF!</definedName>
    <definedName name="Discount9">#REF!</definedName>
    <definedName name="discrate">#REF!</definedName>
    <definedName name="Docket">[76]Common!$B$3</definedName>
    <definedName name="DOIT">[41]Comparison!$CK$11</definedName>
    <definedName name="DP1875TB">#REF!</definedName>
    <definedName name="DR">#REF!</definedName>
    <definedName name="dsfasfsadfsdfsa">'[47]2005 CapEx (By VP By Dept) Budg'!$A$3:$P$431</definedName>
    <definedName name="dskdlss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skdlss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skdls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dy">[41]Print!$A$8</definedName>
    <definedName name="dyCR">[41]Print!$G$8</definedName>
    <definedName name="dyqre90">[41]Model!$I$90</definedName>
    <definedName name="dyqre91">[41]Model!$J$94</definedName>
    <definedName name="dyqre92">[41]Model!$K$98</definedName>
    <definedName name="dyqre93">[41]Model!$L$101</definedName>
    <definedName name="dyqre94">[41]Model!$M$105</definedName>
    <definedName name="dyqre95">[41]Model!$N$109</definedName>
    <definedName name="dyqre96">[41]Model!$O$113</definedName>
    <definedName name="dyqre97">[41]Model!$P$119</definedName>
    <definedName name="dyqre98">[41]Model!$Q$123</definedName>
    <definedName name="dyQW">[41]Print!$C$8</definedName>
    <definedName name="dyS">[41]Print!$E$8</definedName>
    <definedName name="E">#REF!</definedName>
    <definedName name="eaewq">#REF!</definedName>
    <definedName name="EASTERN">#REF!</definedName>
    <definedName name="EDPlt01">#REF!</definedName>
    <definedName name="EDPlt02">#REF!</definedName>
    <definedName name="EDPlt03">#REF!</definedName>
    <definedName name="EDPlt04">#REF!</definedName>
    <definedName name="edred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edred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edred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EED">#REF!</definedName>
    <definedName name="EL_PR_ACC">#REF!</definedName>
    <definedName name="EL_PR_PMT">#REF!</definedName>
    <definedName name="ELEC_ACC">#REF!</definedName>
    <definedName name="ELEC_CUST">#REF!</definedName>
    <definedName name="ELEC_PMT">#REF!</definedName>
    <definedName name="ELEC_REV">#REF!</definedName>
    <definedName name="ELEC_SALES">#REF!</definedName>
    <definedName name="EMPALL">#REF!</definedName>
    <definedName name="empid">#REF!</definedName>
    <definedName name="ENT">#REF!</definedName>
    <definedName name="EPG">#REF!</definedName>
    <definedName name="EPJFTable">'[87]E-PJF Translation - Active'!$A$3:$AS$243</definedName>
    <definedName name="EPJFTableE">'[87]E-PJF Translation - Active'!$A$3:$AS$243</definedName>
    <definedName name="err">#REF!</definedName>
    <definedName name="erser">#REF!</definedName>
    <definedName name="EssOptions">"1100000000130100_11-          00"</definedName>
    <definedName name="Estimated_Fair_Value">"fair_value"</definedName>
    <definedName name="EstimateRetirement">'[65]Estimated Retirements'!$B$10:$H$64</definedName>
    <definedName name="expnoyear">[88]Common!$B$11</definedName>
    <definedName name="expnoyearE">[89]Common!$B$11</definedName>
    <definedName name="exptitle">[28]Common!$B$10</definedName>
    <definedName name="exptitleE">[28]Common!$B$10</definedName>
    <definedName name="expwmoney">[90]Common!$B$9</definedName>
    <definedName name="f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ACTOR_.75">'[41]Macro Tables'!$C$27</definedName>
    <definedName name="FACTOR_.80">'[41]Macro Tables'!$C$28</definedName>
    <definedName name="FACTOR_.85">'[41]Macro Tables'!$C$29</definedName>
    <definedName name="FACTOR_.90">'[41]Macro Tables'!$C$30</definedName>
    <definedName name="FACTOR_.95">'[41]Macro Tables'!$C$31</definedName>
    <definedName name="FACTOR_1">'[41]Macro Tables'!$C$32</definedName>
    <definedName name="FACTOR_1.05">'[41]Macro Tables'!$C$33</definedName>
    <definedName name="FACTOR_1.1">'[41]Macro Tables'!$C$34</definedName>
    <definedName name="FACTOR_1.15">'[41]Macro Tables'!$C$35</definedName>
    <definedName name="FACTOR_1.2">'[41]Macro Tables'!$C$36</definedName>
    <definedName name="FACTOR_1.25">'[41]Macro Tables'!$C$37</definedName>
    <definedName name="Factor_Category_Lookup">'[91]Allocation Factor Categories'!$A$2:$E$58</definedName>
    <definedName name="Factor_Lookup">'[91]Allocation Factors'!$A$8:$B$112</definedName>
    <definedName name="FACTOR_NAME">'[41]Macro Tables'!$C$22</definedName>
    <definedName name="FACTOR_TABLE">'[41]Macro Tables'!$B$27:$C$37</definedName>
    <definedName name="FACTOR_VALUE">'[41]Macro Tables'!$C$23</definedName>
    <definedName name="fafasfasf">#REF!</definedName>
    <definedName name="fair_value">[92]Assumptions!$B$14</definedName>
    <definedName name="fasdfsadf">'[47]2005 CapEx (By VP By Dept) Budg'!$A$3:$P$431</definedName>
    <definedName name="fasfsafasf">#REF!</definedName>
    <definedName name="fasfsdf">#REF!</definedName>
    <definedName name="fasfsfsdfsf">'[47]2005 CapEx (By VP By Dept) Budg'!$A$3:$P$431</definedName>
    <definedName name="fdfsdfsdfsdfsdfsd">'[47]2005 CapEx (By VP By Dept) Budg'!$A$3:$P$431</definedName>
    <definedName name="FDSDFSF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DSDFSF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DSDFS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dsfafs">#REF!</definedName>
    <definedName name="FEBRUARY">[93]Oct!#REF!</definedName>
    <definedName name="FERC.ICC">#REF!</definedName>
    <definedName name="ff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f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ff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ff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f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fff">'[47]2005 CapEx (By VP By Dept) Budg'!$A$3:$P$431</definedName>
    <definedName name="ffmbs">#REF!</definedName>
    <definedName name="fghjghjfgjf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ghjghjfgjf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ghjghjfgj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gsdfgdfgdfhdhdf">'[47]2005 CapEx (By VP By Dept) Budg'!$A$3:$P$431</definedName>
    <definedName name="Finance3">'[58]all EED O&amp;M BO data'!$AF$2:$AF$5000</definedName>
    <definedName name="FinanceOther">'[58]all EED O&amp;M BO data'!$AC$2:$AC$5000</definedName>
    <definedName name="FinDate">#REF!</definedName>
    <definedName name="findate2">[44]Sheet2!$Q$2:$Q$17</definedName>
    <definedName name="findate3">[44]Sheet2!$Q$2:$Q$17</definedName>
    <definedName name="FIT">[94]Common!$C$16</definedName>
    <definedName name="fjriesmd">#REF!</definedName>
    <definedName name="flap">[48]FLAP!$B$5</definedName>
    <definedName name="fmbs">#REF!</definedName>
    <definedName name="fnklsdfjklsgf">'[47]2005 CapEx (By VP By Dept) Budg'!$A$3:$P$431</definedName>
    <definedName name="Forecast">[60]Update!$B$5</definedName>
    <definedName name="fsafsfsaf">#REF!</definedName>
    <definedName name="fsdafasf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afasf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afas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">#REF!</definedName>
    <definedName name="fsdfaf">#REF!</definedName>
    <definedName name="fsdfas">#REF!</definedName>
    <definedName name="fsdfsd">#REF!</definedName>
    <definedName name="fsdfsdfas">#REF!</definedName>
    <definedName name="fsdfsdfsfs">#REF!</definedName>
    <definedName name="fsdfsfs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dfasfa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dfasfa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dfasf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dfsfsf">#REF!</definedName>
    <definedName name="fsdfwer">#REF!</definedName>
    <definedName name="fsfsafkskfsf">#REF!</definedName>
    <definedName name="fsfsafs">#REF!</definedName>
    <definedName name="fsfsdfsafs">'[47]2005 CapEx (By VP By Dept) Budg'!$A$3:$P$431</definedName>
    <definedName name="fsfsfsafasf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fsfsafasf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sfsfsafas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ull_credit">[41]Print!$I$20</definedName>
    <definedName name="Function">'[95]RMC By Func'!$A$2:$C$654</definedName>
    <definedName name="fwrwerwerwerwer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wrwerwerwerwer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wrwerwerwerwer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FY4D">#REF!</definedName>
    <definedName name="G">[76]Allocators!$W$7</definedName>
    <definedName name="GAM83M">#REF!</definedName>
    <definedName name="gatt">[96]TPACT!$B$5:$B$141</definedName>
    <definedName name="gattmale">[96]TPACT!$B$146:$B$282</definedName>
    <definedName name="gdfgdgdg">#REF!</definedName>
    <definedName name="gdfgsdfgsdfgsadf">'[47]2005 CapEx (By VP By Dept) Budg'!$A$3:$P$431</definedName>
    <definedName name="gdistrres">#REF!</definedName>
    <definedName name="gdistrupis">#REF!</definedName>
    <definedName name="GEN_INST">#REF!</definedName>
    <definedName name="GENERAL_HELP">#REF!</definedName>
    <definedName name="GenInput">#REF!</definedName>
    <definedName name="GenPay">#REF!</definedName>
    <definedName name="gfdfxdf">'[47]2005 CapEx (By VP By Dept) Budg'!$A$3:$P$431</definedName>
    <definedName name="gfdsgsdgfsd">'[47]2005 CapEx (By VP By Dept) Budg'!$A$3:$P$431</definedName>
    <definedName name="gfhfhfdhg">#REF!</definedName>
    <definedName name="gg">#REF!</definedName>
    <definedName name="ggg">#REF!</definedName>
    <definedName name="ghjgfj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fj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fj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f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g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g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fjg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jgfjf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jgfjf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hjgjgfj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gprodres">#REF!</definedName>
    <definedName name="gprodupis">#REF!</definedName>
    <definedName name="GR_PRT_RANGE">[41]Gross_Rec!$A$8:$R$52</definedName>
    <definedName name="GRAPH_SELECT">#REF!</definedName>
    <definedName name="GRAPH_TABLE">#REF!</definedName>
    <definedName name="grec8490">[41]Model!$I$50</definedName>
    <definedName name="grec8491">[41]Model!$J$50</definedName>
    <definedName name="grec8492">[41]Model!$K$50</definedName>
    <definedName name="grec8493">[41]Model!$L$50</definedName>
    <definedName name="grec8494">[41]Model!$M$50</definedName>
    <definedName name="grec8495">[41]Model!$N$50</definedName>
    <definedName name="grec8496">[41]Model!$O$50</definedName>
    <definedName name="grec8497">[41]Model!$P$50</definedName>
    <definedName name="grec8498">[41]Model!$Q$50</definedName>
    <definedName name="grec8590">[41]Model!$I$51</definedName>
    <definedName name="grec8591">[41]Model!$J$51</definedName>
    <definedName name="grec8592">[41]Model!$K$51</definedName>
    <definedName name="grec8593">[41]Model!$L$51</definedName>
    <definedName name="grec8594">[41]Model!$M$51</definedName>
    <definedName name="grec8595">[41]Model!$N$51</definedName>
    <definedName name="grec8596">[41]Model!$O$51</definedName>
    <definedName name="grec8597">[41]Model!$P$51</definedName>
    <definedName name="grec8598">[41]Model!$Q$51</definedName>
    <definedName name="grec8690">[41]Model!$I$52</definedName>
    <definedName name="grec8691">[41]Model!$J$52</definedName>
    <definedName name="grec8692">[41]Model!$K$52</definedName>
    <definedName name="grec8693">[41]Model!$L$52</definedName>
    <definedName name="grec8694">[41]Model!$M$52</definedName>
    <definedName name="grec8695">[41]Model!$N$52</definedName>
    <definedName name="grec8696">[41]Model!$O$52</definedName>
    <definedName name="grec8697">[41]Model!$P$52</definedName>
    <definedName name="grec8698">[41]Model!$Q$52</definedName>
    <definedName name="grec8790">[41]Model!$I$53</definedName>
    <definedName name="grec8791">[41]Model!$J$53</definedName>
    <definedName name="grec8792">[41]Model!$K$53</definedName>
    <definedName name="grec8793">[41]Model!$L$53</definedName>
    <definedName name="grec8794">[41]Model!$M$53</definedName>
    <definedName name="grec8795">[41]Model!$N$53</definedName>
    <definedName name="grec8796">[41]Model!$O$53</definedName>
    <definedName name="grec8797">[41]Model!$P$53</definedName>
    <definedName name="grec8798">[41]Model!$Q$53</definedName>
    <definedName name="grec8890">[41]Model!$I$54</definedName>
    <definedName name="grec8891">[41]Model!$J$54</definedName>
    <definedName name="grec8892">[41]Model!$K$54</definedName>
    <definedName name="grec8893">[41]Model!$L$54</definedName>
    <definedName name="grec8894">[41]Model!$M$54</definedName>
    <definedName name="grec8895">[41]Model!$N$54</definedName>
    <definedName name="grec8896">[41]Model!$O$54</definedName>
    <definedName name="grec8897">[41]Model!$P$54</definedName>
    <definedName name="grec8898">[41]Model!$Q$54</definedName>
    <definedName name="gross_rec_caution">[41]Gross_Rec!$51:$52</definedName>
    <definedName name="GRS">[41]Gross_Rec!$B$2:$M$49</definedName>
    <definedName name="grtm1">[41]Print!$I$32</definedName>
    <definedName name="grtm2">[41]Print!$G$32</definedName>
    <definedName name="grtm3">[41]Print!$E$32</definedName>
    <definedName name="grtm4">[41]Print!$C$32</definedName>
    <definedName name="gtransres">#REF!</definedName>
    <definedName name="gtransupis">#REF!</definedName>
    <definedName name="GVKey">""</definedName>
    <definedName name="h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ELP_LOCATOR">#REF!</definedName>
    <definedName name="hh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h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h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hifgfcgfcg">#REF!</definedName>
    <definedName name="hjfjghjgfjgj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fjghjgfjgj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fjghjgfjg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ghjgf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ghjgf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hjghjg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i">[97]Plant!$A$1:$N$62</definedName>
    <definedName name="IDN">#REF!</definedName>
    <definedName name="IL_AG_SRs">'[95]IL-A&amp;G SR Pivot'!$J$5:$K$415</definedName>
    <definedName name="ImplementDate">#REF!</definedName>
    <definedName name="Indirect">[95]IndirectAllocFactors!$C$5:$D$79</definedName>
    <definedName name="INPUT">#N/A</definedName>
    <definedName name="INPUT1">#REF!</definedName>
    <definedName name="INPUT2">#REF!</definedName>
    <definedName name="INPUT3">#REF!</definedName>
    <definedName name="INSERTRANGE">#REF!</definedName>
    <definedName name="INST_MULT_CV">#REF!</definedName>
    <definedName name="INST_PMT_SCHED">#REF!</definedName>
    <definedName name="Instrat3">[44]Sheet2!$P$1:$P$4</definedName>
    <definedName name="INSTRUCT">#REF!</definedName>
    <definedName name="int.rate">#REF!</definedName>
    <definedName name="interest">#REF!</definedName>
    <definedName name="interestrate">#REF!</definedName>
    <definedName name="invdtrat">[44]Sheet2!$P$1:$P$4</definedName>
    <definedName name="InvNbr">#REF!</definedName>
    <definedName name="InvStrat">[98]Sheet2!$P$1:$P$4</definedName>
    <definedName name="InvStratif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"XLL"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39420.5644328704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_BANK" hidden="1">"c2637"</definedName>
    <definedName name="IQ_SP_BANK_ACTION" hidden="1">"c2636"</definedName>
    <definedName name="IQ_SP_BANK_DATE" hidden="1">"c2635"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T">#REF!</definedName>
    <definedName name="IT_VP_name">#REF!</definedName>
    <definedName name="ITBU">#REF!</definedName>
    <definedName name="item_data">[48]FLAP!#REF!</definedName>
    <definedName name="ITVP1">[99]Sheet2!$O$1:$O$6</definedName>
    <definedName name="ITVP2">[44]Sheet2!$O$1:$O$6</definedName>
    <definedName name="itvp5">[44]Sheet2!$O$1:$O$6</definedName>
    <definedName name="JANUARY">'[93]Sep - not used'!#REF!</definedName>
    <definedName name="jeff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eff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ef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ghjgjgfjgj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ghjgjgfjgj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ghjgjgfjg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hyfesg">'[47]2005 CapEx (By VP By Dept) Budg'!$A$3:$P$431</definedName>
    <definedName name="John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ohn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ohn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Jul">#REF!</definedName>
    <definedName name="Jun">#REF!</definedName>
    <definedName name="JV_DETAIL">#REF!</definedName>
    <definedName name="k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et_it">[44]Sheet2!$AE$1:$AE$24</definedName>
    <definedName name="Key_Stakeholder_Interface">#REF!</definedName>
    <definedName name="KeyE1" hidden="1">#REF!</definedName>
    <definedName name="kk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k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k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kk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kk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kkk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abor01">[76]Allocators!$W$22</definedName>
    <definedName name="Labor02">[76]Allocators!$W$20</definedName>
    <definedName name="Labor03">[76]Allocators!$W$18</definedName>
    <definedName name="Labor04">[76]Allocators!$W$7</definedName>
    <definedName name="lastrow">'[41]QRE''s'!$95:$95</definedName>
    <definedName name="Line_No.">#REF!</definedName>
    <definedName name="loilpuioopy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oilpuioopy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oilpuioopy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ONGBUDESCR">#REF!</definedName>
    <definedName name="LOOP_1">#REF!</definedName>
    <definedName name="LOOP_2">#REF!</definedName>
    <definedName name="LOOP_3">#REF!</definedName>
    <definedName name="loss">#REF!</definedName>
    <definedName name="LRP_Data">#REF!</definedName>
    <definedName name="lsdfj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fj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fj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s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s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l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dl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dl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dl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l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l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djfsl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jfls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jfls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sjfl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ltd.bal">#REF!</definedName>
    <definedName name="ltd.cost">#REF!</definedName>
    <definedName name="Macro3">#REF!</definedName>
    <definedName name="Macro4">#REF!</definedName>
    <definedName name="Macro5">#REF!</definedName>
    <definedName name="MACROS">#REF!</definedName>
    <definedName name="Mar">#REF!</definedName>
    <definedName name="May">#REF!</definedName>
    <definedName name="MEDICARE">#REF!</definedName>
    <definedName name="Meet_Cost_Commitments">#REF!</definedName>
    <definedName name="Meet_Production_Commitments">#REF!</definedName>
    <definedName name="mgmfeparg">'[47]2005 CapEx (By VP By Dept) Budg'!$A$3:$P$431</definedName>
    <definedName name="mmmtns">#REF!</definedName>
    <definedName name="mmtns">#REF!</definedName>
    <definedName name="MO_GAS_ACC">#REF!</definedName>
    <definedName name="MO_GAS_PMT">#REF!</definedName>
    <definedName name="modelgrheader">[41]Model!$A$3</definedName>
    <definedName name="modelqreheader">[41]Model!$A$78</definedName>
    <definedName name="MonAct">'[58]all EED O&amp;M BO data'!$E$2:$E$5000</definedName>
    <definedName name="MonBudVar">'[58]all EED O&amp;M BO data'!$H$2:$H$5000</definedName>
    <definedName name="money">[100]Common!$B$13</definedName>
    <definedName name="MonQtrVar">'[58]all EED O&amp;M BO data'!$I$2:$I$5000</definedName>
    <definedName name="Month">[60]Update!$B$2</definedName>
    <definedName name="MonthlyCFBUD">#REF!</definedName>
    <definedName name="MonthlyCFLE">#REF!</definedName>
    <definedName name="mtns">#REF!</definedName>
    <definedName name="mttns">#REF!</definedName>
    <definedName name="MULTCVDATA">#REF!</definedName>
    <definedName name="n">'[20]WPC-11.1a'!#REF!</definedName>
    <definedName name="NDCA">#REF!</definedName>
    <definedName name="ne">'[13]WPC-11.1a'!#REF!</definedName>
    <definedName name="new_98_IS">#REF!,#REF!,#REF!</definedName>
    <definedName name="New_99_IS">'[101]2nd qtr 2000'!$A$1:$I$58,'[101]2nd qtr 2000'!$K$1:$T$58,'[101]2nd qtr 2000'!$V$1:$AI$58</definedName>
    <definedName name="New_BS">#REF!,#REF!,#REF!</definedName>
    <definedName name="NEXT_STEP">[41]Comparison!$CK$14</definedName>
    <definedName name="NOILL">#REF!</definedName>
    <definedName name="NON_MED_NU">#REF!</definedName>
    <definedName name="NON_MED_U">#REF!</definedName>
    <definedName name="NON_UTIL">#REF!</definedName>
    <definedName name="NORTHEAST">#REF!</definedName>
    <definedName name="NORTHWEST">#REF!</definedName>
    <definedName name="Nov">#REF!</definedName>
    <definedName name="Nuclear">#REF!</definedName>
    <definedName name="NvsASD">"V2001-08-31"</definedName>
    <definedName name="NvsAutoDrillOk">"VN"</definedName>
    <definedName name="NvsElapsedTime">0.0000724537021596916</definedName>
    <definedName name="NvsEndTime">36817.4223792824</definedName>
    <definedName name="NvsInstSpec">"%,LACTUALS,SBAL,R,FACCOUNT,V275900,FBUSINESS_UNIT,V10200"</definedName>
    <definedName name="NvsLayoutType">"M3"</definedName>
    <definedName name="NvsNplSpec">"%,XZF.ACCOUNT.PSDetail"</definedName>
    <definedName name="NvsPanelEffdt">"V1995-01-01"</definedName>
    <definedName name="NvsPanelSetid">"VMFG"</definedName>
    <definedName name="NvsParentRef">[102]Sheet1!$E$266</definedName>
    <definedName name="NvsReqBU">"V10200"</definedName>
    <definedName name="NvsReqBUOnly">"VN"</definedName>
    <definedName name="NvsTransLed">"VN"</definedName>
    <definedName name="NvsTreeASD">"V2001-08-31"</definedName>
    <definedName name="NvsValTbl.ACCOUNT">"GL_ACCOUNT_TBL"</definedName>
    <definedName name="NvsValTbl.BUSINESS_UNIT">"BUS_UNIT_TBL_GL"</definedName>
    <definedName name="NvsValTbl.CURRENCY_CD">"CURRENCY_CD_TBL"</definedName>
    <definedName name="OBRADR">#REF!</definedName>
    <definedName name="Oct">#REF!</definedName>
    <definedName name="OMA">'[69]ACT O M'!$D$7:$T$32</definedName>
    <definedName name="OMB">'[69]BUD O M'!$D$7:$O$32</definedName>
    <definedName name="OMD1E">[75]Roadmap!$C$194</definedName>
    <definedName name="OMD2E">[75]Roadmap!$C$195</definedName>
    <definedName name="OMExpenses">#REF!</definedName>
    <definedName name="one">#REF!,#REF!,#REF!</definedName>
    <definedName name="ONM">#REF!</definedName>
    <definedName name="ootherdebt">#REF!</definedName>
    <definedName name="Operational_Excellence_">#REF!</definedName>
    <definedName name="Operational_Execution_And_Safety">#REF!</definedName>
    <definedName name="OPR">'[57]PECO Bal Sht'!#REF!</definedName>
    <definedName name="OtherDebt">#REF!</definedName>
    <definedName name="OtherFinal">#REF!</definedName>
    <definedName name="OtherFinalE">#REF!</definedName>
    <definedName name="page_one">#REF!</definedName>
    <definedName name="page_two">#REF!</definedName>
    <definedName name="PAGE1">#REF!</definedName>
    <definedName name="PAGE2">#REF!</definedName>
    <definedName name="PAGE2A">#REF!</definedName>
    <definedName name="PAGE3">#REF!</definedName>
    <definedName name="PAGE4">#REF!</definedName>
    <definedName name="PAGEA">#REF!</definedName>
    <definedName name="PAGEC">#REF!</definedName>
    <definedName name="PAGEE">#REF!</definedName>
    <definedName name="PD_CLAIMS_NSG1">#REF!</definedName>
    <definedName name="PD_CLAIMS_NSG2">#REF!</definedName>
    <definedName name="PD_CLAIMS_PGL1">#REF!</definedName>
    <definedName name="PD_CLAIMS_PGL2">#REF!</definedName>
    <definedName name="PD_CLAIMS_SUM">#REF!</definedName>
    <definedName name="pe">[41]Print!$A$2</definedName>
    <definedName name="PECO_LABS_FUELS_ALL">#REF!</definedName>
    <definedName name="peco1">'[47]2005 CapEx (By VP By Dept) Budg'!$A$3:$P$382</definedName>
    <definedName name="peco2">'[47]2005 CapEx (By VP By Dept) Budg'!$A$3:$P$382</definedName>
    <definedName name="pecobod45">'[47]2005 CapEx (By VP By Dept) Budg'!$A$3:$P$383</definedName>
    <definedName name="pecomfr3">'[47]2005 CapEx (By VP By Dept) Budg'!$A$3:$P$382</definedName>
    <definedName name="PER">#REF!</definedName>
    <definedName name="Perf_Ratings">'[103]Perf Ratings'!$8:$18</definedName>
    <definedName name="PGCOUNT">'[57]PECO Bal Sht'!#REF!</definedName>
    <definedName name="pgm_pri1">[44]Sheet2!$AF$1:$AF$3</definedName>
    <definedName name="Phase">'[41]Macro Tables'!$F$21</definedName>
    <definedName name="PHASE_HELP">#REF!</definedName>
    <definedName name="PJFTable">'[104]WO Type Id PJF Acct'!$B$7:$O$59</definedName>
    <definedName name="PJFTable2">'[105]WO Type Id PJF Acct'!$C$6:$Q$59</definedName>
    <definedName name="PLACE_HOLD">#REF!</definedName>
    <definedName name="plt1t">[97]Plant!$A$1:$N$54</definedName>
    <definedName name="plt2t">[97]Plant!$A$1:$N$62</definedName>
    <definedName name="PMTSCHEDULE">#REF!</definedName>
    <definedName name="PostDate">#REF!</definedName>
    <definedName name="PowerTeam">#REF!</definedName>
    <definedName name="ppstk">[106]PS!#REF!</definedName>
    <definedName name="prefstk.cost">#REF!</definedName>
    <definedName name="PREPAID_TAX">#REF!</definedName>
    <definedName name="Pri">#REF!</definedName>
    <definedName name="Print_98_IS">#REF!,#REF!,#REF!</definedName>
    <definedName name="Print_99_IS">'[101]2nd qtr 2000'!$D$1:$I$58,'[101]2nd qtr 2000'!$N$1:$T$58,'[101]2nd qtr 2000'!$AA$1:$AH$57</definedName>
    <definedName name="_xlnm.Print_Area" localSheetId="6">'MEEIA 2 adjs'!$A$1:$Q$15</definedName>
    <definedName name="_xlnm.Print_Area" localSheetId="5">'MEEIA 2 calcs'!$A$1:$AV$105</definedName>
    <definedName name="_xlnm.Print_Area" localSheetId="2">'MEEIA 3 adjs'!$A$1:$B$2</definedName>
    <definedName name="_xlnm.Print_Area" localSheetId="0">'MEEIA 3 calcs'!$A$1:$O$75</definedName>
    <definedName name="_xlnm.Print_Area">#REF!</definedName>
    <definedName name="Print_Area_MI">#REF!</definedName>
    <definedName name="Print_Area1">#REF!</definedName>
    <definedName name="Print_BS">#REF!,#REF!,#REF!</definedName>
    <definedName name="PRINT_SET_UP">#REF!</definedName>
    <definedName name="Print_TFI_use">'[107]TFI use'!$A$1:$P$40,'[107]TFI use'!$A$42:$P$65,'[107]TFI use'!$A$67:$R$84</definedName>
    <definedName name="_xlnm.Print_Titles">#REF!,#REF!</definedName>
    <definedName name="PrintA">#REF!</definedName>
    <definedName name="PrintArea">#REF!</definedName>
    <definedName name="PRINTLOGO">#REF!</definedName>
    <definedName name="PRINTPRINTIT">#REF!</definedName>
    <definedName name="Prior">#REF!</definedName>
    <definedName name="PriorQTREnd">[66]SETUP!#REF!</definedName>
    <definedName name="PRNFILE">#REF!</definedName>
    <definedName name="prod04">'[28]WPC-11.1a'!#REF!</definedName>
    <definedName name="Profitability_">#REF!</definedName>
    <definedName name="proforma2">#REF!</definedName>
    <definedName name="Projects">'[95]Projects 2006'!$A:$C</definedName>
    <definedName name="Property">#REF!</definedName>
    <definedName name="PropertyE">#REF!</definedName>
    <definedName name="PRT_COMPARE">#REF!</definedName>
    <definedName name="PRT_GR">#REF!</definedName>
    <definedName name="PRT_GRAPH_RTN">#REF!</definedName>
    <definedName name="PRT_GRAPHS">#REF!</definedName>
    <definedName name="PRT_GRAPHS?">#REF!</definedName>
    <definedName name="PRT_GRPH_1">#REF!</definedName>
    <definedName name="PRT_GRPH_10">#REF!</definedName>
    <definedName name="PRT_GRPH_11">#REF!</definedName>
    <definedName name="PRT_GRPH_12">#REF!</definedName>
    <definedName name="PRT_GRPH_2">#REF!</definedName>
    <definedName name="PRT_GRPH_3">#REF!</definedName>
    <definedName name="PRT_GRPH_4">#REF!</definedName>
    <definedName name="PRT_GRPH_5">#REF!</definedName>
    <definedName name="PRT_GRPH_6">#REF!</definedName>
    <definedName name="PRT_GRPH_7">#REF!</definedName>
    <definedName name="PRT_GRPH_8">#REF!</definedName>
    <definedName name="PRT_GRPH_9">#REF!</definedName>
    <definedName name="PRT_MODEL">#REF!</definedName>
    <definedName name="PRT_QRES">#REF!</definedName>
    <definedName name="PRT_REPORT_RTN">#REF!</definedName>
    <definedName name="PRT_REPORTS">#REF!</definedName>
    <definedName name="PRT_REPORTS?">#REF!</definedName>
    <definedName name="PRT_RESET">#REF!</definedName>
    <definedName name="pstk.bal">#REF!</definedName>
    <definedName name="pstk.cost">[108]PS!#REF!</definedName>
    <definedName name="PY_ytd">[49]Administrator!$I$60</definedName>
    <definedName name="pymonth">[66]SETUP!$C$26</definedName>
    <definedName name="QES">'[41]Gross_Rec:QRE''s'!$B$53:$N$112</definedName>
    <definedName name="qq">#REF!</definedName>
    <definedName name="qqqq">#REF!</definedName>
    <definedName name="qre">'[109]IDR 15'!$A$1:$H$214</definedName>
    <definedName name="QRE_HELP">#REF!</definedName>
    <definedName name="QRE_MARGINS">#REF!</definedName>
    <definedName name="QRE_SUMMARY">'[41]QRE''s'!$A$7:$R$102</definedName>
    <definedName name="qsqe">#REF!</definedName>
    <definedName name="QuarterEndDate">[66]SETUP!#REF!</definedName>
    <definedName name="Range1">'[81]One Year Credit Facility'!$A$23:$D$34</definedName>
    <definedName name="Range10">#REF!</definedName>
    <definedName name="Range11">#REF!</definedName>
    <definedName name="Range12">#REF!</definedName>
    <definedName name="Range13">#REF!</definedName>
    <definedName name="Range14">#REF!</definedName>
    <definedName name="Range15">#REF!</definedName>
    <definedName name="Range16">#REF!</definedName>
    <definedName name="Range17">#REF!</definedName>
    <definedName name="Range18">#REF!</definedName>
    <definedName name="Range19">#REF!</definedName>
    <definedName name="Range2">#REF!</definedName>
    <definedName name="Range20">#REF!</definedName>
    <definedName name="Range21">#REF!</definedName>
    <definedName name="Range22">#REF!</definedName>
    <definedName name="Range23">#REF!</definedName>
    <definedName name="Range24">#REF!</definedName>
    <definedName name="Range25">#REF!</definedName>
    <definedName name="Range26">#REF!</definedName>
    <definedName name="Range27">#REF!</definedName>
    <definedName name="Range28">#REF!</definedName>
    <definedName name="Range29">#REF!</definedName>
    <definedName name="Range3">'[81]Three Year Credit Facility'!$A$22:$D$57</definedName>
    <definedName name="Range30">#REF!</definedName>
    <definedName name="Range31">#REF!</definedName>
    <definedName name="Range32">#REF!</definedName>
    <definedName name="Range33">#REF!</definedName>
    <definedName name="Range34">#REF!</definedName>
    <definedName name="Range35">#REF!</definedName>
    <definedName name="Range36">#REF!</definedName>
    <definedName name="Range37">#REF!</definedName>
    <definedName name="Range38">#REF!</definedName>
    <definedName name="Range39">#REF!</definedName>
    <definedName name="Range4">#REF!</definedName>
    <definedName name="Range40">#REF!</definedName>
    <definedName name="Range41">#REF!</definedName>
    <definedName name="Range5">#REF!</definedName>
    <definedName name="Range6">#REF!</definedName>
    <definedName name="Range7">#REF!</definedName>
    <definedName name="Range8">#REF!</definedName>
    <definedName name="Range9">#REF!</definedName>
    <definedName name="Rate_Class">#REF!</definedName>
    <definedName name="rate_classE">#REF!</definedName>
    <definedName name="rate90">[41]Model!$I$175</definedName>
    <definedName name="rate91">[41]Model!$J$175</definedName>
    <definedName name="rate92">[41]Model!$K$175</definedName>
    <definedName name="rate93">[41]Model!$L$175</definedName>
    <definedName name="rate94">[41]Model!$M$175</definedName>
    <definedName name="rate95">[41]Model!$N$175</definedName>
    <definedName name="rate96">[41]Model!$O$175</definedName>
    <definedName name="rate97">[41]Model!$P$175</definedName>
    <definedName name="rate98">[41]Model!$Q$175</definedName>
    <definedName name="rb2E">[27]Roadmap!$C$111</definedName>
    <definedName name="RBD1E">[75]Roadmap!$C$192</definedName>
    <definedName name="rbd2e">[75]Roadmap!$C$193</definedName>
    <definedName name="rbnoyear">[90]Common!$B$7</definedName>
    <definedName name="rbtitle">[19]Common!$B$6</definedName>
    <definedName name="rbtitlee">[12]Common!$B$6</definedName>
    <definedName name="RBU">'[57]PECO Bal Sht'!#REF!</definedName>
    <definedName name="rbwmoney">[90]Common!$B$5</definedName>
    <definedName name="reawreqw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reawreqw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reawreqw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REB1P1">#REF!</definedName>
    <definedName name="_xlnm.Recorder">#REF!</definedName>
    <definedName name="reduced_credit">[41]Print!$I$22</definedName>
    <definedName name="reduced_credit_caption">[41]Print!$G$22</definedName>
    <definedName name="Refresh_Report">[72]!Refresh_Report</definedName>
    <definedName name="REPORT_SELECT">#REF!</definedName>
    <definedName name="REPORT_TABLE">#REF!</definedName>
    <definedName name="ReportingDate">[64]SETUP!$C$11</definedName>
    <definedName name="ReqDate">#REF!</definedName>
    <definedName name="RESET_SENS_FACT">#REF!</definedName>
    <definedName name="ResourceType">'[95]Resource Types'!$A$2:$B$118</definedName>
    <definedName name="RETURN">#REF!</definedName>
    <definedName name="RID">#REF!</definedName>
    <definedName name="RMC">'[95]RMC-Descrip'!$A$2:$B$875</definedName>
    <definedName name="rmc2e">'[11]RMC-Descrip'!#REF!</definedName>
    <definedName name="ROA">#REF!</definedName>
    <definedName name="RoleMapColumn">#REF!</definedName>
    <definedName name="RoleMapRow">#REF!</definedName>
    <definedName name="RoleMapTable">#REF!</definedName>
    <definedName name="RtdEarnings">#REF!</definedName>
    <definedName name="rtdearningse">#REF!</definedName>
    <definedName name="RWOEstimates">'[110]Estimate Grouping RWOs'!$A$5:$H$81</definedName>
    <definedName name="rwrw">#REF!</definedName>
    <definedName name="s">#REF!</definedName>
    <definedName name="saaaagd">'[47]2005 CapEx (By VP By Dept) Budg'!$A$3:$P$431</definedName>
    <definedName name="saaanghvi21">'[47]2005 CapEx (By VP By Dept) Budg'!$A$3:$P$431</definedName>
    <definedName name="safasdfsad">'[47]2005 CapEx (By VP By Dept) Budg'!$A$3:$P$431</definedName>
    <definedName name="Safety_Workforce_Eff_">#REF!</definedName>
    <definedName name="saff">'[47]2005 CapEx (By VP By Dept) Budg'!$A$3:$P$431</definedName>
    <definedName name="safsafs">#REF!</definedName>
    <definedName name="safsfsad">#REF!</definedName>
    <definedName name="safsgfsdf">'[47]2005 CapEx (By VP By Dept) Budg'!$A$3:$P$431</definedName>
    <definedName name="salkgasgs">'[47]2005 CapEx (By VP By Dept) Budg'!$A$3:$P$431</definedName>
    <definedName name="Sample">#REF!</definedName>
    <definedName name="Sample_2_VLookup">#REF!</definedName>
    <definedName name="Sample_VLookup">#REF!</definedName>
    <definedName name="Sample2">#REF!</definedName>
    <definedName name="sanahgsg">'[47]2005 CapEx (By VP By Dept) Budg'!$A$3:$P$431</definedName>
    <definedName name="sangg">'[47]2005 CapEx (By VP By Dept) Budg'!$A$3:$P$431</definedName>
    <definedName name="sangh">#REF!</definedName>
    <definedName name="sanghiii">'[47]2005 CapEx (By VP By Dept) Budg'!$A$3:$P$431</definedName>
    <definedName name="sanghvi">'[47]2005 CapEx (By VP By Dept) Budg'!$A$3:$P$431</definedName>
    <definedName name="sanghvi215">#REF!</definedName>
    <definedName name="sanghvi231">'[47]2005 CapEx (By VP By Dept) Budg'!$A$3:$P$431</definedName>
    <definedName name="sanghvi232">#REF!</definedName>
    <definedName name="sanghvi2323">#REF!</definedName>
    <definedName name="SAPBEXrevision" hidden="1">18</definedName>
    <definedName name="SAPBEXsysID" hidden="1">"BWP"</definedName>
    <definedName name="SAPBEXwbID" hidden="1">"3PHPFV8FO7PRQRDHFGKHVVOKV"</definedName>
    <definedName name="sasas">'[47]2005 CapEx (By VP By Dept) Budg'!$A$3:$P$431</definedName>
    <definedName name="saSAsa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aSAsa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aSAs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asg">#REF!</definedName>
    <definedName name="SBU_SHEET_HELP">#REF!</definedName>
    <definedName name="sch.A">#REF!</definedName>
    <definedName name="sch.b._FERC_ICC">#REF!</definedName>
    <definedName name="Schedule_CC1">[41]Model!$1:$75</definedName>
    <definedName name="Schedule_CC2">[41]Model!$76:$151</definedName>
    <definedName name="Schedule_CC3">[41]Model!$152:$207</definedName>
    <definedName name="SCHUYLKILL">#REF!</definedName>
    <definedName name="sdajsadf">'[47]2005 CapEx (By VP By Dept) Budg'!$A$3:$P$431</definedName>
    <definedName name="sdasda">#REF!</definedName>
    <definedName name="sdf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adfasdfasdaasdfsdf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adfasdfasdaasdfsdf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adfasdfasdaasdf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dfafsdf">'[47]2005 CapEx (By VP By Dept) Budg'!$A$3:$P$431</definedName>
    <definedName name="sdfafsd">#REF!</definedName>
    <definedName name="sdfasdfasdfasdfasdfsdf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sdfasdfasdfasdfsdf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sdfasdfasdfasdf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asfasfasfsdf">#REF!</definedName>
    <definedName name="sdfasfsf">#REF!</definedName>
    <definedName name="sdfdfafaf">'[47]2005 CapEx (By VP By Dept) Budg'!$A$3:$P$431</definedName>
    <definedName name="sdfdfsf">#REF!</definedName>
    <definedName name="sdfds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ds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ds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fsfaf">#REF!</definedName>
    <definedName name="sdfsadfsf">#REF!</definedName>
    <definedName name="sdfsdfafasf">'[47]2005 CapEx (By VP By Dept) Budg'!$A$3:$P$431</definedName>
    <definedName name="sdfsdfdfdf">#REF!</definedName>
    <definedName name="sdfsdffsdfasfsdfsfasfsdfsfsdf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fsdfasfsdfsfasfsdfsfsdf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fsdfasfsdfsfasfsdfsfsdf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s">#REF!</definedName>
    <definedName name="sdfsdfsdasdfsd">#REF!</definedName>
    <definedName name="sdfsdfsdf">'[47]2005 CapEx (By VP By Dept) Budg'!$A$3:$P$431</definedName>
    <definedName name="sdfsdfsdfsdfsdf">#REF!</definedName>
    <definedName name="sdfsdfsfsa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sfsa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dfsfs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dfsf">#REF!</definedName>
    <definedName name="sdgf" hidden="1">#REF!</definedName>
    <definedName name="sdgrsdfsfsdsd">'[47]2005 CapEx (By VP By Dept) Budg'!$A$3:$P$431</definedName>
    <definedName name="sdsdsa">#REF!</definedName>
    <definedName name="sdsdsddsf">'[47]2005 CapEx (By VP By Dept) Budg'!$A$3:$P$431</definedName>
    <definedName name="sefasdfasdfsdf">'[47]2005 CapEx (By VP By Dept) Budg'!$A$3:$P$431</definedName>
    <definedName name="SendCk">#REF!</definedName>
    <definedName name="SendMC">#REF!</definedName>
    <definedName name="SENS_DATA_RTN">#REF!</definedName>
    <definedName name="SENS_MESSAGE">#REF!</definedName>
    <definedName name="SENS_NET_CREDIT">[41]Sens_Model!$E$193</definedName>
    <definedName name="Sep">#REF!</definedName>
    <definedName name="SERP">#REF!</definedName>
    <definedName name="sf">#REF!</definedName>
    <definedName name="SFDD">'[57]PECO Bal Sht'!#REF!</definedName>
    <definedName name="sffsfa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fsfa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fsfa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sd">#REF!</definedName>
    <definedName name="sfsdfasf">#REF!</definedName>
    <definedName name="sfsdfsafsf">#REF!</definedName>
    <definedName name="sfsdfsdf">#REF!</definedName>
    <definedName name="sfsdfsfsfsd">#REF!</definedName>
    <definedName name="sfsf">'[47]2005 CapEx (By VP By Dept) Budg'!$A$3:$P$431</definedName>
    <definedName name="sfsfasfsdfsdf">'[47]2005 CapEx (By VP By Dept) Budg'!$A$3:$P$431</definedName>
    <definedName name="SFSFD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SFD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SFD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fsfs">'[47]2005 CapEx (By VP By Dept) Budg'!$A$3:$P$431</definedName>
    <definedName name="sfsfsf">#REF!</definedName>
    <definedName name="sfsssr">#REF!</definedName>
    <definedName name="SFVD">'[57]PECO Bal Sht'!#REF!</definedName>
    <definedName name="sgggggkjjkkj">#REF!</definedName>
    <definedName name="shedulecc1">[41]Model!$1:$68</definedName>
    <definedName name="Sheet1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heet1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heet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IT">[94]Common!$C$15</definedName>
    <definedName name="SLA_Unit_Cost">#REF!</definedName>
    <definedName name="slldk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lldk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lldk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SMRPEast">'[71]SMRP Results'!$H$28:$I$34</definedName>
    <definedName name="SMRPWest">'[71]SMRP Results'!$H$37:$I$43</definedName>
    <definedName name="snfsdfs">'[47]2005 CapEx (By VP By Dept) Budg'!$A$3:$P$431</definedName>
    <definedName name="snghviw">'[47]2005 CapEx (By VP By Dept) Budg'!$A$3:$P$431</definedName>
    <definedName name="solver_adj" hidden="1">#REF!,#REF!,#REF!,#REF!,#REF!,#REF!,#REF!</definedName>
    <definedName name="solver_lin" hidden="1">0</definedName>
    <definedName name="solver_num" hidden="1">0</definedName>
    <definedName name="solver_tmp" hidden="1">#REF!,#REF!,#REF!,#REF!,#REF!,#REF!,#REF!</definedName>
    <definedName name="solver_typ" hidden="1">1</definedName>
    <definedName name="solver_val" hidden="1">0</definedName>
    <definedName name="SortE" hidden="1">#REF!</definedName>
    <definedName name="SOUTH">#REF!</definedName>
    <definedName name="SPSet">"current"</definedName>
    <definedName name="SPWS_WBID">"5212E8AE-A962-4131-8FBC-A40040E9ED32"</definedName>
    <definedName name="SR">#REF!</definedName>
    <definedName name="SR_To_Allocation_Lookup">[91]Sheet1!$B$2:$D$2122</definedName>
    <definedName name="ss">#REF!</definedName>
    <definedName name="start84">'[41]QRE''s'!$D$8</definedName>
    <definedName name="start85">'[41]QRE''s'!$E$8</definedName>
    <definedName name="start86">'[41]QRE''s'!$F$8</definedName>
    <definedName name="start87">'[41]QRE''s'!$G$8</definedName>
    <definedName name="start88">'[41]QRE''s'!$H$8</definedName>
    <definedName name="start89">'[41]QRE''s'!$I$8</definedName>
    <definedName name="start90">'[41]QRE''s'!$J$8</definedName>
    <definedName name="start91">'[41]QRE''s'!$K$8</definedName>
    <definedName name="start92">'[41]QRE''s'!$L$8</definedName>
    <definedName name="start93">'[41]QRE''s'!$M$8</definedName>
    <definedName name="start94">'[41]QRE''s'!$N$8</definedName>
    <definedName name="start95">'[41]QRE''s'!$O$8</definedName>
    <definedName name="start96">'[41]QRE''s'!$P$8</definedName>
    <definedName name="start97">'[41]QRE''s'!$Q$8</definedName>
    <definedName name="start98">'[41]QRE''s'!$R$8</definedName>
    <definedName name="StartDate">#REF!</definedName>
    <definedName name="startdate2">[44]Sheet2!$Q$1:$Q$17</definedName>
    <definedName name="startdte">[44]Sheet2!$Q$1:$Q$17</definedName>
    <definedName name="startdte4">[44]Sheet2!$Q$1:$Q$17</definedName>
    <definedName name="std.bal">#REF!</definedName>
    <definedName name="std.cwip.bal">#REF!</definedName>
    <definedName name="STM_ACC">#REF!</definedName>
    <definedName name="STM_PMT">#REF!</definedName>
    <definedName name="SUMMARY">#REF!</definedName>
    <definedName name="summary_caution">[41]Model!$202:$207</definedName>
    <definedName name="Sx">#REF!</definedName>
    <definedName name="T">[1]JobDefinition!#REF!</definedName>
    <definedName name="TABLE">'[111]Alloc Table'!$A$1:$K$39</definedName>
    <definedName name="TAX_EXP">#REF!</definedName>
    <definedName name="tblActivity_Key">#REF!</definedName>
    <definedName name="tblActivity_Key_OLD">#REF!</definedName>
    <definedName name="tblCharts">'[41]Macro Tables'!$I$5:$I$16</definedName>
    <definedName name="tblHelp">'[41]Macro Tables'!$N$5:$N$16</definedName>
    <definedName name="tblReports">'[41]Macro Tables'!$B$5:$B$16</definedName>
    <definedName name="tblWorksheets">'[41]Macro Tables'!$E$5:$E$16</definedName>
    <definedName name="td01e">'[12]WPC-11.1a'!$J$115</definedName>
    <definedName name="td02e">'[12]WPC-11.1a'!$J$86</definedName>
    <definedName name="td03e">'[12]WPC-11.1a'!$J$57</definedName>
    <definedName name="td04e">'[28]WPC-11.1a'!$J$26</definedName>
    <definedName name="tdg01e">'[12]WPC-11.1a'!$H$123</definedName>
    <definedName name="tdg02e">'[12]WPC-11.1a'!$H$94</definedName>
    <definedName name="tdg03e">'[12]WPC-11.1a'!$H$65</definedName>
    <definedName name="tdg04e">'[12]WPC-11.1a'!$H$36</definedName>
    <definedName name="TempInvDec">#REF!</definedName>
    <definedName name="tempinvdece">#REF!</definedName>
    <definedName name="TempInvSept">#REF!</definedName>
    <definedName name="temptinsepte">#REF!</definedName>
    <definedName name="TepmInv4thQtr">#REF!</definedName>
    <definedName name="tepminv4thqtre">#REF!</definedName>
    <definedName name="TEST">#REF!</definedName>
    <definedName name="three">#REF!,#REF!,#REF!</definedName>
    <definedName name="titlewomoney">[28]Common!#REF!</definedName>
    <definedName name="titlewomoneye">[28]Common!#REF!</definedName>
    <definedName name="TOT_CO_ACC">#REF!</definedName>
    <definedName name="TOT_CO_PMTS">#REF!</definedName>
    <definedName name="TOT_CO_PR_AC">#REF!</definedName>
    <definedName name="TOT_CO_PR_PMT">#REF!</definedName>
    <definedName name="Total">[48]FLAP!#REF!</definedName>
    <definedName name="TOTAL_AMT">[48]FLAP!#REF!</definedName>
    <definedName name="total84">'[41]QRE''s'!$D$96</definedName>
    <definedName name="total85">'[41]QRE''s'!$E$96</definedName>
    <definedName name="total86">'[41]QRE''s'!$F$96</definedName>
    <definedName name="total87">'[41]QRE''s'!$G$96</definedName>
    <definedName name="total88">'[41]QRE''s'!$H$96</definedName>
    <definedName name="total89">'[41]QRE''s'!$I$96</definedName>
    <definedName name="total90">'[41]QRE''s'!$J$96</definedName>
    <definedName name="total91">'[41]QRE''s'!$K$96</definedName>
    <definedName name="total92">'[41]QRE''s'!$L$96</definedName>
    <definedName name="total93">'[41]QRE''s'!$M$96</definedName>
    <definedName name="total94">'[41]QRE''s'!$N$96</definedName>
    <definedName name="total95">'[41]QRE''s'!$O$96</definedName>
    <definedName name="total96">'[41]QRE''s'!$P$96</definedName>
    <definedName name="total97">'[41]QRE''s'!$Q$96</definedName>
    <definedName name="total98">'[41]QRE''s'!$R$96</definedName>
    <definedName name="TOTALS">#REF!</definedName>
    <definedName name="totalse">#REF!</definedName>
    <definedName name="TP_Footer_Path" hidden="1">"S:\74639\03RET\(417) 2004 Cost Projection\"</definedName>
    <definedName name="TP_Footer_Path1" hidden="1">"S:\74639\03RET\(852) Pension Val - OOS\Contribution Allocations\"</definedName>
    <definedName name="TP_Footer_User" hidden="1">"Mary Lou Barrios"</definedName>
    <definedName name="TP_Footer_Version" hidden="1">"v3.00"</definedName>
    <definedName name="trans04">#REF!</definedName>
    <definedName name="Tree">#REF!</definedName>
    <definedName name="two">#REF!,#REF!,#REF!</definedName>
    <definedName name="TY">[112]Input!$B$5</definedName>
    <definedName name="TypeCost">'[58]all EED O&amp;M BO data'!$V$2:$V$5000</definedName>
    <definedName name="tyty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tyty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tyty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U">#REF!</definedName>
    <definedName name="UNANT">#REF!</definedName>
    <definedName name="UNBILLED">#REF!</definedName>
    <definedName name="unit">#REF!</definedName>
    <definedName name="unite">[75]Roadmap!$C$190</definedName>
    <definedName name="units">[31]INDEX!$B$160</definedName>
    <definedName name="unitse">[78]INDEX!$B$160</definedName>
    <definedName name="UnknownProj">'[95]UnknownProj#'!$C:$D</definedName>
    <definedName name="UNT">#REF!</definedName>
    <definedName name="UTILRANGE">#REF!</definedName>
    <definedName name="ValuationYear">'[113]FAS 87'!$B$3</definedName>
    <definedName name="vcbcvbcv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vcbcvbcv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vcbcvbcv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VndName">#REF!</definedName>
    <definedName name="vvv">#REF!</definedName>
    <definedName name="vxcvxc">'[47]2005 CapEx (By VP By Dept) Budg'!$A$3:$P$431</definedName>
    <definedName name="vxcvxcvx">'[47]2005 CapEx (By VP By Dept) Budg'!$A$3:$P$431</definedName>
    <definedName name="vxvxvxcvxc">'[47]2005 CapEx (By VP By Dept) Budg'!$A$3:$P$431</definedName>
    <definedName name="vxzvxcvxzcvxcv">'[47]2005 CapEx (By VP By Dept) Budg'!$A$3:$P$431</definedName>
    <definedName name="wearwerawer">#REF!</definedName>
    <definedName name="wer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wer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wer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werw3">#REF!</definedName>
    <definedName name="werwerwe">#REF!</definedName>
    <definedName name="WESTERN">#REF!</definedName>
    <definedName name="Workforce">#REF!</definedName>
    <definedName name="WPCUT">#REF!</definedName>
    <definedName name="wrn.Aging._.and._.Trend._.Analysis." localSheetId="6" hidden="1">{#N/A,#N/A,FALSE,"Aging Summary";#N/A,#N/A,FALSE,"Ratio Analysis";#N/A,#N/A,FALSE,"Test 120 Day Accts";#N/A,#N/A,FALSE,"Tickmarks"}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page1." localSheetId="6" hidden="1">{"page1",#N/A,FALSE,"260"}</definedName>
    <definedName name="wrn.page1." localSheetId="1" hidden="1">{"page1",#N/A,FALSE,"260"}</definedName>
    <definedName name="wrn.page1." hidden="1">{"page1",#N/A,FALSE,"260"}</definedName>
    <definedName name="wrn.PrintAll.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wrn.PrintAll.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wrn.PrintAll.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wrn.R_D._.Tax._.Services." localSheetId="6" hidden="1">{#N/A,#N/A,FALSE,"R&amp;D Quick Calc";#N/A,#N/A,FALSE,"DOE Fee Schedule"}</definedName>
    <definedName name="wrn.R_D._.Tax._.Services." localSheetId="1" hidden="1">{#N/A,#N/A,FALSE,"R&amp;D Quick Calc";#N/A,#N/A,FALSE,"DOE Fee Schedule"}</definedName>
    <definedName name="wrn.R_D._.Tax._.Services." hidden="1">{#N/A,#N/A,FALSE,"R&amp;D Quick Calc";#N/A,#N/A,FALSE,"DOE Fee Schedule"}</definedName>
    <definedName name="ww">#REF!</definedName>
    <definedName name="wwww">#REF!</definedName>
    <definedName name="xcvxvx">#REF!</definedName>
    <definedName name="xvsdgsgfsf">'[47]2005 CapEx (By VP By Dept) Budg'!$A$3:$P$431</definedName>
    <definedName name="xvxvxzvxc">#REF!</definedName>
    <definedName name="xx">#REF!</definedName>
    <definedName name="xxx">#REF!</definedName>
    <definedName name="xxxx">#REF!</definedName>
    <definedName name="xzczczczxc">#REF!</definedName>
    <definedName name="y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y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y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YEAct">'[58]all EED O&amp;M BO data'!$O$2:$O$5000</definedName>
    <definedName name="Year">'[59]#REF'!$B$1</definedName>
    <definedName name="YEBudVar">'[58]all EED O&amp;M BO data'!$R$2:$R$5000</definedName>
    <definedName name="YEQtrVar">'[58]all EED O&amp;M BO data'!$S$2:$S$5000</definedName>
    <definedName name="YesNo">#REF!</definedName>
    <definedName name="YORK_COUNTY">#REF!</definedName>
    <definedName name="yrtm1">[41]Print!$I$31</definedName>
    <definedName name="yrtm2">[41]Print!$G$31</definedName>
    <definedName name="yrtm3">[41]Print!$E$31</definedName>
    <definedName name="yrtm4">[41]Print!$C$31</definedName>
    <definedName name="yryryrr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yryryrr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yryryrr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YTDAct">'[58]all EED O&amp;M BO data'!$J$2:$J$5000</definedName>
    <definedName name="YTDBudVar">'[58]all EED O&amp;M BO data'!$M$2:$M$5000</definedName>
    <definedName name="YTDCFLE">#REF!</definedName>
    <definedName name="YTDQtrVar">'[58]all EED O&amp;M BO data'!$N$2:$N$5000</definedName>
    <definedName name="z" localSheetId="6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z" localSheetId="1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z" hidden="1">{#N/A,#N/A,FALSE,"Monthly SAIFI";#N/A,#N/A,FALSE,"Yearly SAIFI";#N/A,#N/A,FALSE,"Monthly CAIDI";#N/A,#N/A,FALSE,"Yearly CAIDI";#N/A,#N/A,FALSE,"Monthly SAIDI";#N/A,#N/A,FALSE,"Yearly SAIDI";#N/A,#N/A,FALSE,"Monthly MAIFI";#N/A,#N/A,FALSE,"Yearly MAIFI";#N/A,#N/A,FALSE,"Monthly Cust &gt;=4 Int"}</definedName>
    <definedName name="Zxczxczczc">'[47]2005 CapEx (By VP By Dept) Budg'!$A$3:$P$431</definedName>
    <definedName name="zxdc">[114]Update!$B$2</definedName>
    <definedName name="zz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CH27" i="11" l="1"/>
  <c r="CG27" i="11"/>
  <c r="CF27" i="11"/>
  <c r="CE27" i="11"/>
  <c r="CD27" i="11"/>
  <c r="CC27" i="11"/>
  <c r="CB27" i="11"/>
  <c r="CA27" i="11"/>
  <c r="BZ27" i="11"/>
  <c r="BY27" i="11"/>
  <c r="BX27" i="11"/>
  <c r="BW27" i="11"/>
  <c r="BV27" i="11"/>
  <c r="BU27" i="11"/>
  <c r="BT27" i="11"/>
  <c r="CH26" i="11"/>
  <c r="CG26" i="11"/>
  <c r="CF26" i="11"/>
  <c r="CE26" i="11"/>
  <c r="CD26" i="11"/>
  <c r="CC26" i="11"/>
  <c r="CB26" i="11"/>
  <c r="CA26" i="11"/>
  <c r="BZ26" i="11"/>
  <c r="BY26" i="11"/>
  <c r="BX26" i="11"/>
  <c r="BW26" i="11"/>
  <c r="BV26" i="11"/>
  <c r="BU26" i="11"/>
  <c r="BT26" i="11"/>
  <c r="CH25" i="11"/>
  <c r="CG25" i="11"/>
  <c r="CF25" i="11"/>
  <c r="CE25" i="11"/>
  <c r="CD25" i="11"/>
  <c r="CC25" i="11"/>
  <c r="CB25" i="11"/>
  <c r="CA25" i="11"/>
  <c r="BZ25" i="11"/>
  <c r="BY25" i="11"/>
  <c r="BX25" i="11"/>
  <c r="BW25" i="11"/>
  <c r="BV25" i="11"/>
  <c r="BU25" i="11"/>
  <c r="BT25" i="11"/>
  <c r="CH24" i="11"/>
  <c r="CG24" i="11"/>
  <c r="CF24" i="11"/>
  <c r="CE24" i="11"/>
  <c r="CD24" i="11"/>
  <c r="CC24" i="11"/>
  <c r="CB24" i="11"/>
  <c r="CA24" i="11"/>
  <c r="BZ24" i="11"/>
  <c r="BY24" i="11"/>
  <c r="BX24" i="11"/>
  <c r="BW24" i="11"/>
  <c r="BV24" i="11"/>
  <c r="BU24" i="11"/>
  <c r="BT24" i="11"/>
  <c r="CH23" i="11"/>
  <c r="CG23" i="11"/>
  <c r="CF23" i="11"/>
  <c r="CE23" i="11"/>
  <c r="CD23" i="11"/>
  <c r="CC23" i="11"/>
  <c r="CB23" i="11"/>
  <c r="CA23" i="11"/>
  <c r="BZ23" i="11"/>
  <c r="BY23" i="11"/>
  <c r="BX23" i="11"/>
  <c r="BW23" i="11"/>
  <c r="BV23" i="11"/>
  <c r="BU23" i="11"/>
  <c r="BT23" i="11"/>
  <c r="AX27" i="28"/>
  <c r="AW27" i="28"/>
  <c r="AV27" i="28"/>
  <c r="AU27" i="28"/>
  <c r="AT27" i="28"/>
  <c r="AS27" i="28"/>
  <c r="AR27" i="28"/>
  <c r="AQ27" i="28"/>
  <c r="AP27" i="28"/>
  <c r="AO27" i="28"/>
  <c r="AN27" i="28"/>
  <c r="AM27" i="28"/>
  <c r="AL27" i="28"/>
  <c r="AK27" i="28"/>
  <c r="AJ27" i="28"/>
  <c r="AX26" i="28"/>
  <c r="AW26" i="28"/>
  <c r="AV26" i="28"/>
  <c r="AU26" i="28"/>
  <c r="AT26" i="28"/>
  <c r="AS26" i="28"/>
  <c r="AR26" i="28"/>
  <c r="AQ26" i="28"/>
  <c r="AP26" i="28"/>
  <c r="AO26" i="28"/>
  <c r="AN26" i="28"/>
  <c r="AM26" i="28"/>
  <c r="AL26" i="28"/>
  <c r="AK26" i="28"/>
  <c r="AJ26" i="28"/>
  <c r="AX25" i="28"/>
  <c r="AW25" i="28"/>
  <c r="AV25" i="28"/>
  <c r="AU25" i="28"/>
  <c r="AT25" i="28"/>
  <c r="AS25" i="28"/>
  <c r="AR25" i="28"/>
  <c r="AQ25" i="28"/>
  <c r="AP25" i="28"/>
  <c r="AO25" i="28"/>
  <c r="AN25" i="28"/>
  <c r="AM25" i="28"/>
  <c r="AL25" i="28"/>
  <c r="AK25" i="28"/>
  <c r="AJ25" i="28"/>
  <c r="AX24" i="28"/>
  <c r="AW24" i="28"/>
  <c r="AV24" i="28"/>
  <c r="AU24" i="28"/>
  <c r="AT24" i="28"/>
  <c r="AS24" i="28"/>
  <c r="AR24" i="28"/>
  <c r="AQ24" i="28"/>
  <c r="AP24" i="28"/>
  <c r="AO24" i="28"/>
  <c r="AN24" i="28"/>
  <c r="AM24" i="28"/>
  <c r="AL24" i="28"/>
  <c r="AK24" i="28"/>
  <c r="AJ24" i="28"/>
  <c r="AX23" i="28"/>
  <c r="AW23" i="28"/>
  <c r="AV23" i="28"/>
  <c r="AU23" i="28"/>
  <c r="AT23" i="28"/>
  <c r="AS23" i="28"/>
  <c r="AR23" i="28"/>
  <c r="AQ23" i="28"/>
  <c r="AP23" i="28"/>
  <c r="AO23" i="28"/>
  <c r="AN23" i="28"/>
  <c r="AM23" i="28"/>
  <c r="AL23" i="28"/>
  <c r="AK23" i="28"/>
  <c r="AJ23" i="28"/>
  <c r="AL76" i="27"/>
  <c r="AL10" i="27"/>
  <c r="AL12" i="27" s="1"/>
  <c r="AL5" i="27"/>
  <c r="BV57" i="11"/>
  <c r="BU57" i="11"/>
  <c r="BT57" i="11"/>
  <c r="BV54" i="11"/>
  <c r="BU54" i="11"/>
  <c r="BT54" i="11"/>
  <c r="BV53" i="11"/>
  <c r="BU53" i="11"/>
  <c r="BT53" i="11"/>
  <c r="BV52" i="11"/>
  <c r="BU52" i="11"/>
  <c r="BT52" i="11"/>
  <c r="BV51" i="11"/>
  <c r="BU51" i="11"/>
  <c r="BT51" i="11"/>
  <c r="BV50" i="11"/>
  <c r="BU50" i="11"/>
  <c r="BT50" i="11"/>
  <c r="BW97" i="1"/>
  <c r="BV97" i="1"/>
  <c r="BU97" i="1"/>
  <c r="BW77" i="1"/>
  <c r="BV77" i="1"/>
  <c r="BU77" i="1"/>
  <c r="BW7" i="1"/>
  <c r="BV7" i="1"/>
  <c r="BU7" i="1"/>
  <c r="BW6" i="1"/>
  <c r="BV6" i="1"/>
  <c r="BU6" i="1"/>
  <c r="AL58" i="28"/>
  <c r="AK58" i="28"/>
  <c r="AJ58" i="28"/>
  <c r="AL55" i="28"/>
  <c r="AK55" i="28"/>
  <c r="AJ55" i="28"/>
  <c r="AL54" i="28"/>
  <c r="AK54" i="28"/>
  <c r="AJ54" i="28"/>
  <c r="AL53" i="28"/>
  <c r="AK53" i="28"/>
  <c r="AJ53" i="28"/>
  <c r="AL52" i="28"/>
  <c r="AK52" i="28"/>
  <c r="AJ52" i="28"/>
  <c r="AL51" i="28"/>
  <c r="AK51" i="28"/>
  <c r="AJ51" i="28"/>
  <c r="AN86" i="27"/>
  <c r="AM86" i="27"/>
  <c r="AL86" i="27"/>
  <c r="AN7" i="27"/>
  <c r="AM7" i="27"/>
  <c r="AL7" i="27"/>
  <c r="AN6" i="27"/>
  <c r="AM6" i="27"/>
  <c r="AL6" i="27"/>
  <c r="BM13" i="1" l="1"/>
  <c r="BM12" i="1"/>
  <c r="BM10" i="1"/>
  <c r="AD10" i="27"/>
  <c r="AD12" i="27" s="1"/>
  <c r="AD13" i="27" s="1"/>
  <c r="AL79" i="27" l="1"/>
  <c r="AK82" i="27" l="1"/>
  <c r="AK81" i="27"/>
  <c r="AK80" i="27"/>
  <c r="AK79" i="27"/>
  <c r="AK78" i="27"/>
  <c r="AM78" i="27" l="1"/>
  <c r="AK69" i="27" l="1"/>
  <c r="AG69" i="27"/>
  <c r="AC69" i="27"/>
  <c r="AK68" i="27"/>
  <c r="AJ68" i="27"/>
  <c r="AJ69" i="27" s="1"/>
  <c r="AI68" i="27"/>
  <c r="AI69" i="27" s="1"/>
  <c r="AH68" i="27"/>
  <c r="AH69" i="27" s="1"/>
  <c r="AG68" i="27"/>
  <c r="AF68" i="27"/>
  <c r="AF69" i="27" s="1"/>
  <c r="AE68" i="27"/>
  <c r="AE69" i="27" s="1"/>
  <c r="AD68" i="27"/>
  <c r="AD69" i="27" s="1"/>
  <c r="AC68" i="27"/>
  <c r="AB68" i="27"/>
  <c r="AB69" i="27" s="1"/>
  <c r="AA68" i="27"/>
  <c r="AA69" i="27" s="1"/>
  <c r="Z68" i="27"/>
  <c r="Z69" i="27" s="1"/>
  <c r="AK67" i="27"/>
  <c r="AJ67" i="27"/>
  <c r="AI67" i="27"/>
  <c r="AH67" i="27"/>
  <c r="AG67" i="27"/>
  <c r="AF67" i="27"/>
  <c r="AE67" i="27"/>
  <c r="AD67" i="27"/>
  <c r="AC67" i="27"/>
  <c r="AB67" i="27"/>
  <c r="AA67" i="27"/>
  <c r="Z67" i="27"/>
  <c r="AK59" i="27"/>
  <c r="AG59" i="27"/>
  <c r="AF59" i="27"/>
  <c r="AE59" i="27"/>
  <c r="AD59" i="27"/>
  <c r="AC59" i="27"/>
  <c r="AK58" i="27"/>
  <c r="AJ58" i="27"/>
  <c r="AJ59" i="27" s="1"/>
  <c r="AI58" i="27"/>
  <c r="AI59" i="27" s="1"/>
  <c r="AH58" i="27"/>
  <c r="AH59" i="27" s="1"/>
  <c r="AG58" i="27"/>
  <c r="AF58" i="27"/>
  <c r="AE58" i="27"/>
  <c r="AD58" i="27"/>
  <c r="AC58" i="27"/>
  <c r="AB58" i="27"/>
  <c r="AB59" i="27" s="1"/>
  <c r="AA58" i="27"/>
  <c r="AA59" i="27" s="1"/>
  <c r="Z58" i="27"/>
  <c r="Z59" i="27" s="1"/>
  <c r="AK57" i="27"/>
  <c r="AJ57" i="27"/>
  <c r="AI57" i="27"/>
  <c r="AH57" i="27"/>
  <c r="AG57" i="27"/>
  <c r="AF57" i="27"/>
  <c r="AE57" i="27"/>
  <c r="AD57" i="27"/>
  <c r="AC57" i="27"/>
  <c r="AB57" i="27"/>
  <c r="AA57" i="27"/>
  <c r="Z57" i="27"/>
  <c r="AK49" i="27"/>
  <c r="AJ49" i="27"/>
  <c r="AG49" i="27"/>
  <c r="AF49" i="27"/>
  <c r="AE49" i="27"/>
  <c r="AC49" i="27"/>
  <c r="AB49" i="27"/>
  <c r="AK48" i="27"/>
  <c r="AJ48" i="27"/>
  <c r="AI48" i="27"/>
  <c r="AI49" i="27" s="1"/>
  <c r="AH48" i="27"/>
  <c r="AH49" i="27" s="1"/>
  <c r="AG48" i="27"/>
  <c r="AF48" i="27"/>
  <c r="AE48" i="27"/>
  <c r="AD48" i="27"/>
  <c r="AD49" i="27" s="1"/>
  <c r="AC48" i="27"/>
  <c r="AB48" i="27"/>
  <c r="AA48" i="27"/>
  <c r="AA49" i="27" s="1"/>
  <c r="Z48" i="27"/>
  <c r="Z49" i="27" s="1"/>
  <c r="AK47" i="27"/>
  <c r="AJ47" i="27"/>
  <c r="AI47" i="27"/>
  <c r="AH47" i="27"/>
  <c r="AG47" i="27"/>
  <c r="AF47" i="27"/>
  <c r="AE47" i="27"/>
  <c r="AD47" i="27"/>
  <c r="AC47" i="27"/>
  <c r="AB47" i="27"/>
  <c r="AA47" i="27"/>
  <c r="Z47" i="27"/>
  <c r="AK39" i="27"/>
  <c r="AJ39" i="27"/>
  <c r="AI39" i="27"/>
  <c r="AH39" i="27"/>
  <c r="AG39" i="27"/>
  <c r="AD39" i="27"/>
  <c r="AC39" i="27"/>
  <c r="AB39" i="27"/>
  <c r="Z39" i="27"/>
  <c r="AK38" i="27"/>
  <c r="AJ38" i="27"/>
  <c r="AI38" i="27"/>
  <c r="AH38" i="27"/>
  <c r="AG38" i="27"/>
  <c r="AF38" i="27"/>
  <c r="AF39" i="27" s="1"/>
  <c r="AE38" i="27"/>
  <c r="AE39" i="27" s="1"/>
  <c r="AD38" i="27"/>
  <c r="AC38" i="27"/>
  <c r="AB38" i="27"/>
  <c r="AA38" i="27"/>
  <c r="AA39" i="27" s="1"/>
  <c r="Z38" i="27"/>
  <c r="AK37" i="27"/>
  <c r="AJ37" i="27"/>
  <c r="AI37" i="27"/>
  <c r="AH37" i="27"/>
  <c r="AG37" i="27"/>
  <c r="AF37" i="27"/>
  <c r="AE37" i="27"/>
  <c r="AD37" i="27"/>
  <c r="AC37" i="27"/>
  <c r="AB37" i="27"/>
  <c r="AA37" i="27"/>
  <c r="Z37" i="27"/>
  <c r="AK29" i="27"/>
  <c r="AG29" i="27"/>
  <c r="AC29" i="27"/>
  <c r="AK28" i="27"/>
  <c r="AJ28" i="27"/>
  <c r="AJ29" i="27" s="1"/>
  <c r="AI28" i="27"/>
  <c r="AI29" i="27" s="1"/>
  <c r="AH28" i="27"/>
  <c r="AH29" i="27" s="1"/>
  <c r="AG28" i="27"/>
  <c r="AF28" i="27"/>
  <c r="AF29" i="27" s="1"/>
  <c r="AE28" i="27"/>
  <c r="AE29" i="27" s="1"/>
  <c r="AD28" i="27"/>
  <c r="AD29" i="27" s="1"/>
  <c r="AC28" i="27"/>
  <c r="AB28" i="27"/>
  <c r="AB29" i="27" s="1"/>
  <c r="AA28" i="27"/>
  <c r="AA29" i="27" s="1"/>
  <c r="Z28" i="27"/>
  <c r="Z29" i="27" s="1"/>
  <c r="AK27" i="27"/>
  <c r="AJ27" i="27"/>
  <c r="AI27" i="27"/>
  <c r="AH27" i="27"/>
  <c r="AG27" i="27"/>
  <c r="AF27" i="27"/>
  <c r="AE27" i="27"/>
  <c r="AD27" i="27"/>
  <c r="AC27" i="27"/>
  <c r="AB27" i="27"/>
  <c r="AA27" i="27"/>
  <c r="Z27" i="27"/>
  <c r="BT69" i="1"/>
  <c r="BS69" i="1"/>
  <c r="BP69" i="1"/>
  <c r="BO69" i="1"/>
  <c r="BN69" i="1"/>
  <c r="BL69" i="1"/>
  <c r="BK69" i="1"/>
  <c r="BT68" i="1"/>
  <c r="BS68" i="1"/>
  <c r="BR68" i="1"/>
  <c r="BR69" i="1" s="1"/>
  <c r="BQ68" i="1"/>
  <c r="BQ69" i="1" s="1"/>
  <c r="BP68" i="1"/>
  <c r="BO68" i="1"/>
  <c r="BN68" i="1"/>
  <c r="BM68" i="1"/>
  <c r="BM69" i="1" s="1"/>
  <c r="BL68" i="1"/>
  <c r="BK68" i="1"/>
  <c r="BJ68" i="1"/>
  <c r="BJ69" i="1" s="1"/>
  <c r="BI68" i="1"/>
  <c r="BI69" i="1" s="1"/>
  <c r="BT67" i="1"/>
  <c r="BS67" i="1"/>
  <c r="BR67" i="1"/>
  <c r="BQ67" i="1"/>
  <c r="BP67" i="1"/>
  <c r="BO67" i="1"/>
  <c r="BN67" i="1"/>
  <c r="BM67" i="1"/>
  <c r="BL67" i="1"/>
  <c r="BK67" i="1"/>
  <c r="BJ67" i="1"/>
  <c r="BI67" i="1"/>
  <c r="BT59" i="1"/>
  <c r="BS59" i="1"/>
  <c r="BP59" i="1"/>
  <c r="BO59" i="1"/>
  <c r="BN59" i="1"/>
  <c r="BL59" i="1"/>
  <c r="BK59" i="1"/>
  <c r="BT58" i="1"/>
  <c r="BS58" i="1"/>
  <c r="BR58" i="1"/>
  <c r="BR59" i="1" s="1"/>
  <c r="BQ58" i="1"/>
  <c r="BQ59" i="1" s="1"/>
  <c r="BP58" i="1"/>
  <c r="BO58" i="1"/>
  <c r="BN58" i="1"/>
  <c r="BM58" i="1"/>
  <c r="BM59" i="1" s="1"/>
  <c r="BL58" i="1"/>
  <c r="BK58" i="1"/>
  <c r="BJ58" i="1"/>
  <c r="BJ59" i="1" s="1"/>
  <c r="BI58" i="1"/>
  <c r="BI59" i="1" s="1"/>
  <c r="BT57" i="1"/>
  <c r="BS57" i="1"/>
  <c r="BR57" i="1"/>
  <c r="BQ57" i="1"/>
  <c r="BP57" i="1"/>
  <c r="BO57" i="1"/>
  <c r="BN57" i="1"/>
  <c r="BM57" i="1"/>
  <c r="BL57" i="1"/>
  <c r="BK57" i="1"/>
  <c r="BJ57" i="1"/>
  <c r="BI57" i="1"/>
  <c r="BT49" i="1"/>
  <c r="BS49" i="1"/>
  <c r="BP49" i="1"/>
  <c r="BO49" i="1"/>
  <c r="BN49" i="1"/>
  <c r="BL49" i="1"/>
  <c r="BK49" i="1"/>
  <c r="BT48" i="1"/>
  <c r="BS48" i="1"/>
  <c r="BR48" i="1"/>
  <c r="BR49" i="1" s="1"/>
  <c r="BQ48" i="1"/>
  <c r="BQ49" i="1" s="1"/>
  <c r="BP48" i="1"/>
  <c r="BO48" i="1"/>
  <c r="BN48" i="1"/>
  <c r="BM48" i="1"/>
  <c r="BM49" i="1" s="1"/>
  <c r="BL48" i="1"/>
  <c r="BK48" i="1"/>
  <c r="BJ48" i="1"/>
  <c r="BJ49" i="1" s="1"/>
  <c r="BI48" i="1"/>
  <c r="BI49" i="1" s="1"/>
  <c r="BT47" i="1"/>
  <c r="BS47" i="1"/>
  <c r="BR47" i="1"/>
  <c r="BQ47" i="1"/>
  <c r="BP47" i="1"/>
  <c r="BO47" i="1"/>
  <c r="BN47" i="1"/>
  <c r="BM47" i="1"/>
  <c r="BL47" i="1"/>
  <c r="BK47" i="1"/>
  <c r="BJ47" i="1"/>
  <c r="BI47" i="1"/>
  <c r="BS39" i="1"/>
  <c r="BQ39" i="1"/>
  <c r="BP39" i="1"/>
  <c r="BK39" i="1"/>
  <c r="BI39" i="1"/>
  <c r="BT38" i="1"/>
  <c r="BT39" i="1" s="1"/>
  <c r="BS38" i="1"/>
  <c r="BR38" i="1"/>
  <c r="BR39" i="1" s="1"/>
  <c r="BQ38" i="1"/>
  <c r="BP38" i="1"/>
  <c r="BO38" i="1"/>
  <c r="BO39" i="1" s="1"/>
  <c r="BN38" i="1"/>
  <c r="BN39" i="1" s="1"/>
  <c r="BM38" i="1"/>
  <c r="BM39" i="1" s="1"/>
  <c r="BL38" i="1"/>
  <c r="BL39" i="1" s="1"/>
  <c r="BK38" i="1"/>
  <c r="BJ38" i="1"/>
  <c r="BJ39" i="1" s="1"/>
  <c r="BI38" i="1"/>
  <c r="BT37" i="1"/>
  <c r="BS37" i="1"/>
  <c r="BR37" i="1"/>
  <c r="BQ37" i="1"/>
  <c r="BP37" i="1"/>
  <c r="BO37" i="1"/>
  <c r="BN37" i="1"/>
  <c r="BM37" i="1"/>
  <c r="BL37" i="1"/>
  <c r="BK37" i="1"/>
  <c r="BJ37" i="1"/>
  <c r="BI37" i="1"/>
  <c r="AN85" i="27" l="1"/>
  <c r="AM85" i="27"/>
  <c r="AL85" i="27"/>
  <c r="AD11" i="27" l="1"/>
  <c r="AD8" i="27" l="1"/>
  <c r="BS78" i="1" l="1"/>
  <c r="BR78" i="1"/>
  <c r="BT78" i="1"/>
  <c r="BW9" i="1"/>
  <c r="BV9" i="1"/>
  <c r="BU9" i="1"/>
  <c r="AN9" i="27"/>
  <c r="AM9" i="27"/>
  <c r="AL9" i="27"/>
  <c r="BS39" i="11"/>
  <c r="CB62" i="11"/>
  <c r="BT10" i="11"/>
  <c r="BT9" i="11"/>
  <c r="BT8" i="11"/>
  <c r="BT7" i="11"/>
  <c r="BT6" i="11"/>
  <c r="BT5" i="11"/>
  <c r="BU5" i="11" l="1"/>
  <c r="BT60" i="11"/>
  <c r="AJ10" i="28" l="1"/>
  <c r="AJ9" i="28"/>
  <c r="AJ8" i="28"/>
  <c r="AJ7" i="28"/>
  <c r="AJ6" i="28"/>
  <c r="AJ5" i="28"/>
  <c r="AK5" i="28" l="1"/>
  <c r="L22" i="31" l="1"/>
  <c r="BB2" i="31" l="1"/>
  <c r="BB3" i="31"/>
  <c r="BE11" i="31"/>
  <c r="BD8" i="31"/>
  <c r="BC8" i="31"/>
  <c r="BB8" i="31"/>
  <c r="BA8" i="31"/>
  <c r="AZ8" i="31"/>
  <c r="AY8" i="31"/>
  <c r="AX8" i="31"/>
  <c r="AW8" i="31"/>
  <c r="AV8" i="31"/>
  <c r="AU8" i="31"/>
  <c r="AT8" i="31"/>
  <c r="AS8" i="31"/>
  <c r="AR8" i="31"/>
  <c r="AQ8" i="31"/>
  <c r="AP8" i="31"/>
  <c r="AO8" i="31"/>
  <c r="AN8" i="31"/>
  <c r="AM8" i="31"/>
  <c r="AL8" i="31"/>
  <c r="AK8" i="31"/>
  <c r="AJ8" i="31"/>
  <c r="AI8" i="31"/>
  <c r="AH8" i="31"/>
  <c r="AG8" i="31"/>
  <c r="AF8" i="31"/>
  <c r="AF10" i="31" s="1"/>
  <c r="AF12" i="31" s="1"/>
  <c r="AF13" i="31" s="1"/>
  <c r="AG10" i="31" s="1"/>
  <c r="BY11" i="33"/>
  <c r="BN3" i="33"/>
  <c r="BN2" i="33"/>
  <c r="BW13" i="33"/>
  <c r="AZ13" i="33"/>
  <c r="AZ11" i="33"/>
  <c r="AZ10" i="33"/>
  <c r="AZ8" i="33"/>
  <c r="BX8" i="33"/>
  <c r="BW8" i="33"/>
  <c r="BV8" i="33"/>
  <c r="BU8" i="33"/>
  <c r="BT8" i="33"/>
  <c r="BS8" i="33"/>
  <c r="BR8" i="33"/>
  <c r="BQ8" i="33"/>
  <c r="BP8" i="33"/>
  <c r="BO8" i="33"/>
  <c r="BN8" i="33"/>
  <c r="BM8" i="33"/>
  <c r="BL8" i="33"/>
  <c r="BK8" i="33"/>
  <c r="BJ8" i="33"/>
  <c r="BI8" i="33"/>
  <c r="BH8" i="33"/>
  <c r="BG8" i="33"/>
  <c r="BF8" i="33"/>
  <c r="BE8" i="33"/>
  <c r="BD8" i="33"/>
  <c r="BC8" i="33"/>
  <c r="BB8" i="33"/>
  <c r="BA8" i="33"/>
  <c r="Q34" i="33"/>
  <c r="P34" i="33"/>
  <c r="O34" i="33"/>
  <c r="Q7" i="33"/>
  <c r="AH34" i="33" l="1"/>
  <c r="AP34" i="33"/>
  <c r="Z34" i="33"/>
  <c r="R34" i="33"/>
  <c r="AB34" i="33"/>
  <c r="AJ34" i="33"/>
  <c r="AR34" i="33"/>
  <c r="T34" i="33"/>
  <c r="U34" i="33"/>
  <c r="AC34" i="33"/>
  <c r="AK34" i="33"/>
  <c r="AG11" i="31"/>
  <c r="BB1" i="31"/>
  <c r="AG12" i="31"/>
  <c r="AG13" i="31" s="1"/>
  <c r="AH10" i="31" s="1"/>
  <c r="AH12" i="31" s="1"/>
  <c r="AH13" i="31" s="1"/>
  <c r="AI10" i="31" s="1"/>
  <c r="AI12" i="31" s="1"/>
  <c r="AI13" i="31" s="1"/>
  <c r="AJ10" i="31" s="1"/>
  <c r="AJ12" i="31" s="1"/>
  <c r="AJ13" i="31" s="1"/>
  <c r="AK10" i="31" s="1"/>
  <c r="AK12" i="31" s="1"/>
  <c r="AK13" i="31" s="1"/>
  <c r="AL10" i="31" s="1"/>
  <c r="AL12" i="31" s="1"/>
  <c r="AL13" i="31" s="1"/>
  <c r="AM10" i="31" s="1"/>
  <c r="AM12" i="31" s="1"/>
  <c r="AM13" i="31" s="1"/>
  <c r="AN10" i="31" s="1"/>
  <c r="AN12" i="31" s="1"/>
  <c r="AN13" i="31" s="1"/>
  <c r="AO10" i="31" s="1"/>
  <c r="AO12" i="31" s="1"/>
  <c r="AO13" i="31" s="1"/>
  <c r="AP10" i="31" s="1"/>
  <c r="AP12" i="31" s="1"/>
  <c r="AP13" i="31" s="1"/>
  <c r="AQ10" i="31" s="1"/>
  <c r="AQ12" i="31" s="1"/>
  <c r="AQ13" i="31" s="1"/>
  <c r="AR10" i="31" s="1"/>
  <c r="AR12" i="31" s="1"/>
  <c r="AR13" i="31" s="1"/>
  <c r="AS10" i="31" s="1"/>
  <c r="AS12" i="31" s="1"/>
  <c r="AS13" i="31" s="1"/>
  <c r="AT10" i="31" s="1"/>
  <c r="AT12" i="31" s="1"/>
  <c r="AT13" i="31" s="1"/>
  <c r="AU10" i="31" s="1"/>
  <c r="AU12" i="31" s="1"/>
  <c r="AU13" i="31" s="1"/>
  <c r="AV10" i="31" s="1"/>
  <c r="AV12" i="31" s="1"/>
  <c r="AV13" i="31" s="1"/>
  <c r="AW10" i="31" s="1"/>
  <c r="AW12" i="31" s="1"/>
  <c r="AW13" i="31" s="1"/>
  <c r="AX10" i="31" s="1"/>
  <c r="AX12" i="31" s="1"/>
  <c r="AX13" i="31" s="1"/>
  <c r="AY10" i="31" s="1"/>
  <c r="AY12" i="31" s="1"/>
  <c r="AY13" i="31" s="1"/>
  <c r="AZ10" i="31" s="1"/>
  <c r="AZ12" i="31" s="1"/>
  <c r="AZ13" i="31" s="1"/>
  <c r="BA10" i="31" s="1"/>
  <c r="BA12" i="31" s="1"/>
  <c r="BA13" i="31" s="1"/>
  <c r="BB10" i="31" s="1"/>
  <c r="BB12" i="31" s="1"/>
  <c r="BB13" i="31" s="1"/>
  <c r="BC10" i="31" s="1"/>
  <c r="BC12" i="31" s="1"/>
  <c r="BC13" i="31" s="1"/>
  <c r="BD10" i="31" s="1"/>
  <c r="BD12" i="31" s="1"/>
  <c r="BD13" i="31" s="1"/>
  <c r="AF11" i="31"/>
  <c r="BN1" i="33"/>
  <c r="W34" i="33"/>
  <c r="X34" i="33"/>
  <c r="AF34" i="33"/>
  <c r="AN34" i="33"/>
  <c r="AD34" i="33"/>
  <c r="Y34" i="33"/>
  <c r="AG34" i="33"/>
  <c r="AO34" i="33"/>
  <c r="S34" i="33"/>
  <c r="AA34" i="33"/>
  <c r="AI34" i="33"/>
  <c r="AQ34" i="33"/>
  <c r="V34" i="33"/>
  <c r="AL34" i="33"/>
  <c r="AE34" i="33"/>
  <c r="AM34" i="33"/>
  <c r="AZ12" i="33"/>
  <c r="BA10" i="33" s="1"/>
  <c r="BA12" i="33" s="1"/>
  <c r="BA13" i="33" s="1"/>
  <c r="BB10" i="33" s="1"/>
  <c r="BB12" i="33" s="1"/>
  <c r="BB13" i="33" s="1"/>
  <c r="BC10" i="33" s="1"/>
  <c r="BC12" i="33" s="1"/>
  <c r="BC13" i="33" s="1"/>
  <c r="BD10" i="33" s="1"/>
  <c r="BD12" i="33" s="1"/>
  <c r="BD13" i="33" s="1"/>
  <c r="BE10" i="33" s="1"/>
  <c r="BE12" i="33" s="1"/>
  <c r="BE13" i="33" s="1"/>
  <c r="BF10" i="33" s="1"/>
  <c r="BF12" i="33" s="1"/>
  <c r="BF13" i="33" s="1"/>
  <c r="BG10" i="33" s="1"/>
  <c r="BG12" i="33" s="1"/>
  <c r="BG13" i="33" s="1"/>
  <c r="BH10" i="33" s="1"/>
  <c r="BH12" i="33" s="1"/>
  <c r="BH13" i="33" s="1"/>
  <c r="BI10" i="33" s="1"/>
  <c r="BI12" i="33" s="1"/>
  <c r="BI13" i="33" s="1"/>
  <c r="BJ10" i="33" s="1"/>
  <c r="BJ12" i="33" s="1"/>
  <c r="BJ13" i="33" s="1"/>
  <c r="BK10" i="33" s="1"/>
  <c r="BK12" i="33" s="1"/>
  <c r="BK13" i="33" s="1"/>
  <c r="BL10" i="33" s="1"/>
  <c r="BL12" i="33" s="1"/>
  <c r="BL13" i="33" s="1"/>
  <c r="BM10" i="33" s="1"/>
  <c r="BM12" i="33" s="1"/>
  <c r="BM13" i="33" s="1"/>
  <c r="BN10" i="33" s="1"/>
  <c r="BN12" i="33" s="1"/>
  <c r="BN13" i="33" s="1"/>
  <c r="BO10" i="33" s="1"/>
  <c r="BO12" i="33" s="1"/>
  <c r="BO13" i="33" s="1"/>
  <c r="BP10" i="33" s="1"/>
  <c r="BP12" i="33" s="1"/>
  <c r="BP13" i="33" s="1"/>
  <c r="BQ10" i="33" s="1"/>
  <c r="BQ12" i="33" s="1"/>
  <c r="BQ13" i="33" s="1"/>
  <c r="BR10" i="33" s="1"/>
  <c r="BR12" i="33" s="1"/>
  <c r="BR13" i="33" s="1"/>
  <c r="BS10" i="33" s="1"/>
  <c r="BS12" i="33" s="1"/>
  <c r="BS13" i="33" s="1"/>
  <c r="BT10" i="33" s="1"/>
  <c r="BT12" i="33" s="1"/>
  <c r="BT13" i="33" s="1"/>
  <c r="BU10" i="33" s="1"/>
  <c r="BU12" i="33" s="1"/>
  <c r="BU13" i="33" s="1"/>
  <c r="BV10" i="33" s="1"/>
  <c r="BV12" i="33" s="1"/>
  <c r="BV13" i="33" s="1"/>
  <c r="BW10" i="33" s="1"/>
  <c r="BW12" i="33" s="1"/>
  <c r="BX10" i="33" s="1"/>
  <c r="BX12" i="33" s="1"/>
  <c r="BX13" i="33" s="1"/>
  <c r="AH11" i="31" l="1"/>
  <c r="AI11" i="31" s="1"/>
  <c r="AJ11" i="31" s="1"/>
  <c r="AK11" i="31" s="1"/>
  <c r="AL11" i="31" s="1"/>
  <c r="AM11" i="31" s="1"/>
  <c r="AN11" i="31" s="1"/>
  <c r="AO11" i="31" s="1"/>
  <c r="AP11" i="31" s="1"/>
  <c r="AQ11" i="31" s="1"/>
  <c r="AR11" i="31" s="1"/>
  <c r="AS11" i="31" s="1"/>
  <c r="AT11" i="31" s="1"/>
  <c r="AU11" i="31" s="1"/>
  <c r="AV11" i="31" s="1"/>
  <c r="AW11" i="31" s="1"/>
  <c r="AX11" i="31" s="1"/>
  <c r="AY11" i="31" s="1"/>
  <c r="AZ11" i="31" s="1"/>
  <c r="BA11" i="31" s="1"/>
  <c r="BB11" i="31" s="1"/>
  <c r="BC11" i="31" s="1"/>
  <c r="BA11" i="33"/>
  <c r="BB11" i="33" s="1"/>
  <c r="BC11" i="33" s="1"/>
  <c r="BD11" i="33" s="1"/>
  <c r="BE11" i="33" s="1"/>
  <c r="BF11" i="33" s="1"/>
  <c r="BG11" i="33" s="1"/>
  <c r="BH11" i="33" s="1"/>
  <c r="BI11" i="33" s="1"/>
  <c r="BJ11" i="33" s="1"/>
  <c r="BK11" i="33" s="1"/>
  <c r="BL11" i="33" s="1"/>
  <c r="BM11" i="33" s="1"/>
  <c r="BN11" i="33" s="1"/>
  <c r="BO11" i="33" s="1"/>
  <c r="BP11" i="33" s="1"/>
  <c r="BQ11" i="33" s="1"/>
  <c r="BR11" i="33" s="1"/>
  <c r="BS11" i="33" s="1"/>
  <c r="BT11" i="33" s="1"/>
  <c r="BU11" i="33" s="1"/>
  <c r="BV11" i="33" s="1"/>
  <c r="BW11" i="33" s="1"/>
  <c r="BX11" i="33" s="1"/>
  <c r="BF11" i="31" l="1"/>
  <c r="BD11" i="31"/>
  <c r="AI39" i="28" l="1"/>
  <c r="AR56" i="33"/>
  <c r="AQ56" i="33"/>
  <c r="AP56" i="33"/>
  <c r="AO56" i="33"/>
  <c r="AN56" i="33"/>
  <c r="AM56" i="33"/>
  <c r="AL56" i="33"/>
  <c r="AK56" i="33"/>
  <c r="AJ56" i="33"/>
  <c r="AI56" i="33"/>
  <c r="AH56" i="33"/>
  <c r="AG56" i="33"/>
  <c r="AF56" i="33"/>
  <c r="AE56" i="33"/>
  <c r="AD56" i="33"/>
  <c r="AC56" i="33"/>
  <c r="AB56" i="33"/>
  <c r="AA56" i="33"/>
  <c r="Z56" i="33"/>
  <c r="Y56" i="33"/>
  <c r="X56" i="33"/>
  <c r="W56" i="33"/>
  <c r="V56" i="33"/>
  <c r="U56" i="33"/>
  <c r="T56" i="33"/>
  <c r="S56" i="33"/>
  <c r="R56" i="33"/>
  <c r="Q56" i="33"/>
  <c r="P56" i="33"/>
  <c r="O56" i="33"/>
  <c r="N56" i="33"/>
  <c r="M56" i="33"/>
  <c r="L56" i="33"/>
  <c r="K56" i="33"/>
  <c r="J56" i="33"/>
  <c r="I56" i="33"/>
  <c r="H56" i="33"/>
  <c r="G56" i="33"/>
  <c r="F56" i="33"/>
  <c r="E56" i="33"/>
  <c r="AR55" i="33"/>
  <c r="AQ55" i="33"/>
  <c r="AP55" i="33"/>
  <c r="AO55" i="33"/>
  <c r="AN55" i="33"/>
  <c r="AM55" i="33"/>
  <c r="AL55" i="33"/>
  <c r="AK55" i="33"/>
  <c r="AJ55" i="33"/>
  <c r="AI55" i="33"/>
  <c r="AH55" i="33"/>
  <c r="AG55" i="33"/>
  <c r="AF55" i="33"/>
  <c r="AE55" i="33"/>
  <c r="AD55" i="33"/>
  <c r="AC55" i="33"/>
  <c r="AB55" i="33"/>
  <c r="AA55" i="33"/>
  <c r="Z55" i="33"/>
  <c r="Y55" i="33"/>
  <c r="X55" i="33"/>
  <c r="W55" i="33"/>
  <c r="V55" i="33"/>
  <c r="U55" i="33"/>
  <c r="T55" i="33"/>
  <c r="S55" i="33"/>
  <c r="R55" i="33"/>
  <c r="Q55" i="33"/>
  <c r="P55" i="33"/>
  <c r="O55" i="33"/>
  <c r="N55" i="33"/>
  <c r="M55" i="33"/>
  <c r="L55" i="33"/>
  <c r="K55" i="33"/>
  <c r="J55" i="33"/>
  <c r="I55" i="33"/>
  <c r="H55" i="33"/>
  <c r="G55" i="33"/>
  <c r="F55" i="33"/>
  <c r="E55" i="33"/>
  <c r="AR54" i="33"/>
  <c r="AQ54" i="33"/>
  <c r="AP54" i="33"/>
  <c r="AO54" i="33"/>
  <c r="AN54" i="33"/>
  <c r="AM54" i="33"/>
  <c r="AL54" i="33"/>
  <c r="AK54" i="33"/>
  <c r="AJ54" i="33"/>
  <c r="AI54" i="33"/>
  <c r="AH54" i="33"/>
  <c r="AG54" i="33"/>
  <c r="AF54" i="33"/>
  <c r="AE54" i="33"/>
  <c r="AD54" i="33"/>
  <c r="AC54" i="33"/>
  <c r="AB54" i="33"/>
  <c r="AA54" i="33"/>
  <c r="Z54" i="33"/>
  <c r="Y54" i="33"/>
  <c r="X54" i="33"/>
  <c r="W54" i="33"/>
  <c r="V54" i="33"/>
  <c r="U54" i="33"/>
  <c r="T54" i="33"/>
  <c r="S54" i="33"/>
  <c r="R54" i="33"/>
  <c r="Q54" i="33"/>
  <c r="P54" i="33"/>
  <c r="O54" i="33"/>
  <c r="N54" i="33"/>
  <c r="M54" i="33"/>
  <c r="L54" i="33"/>
  <c r="K54" i="33"/>
  <c r="J54" i="33"/>
  <c r="I54" i="33"/>
  <c r="H54" i="33"/>
  <c r="G54" i="33"/>
  <c r="F54" i="33"/>
  <c r="E54" i="33"/>
  <c r="AR53" i="33"/>
  <c r="AQ53" i="33"/>
  <c r="AP53" i="33"/>
  <c r="AO53" i="33"/>
  <c r="AN53" i="33"/>
  <c r="AM53" i="33"/>
  <c r="AL53" i="33"/>
  <c r="AK53" i="33"/>
  <c r="AJ53" i="33"/>
  <c r="AI53" i="33"/>
  <c r="AH53" i="33"/>
  <c r="AG53" i="33"/>
  <c r="AF53" i="33"/>
  <c r="AE53" i="33"/>
  <c r="AD53" i="33"/>
  <c r="AC53" i="33"/>
  <c r="AB53" i="33"/>
  <c r="AA53" i="33"/>
  <c r="Z53" i="33"/>
  <c r="Y53" i="33"/>
  <c r="X53" i="33"/>
  <c r="W53" i="33"/>
  <c r="V53" i="33"/>
  <c r="U53" i="33"/>
  <c r="T53" i="33"/>
  <c r="S53" i="33"/>
  <c r="R53" i="33"/>
  <c r="Q53" i="33"/>
  <c r="P53" i="33"/>
  <c r="O53" i="33"/>
  <c r="N53" i="33"/>
  <c r="M53" i="33"/>
  <c r="L53" i="33"/>
  <c r="K53" i="33"/>
  <c r="J53" i="33"/>
  <c r="I53" i="33"/>
  <c r="H53" i="33"/>
  <c r="G53" i="33"/>
  <c r="F53" i="33"/>
  <c r="E53" i="33"/>
  <c r="AR52" i="33"/>
  <c r="AQ52" i="33"/>
  <c r="AP52" i="33"/>
  <c r="AO52" i="33"/>
  <c r="AN52" i="33"/>
  <c r="AM52" i="33"/>
  <c r="AL52" i="33"/>
  <c r="AK52" i="33"/>
  <c r="AJ52" i="33"/>
  <c r="AI52" i="33"/>
  <c r="AH52" i="33"/>
  <c r="AG52" i="33"/>
  <c r="AF52" i="33"/>
  <c r="AE52" i="33"/>
  <c r="AD52" i="33"/>
  <c r="AC52" i="33"/>
  <c r="AB52" i="33"/>
  <c r="AA52" i="33"/>
  <c r="Z52" i="33"/>
  <c r="Y52" i="33"/>
  <c r="X52" i="33"/>
  <c r="W52" i="33"/>
  <c r="V52" i="33"/>
  <c r="U52" i="33"/>
  <c r="T52" i="33"/>
  <c r="S52" i="33"/>
  <c r="R52" i="33"/>
  <c r="Q52" i="33"/>
  <c r="P52" i="33"/>
  <c r="O52" i="33"/>
  <c r="N52" i="33"/>
  <c r="M52" i="33"/>
  <c r="L52" i="33"/>
  <c r="K52" i="33"/>
  <c r="J52" i="33"/>
  <c r="I52" i="33"/>
  <c r="H52" i="33"/>
  <c r="G52" i="33"/>
  <c r="F52" i="33"/>
  <c r="E52" i="33"/>
  <c r="AR51" i="33"/>
  <c r="AR57" i="33" s="1"/>
  <c r="AR31" i="33" s="1"/>
  <c r="AR35" i="33" s="1"/>
  <c r="AQ51" i="33"/>
  <c r="AQ57" i="33" s="1"/>
  <c r="AQ31" i="33" s="1"/>
  <c r="AQ35" i="33" s="1"/>
  <c r="AP51" i="33"/>
  <c r="AP57" i="33" s="1"/>
  <c r="AP31" i="33" s="1"/>
  <c r="AP35" i="33" s="1"/>
  <c r="AO51" i="33"/>
  <c r="AN51" i="33"/>
  <c r="AN57" i="33" s="1"/>
  <c r="AN31" i="33" s="1"/>
  <c r="AN35" i="33" s="1"/>
  <c r="AM51" i="33"/>
  <c r="AM57" i="33" s="1"/>
  <c r="AM31" i="33" s="1"/>
  <c r="AM35" i="33" s="1"/>
  <c r="AL51" i="33"/>
  <c r="AL57" i="33" s="1"/>
  <c r="AL31" i="33" s="1"/>
  <c r="AL35" i="33" s="1"/>
  <c r="AK51" i="33"/>
  <c r="AK57" i="33" s="1"/>
  <c r="AK31" i="33" s="1"/>
  <c r="AK35" i="33" s="1"/>
  <c r="AJ51" i="33"/>
  <c r="AJ57" i="33" s="1"/>
  <c r="AJ31" i="33" s="1"/>
  <c r="AJ35" i="33" s="1"/>
  <c r="AI51" i="33"/>
  <c r="AI57" i="33" s="1"/>
  <c r="AI31" i="33" s="1"/>
  <c r="AI35" i="33" s="1"/>
  <c r="AH51" i="33"/>
  <c r="AH57" i="33" s="1"/>
  <c r="AH31" i="33" s="1"/>
  <c r="AH35" i="33" s="1"/>
  <c r="AG51" i="33"/>
  <c r="AG57" i="33" s="1"/>
  <c r="AG31" i="33" s="1"/>
  <c r="AG35" i="33" s="1"/>
  <c r="AF51" i="33"/>
  <c r="AF57" i="33" s="1"/>
  <c r="AF31" i="33" s="1"/>
  <c r="AF35" i="33" s="1"/>
  <c r="AE51" i="33"/>
  <c r="AE57" i="33" s="1"/>
  <c r="AE31" i="33" s="1"/>
  <c r="AE35" i="33" s="1"/>
  <c r="AD51" i="33"/>
  <c r="AD57" i="33" s="1"/>
  <c r="AD31" i="33" s="1"/>
  <c r="AD35" i="33" s="1"/>
  <c r="AC51" i="33"/>
  <c r="AC57" i="33" s="1"/>
  <c r="AC31" i="33" s="1"/>
  <c r="AC35" i="33" s="1"/>
  <c r="AB51" i="33"/>
  <c r="AB57" i="33" s="1"/>
  <c r="AB31" i="33" s="1"/>
  <c r="AB35" i="33" s="1"/>
  <c r="AA51" i="33"/>
  <c r="AA57" i="33" s="1"/>
  <c r="AA31" i="33" s="1"/>
  <c r="AA35" i="33" s="1"/>
  <c r="Z51" i="33"/>
  <c r="Z57" i="33" s="1"/>
  <c r="Z31" i="33" s="1"/>
  <c r="Z35" i="33" s="1"/>
  <c r="Y51" i="33"/>
  <c r="Y57" i="33" s="1"/>
  <c r="Y31" i="33" s="1"/>
  <c r="Y35" i="33" s="1"/>
  <c r="X51" i="33"/>
  <c r="X57" i="33" s="1"/>
  <c r="X31" i="33" s="1"/>
  <c r="X35" i="33" s="1"/>
  <c r="W51" i="33"/>
  <c r="W57" i="33" s="1"/>
  <c r="W31" i="33" s="1"/>
  <c r="W35" i="33" s="1"/>
  <c r="V51" i="33"/>
  <c r="V57" i="33" s="1"/>
  <c r="V31" i="33" s="1"/>
  <c r="V35" i="33" s="1"/>
  <c r="U51" i="33"/>
  <c r="U57" i="33" s="1"/>
  <c r="U31" i="33" s="1"/>
  <c r="U35" i="33" s="1"/>
  <c r="T51" i="33"/>
  <c r="T57" i="33" s="1"/>
  <c r="T31" i="33" s="1"/>
  <c r="T35" i="33" s="1"/>
  <c r="S51" i="33"/>
  <c r="S57" i="33" s="1"/>
  <c r="S31" i="33" s="1"/>
  <c r="S35" i="33" s="1"/>
  <c r="R51" i="33"/>
  <c r="R57" i="33" s="1"/>
  <c r="R31" i="33" s="1"/>
  <c r="R35" i="33" s="1"/>
  <c r="Q51" i="33"/>
  <c r="Q57" i="33" s="1"/>
  <c r="Q31" i="33" s="1"/>
  <c r="Q35" i="33" s="1"/>
  <c r="P51" i="33"/>
  <c r="P57" i="33" s="1"/>
  <c r="P31" i="33" s="1"/>
  <c r="P35" i="33" s="1"/>
  <c r="O51" i="33"/>
  <c r="O57" i="33" s="1"/>
  <c r="O31" i="33" s="1"/>
  <c r="O35" i="33" s="1"/>
  <c r="N51" i="33"/>
  <c r="N57" i="33" s="1"/>
  <c r="N31" i="33" s="1"/>
  <c r="N35" i="33" s="1"/>
  <c r="M51" i="33"/>
  <c r="M57" i="33" s="1"/>
  <c r="M31" i="33" s="1"/>
  <c r="M35" i="33" s="1"/>
  <c r="L51" i="33"/>
  <c r="L57" i="33" s="1"/>
  <c r="L31" i="33" s="1"/>
  <c r="L35" i="33" s="1"/>
  <c r="K51" i="33"/>
  <c r="K57" i="33" s="1"/>
  <c r="K31" i="33" s="1"/>
  <c r="K35" i="33" s="1"/>
  <c r="J51" i="33"/>
  <c r="J57" i="33" s="1"/>
  <c r="J31" i="33" s="1"/>
  <c r="J35" i="33" s="1"/>
  <c r="I51" i="33"/>
  <c r="I57" i="33" s="1"/>
  <c r="I31" i="33" s="1"/>
  <c r="I35" i="33" s="1"/>
  <c r="H51" i="33"/>
  <c r="H57" i="33" s="1"/>
  <c r="H31" i="33" s="1"/>
  <c r="H35" i="33" s="1"/>
  <c r="G51" i="33"/>
  <c r="G57" i="33" s="1"/>
  <c r="G31" i="33" s="1"/>
  <c r="G35" i="33" s="1"/>
  <c r="F51" i="33"/>
  <c r="F57" i="33" s="1"/>
  <c r="F31" i="33" s="1"/>
  <c r="F35" i="33" s="1"/>
  <c r="E51" i="33"/>
  <c r="E57" i="33" s="1"/>
  <c r="E31" i="33" s="1"/>
  <c r="E35" i="33" s="1"/>
  <c r="AR48" i="33"/>
  <c r="AQ48" i="33"/>
  <c r="AP48" i="33"/>
  <c r="AO48" i="33"/>
  <c r="AN48" i="33"/>
  <c r="AM48" i="33"/>
  <c r="AL48" i="33"/>
  <c r="AK48" i="33"/>
  <c r="AJ48" i="33"/>
  <c r="AI48" i="33"/>
  <c r="AH48" i="33"/>
  <c r="AG48" i="33"/>
  <c r="AF48" i="33"/>
  <c r="AE48" i="33"/>
  <c r="AD48" i="33"/>
  <c r="AC48" i="33"/>
  <c r="AB48" i="33"/>
  <c r="AA48" i="33"/>
  <c r="Z48" i="33"/>
  <c r="Y48" i="33"/>
  <c r="X48" i="33"/>
  <c r="W48" i="33"/>
  <c r="V48" i="33"/>
  <c r="U48" i="33"/>
  <c r="T48" i="33"/>
  <c r="S48" i="33"/>
  <c r="R48" i="33"/>
  <c r="Q48" i="33"/>
  <c r="P48" i="33"/>
  <c r="O48" i="33"/>
  <c r="N48" i="33"/>
  <c r="M48" i="33"/>
  <c r="L48" i="33"/>
  <c r="K48" i="33"/>
  <c r="J48" i="33"/>
  <c r="I48" i="33"/>
  <c r="H48" i="33"/>
  <c r="G48" i="33"/>
  <c r="F48" i="33"/>
  <c r="E48" i="33"/>
  <c r="BZ11" i="33"/>
  <c r="BM5" i="1" s="1"/>
  <c r="P9" i="33"/>
  <c r="O9" i="33"/>
  <c r="N9" i="33"/>
  <c r="M9" i="33"/>
  <c r="K9" i="33"/>
  <c r="J9" i="33"/>
  <c r="I9" i="33"/>
  <c r="H9" i="33"/>
  <c r="G9" i="33"/>
  <c r="F9" i="33"/>
  <c r="E9" i="33"/>
  <c r="D9" i="33"/>
  <c r="D11" i="33" s="1"/>
  <c r="Q9" i="33"/>
  <c r="L7" i="33"/>
  <c r="L9" i="33" s="1"/>
  <c r="AJ6" i="27"/>
  <c r="AK6" i="27"/>
  <c r="AI6" i="27"/>
  <c r="AH6" i="27"/>
  <c r="AG6" i="27"/>
  <c r="AF6" i="27"/>
  <c r="AE6" i="27"/>
  <c r="AE8" i="27" s="1"/>
  <c r="AE10" i="27" s="1"/>
  <c r="Z66" i="27"/>
  <c r="Z56" i="27"/>
  <c r="Z46" i="27"/>
  <c r="Z36" i="27"/>
  <c r="Z26" i="27"/>
  <c r="AD5" i="27"/>
  <c r="AE11" i="27" l="1"/>
  <c r="AE12" i="27"/>
  <c r="AE13" i="27" s="1"/>
  <c r="E37" i="33"/>
  <c r="AO57" i="33"/>
  <c r="AO31" i="33" s="1"/>
  <c r="AO35" i="33" s="1"/>
  <c r="D12" i="33"/>
  <c r="D13" i="33"/>
  <c r="D14" i="33" s="1"/>
  <c r="E11" i="33" s="1"/>
  <c r="E13" i="33" s="1"/>
  <c r="E14" i="33" s="1"/>
  <c r="F11" i="33" s="1"/>
  <c r="F13" i="33" s="1"/>
  <c r="F14" i="33" s="1"/>
  <c r="G11" i="33" s="1"/>
  <c r="G13" i="33" s="1"/>
  <c r="G14" i="33" s="1"/>
  <c r="H11" i="33" s="1"/>
  <c r="H13" i="33" s="1"/>
  <c r="H14" i="33" s="1"/>
  <c r="I11" i="33" s="1"/>
  <c r="I13" i="33" s="1"/>
  <c r="I14" i="33" s="1"/>
  <c r="J11" i="33" s="1"/>
  <c r="J13" i="33" s="1"/>
  <c r="J14" i="33" s="1"/>
  <c r="K11" i="33" s="1"/>
  <c r="K13" i="33" s="1"/>
  <c r="K14" i="33" s="1"/>
  <c r="L11" i="33" s="1"/>
  <c r="L13" i="33" s="1"/>
  <c r="L14" i="33" s="1"/>
  <c r="M11" i="33" s="1"/>
  <c r="M13" i="33" s="1"/>
  <c r="M14" i="33" s="1"/>
  <c r="N11" i="33" s="1"/>
  <c r="N13" i="33" s="1"/>
  <c r="N14" i="33" s="1"/>
  <c r="O11" i="33" s="1"/>
  <c r="O13" i="33" s="1"/>
  <c r="O14" i="33" s="1"/>
  <c r="P11" i="33" s="1"/>
  <c r="P13" i="33" s="1"/>
  <c r="P14" i="33" s="1"/>
  <c r="Q11" i="33" s="1"/>
  <c r="Q13" i="33" s="1"/>
  <c r="Q14" i="33" s="1"/>
  <c r="BS73" i="11"/>
  <c r="BS72" i="11"/>
  <c r="BS71" i="11"/>
  <c r="BS70" i="11"/>
  <c r="BS69" i="11"/>
  <c r="BS68" i="11"/>
  <c r="BS60" i="11"/>
  <c r="BS55" i="11"/>
  <c r="BS36" i="11"/>
  <c r="BS35" i="11"/>
  <c r="BS34" i="11"/>
  <c r="BS33" i="11"/>
  <c r="BS32" i="11"/>
  <c r="BS31" i="11"/>
  <c r="BS28" i="11"/>
  <c r="BS19" i="11"/>
  <c r="BS18" i="11"/>
  <c r="BS20" i="11" s="1"/>
  <c r="BS17" i="11"/>
  <c r="BS16" i="11"/>
  <c r="BS15" i="11"/>
  <c r="BS14" i="11"/>
  <c r="BS11" i="11"/>
  <c r="BS10" i="11"/>
  <c r="BS9" i="11"/>
  <c r="BS8" i="11"/>
  <c r="BS7" i="11"/>
  <c r="BS6" i="11"/>
  <c r="BS5" i="11"/>
  <c r="AI10" i="28"/>
  <c r="AI9" i="28"/>
  <c r="AI8" i="28"/>
  <c r="AI7" i="28"/>
  <c r="AI6" i="28"/>
  <c r="AI5" i="28"/>
  <c r="BT96" i="1"/>
  <c r="BT98" i="1" s="1"/>
  <c r="BT99" i="1" s="1"/>
  <c r="BT100" i="1" s="1"/>
  <c r="BT60" i="1"/>
  <c r="BT50" i="1"/>
  <c r="BT40" i="1"/>
  <c r="BT30" i="1"/>
  <c r="BT8" i="1"/>
  <c r="AK85" i="27"/>
  <c r="AK87" i="27" s="1"/>
  <c r="AK88" i="27" s="1"/>
  <c r="AK89" i="27" s="1"/>
  <c r="AK60" i="27"/>
  <c r="AK50" i="27"/>
  <c r="AK40" i="27"/>
  <c r="AK30" i="27"/>
  <c r="AK8" i="27"/>
  <c r="BT61" i="1" l="1"/>
  <c r="E38" i="33"/>
  <c r="E39" i="33" s="1"/>
  <c r="F37" i="33" s="1"/>
  <c r="AK61" i="27"/>
  <c r="BT41" i="1"/>
  <c r="BT51" i="1"/>
  <c r="BT31" i="1"/>
  <c r="BT17" i="1"/>
  <c r="AK17" i="27"/>
  <c r="AK51" i="27"/>
  <c r="AK16" i="27"/>
  <c r="AK31" i="27"/>
  <c r="BT16" i="1"/>
  <c r="AK41" i="27"/>
  <c r="BT18" i="1"/>
  <c r="E12" i="33"/>
  <c r="F12" i="33" s="1"/>
  <c r="G12" i="33" s="1"/>
  <c r="H12" i="33" s="1"/>
  <c r="I12" i="33" s="1"/>
  <c r="J12" i="33" s="1"/>
  <c r="K12" i="33" s="1"/>
  <c r="L12" i="33" s="1"/>
  <c r="M12" i="33" s="1"/>
  <c r="N12" i="33" s="1"/>
  <c r="O12" i="33" s="1"/>
  <c r="P12" i="33" s="1"/>
  <c r="Q12" i="33" s="1"/>
  <c r="Y5" i="1" s="1"/>
  <c r="BT101" i="1"/>
  <c r="BT102" i="1"/>
  <c r="BT103" i="1" s="1"/>
  <c r="BT104" i="1"/>
  <c r="BT70" i="1"/>
  <c r="AK91" i="27"/>
  <c r="AK92" i="27" s="1"/>
  <c r="AK90" i="27"/>
  <c r="AK93" i="27"/>
  <c r="AK70" i="27"/>
  <c r="AK18" i="27"/>
  <c r="F38" i="33" l="1"/>
  <c r="F39" i="33" s="1"/>
  <c r="BT19" i="1"/>
  <c r="BT71" i="1"/>
  <c r="AK19" i="27"/>
  <c r="AK71" i="27"/>
  <c r="G38" i="33" l="1"/>
  <c r="G39" i="33" s="1"/>
  <c r="H38" i="33" s="1"/>
  <c r="H39" i="33" s="1"/>
  <c r="I38" i="33" s="1"/>
  <c r="I39" i="33" s="1"/>
  <c r="J38" i="33" s="1"/>
  <c r="J39" i="33" s="1"/>
  <c r="K38" i="33" s="1"/>
  <c r="K39" i="33" s="1"/>
  <c r="L38" i="33" s="1"/>
  <c r="L39" i="33" s="1"/>
  <c r="M38" i="33" s="1"/>
  <c r="M39" i="33" s="1"/>
  <c r="N38" i="33" s="1"/>
  <c r="N39" i="33" s="1"/>
  <c r="O38" i="33" s="1"/>
  <c r="O39" i="33" s="1"/>
  <c r="P38" i="33" s="1"/>
  <c r="P39" i="33" s="1"/>
  <c r="Q38" i="33" s="1"/>
  <c r="Q39" i="33" s="1"/>
  <c r="R38" i="33" s="1"/>
  <c r="R39" i="33" s="1"/>
  <c r="G37" i="33"/>
  <c r="BT20" i="1"/>
  <c r="AK20" i="27"/>
  <c r="H37" i="33" l="1"/>
  <c r="I37" i="33" s="1"/>
  <c r="J37" i="33" s="1"/>
  <c r="K37" i="33" s="1"/>
  <c r="L37" i="33" s="1"/>
  <c r="M37" i="33" s="1"/>
  <c r="N37" i="33" s="1"/>
  <c r="O37" i="33" s="1"/>
  <c r="P37" i="33" s="1"/>
  <c r="Q37" i="33" s="1"/>
  <c r="R37" i="33" s="1"/>
  <c r="S38" i="33"/>
  <c r="S39" i="33" s="1"/>
  <c r="T38" i="33" s="1"/>
  <c r="T39" i="33" s="1"/>
  <c r="U38" i="33" s="1"/>
  <c r="U39" i="33" s="1"/>
  <c r="V38" i="33" s="1"/>
  <c r="V39" i="33" s="1"/>
  <c r="W38" i="33" s="1"/>
  <c r="W39" i="33" s="1"/>
  <c r="X38" i="33" s="1"/>
  <c r="X39" i="33" s="1"/>
  <c r="Y38" i="33" s="1"/>
  <c r="Y39" i="33" s="1"/>
  <c r="Z38" i="33" s="1"/>
  <c r="Z39" i="33" s="1"/>
  <c r="AA38" i="33" s="1"/>
  <c r="AA39" i="33" s="1"/>
  <c r="AB38" i="33" s="1"/>
  <c r="AB39" i="33" s="1"/>
  <c r="AC38" i="33" s="1"/>
  <c r="AC39" i="33" s="1"/>
  <c r="AD38" i="33" s="1"/>
  <c r="AD39" i="33" s="1"/>
  <c r="AE38" i="33" s="1"/>
  <c r="AE39" i="33" s="1"/>
  <c r="AF38" i="33" s="1"/>
  <c r="AF39" i="33" s="1"/>
  <c r="AG38" i="33" s="1"/>
  <c r="AG39" i="33" s="1"/>
  <c r="AH38" i="33" s="1"/>
  <c r="AH39" i="33" s="1"/>
  <c r="AI38" i="33" s="1"/>
  <c r="AI39" i="33" s="1"/>
  <c r="AJ38" i="33" s="1"/>
  <c r="AJ39" i="33" s="1"/>
  <c r="AK38" i="33" l="1"/>
  <c r="AK39" i="33" s="1"/>
  <c r="AL38" i="33" s="1"/>
  <c r="AL39" i="33" s="1"/>
  <c r="AM38" i="33" s="1"/>
  <c r="AM39" i="33" s="1"/>
  <c r="AN38" i="33" s="1"/>
  <c r="AN39" i="33" s="1"/>
  <c r="AO38" i="33" s="1"/>
  <c r="AO39" i="33" s="1"/>
  <c r="AP38" i="33" s="1"/>
  <c r="AP39" i="33" s="1"/>
  <c r="S37" i="33"/>
  <c r="T37" i="33" s="1"/>
  <c r="U37" i="33" s="1"/>
  <c r="V37" i="33" s="1"/>
  <c r="W37" i="33" s="1"/>
  <c r="X37" i="33" s="1"/>
  <c r="Y37" i="33" s="1"/>
  <c r="Z37" i="33" s="1"/>
  <c r="AA37" i="33" s="1"/>
  <c r="AB37" i="33" s="1"/>
  <c r="AC37" i="33" s="1"/>
  <c r="AD37" i="33" s="1"/>
  <c r="AE37" i="33" s="1"/>
  <c r="AF37" i="33" s="1"/>
  <c r="AG37" i="33" s="1"/>
  <c r="AH37" i="33" s="1"/>
  <c r="AI37" i="33" s="1"/>
  <c r="AJ37" i="33" s="1"/>
  <c r="AK37" i="33" l="1"/>
  <c r="AL37" i="33" s="1"/>
  <c r="AM37" i="33" s="1"/>
  <c r="AN37" i="33" s="1"/>
  <c r="AO37" i="33" s="1"/>
  <c r="AP37" i="33" s="1"/>
  <c r="AQ38" i="33"/>
  <c r="AQ39" i="33" s="1"/>
  <c r="AR38" i="33" s="1"/>
  <c r="AR39" i="33" s="1"/>
  <c r="AQ37" i="33" l="1"/>
  <c r="AR37" i="33" s="1"/>
  <c r="W31" i="29"/>
  <c r="V31" i="29"/>
  <c r="U31" i="29"/>
  <c r="T31" i="29"/>
  <c r="S31" i="29"/>
  <c r="R31" i="29"/>
  <c r="Q31" i="29"/>
  <c r="P31" i="29"/>
  <c r="O31" i="29"/>
  <c r="N31" i="29"/>
  <c r="M31" i="29"/>
  <c r="L31" i="29"/>
  <c r="L32" i="29" s="1"/>
  <c r="L25" i="29"/>
  <c r="M25" i="29" s="1"/>
  <c r="W24" i="29"/>
  <c r="V24" i="29"/>
  <c r="U24" i="29"/>
  <c r="T24" i="29"/>
  <c r="S24" i="29"/>
  <c r="R24" i="29"/>
  <c r="Q24" i="29"/>
  <c r="P24" i="29"/>
  <c r="O24" i="29"/>
  <c r="N24" i="29"/>
  <c r="M24" i="29"/>
  <c r="L24" i="29"/>
  <c r="W18" i="29"/>
  <c r="W19" i="29" s="1"/>
  <c r="W17" i="29"/>
  <c r="V17" i="29"/>
  <c r="U17" i="29"/>
  <c r="T17" i="29"/>
  <c r="S17" i="29"/>
  <c r="R17" i="29"/>
  <c r="Q17" i="29"/>
  <c r="P17" i="29"/>
  <c r="O17" i="29"/>
  <c r="N17" i="29"/>
  <c r="M17" i="29"/>
  <c r="L17" i="29"/>
  <c r="W10" i="29"/>
  <c r="V10" i="29"/>
  <c r="U10" i="29"/>
  <c r="T10" i="29"/>
  <c r="S10" i="29"/>
  <c r="R10" i="29"/>
  <c r="Q10" i="29"/>
  <c r="P10" i="29"/>
  <c r="O10" i="29"/>
  <c r="N10" i="29"/>
  <c r="M10" i="29"/>
  <c r="L10" i="29"/>
  <c r="L11" i="29" s="1"/>
  <c r="W4" i="29"/>
  <c r="W5" i="29" s="1"/>
  <c r="W3" i="29"/>
  <c r="V3" i="29"/>
  <c r="U3" i="29"/>
  <c r="T3" i="29"/>
  <c r="S3" i="29"/>
  <c r="R3" i="29"/>
  <c r="Q3" i="29"/>
  <c r="P3" i="29"/>
  <c r="O3" i="29"/>
  <c r="N3" i="29"/>
  <c r="M3" i="29"/>
  <c r="L3" i="29"/>
  <c r="L4" i="29" s="1"/>
  <c r="AI73" i="28"/>
  <c r="AH73" i="28"/>
  <c r="AG73" i="28"/>
  <c r="AF73" i="28"/>
  <c r="AE73" i="28"/>
  <c r="AD73" i="28"/>
  <c r="AC73" i="28"/>
  <c r="AB73" i="28"/>
  <c r="AA73" i="28"/>
  <c r="Z73" i="28"/>
  <c r="Y73" i="28"/>
  <c r="X73" i="28"/>
  <c r="AI72" i="28"/>
  <c r="AH72" i="28"/>
  <c r="AG72" i="28"/>
  <c r="AF72" i="28"/>
  <c r="AE72" i="28"/>
  <c r="AD72" i="28"/>
  <c r="AC72" i="28"/>
  <c r="AB72" i="28"/>
  <c r="AA72" i="28"/>
  <c r="Z72" i="28"/>
  <c r="Y72" i="28"/>
  <c r="X72" i="28"/>
  <c r="AI71" i="28"/>
  <c r="AH71" i="28"/>
  <c r="AG71" i="28"/>
  <c r="AF71" i="28"/>
  <c r="AE71" i="28"/>
  <c r="AD71" i="28"/>
  <c r="AC71" i="28"/>
  <c r="AB71" i="28"/>
  <c r="AA71" i="28"/>
  <c r="Z71" i="28"/>
  <c r="Y71" i="28"/>
  <c r="X71" i="28"/>
  <c r="AI70" i="28"/>
  <c r="AH70" i="28"/>
  <c r="AG70" i="28"/>
  <c r="AF70" i="28"/>
  <c r="AE70" i="28"/>
  <c r="AD70" i="28"/>
  <c r="AC70" i="28"/>
  <c r="AB70" i="28"/>
  <c r="AB74" i="28" s="1"/>
  <c r="AA70" i="28"/>
  <c r="Z70" i="28"/>
  <c r="Y70" i="28"/>
  <c r="X70" i="28"/>
  <c r="AI69" i="28"/>
  <c r="AH69" i="28"/>
  <c r="AH74" i="28" s="1"/>
  <c r="AG69" i="28"/>
  <c r="AG74" i="28" s="1"/>
  <c r="AF69" i="28"/>
  <c r="AF74" i="28" s="1"/>
  <c r="AE69" i="28"/>
  <c r="AE74" i="28" s="1"/>
  <c r="AD69" i="28"/>
  <c r="AD74" i="28" s="1"/>
  <c r="AC69" i="28"/>
  <c r="AC74" i="28" s="1"/>
  <c r="AB69" i="28"/>
  <c r="AA69" i="28"/>
  <c r="AA74" i="28" s="1"/>
  <c r="Z69" i="28"/>
  <c r="Z74" i="28" s="1"/>
  <c r="Y69" i="28"/>
  <c r="Y74" i="28" s="1"/>
  <c r="X69" i="28"/>
  <c r="X74" i="28" s="1"/>
  <c r="AH66" i="28"/>
  <c r="AG66" i="28"/>
  <c r="AF66" i="28"/>
  <c r="AE66" i="28"/>
  <c r="AD66" i="28"/>
  <c r="AC66" i="28"/>
  <c r="AB66" i="28"/>
  <c r="AA66" i="28"/>
  <c r="Z66" i="28"/>
  <c r="Y66" i="28"/>
  <c r="X66" i="28"/>
  <c r="AI65" i="28"/>
  <c r="AH65" i="28"/>
  <c r="AG65" i="28"/>
  <c r="AF65" i="28"/>
  <c r="AE65" i="28"/>
  <c r="AD65" i="28"/>
  <c r="AC65" i="28"/>
  <c r="AB65" i="28"/>
  <c r="AA65" i="28"/>
  <c r="Z65" i="28"/>
  <c r="Y65" i="28"/>
  <c r="X65" i="28"/>
  <c r="AI64" i="28"/>
  <c r="AH64" i="28"/>
  <c r="AG64" i="28"/>
  <c r="AF64" i="28"/>
  <c r="AE64" i="28"/>
  <c r="AD64" i="28"/>
  <c r="AC64" i="28"/>
  <c r="AB64" i="28"/>
  <c r="AA64" i="28"/>
  <c r="Z64" i="28"/>
  <c r="Y64" i="28"/>
  <c r="X64" i="28"/>
  <c r="AI63" i="28"/>
  <c r="AH63" i="28"/>
  <c r="AG63" i="28"/>
  <c r="AF63" i="28"/>
  <c r="AE63" i="28"/>
  <c r="AD63" i="28"/>
  <c r="AC63" i="28"/>
  <c r="AB63" i="28"/>
  <c r="AA63" i="28"/>
  <c r="Z63" i="28"/>
  <c r="Y63" i="28"/>
  <c r="X63" i="28"/>
  <c r="AI62" i="28"/>
  <c r="AH62" i="28"/>
  <c r="AG62" i="28"/>
  <c r="AF62" i="28"/>
  <c r="AE62" i="28"/>
  <c r="AD62" i="28"/>
  <c r="AC62" i="28"/>
  <c r="AB62" i="28"/>
  <c r="AA62" i="28"/>
  <c r="Z62" i="28"/>
  <c r="Y62" i="28"/>
  <c r="X62" i="28"/>
  <c r="AI61" i="28"/>
  <c r="AI66" i="28" s="1"/>
  <c r="AH61" i="28"/>
  <c r="AG61" i="28"/>
  <c r="AF61" i="28"/>
  <c r="AE61" i="28"/>
  <c r="AD61" i="28"/>
  <c r="AC61" i="28"/>
  <c r="AB61" i="28"/>
  <c r="AA61" i="28"/>
  <c r="Z61" i="28"/>
  <c r="Y61" i="28"/>
  <c r="X61" i="28"/>
  <c r="AI56" i="28"/>
  <c r="AH56" i="28"/>
  <c r="AG56" i="28"/>
  <c r="AF56" i="28"/>
  <c r="AE56" i="28"/>
  <c r="AD56" i="28"/>
  <c r="AC56" i="28"/>
  <c r="AB56" i="28"/>
  <c r="AA56" i="28"/>
  <c r="Z56" i="28"/>
  <c r="Y56" i="28"/>
  <c r="X56" i="28"/>
  <c r="W35" i="28"/>
  <c r="AH35" i="28"/>
  <c r="AH36" i="28" s="1"/>
  <c r="AH31" i="28"/>
  <c r="X31" i="28"/>
  <c r="X36" i="28" s="1"/>
  <c r="W31" i="28"/>
  <c r="AG35" i="28"/>
  <c r="AF35" i="28"/>
  <c r="AE35" i="28"/>
  <c r="AD35" i="28"/>
  <c r="AC35" i="28"/>
  <c r="AB35" i="28"/>
  <c r="AA35" i="28"/>
  <c r="Z35" i="28"/>
  <c r="Y35" i="28"/>
  <c r="X35" i="28"/>
  <c r="AH34" i="28"/>
  <c r="AG34" i="28"/>
  <c r="AF34" i="28"/>
  <c r="AE34" i="28"/>
  <c r="AD34" i="28"/>
  <c r="AC34" i="28"/>
  <c r="AB34" i="28"/>
  <c r="AA34" i="28"/>
  <c r="Z34" i="28"/>
  <c r="Y34" i="28"/>
  <c r="X34" i="28"/>
  <c r="AH33" i="28"/>
  <c r="AG33" i="28"/>
  <c r="AF33" i="28"/>
  <c r="AE33" i="28"/>
  <c r="AD33" i="28"/>
  <c r="AC33" i="28"/>
  <c r="AB33" i="28"/>
  <c r="AA33" i="28"/>
  <c r="Z33" i="28"/>
  <c r="Y33" i="28"/>
  <c r="X33" i="28"/>
  <c r="AH32" i="28"/>
  <c r="AG32" i="28"/>
  <c r="AF32" i="28"/>
  <c r="AE32" i="28"/>
  <c r="AD32" i="28"/>
  <c r="AC32" i="28"/>
  <c r="AC36" i="28" s="1"/>
  <c r="AB32" i="28"/>
  <c r="AB36" i="28" s="1"/>
  <c r="AA32" i="28"/>
  <c r="Z32" i="28"/>
  <c r="Y32" i="28"/>
  <c r="X32" i="28"/>
  <c r="AG31" i="28"/>
  <c r="AG36" i="28" s="1"/>
  <c r="AF31" i="28"/>
  <c r="AF36" i="28" s="1"/>
  <c r="AE31" i="28"/>
  <c r="AE36" i="28" s="1"/>
  <c r="AD31" i="28"/>
  <c r="AD36" i="28" s="1"/>
  <c r="AC31" i="28"/>
  <c r="AB31" i="28"/>
  <c r="AA31" i="28"/>
  <c r="AA36" i="28" s="1"/>
  <c r="Z31" i="28"/>
  <c r="Z36" i="28" s="1"/>
  <c r="Y31" i="28"/>
  <c r="Y36" i="28" s="1"/>
  <c r="AI28" i="28"/>
  <c r="AH28" i="28"/>
  <c r="AG28" i="28"/>
  <c r="AF28" i="28"/>
  <c r="AE28" i="28"/>
  <c r="AD28" i="28"/>
  <c r="AC28" i="28"/>
  <c r="AB28" i="28"/>
  <c r="AA28" i="28"/>
  <c r="Z28" i="28"/>
  <c r="Y28" i="28"/>
  <c r="X28" i="28"/>
  <c r="AH15" i="28"/>
  <c r="AI19" i="28"/>
  <c r="AH19" i="28"/>
  <c r="AG19" i="28"/>
  <c r="AF19" i="28"/>
  <c r="AE19" i="28"/>
  <c r="AD19" i="28"/>
  <c r="AC19" i="28"/>
  <c r="AB19" i="28"/>
  <c r="AA19" i="28"/>
  <c r="Z19" i="28"/>
  <c r="Y19" i="28"/>
  <c r="X19" i="28"/>
  <c r="AI18" i="28"/>
  <c r="AH18" i="28"/>
  <c r="AG18" i="28"/>
  <c r="AF18" i="28"/>
  <c r="AE18" i="28"/>
  <c r="AD18" i="28"/>
  <c r="AC18" i="28"/>
  <c r="AB18" i="28"/>
  <c r="AA18" i="28"/>
  <c r="Z18" i="28"/>
  <c r="Y18" i="28"/>
  <c r="X18" i="28"/>
  <c r="AI17" i="28"/>
  <c r="AH17" i="28"/>
  <c r="AG17" i="28"/>
  <c r="AF17" i="28"/>
  <c r="AE17" i="28"/>
  <c r="AD17" i="28"/>
  <c r="AC17" i="28"/>
  <c r="AB17" i="28"/>
  <c r="AA17" i="28"/>
  <c r="Z17" i="28"/>
  <c r="Y17" i="28"/>
  <c r="X17" i="28"/>
  <c r="AI16" i="28"/>
  <c r="AH16" i="28"/>
  <c r="AG16" i="28"/>
  <c r="AF16" i="28"/>
  <c r="AE16" i="28"/>
  <c r="AD16" i="28"/>
  <c r="AC16" i="28"/>
  <c r="AB16" i="28"/>
  <c r="AA16" i="28"/>
  <c r="Z16" i="28"/>
  <c r="Y16" i="28"/>
  <c r="X16" i="28"/>
  <c r="AI15" i="28"/>
  <c r="AG15" i="28"/>
  <c r="AF15" i="28"/>
  <c r="AE15" i="28"/>
  <c r="AD15" i="28"/>
  <c r="AC15" i="28"/>
  <c r="AB15" i="28"/>
  <c r="AA15" i="28"/>
  <c r="Z15" i="28"/>
  <c r="Y15" i="28"/>
  <c r="X15" i="28"/>
  <c r="AI14" i="28"/>
  <c r="AI31" i="28" s="1"/>
  <c r="AH14" i="28"/>
  <c r="AG14" i="28"/>
  <c r="AG20" i="28" s="1"/>
  <c r="AF14" i="28"/>
  <c r="AF20" i="28" s="1"/>
  <c r="AE14" i="28"/>
  <c r="AE20" i="28" s="1"/>
  <c r="AD14" i="28"/>
  <c r="AD20" i="28" s="1"/>
  <c r="AC14" i="28"/>
  <c r="AC20" i="28" s="1"/>
  <c r="AB14" i="28"/>
  <c r="AB20" i="28" s="1"/>
  <c r="AA14" i="28"/>
  <c r="AA20" i="28" s="1"/>
  <c r="Z14" i="28"/>
  <c r="Z20" i="28" s="1"/>
  <c r="Y14" i="28"/>
  <c r="Y20" i="28" s="1"/>
  <c r="X14" i="28"/>
  <c r="X20" i="28" s="1"/>
  <c r="AI11" i="28"/>
  <c r="AC11" i="28"/>
  <c r="AH10" i="28"/>
  <c r="AG10" i="28"/>
  <c r="AF10" i="28"/>
  <c r="AE10" i="28"/>
  <c r="AD10" i="28"/>
  <c r="AC10" i="28"/>
  <c r="AB10" i="28"/>
  <c r="AA10" i="28"/>
  <c r="Z10" i="28"/>
  <c r="Y10" i="28"/>
  <c r="X10" i="28"/>
  <c r="AH9" i="28"/>
  <c r="AG9" i="28"/>
  <c r="AF9" i="28"/>
  <c r="AE9" i="28"/>
  <c r="AD9" i="28"/>
  <c r="AC9" i="28"/>
  <c r="AB9" i="28"/>
  <c r="AA9" i="28"/>
  <c r="Z9" i="28"/>
  <c r="Y9" i="28"/>
  <c r="X9" i="28"/>
  <c r="AH8" i="28"/>
  <c r="AG8" i="28"/>
  <c r="AF8" i="28"/>
  <c r="AE8" i="28"/>
  <c r="AD8" i="28"/>
  <c r="AC8" i="28"/>
  <c r="AB8" i="28"/>
  <c r="AA8" i="28"/>
  <c r="Z8" i="28"/>
  <c r="Y8" i="28"/>
  <c r="X8" i="28"/>
  <c r="AH7" i="28"/>
  <c r="AG7" i="28"/>
  <c r="AF7" i="28"/>
  <c r="AE7" i="28"/>
  <c r="AD7" i="28"/>
  <c r="AC7" i="28"/>
  <c r="AB7" i="28"/>
  <c r="AA7" i="28"/>
  <c r="Z7" i="28"/>
  <c r="Y7" i="28"/>
  <c r="X7" i="28"/>
  <c r="AH6" i="28"/>
  <c r="AG6" i="28"/>
  <c r="AF6" i="28"/>
  <c r="AE6" i="28"/>
  <c r="AD6" i="28"/>
  <c r="AC6" i="28"/>
  <c r="AB6" i="28"/>
  <c r="AB11" i="28" s="1"/>
  <c r="AA6" i="28"/>
  <c r="AA11" i="28" s="1"/>
  <c r="Z6" i="28"/>
  <c r="Y6" i="28"/>
  <c r="X6" i="28"/>
  <c r="AH5" i="28"/>
  <c r="AH11" i="28" s="1"/>
  <c r="AG5" i="28"/>
  <c r="AG11" i="28" s="1"/>
  <c r="AF5" i="28"/>
  <c r="AF11" i="28" s="1"/>
  <c r="AE5" i="28"/>
  <c r="AE11" i="28" s="1"/>
  <c r="AD5" i="28"/>
  <c r="AD11" i="28" s="1"/>
  <c r="AC5" i="28"/>
  <c r="AB5" i="28"/>
  <c r="AA5" i="28"/>
  <c r="Z5" i="28"/>
  <c r="Z11" i="28" s="1"/>
  <c r="Y5" i="28"/>
  <c r="Y11" i="28" s="1"/>
  <c r="X5" i="28"/>
  <c r="X11" i="28" s="1"/>
  <c r="Z93" i="27"/>
  <c r="AA93" i="27" s="1"/>
  <c r="AB93" i="27" s="1"/>
  <c r="AI88" i="27"/>
  <c r="AE88" i="27"/>
  <c r="AB88" i="27"/>
  <c r="AA88" i="27"/>
  <c r="AI87" i="27"/>
  <c r="AH87" i="27"/>
  <c r="AH88" i="27" s="1"/>
  <c r="AE87" i="27"/>
  <c r="AB87" i="27"/>
  <c r="AA87" i="27"/>
  <c r="Z87" i="27"/>
  <c r="Z88" i="27" s="1"/>
  <c r="AJ85" i="27"/>
  <c r="AJ87" i="27" s="1"/>
  <c r="AJ88" i="27" s="1"/>
  <c r="AI85" i="27"/>
  <c r="AH85" i="27"/>
  <c r="AG85" i="27"/>
  <c r="AG87" i="27" s="1"/>
  <c r="AG88" i="27" s="1"/>
  <c r="AF85" i="27"/>
  <c r="AF87" i="27" s="1"/>
  <c r="AF88" i="27" s="1"/>
  <c r="AE85" i="27"/>
  <c r="AD85" i="27"/>
  <c r="AD87" i="27" s="1"/>
  <c r="AD88" i="27" s="1"/>
  <c r="AC85" i="27"/>
  <c r="AC87" i="27" s="1"/>
  <c r="AC88" i="27" s="1"/>
  <c r="AC89" i="27" s="1"/>
  <c r="AJ84" i="27"/>
  <c r="W6" i="29" l="1"/>
  <c r="W7" i="29" s="1"/>
  <c r="W8" i="29" s="1"/>
  <c r="W25" i="29"/>
  <c r="W26" i="29" s="1"/>
  <c r="W32" i="29"/>
  <c r="W33" i="29" s="1"/>
  <c r="W20" i="29"/>
  <c r="W21" i="29" s="1"/>
  <c r="W22" i="29" s="1"/>
  <c r="W11" i="29"/>
  <c r="W12" i="29" s="1"/>
  <c r="AI33" i="28"/>
  <c r="AI41" i="28" s="1"/>
  <c r="AI35" i="28"/>
  <c r="AI43" i="28" s="1"/>
  <c r="AI74" i="28"/>
  <c r="AI34" i="28"/>
  <c r="AI42" i="28" s="1"/>
  <c r="AI32" i="28"/>
  <c r="AI40" i="28" s="1"/>
  <c r="AI36" i="28"/>
  <c r="AI44" i="28" s="1"/>
  <c r="AI20" i="28"/>
  <c r="L12" i="29"/>
  <c r="M11" i="29"/>
  <c r="L20" i="29"/>
  <c r="N25" i="29"/>
  <c r="M32" i="29"/>
  <c r="L33" i="29"/>
  <c r="M4" i="29"/>
  <c r="L5" i="29"/>
  <c r="L6" i="29"/>
  <c r="N11" i="29"/>
  <c r="L18" i="29"/>
  <c r="L19" i="29" s="1"/>
  <c r="M18" i="29"/>
  <c r="L26" i="29"/>
  <c r="L27" i="29" s="1"/>
  <c r="L21" i="29"/>
  <c r="L22" i="29" s="1"/>
  <c r="AH20" i="28"/>
  <c r="AC90" i="27"/>
  <c r="AC91" i="27"/>
  <c r="AC92" i="27" s="1"/>
  <c r="AD89" i="27" s="1"/>
  <c r="AD91" i="27" s="1"/>
  <c r="AD92" i="27" s="1"/>
  <c r="AE89" i="27" s="1"/>
  <c r="AE91" i="27" s="1"/>
  <c r="AE92" i="27" s="1"/>
  <c r="AF89" i="27" s="1"/>
  <c r="AF91" i="27" s="1"/>
  <c r="AF92" i="27" s="1"/>
  <c r="AG89" i="27" s="1"/>
  <c r="AG91" i="27" s="1"/>
  <c r="AG92" i="27" s="1"/>
  <c r="AH89" i="27" s="1"/>
  <c r="AH91" i="27" s="1"/>
  <c r="AH92" i="27" s="1"/>
  <c r="AI89" i="27" s="1"/>
  <c r="AI91" i="27" s="1"/>
  <c r="AI92" i="27" s="1"/>
  <c r="AJ89" i="27" s="1"/>
  <c r="AJ91" i="27" s="1"/>
  <c r="AJ92" i="27" s="1"/>
  <c r="AC93" i="27"/>
  <c r="W13" i="29" l="1"/>
  <c r="W14" i="29"/>
  <c r="W15" i="29" s="1"/>
  <c r="W34" i="29"/>
  <c r="W35" i="29" s="1"/>
  <c r="W36" i="29" s="1"/>
  <c r="W27" i="29"/>
  <c r="W28" i="29" s="1"/>
  <c r="W29" i="29" s="1"/>
  <c r="M5" i="29"/>
  <c r="M6" i="29"/>
  <c r="L28" i="29"/>
  <c r="L29" i="29" s="1"/>
  <c r="M12" i="29"/>
  <c r="N12" i="29" s="1"/>
  <c r="M13" i="29"/>
  <c r="M26" i="29"/>
  <c r="M33" i="29"/>
  <c r="M34" i="29"/>
  <c r="N32" i="29"/>
  <c r="L13" i="29"/>
  <c r="L14" i="29" s="1"/>
  <c r="L15" i="29" s="1"/>
  <c r="N18" i="29"/>
  <c r="M19" i="29"/>
  <c r="N4" i="29"/>
  <c r="L7" i="29"/>
  <c r="L8" i="29" s="1"/>
  <c r="L34" i="29"/>
  <c r="L35" i="29" s="1"/>
  <c r="L36" i="29" s="1"/>
  <c r="AD90" i="27"/>
  <c r="AE90" i="27" s="1"/>
  <c r="AF90" i="27" s="1"/>
  <c r="AG90" i="27" s="1"/>
  <c r="AH90" i="27" s="1"/>
  <c r="AI90" i="27" s="1"/>
  <c r="AJ90" i="27" s="1"/>
  <c r="AD93" i="27"/>
  <c r="AE93" i="27" s="1"/>
  <c r="AF93" i="27" s="1"/>
  <c r="AG93" i="27" s="1"/>
  <c r="AH93" i="27" s="1"/>
  <c r="AI93" i="27" s="1"/>
  <c r="AJ93" i="27" s="1"/>
  <c r="N13" i="29" l="1"/>
  <c r="N14" i="29"/>
  <c r="N15" i="29" s="1"/>
  <c r="M20" i="29"/>
  <c r="M21" i="29" s="1"/>
  <c r="M22" i="29" s="1"/>
  <c r="N19" i="29"/>
  <c r="N20" i="29"/>
  <c r="M27" i="29"/>
  <c r="M28" i="29"/>
  <c r="M29" i="29" s="1"/>
  <c r="N33" i="29"/>
  <c r="N34" i="29"/>
  <c r="P11" i="29"/>
  <c r="O13" i="29"/>
  <c r="M14" i="29"/>
  <c r="M15" i="29" s="1"/>
  <c r="M35" i="29"/>
  <c r="M36" i="29" s="1"/>
  <c r="N26" i="29"/>
  <c r="N5" i="29"/>
  <c r="N6" i="29"/>
  <c r="O27" i="29"/>
  <c r="P25" i="29"/>
  <c r="M7" i="29"/>
  <c r="M8" i="29" s="1"/>
  <c r="N21" i="29" l="1"/>
  <c r="N22" i="29" s="1"/>
  <c r="N7" i="29"/>
  <c r="N8" i="29" s="1"/>
  <c r="P18" i="29"/>
  <c r="O14" i="29"/>
  <c r="O15" i="29" s="1"/>
  <c r="O6" i="29"/>
  <c r="P4" i="29"/>
  <c r="Q11" i="29"/>
  <c r="P12" i="29"/>
  <c r="P13" i="29"/>
  <c r="P26" i="29"/>
  <c r="Q25" i="29"/>
  <c r="P27" i="29"/>
  <c r="O34" i="29"/>
  <c r="P32" i="29"/>
  <c r="O28" i="29"/>
  <c r="O29" i="29" s="1"/>
  <c r="N27" i="29"/>
  <c r="N28" i="29" s="1"/>
  <c r="N29" i="29" s="1"/>
  <c r="N35" i="29"/>
  <c r="N36" i="29" s="1"/>
  <c r="P33" i="29" l="1"/>
  <c r="P34" i="29"/>
  <c r="Q32" i="29"/>
  <c r="O35" i="29"/>
  <c r="O36" i="29" s="1"/>
  <c r="P14" i="29"/>
  <c r="P15" i="29" s="1"/>
  <c r="Q12" i="29"/>
  <c r="Q13" i="29"/>
  <c r="R11" i="29"/>
  <c r="O20" i="29"/>
  <c r="O21" i="29" s="1"/>
  <c r="O22" i="29" s="1"/>
  <c r="Q26" i="29"/>
  <c r="Q27" i="29"/>
  <c r="R25" i="29"/>
  <c r="O7" i="29"/>
  <c r="O8" i="29" s="1"/>
  <c r="P28" i="29"/>
  <c r="P29" i="29" s="1"/>
  <c r="Q18" i="29"/>
  <c r="P19" i="29"/>
  <c r="P20" i="29" s="1"/>
  <c r="Q4" i="29"/>
  <c r="P5" i="29"/>
  <c r="P6" i="29" s="1"/>
  <c r="Q14" i="29" l="1"/>
  <c r="Q15" i="29" s="1"/>
  <c r="Q19" i="29"/>
  <c r="Q20" i="29"/>
  <c r="R18" i="29"/>
  <c r="P7" i="29"/>
  <c r="P8" i="29" s="1"/>
  <c r="R26" i="29"/>
  <c r="R27" i="29" s="1"/>
  <c r="S25" i="29"/>
  <c r="R4" i="29"/>
  <c r="Q5" i="29"/>
  <c r="Q6" i="29"/>
  <c r="Q28" i="29"/>
  <c r="Q29" i="29" s="1"/>
  <c r="R32" i="29"/>
  <c r="Q33" i="29"/>
  <c r="Q34" i="29" s="1"/>
  <c r="P21" i="29"/>
  <c r="P22" i="29" s="1"/>
  <c r="S11" i="29"/>
  <c r="R12" i="29"/>
  <c r="R13" i="29" s="1"/>
  <c r="P35" i="29"/>
  <c r="P36" i="29" s="1"/>
  <c r="Q7" i="29" l="1"/>
  <c r="Q8" i="29" s="1"/>
  <c r="R19" i="29"/>
  <c r="S18" i="29"/>
  <c r="R20" i="29"/>
  <c r="R14" i="29"/>
  <c r="R15" i="29" s="1"/>
  <c r="Q21" i="29"/>
  <c r="Q22" i="29" s="1"/>
  <c r="S12" i="29"/>
  <c r="S13" i="29" s="1"/>
  <c r="T11" i="29"/>
  <c r="S4" i="29"/>
  <c r="R5" i="29"/>
  <c r="R6" i="29"/>
  <c r="S26" i="29"/>
  <c r="T25" i="29"/>
  <c r="Q35" i="29"/>
  <c r="Q36" i="29" s="1"/>
  <c r="R28" i="29"/>
  <c r="R29" i="29" s="1"/>
  <c r="S32" i="29"/>
  <c r="R33" i="29"/>
  <c r="R34" i="29"/>
  <c r="R7" i="29" l="1"/>
  <c r="R8" i="29" s="1"/>
  <c r="S33" i="29"/>
  <c r="S34" i="29" s="1"/>
  <c r="T32" i="29"/>
  <c r="T12" i="29"/>
  <c r="U11" i="29"/>
  <c r="T13" i="29"/>
  <c r="S28" i="29"/>
  <c r="S29" i="29" s="1"/>
  <c r="R35" i="29"/>
  <c r="R36" i="29" s="1"/>
  <c r="S19" i="29"/>
  <c r="S20" i="29" s="1"/>
  <c r="T18" i="29"/>
  <c r="S5" i="29"/>
  <c r="T4" i="29"/>
  <c r="R21" i="29"/>
  <c r="R22" i="29" s="1"/>
  <c r="S27" i="29"/>
  <c r="S14" i="29"/>
  <c r="S15" i="29" s="1"/>
  <c r="U25" i="29"/>
  <c r="T26" i="29"/>
  <c r="T27" i="29" s="1"/>
  <c r="U12" i="29" l="1"/>
  <c r="U13" i="29"/>
  <c r="V11" i="29"/>
  <c r="S6" i="29"/>
  <c r="S7" i="29" s="1"/>
  <c r="S8" i="29" s="1"/>
  <c r="T14" i="29"/>
  <c r="T15" i="29" s="1"/>
  <c r="T28" i="29"/>
  <c r="T29" i="29" s="1"/>
  <c r="T19" i="29"/>
  <c r="U18" i="29"/>
  <c r="U32" i="29"/>
  <c r="T33" i="29"/>
  <c r="T34" i="29" s="1"/>
  <c r="U4" i="29"/>
  <c r="T5" i="29"/>
  <c r="T6" i="29"/>
  <c r="U26" i="29"/>
  <c r="U27" i="29" s="1"/>
  <c r="V25" i="29"/>
  <c r="S21" i="29"/>
  <c r="S22" i="29" s="1"/>
  <c r="S35" i="29"/>
  <c r="S36" i="29" s="1"/>
  <c r="T35" i="29" l="1"/>
  <c r="T36" i="29" s="1"/>
  <c r="U33" i="29"/>
  <c r="U34" i="29" s="1"/>
  <c r="V32" i="29"/>
  <c r="V12" i="29"/>
  <c r="V13" i="29"/>
  <c r="T20" i="29"/>
  <c r="T21" i="29" s="1"/>
  <c r="T22" i="29" s="1"/>
  <c r="T7" i="29"/>
  <c r="T8" i="29" s="1"/>
  <c r="U5" i="29"/>
  <c r="U6" i="29" s="1"/>
  <c r="V4" i="29"/>
  <c r="V26" i="29"/>
  <c r="V27" i="29" s="1"/>
  <c r="U28" i="29"/>
  <c r="U29" i="29" s="1"/>
  <c r="V18" i="29"/>
  <c r="U19" i="29"/>
  <c r="U14" i="29"/>
  <c r="U15" i="29" s="1"/>
  <c r="V14" i="29" l="1"/>
  <c r="V15" i="29" s="1"/>
  <c r="V19" i="29"/>
  <c r="V20" i="29"/>
  <c r="V5" i="29"/>
  <c r="V6" i="29" s="1"/>
  <c r="V33" i="29"/>
  <c r="V28" i="29"/>
  <c r="V29" i="29" s="1"/>
  <c r="U20" i="29"/>
  <c r="U21" i="29" s="1"/>
  <c r="U22" i="29" s="1"/>
  <c r="U7" i="29"/>
  <c r="U8" i="29" s="1"/>
  <c r="U35" i="29"/>
  <c r="U36" i="29" s="1"/>
  <c r="V34" i="29" l="1"/>
  <c r="V35" i="29" s="1"/>
  <c r="V36" i="29" s="1"/>
  <c r="V7" i="29"/>
  <c r="V8" i="29" s="1"/>
  <c r="V21" i="29"/>
  <c r="V22" i="29" s="1"/>
  <c r="AA79" i="27" l="1"/>
  <c r="AN78" i="27"/>
  <c r="AJ78" i="27"/>
  <c r="AI78" i="27"/>
  <c r="AH78" i="27"/>
  <c r="AG78" i="27"/>
  <c r="AF78" i="27"/>
  <c r="AE78" i="27"/>
  <c r="AD78" i="27"/>
  <c r="AC78" i="27"/>
  <c r="AB78" i="27"/>
  <c r="AB79" i="27" s="1"/>
  <c r="AJ70" i="27"/>
  <c r="AI70" i="27"/>
  <c r="AF70" i="27"/>
  <c r="AE70" i="27"/>
  <c r="AD70" i="27"/>
  <c r="AB70" i="27"/>
  <c r="AA70" i="27"/>
  <c r="AA16" i="27"/>
  <c r="AJ60" i="27"/>
  <c r="AJ61" i="27" s="1"/>
  <c r="AI60" i="27"/>
  <c r="AH60" i="27"/>
  <c r="AG60" i="27"/>
  <c r="AG61" i="27" s="1"/>
  <c r="AF60" i="27"/>
  <c r="AE60" i="27"/>
  <c r="AD60" i="27"/>
  <c r="AC60" i="27"/>
  <c r="AB60" i="27"/>
  <c r="AB61" i="27" s="1"/>
  <c r="AA60" i="27"/>
  <c r="Z60" i="27"/>
  <c r="AJ50" i="27"/>
  <c r="AI50" i="27"/>
  <c r="AH50" i="27"/>
  <c r="AG50" i="27"/>
  <c r="AF50" i="27"/>
  <c r="AE50" i="27"/>
  <c r="AD50" i="27"/>
  <c r="AC50" i="27"/>
  <c r="AB50" i="27"/>
  <c r="AA50" i="27"/>
  <c r="Z50" i="27"/>
  <c r="AD40" i="27"/>
  <c r="AJ40" i="27"/>
  <c r="AI40" i="27"/>
  <c r="AH40" i="27"/>
  <c r="AG40" i="27"/>
  <c r="AF40" i="27"/>
  <c r="AE40" i="27"/>
  <c r="AC40" i="27"/>
  <c r="AC41" i="27" s="1"/>
  <c r="AB40" i="27"/>
  <c r="AA40" i="27"/>
  <c r="Z40" i="27"/>
  <c r="AJ30" i="27"/>
  <c r="AI30" i="27"/>
  <c r="AH30" i="27"/>
  <c r="AG30" i="27"/>
  <c r="AE30" i="27"/>
  <c r="AD30" i="27"/>
  <c r="AC30" i="27"/>
  <c r="AC31" i="27" s="1"/>
  <c r="AB30" i="27"/>
  <c r="AB31" i="27" s="1"/>
  <c r="AA30" i="27"/>
  <c r="Z30" i="27"/>
  <c r="AI17" i="27"/>
  <c r="AD17" i="27"/>
  <c r="Z15" i="27"/>
  <c r="AA61" i="27" l="1"/>
  <c r="AI61" i="27"/>
  <c r="AE71" i="27"/>
  <c r="Z16" i="27"/>
  <c r="AJ31" i="27"/>
  <c r="AD41" i="27"/>
  <c r="AH51" i="27"/>
  <c r="AE16" i="27"/>
  <c r="AH16" i="27"/>
  <c r="AH41" i="27"/>
  <c r="AB51" i="27"/>
  <c r="AJ51" i="27"/>
  <c r="Z41" i="27"/>
  <c r="AC17" i="27"/>
  <c r="AE31" i="27"/>
  <c r="AG16" i="27"/>
  <c r="AA41" i="27"/>
  <c r="AI41" i="27"/>
  <c r="AI16" i="27"/>
  <c r="AC51" i="27"/>
  <c r="AC61" i="27"/>
  <c r="AF71" i="27"/>
  <c r="AF17" i="27"/>
  <c r="AH17" i="27"/>
  <c r="AG31" i="27"/>
  <c r="AB16" i="27"/>
  <c r="AJ16" i="27"/>
  <c r="AD16" i="27"/>
  <c r="AF61" i="27"/>
  <c r="AA31" i="27"/>
  <c r="AI31" i="27"/>
  <c r="AE41" i="27"/>
  <c r="AG51" i="27"/>
  <c r="AB71" i="27"/>
  <c r="AJ71" i="27"/>
  <c r="AG41" i="27"/>
  <c r="AD51" i="27"/>
  <c r="AE61" i="27"/>
  <c r="Z17" i="27"/>
  <c r="Z31" i="27"/>
  <c r="AH31" i="27"/>
  <c r="AB41" i="27"/>
  <c r="AJ41" i="27"/>
  <c r="Z61" i="27"/>
  <c r="AH61" i="27"/>
  <c r="AF51" i="27"/>
  <c r="AF30" i="27"/>
  <c r="AF31" i="27" s="1"/>
  <c r="AF16" i="27"/>
  <c r="Z51" i="27"/>
  <c r="AE17" i="27"/>
  <c r="AC16" i="27"/>
  <c r="AD31" i="27"/>
  <c r="AD61" i="27"/>
  <c r="AA18" i="27"/>
  <c r="AI18" i="27"/>
  <c r="AB81" i="27"/>
  <c r="AB82" i="27" s="1"/>
  <c r="AC79" i="27" s="1"/>
  <c r="AC81" i="27" s="1"/>
  <c r="AC82" i="27" s="1"/>
  <c r="AD79" i="27" s="1"/>
  <c r="AD81" i="27" s="1"/>
  <c r="AD82" i="27" s="1"/>
  <c r="AE79" i="27" s="1"/>
  <c r="AE81" i="27" s="1"/>
  <c r="AE82" i="27" s="1"/>
  <c r="AF79" i="27" s="1"/>
  <c r="AF81" i="27" s="1"/>
  <c r="AF82" i="27" s="1"/>
  <c r="AG79" i="27" s="1"/>
  <c r="AG81" i="27" s="1"/>
  <c r="AG82" i="27" s="1"/>
  <c r="AH79" i="27" s="1"/>
  <c r="AH81" i="27" s="1"/>
  <c r="AH82" i="27" s="1"/>
  <c r="AI79" i="27" s="1"/>
  <c r="AI81" i="27" s="1"/>
  <c r="AI82" i="27" s="1"/>
  <c r="AJ79" i="27" s="1"/>
  <c r="AJ81" i="27" s="1"/>
  <c r="AJ82" i="27" s="1"/>
  <c r="AB80" i="27"/>
  <c r="AA81" i="27"/>
  <c r="AJ18" i="27"/>
  <c r="AE51" i="27"/>
  <c r="AE19" i="27"/>
  <c r="AF41" i="27"/>
  <c r="AD18" i="27"/>
  <c r="AB19" i="27"/>
  <c r="AE18" i="27"/>
  <c r="AD19" i="27"/>
  <c r="AD71" i="27"/>
  <c r="AC18" i="27"/>
  <c r="AC70" i="27"/>
  <c r="AA17" i="27"/>
  <c r="AJ17" i="27"/>
  <c r="AB17" i="27"/>
  <c r="AG70" i="27"/>
  <c r="AG18" i="27"/>
  <c r="AJ19" i="27"/>
  <c r="AA51" i="27"/>
  <c r="AI51" i="27"/>
  <c r="Z70" i="27"/>
  <c r="Z18" i="27"/>
  <c r="AH70" i="27"/>
  <c r="AH18" i="27"/>
  <c r="AA71" i="27"/>
  <c r="AA19" i="27"/>
  <c r="AI71" i="27"/>
  <c r="AI19" i="27"/>
  <c r="AB18" i="27"/>
  <c r="AG17" i="27"/>
  <c r="AB20" i="27" l="1"/>
  <c r="AF18" i="27"/>
  <c r="AJ20" i="27"/>
  <c r="AE20" i="27"/>
  <c r="AF19" i="27"/>
  <c r="AC80" i="27"/>
  <c r="AD80" i="27" s="1"/>
  <c r="AE80" i="27" s="1"/>
  <c r="AF80" i="27" s="1"/>
  <c r="AG80" i="27" s="1"/>
  <c r="AH80" i="27" s="1"/>
  <c r="AI80" i="27" s="1"/>
  <c r="AJ80" i="27" s="1"/>
  <c r="AF20" i="27"/>
  <c r="AI20" i="27"/>
  <c r="AH71" i="27"/>
  <c r="AH19" i="27"/>
  <c r="AC71" i="27"/>
  <c r="AC19" i="27"/>
  <c r="AA20" i="27"/>
  <c r="AG71" i="27"/>
  <c r="AG19" i="27"/>
  <c r="Z71" i="27"/>
  <c r="Z19" i="27"/>
  <c r="AD20" i="27"/>
  <c r="AG20" i="27" l="1"/>
  <c r="Z20" i="27"/>
  <c r="AH20" i="27"/>
  <c r="AC20" i="27"/>
  <c r="Z10" i="27" l="1"/>
  <c r="Z11" i="27" s="1"/>
  <c r="AC8" i="27"/>
  <c r="AB8" i="27"/>
  <c r="AA8" i="27"/>
  <c r="Z8" i="27"/>
  <c r="AJ8" i="27"/>
  <c r="AI8" i="27"/>
  <c r="AH8" i="27"/>
  <c r="AG8" i="27"/>
  <c r="AF8" i="27"/>
  <c r="AD6" i="27"/>
  <c r="AA10" i="27" l="1"/>
  <c r="AA12" i="27" s="1"/>
  <c r="AA13" i="27" s="1"/>
  <c r="AB10" i="27" s="1"/>
  <c r="AB12" i="27" s="1"/>
  <c r="AB13" i="27" s="1"/>
  <c r="AC10" i="27" s="1"/>
  <c r="AC12" i="27" s="1"/>
  <c r="AC13" i="27" s="1"/>
  <c r="Z12" i="27"/>
  <c r="Z13" i="27" s="1"/>
  <c r="AA11" i="27" l="1"/>
  <c r="AB11" i="27" s="1"/>
  <c r="AC11" i="27" s="1"/>
  <c r="AW32" i="22"/>
  <c r="BH31" i="22"/>
  <c r="BH33" i="22" s="1"/>
  <c r="BG31" i="22"/>
  <c r="BF31" i="22"/>
  <c r="BE31" i="22"/>
  <c r="BD31" i="22"/>
  <c r="BC31" i="22"/>
  <c r="BB31" i="22"/>
  <c r="BA31" i="22"/>
  <c r="AZ31" i="22"/>
  <c r="AY31" i="22"/>
  <c r="AX31" i="22"/>
  <c r="AX32" i="22" s="1"/>
  <c r="AY32" i="22" s="1"/>
  <c r="AW31" i="22"/>
  <c r="AW33" i="22" s="1"/>
  <c r="AX33" i="22" s="1"/>
  <c r="AY33" i="22" s="1"/>
  <c r="AW25" i="22"/>
  <c r="BH24" i="22"/>
  <c r="BH25" i="22" s="1"/>
  <c r="BG24" i="22"/>
  <c r="BF24" i="22"/>
  <c r="BE24" i="22"/>
  <c r="BD24" i="22"/>
  <c r="BC24" i="22"/>
  <c r="BB24" i="22"/>
  <c r="BA24" i="22"/>
  <c r="AZ24" i="22"/>
  <c r="AY24" i="22"/>
  <c r="AX24" i="22"/>
  <c r="AX25" i="22" s="1"/>
  <c r="AY25" i="22" s="1"/>
  <c r="BA25" i="22" s="1"/>
  <c r="AW24" i="22"/>
  <c r="AW26" i="22" s="1"/>
  <c r="AW18" i="22"/>
  <c r="BH17" i="22"/>
  <c r="BH18" i="22" s="1"/>
  <c r="BG17" i="22"/>
  <c r="BF17" i="22"/>
  <c r="BE17" i="22"/>
  <c r="BD17" i="22"/>
  <c r="BC17" i="22"/>
  <c r="BB17" i="22"/>
  <c r="BA17" i="22"/>
  <c r="AZ17" i="22"/>
  <c r="AY17" i="22"/>
  <c r="AX17" i="22"/>
  <c r="AW17" i="22"/>
  <c r="AW19" i="22" s="1"/>
  <c r="AW13" i="22"/>
  <c r="AW12" i="22"/>
  <c r="AW14" i="22" s="1"/>
  <c r="AW15" i="22" s="1"/>
  <c r="AW11" i="22"/>
  <c r="BH10" i="22"/>
  <c r="BH11" i="22" s="1"/>
  <c r="BG10" i="22"/>
  <c r="BF10" i="22"/>
  <c r="BE10" i="22"/>
  <c r="BD10" i="22"/>
  <c r="BC10" i="22"/>
  <c r="BB10" i="22"/>
  <c r="BA10" i="22"/>
  <c r="AZ10" i="22"/>
  <c r="AY10" i="22"/>
  <c r="AX10" i="22"/>
  <c r="AW10" i="22"/>
  <c r="AX5" i="22"/>
  <c r="AY5" i="22" s="1"/>
  <c r="AW4" i="22"/>
  <c r="AX4" i="22" s="1"/>
  <c r="AY4" i="22" s="1"/>
  <c r="AY6" i="22" s="1"/>
  <c r="BH3" i="22"/>
  <c r="BH5" i="22" s="1"/>
  <c r="BG3" i="22"/>
  <c r="BF3" i="22"/>
  <c r="BE3" i="22"/>
  <c r="BD3" i="22"/>
  <c r="BC3" i="22"/>
  <c r="BB3" i="22"/>
  <c r="BA3" i="22"/>
  <c r="AZ3" i="22"/>
  <c r="AY3" i="22"/>
  <c r="AX3" i="22"/>
  <c r="AW3" i="22"/>
  <c r="AW5" i="22" s="1"/>
  <c r="BR72" i="11"/>
  <c r="BQ72" i="11"/>
  <c r="BQ73" i="11" s="1"/>
  <c r="BP72" i="11"/>
  <c r="BO72" i="11"/>
  <c r="BN72" i="11"/>
  <c r="BM72" i="11"/>
  <c r="BL72" i="11"/>
  <c r="BK72" i="11"/>
  <c r="BJ72" i="11"/>
  <c r="BI72" i="11"/>
  <c r="BI73" i="11" s="1"/>
  <c r="BH72" i="11"/>
  <c r="BR71" i="11"/>
  <c r="BQ71" i="11"/>
  <c r="BP71" i="11"/>
  <c r="BO71" i="11"/>
  <c r="BN71" i="11"/>
  <c r="BM71" i="11"/>
  <c r="BL71" i="11"/>
  <c r="BK71" i="11"/>
  <c r="BJ71" i="11"/>
  <c r="BI71" i="11"/>
  <c r="BH71" i="11"/>
  <c r="BR70" i="11"/>
  <c r="BQ70" i="11"/>
  <c r="BP70" i="11"/>
  <c r="BO70" i="11"/>
  <c r="BO73" i="11" s="1"/>
  <c r="BN70" i="11"/>
  <c r="BM70" i="11"/>
  <c r="BL70" i="11"/>
  <c r="BK70" i="11"/>
  <c r="BJ70" i="11"/>
  <c r="BI70" i="11"/>
  <c r="BH70" i="11"/>
  <c r="BR69" i="11"/>
  <c r="BR73" i="11" s="1"/>
  <c r="BQ69" i="11"/>
  <c r="BP69" i="11"/>
  <c r="BO69" i="11"/>
  <c r="BN69" i="11"/>
  <c r="BM69" i="11"/>
  <c r="BL69" i="11"/>
  <c r="BK69" i="11"/>
  <c r="BK73" i="11" s="1"/>
  <c r="BJ69" i="11"/>
  <c r="BJ73" i="11" s="1"/>
  <c r="BI69" i="11"/>
  <c r="BH69" i="11"/>
  <c r="BR68" i="11"/>
  <c r="BQ68" i="11"/>
  <c r="BP68" i="11"/>
  <c r="BP73" i="11" s="1"/>
  <c r="BO68" i="11"/>
  <c r="BN68" i="11"/>
  <c r="BN73" i="11" s="1"/>
  <c r="BM68" i="11"/>
  <c r="BM73" i="11" s="1"/>
  <c r="BL68" i="11"/>
  <c r="BL73" i="11" s="1"/>
  <c r="BK68" i="11"/>
  <c r="BJ68" i="11"/>
  <c r="BI68" i="11"/>
  <c r="BH68" i="11"/>
  <c r="BH73" i="11" s="1"/>
  <c r="BS64" i="11"/>
  <c r="BR64" i="11"/>
  <c r="BQ64" i="11"/>
  <c r="BP64" i="11"/>
  <c r="BO64" i="11"/>
  <c r="BN64" i="11"/>
  <c r="BM64" i="11"/>
  <c r="BL64" i="11"/>
  <c r="BK64" i="11"/>
  <c r="BJ64" i="11"/>
  <c r="BI64" i="11"/>
  <c r="BH64" i="11"/>
  <c r="BS63" i="11"/>
  <c r="BR63" i="11"/>
  <c r="BQ63" i="11"/>
  <c r="BP63" i="11"/>
  <c r="BO63" i="11"/>
  <c r="BN63" i="11"/>
  <c r="BM63" i="11"/>
  <c r="BL63" i="11"/>
  <c r="BK63" i="11"/>
  <c r="BJ63" i="11"/>
  <c r="BI63" i="11"/>
  <c r="BH63" i="11"/>
  <c r="BS62" i="11"/>
  <c r="BR62" i="11"/>
  <c r="BQ62" i="11"/>
  <c r="BP62" i="11"/>
  <c r="BO62" i="11"/>
  <c r="BN62" i="11"/>
  <c r="BM62" i="11"/>
  <c r="BL62" i="11"/>
  <c r="BK62" i="11"/>
  <c r="BJ62" i="11"/>
  <c r="BI62" i="11"/>
  <c r="BH62" i="11"/>
  <c r="BS61" i="11"/>
  <c r="BR61" i="11"/>
  <c r="BR65" i="11" s="1"/>
  <c r="BQ61" i="11"/>
  <c r="BP61" i="11"/>
  <c r="BO61" i="11"/>
  <c r="BN61" i="11"/>
  <c r="BM61" i="11"/>
  <c r="BL61" i="11"/>
  <c r="BK61" i="11"/>
  <c r="BJ61" i="11"/>
  <c r="BJ65" i="11" s="1"/>
  <c r="BI61" i="11"/>
  <c r="BH61" i="11"/>
  <c r="BS65" i="11"/>
  <c r="BR60" i="11"/>
  <c r="BQ60" i="11"/>
  <c r="BQ65" i="11" s="1"/>
  <c r="BP60" i="11"/>
  <c r="BP65" i="11" s="1"/>
  <c r="BO60" i="11"/>
  <c r="BO65" i="11" s="1"/>
  <c r="BN60" i="11"/>
  <c r="BN65" i="11" s="1"/>
  <c r="BM60" i="11"/>
  <c r="BM65" i="11" s="1"/>
  <c r="BL60" i="11"/>
  <c r="BL65" i="11" s="1"/>
  <c r="BK60" i="11"/>
  <c r="BK65" i="11" s="1"/>
  <c r="BJ60" i="11"/>
  <c r="BI60" i="11"/>
  <c r="BI65" i="11" s="1"/>
  <c r="BH60" i="11"/>
  <c r="BH65" i="11" s="1"/>
  <c r="BR55" i="11"/>
  <c r="BQ55" i="11"/>
  <c r="BP55" i="11"/>
  <c r="BO55" i="11"/>
  <c r="BN55" i="11"/>
  <c r="BM55" i="11"/>
  <c r="BL55" i="11"/>
  <c r="BK55" i="11"/>
  <c r="BJ55" i="11"/>
  <c r="BI55" i="11"/>
  <c r="BH55" i="11"/>
  <c r="BH26" i="22" l="1"/>
  <c r="BH6" i="22"/>
  <c r="BH7" i="22" s="1"/>
  <c r="BH8" i="22" s="1"/>
  <c r="AY26" i="22"/>
  <c r="BA26" i="22" s="1"/>
  <c r="AZ34" i="22"/>
  <c r="AY34" i="22"/>
  <c r="AY7" i="22"/>
  <c r="AY8" i="22" s="1"/>
  <c r="AX6" i="22"/>
  <c r="AW20" i="22"/>
  <c r="AW27" i="22"/>
  <c r="AY35" i="22"/>
  <c r="AY36" i="22" s="1"/>
  <c r="BA5" i="22"/>
  <c r="AW21" i="22"/>
  <c r="AW22" i="22" s="1"/>
  <c r="AX12" i="22"/>
  <c r="AY12" i="22" s="1"/>
  <c r="BH4" i="22"/>
  <c r="AX11" i="22"/>
  <c r="BB25" i="22"/>
  <c r="BC25" i="22" s="1"/>
  <c r="AW28" i="22"/>
  <c r="AW29" i="22" s="1"/>
  <c r="BA32" i="22"/>
  <c r="BH32" i="22"/>
  <c r="BB5" i="22"/>
  <c r="BC5" i="22" s="1"/>
  <c r="BD5" i="22" s="1"/>
  <c r="BH12" i="22"/>
  <c r="AX19" i="22"/>
  <c r="AX8" i="22"/>
  <c r="AX18" i="22"/>
  <c r="AY18" i="22" s="1"/>
  <c r="BD25" i="22"/>
  <c r="BE25" i="22" s="1"/>
  <c r="BF25" i="22" s="1"/>
  <c r="AX27" i="22"/>
  <c r="BB32" i="22"/>
  <c r="BC32" i="22" s="1"/>
  <c r="AW35" i="22"/>
  <c r="AW36" i="22" s="1"/>
  <c r="AW6" i="22"/>
  <c r="AW7" i="22" s="1"/>
  <c r="AW8" i="22" s="1"/>
  <c r="AX7" i="22"/>
  <c r="BH19" i="22"/>
  <c r="AX26" i="22"/>
  <c r="AX28" i="22" s="1"/>
  <c r="AX29" i="22" s="1"/>
  <c r="AY27" i="22"/>
  <c r="BH28" i="22"/>
  <c r="BH29" i="22" s="1"/>
  <c r="AW34" i="22"/>
  <c r="BH27" i="22"/>
  <c r="AX34" i="22"/>
  <c r="AX35" i="22" s="1"/>
  <c r="AX36" i="22" s="1"/>
  <c r="BH34" i="22"/>
  <c r="BH35" i="22" s="1"/>
  <c r="BH36" i="22" s="1"/>
  <c r="BK36" i="11"/>
  <c r="BR35" i="11"/>
  <c r="BQ35" i="11"/>
  <c r="BP35" i="11"/>
  <c r="BO35" i="11"/>
  <c r="BN35" i="11"/>
  <c r="BS43" i="11" s="1"/>
  <c r="BM35" i="11"/>
  <c r="BL35" i="11"/>
  <c r="BK35" i="11"/>
  <c r="BJ35" i="11"/>
  <c r="BI35" i="11"/>
  <c r="BH35" i="11"/>
  <c r="BR34" i="11"/>
  <c r="BQ34" i="11"/>
  <c r="BP34" i="11"/>
  <c r="BO34" i="11"/>
  <c r="BN34" i="11"/>
  <c r="BM34" i="11"/>
  <c r="BL34" i="11"/>
  <c r="BK34" i="11"/>
  <c r="BJ34" i="11"/>
  <c r="BI34" i="11"/>
  <c r="BH34" i="11"/>
  <c r="BR33" i="11"/>
  <c r="BQ33" i="11"/>
  <c r="BP33" i="11"/>
  <c r="BO33" i="11"/>
  <c r="BN33" i="11"/>
  <c r="BM33" i="11"/>
  <c r="BL33" i="11"/>
  <c r="BL36" i="11" s="1"/>
  <c r="BK33" i="11"/>
  <c r="BJ33" i="11"/>
  <c r="BI33" i="11"/>
  <c r="BH33" i="11"/>
  <c r="BR32" i="11"/>
  <c r="BQ32" i="11"/>
  <c r="BP32" i="11"/>
  <c r="BO32" i="11"/>
  <c r="BN32" i="11"/>
  <c r="BM32" i="11"/>
  <c r="BL32" i="11"/>
  <c r="BK32" i="11"/>
  <c r="BJ32" i="11"/>
  <c r="BI32" i="11"/>
  <c r="BH32" i="11"/>
  <c r="BS40" i="11" s="1"/>
  <c r="BR31" i="11"/>
  <c r="BR36" i="11" s="1"/>
  <c r="BQ31" i="11"/>
  <c r="BQ36" i="11" s="1"/>
  <c r="BP31" i="11"/>
  <c r="BP36" i="11" s="1"/>
  <c r="BO31" i="11"/>
  <c r="BO36" i="11" s="1"/>
  <c r="BN31" i="11"/>
  <c r="BN36" i="11" s="1"/>
  <c r="BM31" i="11"/>
  <c r="BM36" i="11" s="1"/>
  <c r="BL31" i="11"/>
  <c r="BK31" i="11"/>
  <c r="BJ31" i="11"/>
  <c r="BJ36" i="11" s="1"/>
  <c r="BI31" i="11"/>
  <c r="BI36" i="11" s="1"/>
  <c r="BH31" i="11"/>
  <c r="BH36" i="11" s="1"/>
  <c r="BR28" i="11"/>
  <c r="BQ28" i="11"/>
  <c r="BP28" i="11"/>
  <c r="BO28" i="11"/>
  <c r="BN28" i="11"/>
  <c r="BM28" i="11"/>
  <c r="BL28" i="11"/>
  <c r="BK28" i="11"/>
  <c r="BJ28" i="11"/>
  <c r="BI28" i="11"/>
  <c r="BH28" i="11"/>
  <c r="BK20" i="11"/>
  <c r="BR19" i="11"/>
  <c r="BQ19" i="11"/>
  <c r="BP19" i="11"/>
  <c r="BO19" i="11"/>
  <c r="BN19" i="11"/>
  <c r="BM19" i="11"/>
  <c r="BL19" i="11"/>
  <c r="BK19" i="11"/>
  <c r="BJ19" i="11"/>
  <c r="BI19" i="11"/>
  <c r="BH19" i="11"/>
  <c r="BR18" i="11"/>
  <c r="BQ18" i="11"/>
  <c r="BP18" i="11"/>
  <c r="BO18" i="11"/>
  <c r="BN18" i="11"/>
  <c r="BM18" i="11"/>
  <c r="BL18" i="11"/>
  <c r="BK18" i="11"/>
  <c r="BJ18" i="11"/>
  <c r="BI18" i="11"/>
  <c r="BH18" i="11"/>
  <c r="BR17" i="11"/>
  <c r="BQ17" i="11"/>
  <c r="BP17" i="11"/>
  <c r="BO17" i="11"/>
  <c r="BN17" i="11"/>
  <c r="BM17" i="11"/>
  <c r="BL17" i="11"/>
  <c r="BL20" i="11" s="1"/>
  <c r="BK17" i="11"/>
  <c r="BJ17" i="11"/>
  <c r="BI17" i="11"/>
  <c r="BH17" i="11"/>
  <c r="BR16" i="11"/>
  <c r="BQ16" i="11"/>
  <c r="BP16" i="11"/>
  <c r="BO16" i="11"/>
  <c r="BN16" i="11"/>
  <c r="BM16" i="11"/>
  <c r="BL16" i="11"/>
  <c r="BK16" i="11"/>
  <c r="BJ16" i="11"/>
  <c r="BI16" i="11"/>
  <c r="BH16" i="11"/>
  <c r="BR15" i="11"/>
  <c r="BQ15" i="11"/>
  <c r="BP15" i="11"/>
  <c r="BO15" i="11"/>
  <c r="BN15" i="11"/>
  <c r="BM15" i="11"/>
  <c r="BL15" i="11"/>
  <c r="BK15" i="11"/>
  <c r="BJ15" i="11"/>
  <c r="BI15" i="11"/>
  <c r="BH15" i="11"/>
  <c r="BR14" i="11"/>
  <c r="BR20" i="11" s="1"/>
  <c r="BQ14" i="11"/>
  <c r="BQ20" i="11" s="1"/>
  <c r="BP14" i="11"/>
  <c r="BP20" i="11" s="1"/>
  <c r="BO14" i="11"/>
  <c r="BO20" i="11" s="1"/>
  <c r="BN14" i="11"/>
  <c r="BN20" i="11" s="1"/>
  <c r="BM14" i="11"/>
  <c r="BM20" i="11" s="1"/>
  <c r="BL14" i="11"/>
  <c r="BK14" i="11"/>
  <c r="BJ14" i="11"/>
  <c r="BJ20" i="11" s="1"/>
  <c r="BI14" i="11"/>
  <c r="BI20" i="11" s="1"/>
  <c r="BH14" i="11"/>
  <c r="BH20" i="11" s="1"/>
  <c r="BR11" i="11"/>
  <c r="BJ11" i="11"/>
  <c r="BR10" i="11"/>
  <c r="BQ10" i="11"/>
  <c r="BP10" i="11"/>
  <c r="BO10" i="11"/>
  <c r="BN10" i="11"/>
  <c r="BM10" i="11"/>
  <c r="BL10" i="11"/>
  <c r="BK10" i="11"/>
  <c r="BJ10" i="11"/>
  <c r="BI10" i="11"/>
  <c r="BH10" i="11"/>
  <c r="BR9" i="11"/>
  <c r="BQ9" i="11"/>
  <c r="BP9" i="11"/>
  <c r="BO9" i="11"/>
  <c r="BN9" i="11"/>
  <c r="BM9" i="11"/>
  <c r="BL9" i="11"/>
  <c r="BK9" i="11"/>
  <c r="BJ9" i="11"/>
  <c r="BI9" i="11"/>
  <c r="BH9" i="11"/>
  <c r="BR8" i="11"/>
  <c r="BQ8" i="11"/>
  <c r="BP8" i="11"/>
  <c r="BO8" i="11"/>
  <c r="BN8" i="11"/>
  <c r="BM8" i="11"/>
  <c r="BL8" i="11"/>
  <c r="BK8" i="11"/>
  <c r="BJ8" i="11"/>
  <c r="BI8" i="11"/>
  <c r="BH8" i="11"/>
  <c r="BR7" i="11"/>
  <c r="BQ7" i="11"/>
  <c r="BP7" i="11"/>
  <c r="BO7" i="11"/>
  <c r="BO11" i="11" s="1"/>
  <c r="BN7" i="11"/>
  <c r="BM7" i="11"/>
  <c r="BL7" i="11"/>
  <c r="BK7" i="11"/>
  <c r="BJ7" i="11"/>
  <c r="BI7" i="11"/>
  <c r="BH7" i="11"/>
  <c r="BR6" i="11"/>
  <c r="BQ6" i="11"/>
  <c r="BP6" i="11"/>
  <c r="BO6" i="11"/>
  <c r="BN6" i="11"/>
  <c r="BM6" i="11"/>
  <c r="BL6" i="11"/>
  <c r="BK6" i="11"/>
  <c r="BK11" i="11" s="1"/>
  <c r="BJ6" i="11"/>
  <c r="BI6" i="11"/>
  <c r="BH6" i="11"/>
  <c r="BR5" i="11"/>
  <c r="BQ5" i="11"/>
  <c r="BQ11" i="11" s="1"/>
  <c r="BP5" i="11"/>
  <c r="BP11" i="11" s="1"/>
  <c r="BO5" i="11"/>
  <c r="BN5" i="11"/>
  <c r="BN11" i="11" s="1"/>
  <c r="BM5" i="11"/>
  <c r="BM11" i="11" s="1"/>
  <c r="BL5" i="11"/>
  <c r="BL11" i="11" s="1"/>
  <c r="BK5" i="11"/>
  <c r="BJ5" i="11"/>
  <c r="BI5" i="11"/>
  <c r="BI11" i="11" s="1"/>
  <c r="BH5" i="11"/>
  <c r="BH11" i="11" s="1"/>
  <c r="BS42" i="11"/>
  <c r="BS41" i="11"/>
  <c r="AF10" i="27" l="1"/>
  <c r="BH20" i="22"/>
  <c r="BH21" i="22" s="1"/>
  <c r="BH22" i="22" s="1"/>
  <c r="BH13" i="22"/>
  <c r="BH14" i="22" s="1"/>
  <c r="BH15" i="22" s="1"/>
  <c r="BG25" i="22"/>
  <c r="AX21" i="22"/>
  <c r="AX22" i="22" s="1"/>
  <c r="BE5" i="22"/>
  <c r="AX20" i="22"/>
  <c r="AY11" i="22"/>
  <c r="AX13" i="22"/>
  <c r="AY19" i="22"/>
  <c r="AZ35" i="22"/>
  <c r="AZ36" i="22" s="1"/>
  <c r="AZ27" i="22"/>
  <c r="AX14" i="22"/>
  <c r="AX15" i="22" s="1"/>
  <c r="AZ28" i="22"/>
  <c r="AZ29" i="22" s="1"/>
  <c r="BA34" i="22"/>
  <c r="AY28" i="22"/>
  <c r="AY29" i="22" s="1"/>
  <c r="BB26" i="22"/>
  <c r="BD32" i="22"/>
  <c r="BA4" i="22"/>
  <c r="AZ6" i="22"/>
  <c r="AZ7" i="22" s="1"/>
  <c r="AZ8" i="22" s="1"/>
  <c r="BA33" i="22"/>
  <c r="BA27" i="22"/>
  <c r="BA28" i="22" s="1"/>
  <c r="BA29" i="22" s="1"/>
  <c r="BS44" i="11"/>
  <c r="BS99" i="1"/>
  <c r="BM99" i="1"/>
  <c r="BL99" i="1"/>
  <c r="BK99" i="1"/>
  <c r="BS98" i="1"/>
  <c r="BR98" i="1"/>
  <c r="BR99" i="1" s="1"/>
  <c r="BM98" i="1"/>
  <c r="BL98" i="1"/>
  <c r="BK98" i="1"/>
  <c r="BJ98" i="1"/>
  <c r="BJ99" i="1" s="1"/>
  <c r="BW96" i="1"/>
  <c r="BV96" i="1"/>
  <c r="BU96" i="1"/>
  <c r="BS96" i="1"/>
  <c r="BR96" i="1"/>
  <c r="BQ96" i="1"/>
  <c r="BQ98" i="1" s="1"/>
  <c r="BQ99" i="1" s="1"/>
  <c r="BP96" i="1"/>
  <c r="BP98" i="1" s="1"/>
  <c r="BP99" i="1" s="1"/>
  <c r="BO96" i="1"/>
  <c r="BO98" i="1" s="1"/>
  <c r="BO99" i="1" s="1"/>
  <c r="BN96" i="1"/>
  <c r="BN98" i="1" s="1"/>
  <c r="BN99" i="1" s="1"/>
  <c r="BM96" i="1"/>
  <c r="BL96" i="1"/>
  <c r="BK96" i="1"/>
  <c r="BJ96" i="1"/>
  <c r="BI96" i="1"/>
  <c r="BI98" i="1" s="1"/>
  <c r="BI99" i="1" s="1"/>
  <c r="BI100" i="1" s="1"/>
  <c r="BQ78" i="1"/>
  <c r="BP78" i="1"/>
  <c r="BO78" i="1"/>
  <c r="BN78" i="1"/>
  <c r="BM78" i="1"/>
  <c r="BL78" i="1"/>
  <c r="BK78" i="1"/>
  <c r="BJ78" i="1"/>
  <c r="BI78" i="1"/>
  <c r="BI79" i="1" s="1"/>
  <c r="BS60" i="1"/>
  <c r="BR60" i="1"/>
  <c r="BQ60" i="1"/>
  <c r="BP60" i="1"/>
  <c r="BO60" i="1"/>
  <c r="BN60" i="1"/>
  <c r="BM60" i="1"/>
  <c r="BL60" i="1"/>
  <c r="BK60" i="1"/>
  <c r="BJ60" i="1"/>
  <c r="BI60" i="1"/>
  <c r="BR16" i="1"/>
  <c r="BS50" i="1"/>
  <c r="BQ50" i="1"/>
  <c r="BP50" i="1"/>
  <c r="BO50" i="1"/>
  <c r="BN50" i="1"/>
  <c r="BM50" i="1"/>
  <c r="BL50" i="1"/>
  <c r="BK50" i="1"/>
  <c r="BI50" i="1"/>
  <c r="BS40" i="1"/>
  <c r="BR40" i="1"/>
  <c r="BQ40" i="1"/>
  <c r="BP40" i="1"/>
  <c r="BO40" i="1"/>
  <c r="BN40" i="1"/>
  <c r="BM40" i="1"/>
  <c r="BL40" i="1"/>
  <c r="BK40" i="1"/>
  <c r="BK41" i="1" s="1"/>
  <c r="BJ40" i="1"/>
  <c r="BI40" i="1"/>
  <c r="BS30" i="1"/>
  <c r="BR30" i="1"/>
  <c r="BQ30" i="1"/>
  <c r="BP30" i="1"/>
  <c r="BO30" i="1"/>
  <c r="BN30" i="1"/>
  <c r="BM30" i="1"/>
  <c r="BL30" i="1"/>
  <c r="BK30" i="1"/>
  <c r="BJ30" i="1"/>
  <c r="BI30" i="1"/>
  <c r="BS8" i="1"/>
  <c r="BR8" i="1"/>
  <c r="BQ8" i="1"/>
  <c r="BP8" i="1"/>
  <c r="BO8" i="1"/>
  <c r="BN8" i="1"/>
  <c r="BM6" i="1"/>
  <c r="BM8" i="1" s="1"/>
  <c r="BL8" i="1"/>
  <c r="BK8" i="1"/>
  <c r="BJ8" i="1"/>
  <c r="BI8" i="1"/>
  <c r="AF12" i="27" l="1"/>
  <c r="AF13" i="27" s="1"/>
  <c r="AG10" i="27" s="1"/>
  <c r="AG12" i="27" s="1"/>
  <c r="AG13" i="27" s="1"/>
  <c r="AF11" i="27"/>
  <c r="BK31" i="1"/>
  <c r="BS31" i="1"/>
  <c r="BJ31" i="1"/>
  <c r="BP16" i="1"/>
  <c r="BK61" i="1"/>
  <c r="BS61" i="1"/>
  <c r="BO17" i="1"/>
  <c r="BI17" i="1"/>
  <c r="BK17" i="1"/>
  <c r="BS17" i="1"/>
  <c r="BM16" i="1"/>
  <c r="BL16" i="1"/>
  <c r="BS51" i="1"/>
  <c r="BJ41" i="1"/>
  <c r="BR41" i="1"/>
  <c r="BS41" i="1"/>
  <c r="BR31" i="1"/>
  <c r="BJ17" i="1"/>
  <c r="BN16" i="1"/>
  <c r="BS70" i="1"/>
  <c r="BK18" i="1"/>
  <c r="BL41" i="1"/>
  <c r="BN31" i="1"/>
  <c r="BN51" i="1"/>
  <c r="BO61" i="1"/>
  <c r="BK16" i="1"/>
  <c r="BS16" i="1"/>
  <c r="BP61" i="1"/>
  <c r="BR17" i="1"/>
  <c r="BM31" i="1"/>
  <c r="BJ16" i="1"/>
  <c r="BO16" i="1"/>
  <c r="BP41" i="1"/>
  <c r="BI51" i="1"/>
  <c r="BQ51" i="1"/>
  <c r="BA6" i="22"/>
  <c r="BA7" i="22" s="1"/>
  <c r="BA8" i="22" s="1"/>
  <c r="BB4" i="22"/>
  <c r="BF5" i="22"/>
  <c r="BE32" i="22"/>
  <c r="BC26" i="22"/>
  <c r="BB27" i="22"/>
  <c r="BB28" i="22" s="1"/>
  <c r="BB29" i="22" s="1"/>
  <c r="BA35" i="22"/>
  <c r="BA36" i="22" s="1"/>
  <c r="BB33" i="22"/>
  <c r="AY20" i="22"/>
  <c r="AY21" i="22" s="1"/>
  <c r="AY22" i="22" s="1"/>
  <c r="BA12" i="22"/>
  <c r="BA18" i="22"/>
  <c r="AZ20" i="22"/>
  <c r="AY13" i="22"/>
  <c r="AY14" i="22" s="1"/>
  <c r="AY15" i="22" s="1"/>
  <c r="BO31" i="1"/>
  <c r="BM41" i="1"/>
  <c r="BI61" i="1"/>
  <c r="BQ61" i="1"/>
  <c r="BL17" i="1"/>
  <c r="BM17" i="1"/>
  <c r="BP31" i="1"/>
  <c r="BN41" i="1"/>
  <c r="BL51" i="1"/>
  <c r="BJ50" i="1"/>
  <c r="BJ51" i="1" s="1"/>
  <c r="BQ16" i="1"/>
  <c r="BQ31" i="1"/>
  <c r="BO41" i="1"/>
  <c r="BM51" i="1"/>
  <c r="BK51" i="1"/>
  <c r="BR50" i="1"/>
  <c r="BR51" i="1" s="1"/>
  <c r="BL61" i="1"/>
  <c r="BJ61" i="1"/>
  <c r="BI16" i="1"/>
  <c r="BI31" i="1"/>
  <c r="BP17" i="1"/>
  <c r="BQ17" i="1"/>
  <c r="BI41" i="1"/>
  <c r="BQ41" i="1"/>
  <c r="BO51" i="1"/>
  <c r="BM61" i="1"/>
  <c r="BN17" i="1"/>
  <c r="BL31" i="1"/>
  <c r="BP51" i="1"/>
  <c r="BN61" i="1"/>
  <c r="BR61" i="1"/>
  <c r="BI104" i="1"/>
  <c r="BI101" i="1"/>
  <c r="BI102" i="1"/>
  <c r="BI103" i="1" s="1"/>
  <c r="BJ100" i="1" s="1"/>
  <c r="BJ102" i="1" s="1"/>
  <c r="BJ103" i="1" s="1"/>
  <c r="BK100" i="1" s="1"/>
  <c r="BK102" i="1" s="1"/>
  <c r="BK103" i="1" s="1"/>
  <c r="BL100" i="1" s="1"/>
  <c r="BL102" i="1" s="1"/>
  <c r="BL103" i="1" s="1"/>
  <c r="BM100" i="1" s="1"/>
  <c r="BM102" i="1" s="1"/>
  <c r="BM103" i="1" s="1"/>
  <c r="BN100" i="1" s="1"/>
  <c r="BN102" i="1" s="1"/>
  <c r="BN103" i="1" s="1"/>
  <c r="BO100" i="1" s="1"/>
  <c r="BO102" i="1" s="1"/>
  <c r="BO103" i="1" s="1"/>
  <c r="BP100" i="1" s="1"/>
  <c r="BP102" i="1" s="1"/>
  <c r="BP103" i="1" s="1"/>
  <c r="BQ100" i="1" s="1"/>
  <c r="BQ102" i="1" s="1"/>
  <c r="BQ103" i="1" s="1"/>
  <c r="BR100" i="1" s="1"/>
  <c r="BR102" i="1" s="1"/>
  <c r="BR103" i="1" s="1"/>
  <c r="BS100" i="1" s="1"/>
  <c r="BS102" i="1" s="1"/>
  <c r="BS103" i="1" s="1"/>
  <c r="BJ79" i="1"/>
  <c r="BJ81" i="1" s="1"/>
  <c r="BJ82" i="1" s="1"/>
  <c r="BK79" i="1" s="1"/>
  <c r="BK81" i="1" s="1"/>
  <c r="BK82" i="1" s="1"/>
  <c r="BL79" i="1" s="1"/>
  <c r="BL81" i="1" s="1"/>
  <c r="BL82" i="1" s="1"/>
  <c r="BM79" i="1" s="1"/>
  <c r="BM81" i="1" s="1"/>
  <c r="BM82" i="1" s="1"/>
  <c r="BN79" i="1" s="1"/>
  <c r="BN81" i="1" s="1"/>
  <c r="BN82" i="1" s="1"/>
  <c r="BO79" i="1" s="1"/>
  <c r="BO81" i="1" s="1"/>
  <c r="BO82" i="1" s="1"/>
  <c r="BP79" i="1" s="1"/>
  <c r="BP81" i="1" s="1"/>
  <c r="BP82" i="1" s="1"/>
  <c r="BQ79" i="1" s="1"/>
  <c r="BQ81" i="1" s="1"/>
  <c r="BQ82" i="1" s="1"/>
  <c r="BR79" i="1" s="1"/>
  <c r="BR81" i="1" s="1"/>
  <c r="BR82" i="1" s="1"/>
  <c r="BI80" i="1"/>
  <c r="BI81" i="1"/>
  <c r="BI82" i="1" s="1"/>
  <c r="BS18" i="1"/>
  <c r="BO70" i="1"/>
  <c r="BO18" i="1"/>
  <c r="BP70" i="1"/>
  <c r="BP18" i="1"/>
  <c r="BI18" i="1"/>
  <c r="BI70" i="1"/>
  <c r="BQ18" i="1"/>
  <c r="BQ70" i="1"/>
  <c r="BJ70" i="1"/>
  <c r="BR70" i="1"/>
  <c r="BL18" i="1"/>
  <c r="BL70" i="1"/>
  <c r="BM18" i="1"/>
  <c r="BM70" i="1"/>
  <c r="BK70" i="1"/>
  <c r="AG11" i="27" l="1"/>
  <c r="AH10" i="27"/>
  <c r="AH12" i="27" s="1"/>
  <c r="AH13" i="27" s="1"/>
  <c r="BS79" i="1"/>
  <c r="BS81" i="1" s="1"/>
  <c r="BS82" i="1" s="1"/>
  <c r="BJ18" i="1"/>
  <c r="BR18" i="1"/>
  <c r="BG5" i="22"/>
  <c r="BA19" i="22"/>
  <c r="AZ21" i="22"/>
  <c r="AZ22" i="22" s="1"/>
  <c r="BB18" i="22"/>
  <c r="BA20" i="22"/>
  <c r="BB12" i="22"/>
  <c r="BC33" i="22"/>
  <c r="BB34" i="22"/>
  <c r="BB35" i="22" s="1"/>
  <c r="BB36" i="22" s="1"/>
  <c r="BD26" i="22"/>
  <c r="BC27" i="22"/>
  <c r="BC28" i="22" s="1"/>
  <c r="BC29" i="22" s="1"/>
  <c r="BA11" i="22"/>
  <c r="AZ13" i="22"/>
  <c r="AZ14" i="22" s="1"/>
  <c r="AZ15" i="22" s="1"/>
  <c r="BC4" i="22"/>
  <c r="BB6" i="22"/>
  <c r="BB7" i="22" s="1"/>
  <c r="BB8" i="22" s="1"/>
  <c r="BF32" i="22"/>
  <c r="BJ104" i="1"/>
  <c r="BK104" i="1" s="1"/>
  <c r="BL104" i="1" s="1"/>
  <c r="BM104" i="1" s="1"/>
  <c r="BN104" i="1" s="1"/>
  <c r="BO104" i="1" s="1"/>
  <c r="BP104" i="1" s="1"/>
  <c r="BQ104" i="1" s="1"/>
  <c r="BR104" i="1" s="1"/>
  <c r="BS104" i="1" s="1"/>
  <c r="BJ101" i="1"/>
  <c r="BK101" i="1" s="1"/>
  <c r="BL101" i="1" s="1"/>
  <c r="BM101" i="1" s="1"/>
  <c r="BN101" i="1" s="1"/>
  <c r="BO101" i="1" s="1"/>
  <c r="BP101" i="1" s="1"/>
  <c r="BQ101" i="1" s="1"/>
  <c r="BR101" i="1" s="1"/>
  <c r="BS101" i="1" s="1"/>
  <c r="BJ80" i="1"/>
  <c r="BK80" i="1" s="1"/>
  <c r="BL80" i="1" s="1"/>
  <c r="BM80" i="1" s="1"/>
  <c r="BN80" i="1" s="1"/>
  <c r="BO80" i="1" s="1"/>
  <c r="BP80" i="1" s="1"/>
  <c r="BQ80" i="1" s="1"/>
  <c r="BR80" i="1" s="1"/>
  <c r="BO19" i="1"/>
  <c r="BO71" i="1"/>
  <c r="BL71" i="1"/>
  <c r="BL19" i="1"/>
  <c r="BM71" i="1"/>
  <c r="BM19" i="1"/>
  <c r="BR19" i="1"/>
  <c r="BR71" i="1"/>
  <c r="BJ19" i="1"/>
  <c r="BJ71" i="1"/>
  <c r="BI19" i="1"/>
  <c r="BI71" i="1"/>
  <c r="BS19" i="1"/>
  <c r="BS71" i="1"/>
  <c r="BP19" i="1"/>
  <c r="BP71" i="1"/>
  <c r="BK71" i="1"/>
  <c r="BK19" i="1"/>
  <c r="BN70" i="1"/>
  <c r="BN18" i="1"/>
  <c r="BQ19" i="1"/>
  <c r="BQ71" i="1"/>
  <c r="AI10" i="27" l="1"/>
  <c r="AH11" i="27"/>
  <c r="AI11" i="27" s="1"/>
  <c r="BS80" i="1"/>
  <c r="BT79" i="1"/>
  <c r="BT81" i="1" s="1"/>
  <c r="BT82" i="1" s="1"/>
  <c r="BC18" i="22"/>
  <c r="BE26" i="22"/>
  <c r="BD27" i="22"/>
  <c r="BD28" i="22" s="1"/>
  <c r="BD29" i="22" s="1"/>
  <c r="BG32" i="22"/>
  <c r="BC6" i="22"/>
  <c r="BC7" i="22" s="1"/>
  <c r="BC8" i="22" s="1"/>
  <c r="BD4" i="22"/>
  <c r="BD33" i="22"/>
  <c r="BC34" i="22"/>
  <c r="BC35" i="22" s="1"/>
  <c r="BC36" i="22" s="1"/>
  <c r="BA13" i="22"/>
  <c r="BA14" i="22" s="1"/>
  <c r="BA15" i="22" s="1"/>
  <c r="BB11" i="22"/>
  <c r="BB19" i="22"/>
  <c r="BA21" i="22"/>
  <c r="BA22" i="22" s="1"/>
  <c r="BC12" i="22"/>
  <c r="BL20" i="1"/>
  <c r="BO20" i="1"/>
  <c r="BP20" i="1"/>
  <c r="BJ20" i="1"/>
  <c r="BR20" i="1"/>
  <c r="BQ20" i="1"/>
  <c r="BS20" i="1"/>
  <c r="BN19" i="1"/>
  <c r="BN71" i="1"/>
  <c r="BK20" i="1"/>
  <c r="BM20" i="1"/>
  <c r="BI20" i="1"/>
  <c r="AI12" i="27" l="1"/>
  <c r="AI13" i="27" s="1"/>
  <c r="AJ10" i="27" s="1"/>
  <c r="AJ12" i="27" s="1"/>
  <c r="AJ13" i="27" s="1"/>
  <c r="BT80" i="1"/>
  <c r="BF26" i="22"/>
  <c r="BE27" i="22"/>
  <c r="BE28" i="22" s="1"/>
  <c r="BE29" i="22" s="1"/>
  <c r="BD18" i="22"/>
  <c r="BC19" i="22"/>
  <c r="BC20" i="22" s="1"/>
  <c r="BC11" i="22"/>
  <c r="BB13" i="22"/>
  <c r="BB14" i="22" s="1"/>
  <c r="BB15" i="22" s="1"/>
  <c r="BE33" i="22"/>
  <c r="BD34" i="22"/>
  <c r="BD35" i="22" s="1"/>
  <c r="BD36" i="22" s="1"/>
  <c r="BD12" i="22"/>
  <c r="BE4" i="22"/>
  <c r="BD6" i="22"/>
  <c r="BD7" i="22" s="1"/>
  <c r="BD8" i="22" s="1"/>
  <c r="BB20" i="22"/>
  <c r="BB21" i="22" s="1"/>
  <c r="BB22" i="22" s="1"/>
  <c r="BN20" i="1"/>
  <c r="AK10" i="27" l="1"/>
  <c r="AJ11" i="27"/>
  <c r="BE12" i="22"/>
  <c r="BE18" i="22"/>
  <c r="BD20" i="22"/>
  <c r="BD11" i="22"/>
  <c r="BC13" i="22"/>
  <c r="BC14" i="22" s="1"/>
  <c r="BC15" i="22" s="1"/>
  <c r="BF4" i="22"/>
  <c r="BE6" i="22"/>
  <c r="BE7" i="22" s="1"/>
  <c r="BE8" i="22" s="1"/>
  <c r="BC21" i="22"/>
  <c r="BC22" i="22" s="1"/>
  <c r="BD19" i="22"/>
  <c r="BF33" i="22"/>
  <c r="BE34" i="22"/>
  <c r="BE35" i="22" s="1"/>
  <c r="BE36" i="22" s="1"/>
  <c r="BG26" i="22"/>
  <c r="BF27" i="22"/>
  <c r="BF28" i="22" s="1"/>
  <c r="BF29" i="22" s="1"/>
  <c r="AK11" i="27" l="1"/>
  <c r="AK12" i="27"/>
  <c r="AK13" i="27" s="1"/>
  <c r="BE11" i="22"/>
  <c r="BD13" i="22"/>
  <c r="BD14" i="22" s="1"/>
  <c r="BD15" i="22" s="1"/>
  <c r="BG4" i="22"/>
  <c r="BG6" i="22" s="1"/>
  <c r="BG7" i="22" s="1"/>
  <c r="BG8" i="22" s="1"/>
  <c r="BF6" i="22"/>
  <c r="BF7" i="22" s="1"/>
  <c r="BF8" i="22" s="1"/>
  <c r="BG33" i="22"/>
  <c r="BF34" i="22"/>
  <c r="BF35" i="22" s="1"/>
  <c r="BF36" i="22" s="1"/>
  <c r="BE20" i="22"/>
  <c r="BF18" i="22"/>
  <c r="BG27" i="22"/>
  <c r="BG28" i="22" s="1"/>
  <c r="BG29" i="22" s="1"/>
  <c r="BD21" i="22"/>
  <c r="BD22" i="22" s="1"/>
  <c r="BE19" i="22"/>
  <c r="BF12" i="22"/>
  <c r="BU7" i="11"/>
  <c r="BU8" i="11"/>
  <c r="BV7" i="11" l="1"/>
  <c r="BW7" i="11" s="1"/>
  <c r="BX7" i="11" s="1"/>
  <c r="BY7" i="11" s="1"/>
  <c r="BZ7" i="11" s="1"/>
  <c r="CA7" i="11" s="1"/>
  <c r="CB7" i="11" s="1"/>
  <c r="CC7" i="11" s="1"/>
  <c r="CD7" i="11" s="1"/>
  <c r="CE7" i="11" s="1"/>
  <c r="CF7" i="11" s="1"/>
  <c r="CG7" i="11" s="1"/>
  <c r="CH7" i="11" s="1"/>
  <c r="BV8" i="11"/>
  <c r="BW8" i="11" s="1"/>
  <c r="BX8" i="11" s="1"/>
  <c r="BY8" i="11" s="1"/>
  <c r="BZ8" i="11" s="1"/>
  <c r="CA8" i="11" s="1"/>
  <c r="CB8" i="11" s="1"/>
  <c r="CC8" i="11" s="1"/>
  <c r="CD8" i="11" s="1"/>
  <c r="CE8" i="11" s="1"/>
  <c r="CF8" i="11" s="1"/>
  <c r="CG8" i="11" s="1"/>
  <c r="CH8" i="11" s="1"/>
  <c r="BG18" i="22"/>
  <c r="BE13" i="22"/>
  <c r="BE14" i="22" s="1"/>
  <c r="BE15" i="22" s="1"/>
  <c r="BF11" i="22"/>
  <c r="BG12" i="22"/>
  <c r="BE21" i="22"/>
  <c r="BE22" i="22" s="1"/>
  <c r="BF19" i="22"/>
  <c r="BF20" i="22" s="1"/>
  <c r="BG34" i="22"/>
  <c r="BG35" i="22" s="1"/>
  <c r="BG36" i="22" s="1"/>
  <c r="BU6" i="11"/>
  <c r="BU9" i="11"/>
  <c r="BV5" i="11"/>
  <c r="BW5" i="11" s="1"/>
  <c r="BX5" i="11" s="1"/>
  <c r="BY5" i="11" s="1"/>
  <c r="BZ5" i="11" s="1"/>
  <c r="CA5" i="11" s="1"/>
  <c r="CB5" i="11" s="1"/>
  <c r="CC5" i="11" s="1"/>
  <c r="CD5" i="11" s="1"/>
  <c r="CE5" i="11" s="1"/>
  <c r="CF5" i="11" s="1"/>
  <c r="CG5" i="11" s="1"/>
  <c r="CH5" i="11" s="1"/>
  <c r="BU10" i="11"/>
  <c r="BV10" i="11" s="1"/>
  <c r="BW10" i="11" l="1"/>
  <c r="BX10" i="11" s="1"/>
  <c r="BY10" i="11" s="1"/>
  <c r="BZ10" i="11" s="1"/>
  <c r="CA10" i="11" s="1"/>
  <c r="CB10" i="11" s="1"/>
  <c r="CC10" i="11" s="1"/>
  <c r="CD10" i="11" s="1"/>
  <c r="CE10" i="11" s="1"/>
  <c r="CF10" i="11" s="1"/>
  <c r="BV9" i="11"/>
  <c r="BV6" i="11"/>
  <c r="BF13" i="22"/>
  <c r="BF14" i="22" s="1"/>
  <c r="BF15" i="22" s="1"/>
  <c r="BG11" i="22"/>
  <c r="BG13" i="22" s="1"/>
  <c r="BG14" i="22" s="1"/>
  <c r="BG15" i="22" s="1"/>
  <c r="BF21" i="22"/>
  <c r="BF22" i="22" s="1"/>
  <c r="BG19" i="22"/>
  <c r="BG20" i="22"/>
  <c r="BW6" i="11" l="1"/>
  <c r="BX6" i="11" s="1"/>
  <c r="BY6" i="11" s="1"/>
  <c r="BZ6" i="11" s="1"/>
  <c r="CA6" i="11" s="1"/>
  <c r="CB6" i="11" s="1"/>
  <c r="CC6" i="11" s="1"/>
  <c r="CD6" i="11" s="1"/>
  <c r="CE6" i="11" s="1"/>
  <c r="CF6" i="11" s="1"/>
  <c r="CG6" i="11" s="1"/>
  <c r="CH6" i="11" s="1"/>
  <c r="BW9" i="11"/>
  <c r="BX9" i="11" s="1"/>
  <c r="BY9" i="11" s="1"/>
  <c r="BZ9" i="11" s="1"/>
  <c r="CA9" i="11" s="1"/>
  <c r="CB9" i="11" s="1"/>
  <c r="CC9" i="11" s="1"/>
  <c r="CD9" i="11" s="1"/>
  <c r="CE9" i="11" s="1"/>
  <c r="CF9" i="11" s="1"/>
  <c r="CG9" i="11" s="1"/>
  <c r="CH9" i="11" s="1"/>
  <c r="CG10" i="11"/>
  <c r="CH10" i="11" s="1"/>
  <c r="BG21" i="22"/>
  <c r="BG22" i="22" s="1"/>
  <c r="AY99" i="1"/>
  <c r="AY98" i="1"/>
  <c r="BH96" i="1"/>
  <c r="BH98" i="1" s="1"/>
  <c r="BH99" i="1" s="1"/>
  <c r="BG96" i="1"/>
  <c r="BG98" i="1" s="1"/>
  <c r="BG99" i="1" s="1"/>
  <c r="BF96" i="1"/>
  <c r="BF98" i="1" s="1"/>
  <c r="BF99" i="1" s="1"/>
  <c r="BE96" i="1"/>
  <c r="BE98" i="1" s="1"/>
  <c r="BE99" i="1" s="1"/>
  <c r="BD96" i="1"/>
  <c r="BD98" i="1" s="1"/>
  <c r="BD99" i="1" s="1"/>
  <c r="BC96" i="1"/>
  <c r="BC98" i="1" s="1"/>
  <c r="BC99" i="1" s="1"/>
  <c r="BB96" i="1"/>
  <c r="BB98" i="1" s="1"/>
  <c r="BB99" i="1" s="1"/>
  <c r="BA96" i="1"/>
  <c r="BA98" i="1" s="1"/>
  <c r="BA99" i="1" s="1"/>
  <c r="AZ96" i="1"/>
  <c r="AZ98" i="1" s="1"/>
  <c r="AZ99" i="1" s="1"/>
  <c r="AW98" i="1"/>
  <c r="AW99" i="1" s="1"/>
  <c r="AY96" i="1"/>
  <c r="AX96" i="1"/>
  <c r="AX98" i="1" s="1"/>
  <c r="AX99" i="1" s="1"/>
  <c r="AW96" i="1"/>
  <c r="BH38" i="1"/>
  <c r="BG38" i="1"/>
  <c r="BF38" i="1"/>
  <c r="BE38" i="1"/>
  <c r="BD38" i="1"/>
  <c r="BC38" i="1"/>
  <c r="BB38" i="1"/>
  <c r="BA38" i="1"/>
  <c r="AZ38" i="1"/>
  <c r="AY38" i="1"/>
  <c r="AX38" i="1"/>
  <c r="AW38" i="1"/>
  <c r="BH28" i="1"/>
  <c r="BG28" i="1"/>
  <c r="BF28" i="1"/>
  <c r="BE28" i="1"/>
  <c r="BD28" i="1"/>
  <c r="BC28" i="1"/>
  <c r="BB28" i="1"/>
  <c r="BA28" i="1"/>
  <c r="AZ28" i="1"/>
  <c r="AY28" i="1"/>
  <c r="AX28" i="1"/>
  <c r="AW28" i="1"/>
  <c r="BH68" i="1"/>
  <c r="BG68" i="1"/>
  <c r="BF68" i="1"/>
  <c r="BE68" i="1"/>
  <c r="BD68" i="1"/>
  <c r="BC68" i="1"/>
  <c r="BB68" i="1"/>
  <c r="BA68" i="1"/>
  <c r="AZ68" i="1"/>
  <c r="AY68" i="1"/>
  <c r="AX68" i="1"/>
  <c r="AW68" i="1"/>
  <c r="BH58" i="1"/>
  <c r="BG58" i="1"/>
  <c r="BF58" i="1"/>
  <c r="BE58" i="1"/>
  <c r="BD58" i="1"/>
  <c r="BC58" i="1"/>
  <c r="BB58" i="1"/>
  <c r="BA58" i="1"/>
  <c r="AZ58" i="1"/>
  <c r="AY58" i="1"/>
  <c r="AX58" i="1"/>
  <c r="AW58" i="1"/>
  <c r="BH48" i="1"/>
  <c r="BG48" i="1"/>
  <c r="BF48" i="1"/>
  <c r="BE48" i="1"/>
  <c r="BD48" i="1"/>
  <c r="BC48" i="1"/>
  <c r="BB48" i="1"/>
  <c r="BA48" i="1"/>
  <c r="AZ48" i="1"/>
  <c r="AY48" i="1"/>
  <c r="AX48" i="1"/>
  <c r="AW48" i="1"/>
  <c r="AV3" i="22"/>
  <c r="AU3" i="22"/>
  <c r="AT3" i="22"/>
  <c r="AS3" i="22"/>
  <c r="AR3" i="22"/>
  <c r="AQ3" i="22"/>
  <c r="AP3" i="22"/>
  <c r="AO3" i="22"/>
  <c r="AN3" i="22"/>
  <c r="AM3" i="22"/>
  <c r="AL3" i="22"/>
  <c r="AK3" i="22"/>
  <c r="BG19" i="11"/>
  <c r="BF19" i="11"/>
  <c r="BE19" i="11"/>
  <c r="BD19" i="11"/>
  <c r="BC19" i="11"/>
  <c r="BB19" i="11"/>
  <c r="BA19" i="11"/>
  <c r="AZ19" i="11"/>
  <c r="AY19" i="11"/>
  <c r="AX19" i="11"/>
  <c r="AW19" i="11"/>
  <c r="BG18" i="11"/>
  <c r="BF18" i="11"/>
  <c r="BE18" i="11"/>
  <c r="BD18" i="11"/>
  <c r="BC18" i="11"/>
  <c r="BB18" i="11"/>
  <c r="BA18" i="11"/>
  <c r="AZ18" i="11"/>
  <c r="AY18" i="11"/>
  <c r="AX18" i="11"/>
  <c r="AW18" i="11"/>
  <c r="BG17" i="11"/>
  <c r="BF17" i="11"/>
  <c r="BE17" i="11"/>
  <c r="BD17" i="11"/>
  <c r="BC17" i="11"/>
  <c r="BB17" i="11"/>
  <c r="BA17" i="11"/>
  <c r="AZ17" i="11"/>
  <c r="AY17" i="11"/>
  <c r="AX17" i="11"/>
  <c r="AW17" i="11"/>
  <c r="BG16" i="11"/>
  <c r="BF16" i="11"/>
  <c r="BE16" i="11"/>
  <c r="BD16" i="11"/>
  <c r="BC16" i="11"/>
  <c r="BB16" i="11"/>
  <c r="BA16" i="11"/>
  <c r="AZ16" i="11"/>
  <c r="AY16" i="11"/>
  <c r="AX16" i="11"/>
  <c r="AW16" i="11"/>
  <c r="BG15" i="11"/>
  <c r="BF15" i="11"/>
  <c r="BE15" i="11"/>
  <c r="BD15" i="11"/>
  <c r="BC15" i="11"/>
  <c r="BB15" i="11"/>
  <c r="BA15" i="11"/>
  <c r="AZ15" i="11"/>
  <c r="AY15" i="11"/>
  <c r="AX15" i="11"/>
  <c r="AW15" i="11"/>
  <c r="BG14" i="11"/>
  <c r="BF14" i="11"/>
  <c r="BE14" i="11"/>
  <c r="BD14" i="11"/>
  <c r="BC14" i="11"/>
  <c r="BB14" i="11"/>
  <c r="BA14" i="11"/>
  <c r="AZ14" i="11"/>
  <c r="AY14" i="11"/>
  <c r="AX14" i="11"/>
  <c r="AW14" i="11"/>
  <c r="AV19" i="11"/>
  <c r="AV18" i="11"/>
  <c r="AV17" i="11"/>
  <c r="AV16" i="11"/>
  <c r="AV15" i="11"/>
  <c r="AV14" i="11"/>
  <c r="BG10" i="11"/>
  <c r="BF10" i="11"/>
  <c r="BE10" i="11"/>
  <c r="BD10" i="11"/>
  <c r="BC10" i="11"/>
  <c r="BB10" i="11"/>
  <c r="BA10" i="11"/>
  <c r="AZ10" i="11"/>
  <c r="AY10" i="11"/>
  <c r="AX10" i="11"/>
  <c r="AW10" i="11"/>
  <c r="AV10" i="11"/>
  <c r="BG9" i="11"/>
  <c r="BF9" i="11"/>
  <c r="BE9" i="11"/>
  <c r="BD9" i="11"/>
  <c r="BC9" i="11"/>
  <c r="BB9" i="11"/>
  <c r="BA9" i="11"/>
  <c r="AZ9" i="11"/>
  <c r="AY9" i="11"/>
  <c r="AX9" i="11"/>
  <c r="AW9" i="11"/>
  <c r="AV9" i="11"/>
  <c r="BG8" i="11"/>
  <c r="BF8" i="11"/>
  <c r="BE8" i="11"/>
  <c r="BD8" i="11"/>
  <c r="BC8" i="11"/>
  <c r="BB8" i="11"/>
  <c r="BA8" i="11"/>
  <c r="AZ8" i="11"/>
  <c r="AY8" i="11"/>
  <c r="AX8" i="11"/>
  <c r="AW8" i="11"/>
  <c r="AV8" i="11"/>
  <c r="BG7" i="11"/>
  <c r="BF7" i="11"/>
  <c r="BE7" i="11"/>
  <c r="BD7" i="11"/>
  <c r="BC7" i="11"/>
  <c r="BB7" i="11"/>
  <c r="BA7" i="11"/>
  <c r="AZ7" i="11"/>
  <c r="AY7" i="11"/>
  <c r="AX7" i="11"/>
  <c r="AW7" i="11"/>
  <c r="AV7" i="11"/>
  <c r="BG6" i="11"/>
  <c r="BF6" i="11"/>
  <c r="BE6" i="11"/>
  <c r="BD6" i="11"/>
  <c r="BC6" i="11"/>
  <c r="BB6" i="11"/>
  <c r="BA6" i="11"/>
  <c r="AZ6" i="11"/>
  <c r="AY6" i="11"/>
  <c r="AX6" i="11"/>
  <c r="AW6" i="11"/>
  <c r="AV6" i="11"/>
  <c r="BG5" i="11"/>
  <c r="BF5" i="11"/>
  <c r="BE5" i="11"/>
  <c r="BD5" i="11"/>
  <c r="BC5" i="11"/>
  <c r="BB5" i="11"/>
  <c r="BA5" i="11"/>
  <c r="AZ5" i="11"/>
  <c r="AY5" i="11"/>
  <c r="AX5" i="11"/>
  <c r="AW5" i="11"/>
  <c r="AV5" i="11"/>
  <c r="K31" i="29"/>
  <c r="J31" i="29"/>
  <c r="I31" i="29"/>
  <c r="H31" i="29"/>
  <c r="G31" i="29"/>
  <c r="F31" i="29"/>
  <c r="E31" i="29"/>
  <c r="D31" i="29"/>
  <c r="K24" i="29"/>
  <c r="J24" i="29"/>
  <c r="I24" i="29"/>
  <c r="H24" i="29"/>
  <c r="G24" i="29"/>
  <c r="F24" i="29"/>
  <c r="E24" i="29"/>
  <c r="D24" i="29"/>
  <c r="K17" i="29"/>
  <c r="J17" i="29"/>
  <c r="I17" i="29"/>
  <c r="H17" i="29"/>
  <c r="G17" i="29"/>
  <c r="F17" i="29"/>
  <c r="E17" i="29"/>
  <c r="D17" i="29"/>
  <c r="K10" i="29"/>
  <c r="J10" i="29"/>
  <c r="I10" i="29"/>
  <c r="H10" i="29"/>
  <c r="G10" i="29"/>
  <c r="F10" i="29"/>
  <c r="E10" i="29"/>
  <c r="D10" i="29"/>
  <c r="K3" i="29"/>
  <c r="J3" i="29"/>
  <c r="I3" i="29"/>
  <c r="H3" i="29"/>
  <c r="G3" i="29"/>
  <c r="F3" i="29"/>
  <c r="E3" i="29"/>
  <c r="D3" i="29"/>
  <c r="C31" i="29"/>
  <c r="C34" i="29" s="1"/>
  <c r="C35" i="29" s="1"/>
  <c r="C36" i="29" s="1"/>
  <c r="C24" i="29"/>
  <c r="C27" i="29" s="1"/>
  <c r="C17" i="29"/>
  <c r="C10" i="29"/>
  <c r="C13" i="29" s="1"/>
  <c r="C14" i="29" s="1"/>
  <c r="C15" i="29" s="1"/>
  <c r="C3" i="29"/>
  <c r="AJ61" i="28"/>
  <c r="W10" i="28"/>
  <c r="AK10" i="28" s="1"/>
  <c r="AL10" i="28" s="1"/>
  <c r="AM10" i="28" s="1"/>
  <c r="AN10" i="28" s="1"/>
  <c r="AO10" i="28" s="1"/>
  <c r="AP10" i="28" s="1"/>
  <c r="AQ10" i="28" s="1"/>
  <c r="AR10" i="28" s="1"/>
  <c r="AS10" i="28" s="1"/>
  <c r="AT10" i="28" s="1"/>
  <c r="AU10" i="28" s="1"/>
  <c r="AV10" i="28" s="1"/>
  <c r="AW10" i="28" s="1"/>
  <c r="AX10" i="28" s="1"/>
  <c r="V10" i="28"/>
  <c r="U10" i="28"/>
  <c r="T10" i="28"/>
  <c r="S10" i="28"/>
  <c r="R10" i="28"/>
  <c r="Q10" i="28"/>
  <c r="P10" i="28"/>
  <c r="O10" i="28"/>
  <c r="N10" i="28"/>
  <c r="W9" i="28"/>
  <c r="AK9" i="28" s="1"/>
  <c r="V9" i="28"/>
  <c r="U9" i="28"/>
  <c r="T9" i="28"/>
  <c r="S9" i="28"/>
  <c r="R9" i="28"/>
  <c r="Q9" i="28"/>
  <c r="P9" i="28"/>
  <c r="O9" i="28"/>
  <c r="N9" i="28"/>
  <c r="W8" i="28"/>
  <c r="AK8" i="28" s="1"/>
  <c r="V8" i="28"/>
  <c r="U8" i="28"/>
  <c r="T8" i="28"/>
  <c r="S8" i="28"/>
  <c r="R8" i="28"/>
  <c r="Q8" i="28"/>
  <c r="P8" i="28"/>
  <c r="O8" i="28"/>
  <c r="N8" i="28"/>
  <c r="W7" i="28"/>
  <c r="AK7" i="28" s="1"/>
  <c r="V7" i="28"/>
  <c r="U7" i="28"/>
  <c r="T7" i="28"/>
  <c r="S7" i="28"/>
  <c r="R7" i="28"/>
  <c r="Q7" i="28"/>
  <c r="P7" i="28"/>
  <c r="O7" i="28"/>
  <c r="N7" i="28"/>
  <c r="W6" i="28"/>
  <c r="AK6" i="28" s="1"/>
  <c r="V6" i="28"/>
  <c r="U6" i="28"/>
  <c r="T6" i="28"/>
  <c r="S6" i="28"/>
  <c r="R6" i="28"/>
  <c r="Q6" i="28"/>
  <c r="P6" i="28"/>
  <c r="O6" i="28"/>
  <c r="N6" i="28"/>
  <c r="W5" i="28"/>
  <c r="AL5" i="28" s="1"/>
  <c r="V5" i="28"/>
  <c r="U5" i="28"/>
  <c r="T5" i="28"/>
  <c r="S5" i="28"/>
  <c r="R5" i="28"/>
  <c r="Q5" i="28"/>
  <c r="P5" i="28"/>
  <c r="O5" i="28"/>
  <c r="N5" i="28"/>
  <c r="O93" i="27"/>
  <c r="P93" i="27" s="1"/>
  <c r="Q93" i="27" s="1"/>
  <c r="R93" i="27" s="1"/>
  <c r="S93" i="27" s="1"/>
  <c r="T93" i="27" s="1"/>
  <c r="U93" i="27" s="1"/>
  <c r="V93" i="27" s="1"/>
  <c r="Y88" i="27"/>
  <c r="Y87" i="27"/>
  <c r="X87" i="27"/>
  <c r="X88" i="27" s="1"/>
  <c r="W87" i="27"/>
  <c r="W88" i="27" s="1"/>
  <c r="V87" i="27"/>
  <c r="V88" i="27" s="1"/>
  <c r="U87" i="27"/>
  <c r="U88" i="27" s="1"/>
  <c r="T87" i="27"/>
  <c r="T88" i="27" s="1"/>
  <c r="S87" i="27"/>
  <c r="S88" i="27" s="1"/>
  <c r="R87" i="27"/>
  <c r="R88" i="27" s="1"/>
  <c r="Q87" i="27"/>
  <c r="Q88" i="27" s="1"/>
  <c r="P87" i="27"/>
  <c r="P88" i="27" s="1"/>
  <c r="O87" i="27"/>
  <c r="O88" i="27" s="1"/>
  <c r="N87" i="27"/>
  <c r="N89" i="27" s="1"/>
  <c r="W84" i="27"/>
  <c r="N8" i="27"/>
  <c r="O8" i="27"/>
  <c r="P8" i="27"/>
  <c r="Q8" i="27"/>
  <c r="R8" i="27"/>
  <c r="S8" i="27"/>
  <c r="T8" i="27"/>
  <c r="U8" i="27"/>
  <c r="V8" i="27"/>
  <c r="W8" i="27"/>
  <c r="X8" i="27"/>
  <c r="Y8" i="27"/>
  <c r="X79" i="27"/>
  <c r="X80" i="27" s="1"/>
  <c r="Y79" i="27"/>
  <c r="Y81" i="27" s="1"/>
  <c r="D32" i="29"/>
  <c r="C20" i="29"/>
  <c r="C21" i="29" s="1"/>
  <c r="D18" i="29"/>
  <c r="C6" i="29"/>
  <c r="C7" i="29" s="1"/>
  <c r="C8" i="29" s="1"/>
  <c r="D4" i="29"/>
  <c r="AV31" i="22"/>
  <c r="AU31" i="22"/>
  <c r="AT31" i="22"/>
  <c r="AS31" i="22"/>
  <c r="AR31" i="22"/>
  <c r="AQ31" i="22"/>
  <c r="AP31" i="22"/>
  <c r="AO31" i="22"/>
  <c r="AN31" i="22"/>
  <c r="AM31" i="22"/>
  <c r="AL31" i="22"/>
  <c r="AK31" i="22"/>
  <c r="AV24" i="22"/>
  <c r="AU24" i="22"/>
  <c r="AT24" i="22"/>
  <c r="AS24" i="22"/>
  <c r="AR24" i="22"/>
  <c r="AQ24" i="22"/>
  <c r="AP24" i="22"/>
  <c r="AO24" i="22"/>
  <c r="AN24" i="22"/>
  <c r="AM24" i="22"/>
  <c r="AL24" i="22"/>
  <c r="AK24" i="22"/>
  <c r="AV17" i="22"/>
  <c r="AU17" i="22"/>
  <c r="AT17" i="22"/>
  <c r="AS17" i="22"/>
  <c r="AR17" i="22"/>
  <c r="AQ17" i="22"/>
  <c r="AP17" i="22"/>
  <c r="AO17" i="22"/>
  <c r="AN17" i="22"/>
  <c r="AM17" i="22"/>
  <c r="AL17" i="22"/>
  <c r="AK17" i="22"/>
  <c r="AV10" i="22"/>
  <c r="AU10" i="22"/>
  <c r="AT10" i="22"/>
  <c r="AS10" i="22"/>
  <c r="AR10" i="22"/>
  <c r="AQ10" i="22"/>
  <c r="AP10" i="22"/>
  <c r="AO10" i="22"/>
  <c r="AN10" i="22"/>
  <c r="AM10" i="22"/>
  <c r="AL10" i="22"/>
  <c r="AK10" i="22"/>
  <c r="CH60" i="11"/>
  <c r="AL6" i="28" l="1"/>
  <c r="AL7" i="28"/>
  <c r="AL8" i="28"/>
  <c r="AM5" i="28"/>
  <c r="AN5" i="28" s="1"/>
  <c r="AO5" i="28" s="1"/>
  <c r="AP5" i="28" s="1"/>
  <c r="AQ5" i="28" s="1"/>
  <c r="AR5" i="28" s="1"/>
  <c r="AS5" i="28" s="1"/>
  <c r="AT5" i="28" s="1"/>
  <c r="AU5" i="28" s="1"/>
  <c r="AV5" i="28" s="1"/>
  <c r="AW5" i="28" s="1"/>
  <c r="AX5" i="28" s="1"/>
  <c r="AL9" i="28"/>
  <c r="W93" i="27"/>
  <c r="X93" i="27" s="1"/>
  <c r="Y93" i="27" s="1"/>
  <c r="C28" i="29"/>
  <c r="C29" i="29" s="1"/>
  <c r="C22" i="29"/>
  <c r="N91" i="27"/>
  <c r="N90" i="27"/>
  <c r="X81" i="27"/>
  <c r="X82" i="27" s="1"/>
  <c r="Y82" i="27" s="1"/>
  <c r="Y80" i="27"/>
  <c r="D5" i="29"/>
  <c r="D33" i="29"/>
  <c r="E32" i="29"/>
  <c r="F32" i="29" s="1"/>
  <c r="G32" i="29" s="1"/>
  <c r="D19" i="29"/>
  <c r="D20" i="29" s="1"/>
  <c r="E18" i="29"/>
  <c r="F18" i="29" s="1"/>
  <c r="E4" i="29"/>
  <c r="F4" i="29" s="1"/>
  <c r="G4" i="29" s="1"/>
  <c r="H4" i="29" s="1"/>
  <c r="I4" i="29" s="1"/>
  <c r="D11" i="29"/>
  <c r="D12" i="29" s="1"/>
  <c r="D25" i="29"/>
  <c r="D26" i="29" s="1"/>
  <c r="AO19" i="22"/>
  <c r="AM7" i="28" l="1"/>
  <c r="AN7" i="28" s="1"/>
  <c r="AO7" i="28" s="1"/>
  <c r="AP7" i="28" s="1"/>
  <c r="AQ7" i="28" s="1"/>
  <c r="AR7" i="28" s="1"/>
  <c r="AS7" i="28" s="1"/>
  <c r="AT7" i="28" s="1"/>
  <c r="AU7" i="28" s="1"/>
  <c r="AV7" i="28" s="1"/>
  <c r="AW7" i="28" s="1"/>
  <c r="AX7" i="28" s="1"/>
  <c r="AM8" i="28"/>
  <c r="AN8" i="28" s="1"/>
  <c r="AO8" i="28" s="1"/>
  <c r="AP8" i="28" s="1"/>
  <c r="AQ8" i="28" s="1"/>
  <c r="AR8" i="28" s="1"/>
  <c r="AS8" i="28" s="1"/>
  <c r="AT8" i="28" s="1"/>
  <c r="AU8" i="28" s="1"/>
  <c r="AV8" i="28" s="1"/>
  <c r="AW8" i="28" s="1"/>
  <c r="AX8" i="28" s="1"/>
  <c r="AM9" i="28"/>
  <c r="AN9" i="28" s="1"/>
  <c r="AO9" i="28" s="1"/>
  <c r="AP9" i="28" s="1"/>
  <c r="AQ9" i="28" s="1"/>
  <c r="AR9" i="28" s="1"/>
  <c r="AS9" i="28" s="1"/>
  <c r="AT9" i="28" s="1"/>
  <c r="AU9" i="28" s="1"/>
  <c r="AV9" i="28" s="1"/>
  <c r="AW9" i="28" s="1"/>
  <c r="AX9" i="28" s="1"/>
  <c r="AM6" i="28"/>
  <c r="AN6" i="28" s="1"/>
  <c r="AO6" i="28" s="1"/>
  <c r="AP6" i="28" s="1"/>
  <c r="AQ6" i="28" s="1"/>
  <c r="AR6" i="28" s="1"/>
  <c r="AS6" i="28" s="1"/>
  <c r="AT6" i="28" s="1"/>
  <c r="AU6" i="28" s="1"/>
  <c r="AV6" i="28" s="1"/>
  <c r="AW6" i="28" s="1"/>
  <c r="AX6" i="28" s="1"/>
  <c r="D13" i="29"/>
  <c r="D14" i="29" s="1"/>
  <c r="D15" i="29" s="1"/>
  <c r="AN34" i="22"/>
  <c r="AN35" i="22" s="1"/>
  <c r="AN36" i="22" s="1"/>
  <c r="AZ69" i="1" s="1"/>
  <c r="AO32" i="22"/>
  <c r="AO11" i="22"/>
  <c r="AP11" i="22" s="1"/>
  <c r="AQ11" i="22" s="1"/>
  <c r="AO25" i="22"/>
  <c r="AP25" i="22" s="1"/>
  <c r="AQ25" i="22" s="1"/>
  <c r="AR25" i="22" s="1"/>
  <c r="AS25" i="22" s="1"/>
  <c r="AT25" i="22" s="1"/>
  <c r="AU25" i="22" s="1"/>
  <c r="AN13" i="22"/>
  <c r="AN14" i="22" s="1"/>
  <c r="AN15" i="22" s="1"/>
  <c r="AZ39" i="1" s="1"/>
  <c r="AO12" i="22"/>
  <c r="AP12" i="22" s="1"/>
  <c r="AP19" i="22"/>
  <c r="H32" i="29"/>
  <c r="G18" i="29"/>
  <c r="J4" i="29"/>
  <c r="K4" i="29" s="1"/>
  <c r="E11" i="29"/>
  <c r="D34" i="29"/>
  <c r="D35" i="29" s="1"/>
  <c r="D36" i="29" s="1"/>
  <c r="D6" i="29"/>
  <c r="D7" i="29" s="1"/>
  <c r="D8" i="29" s="1"/>
  <c r="D27" i="29"/>
  <c r="D28" i="29" s="1"/>
  <c r="D29" i="29" s="1"/>
  <c r="E19" i="29"/>
  <c r="F19" i="29" s="1"/>
  <c r="D21" i="29"/>
  <c r="D22" i="29" s="1"/>
  <c r="E33" i="29"/>
  <c r="F33" i="29" s="1"/>
  <c r="E34" i="29"/>
  <c r="E25" i="29"/>
  <c r="E5" i="29"/>
  <c r="F5" i="29" s="1"/>
  <c r="G5" i="29" s="1"/>
  <c r="E20" i="29" l="1"/>
  <c r="E6" i="29"/>
  <c r="E7" i="29" s="1"/>
  <c r="E8" i="29" s="1"/>
  <c r="AP13" i="22"/>
  <c r="AO13" i="22"/>
  <c r="AO14" i="22" s="1"/>
  <c r="AO15" i="22" s="1"/>
  <c r="BA39" i="1" s="1"/>
  <c r="AQ12" i="22"/>
  <c r="AQ13" i="22" s="1"/>
  <c r="AQ14" i="22" s="1"/>
  <c r="AQ15" i="22" s="1"/>
  <c r="BC39" i="1" s="1"/>
  <c r="AR11" i="22"/>
  <c r="AS11" i="22" s="1"/>
  <c r="AP32" i="22"/>
  <c r="AO26" i="22"/>
  <c r="AP14" i="22"/>
  <c r="AP15" i="22" s="1"/>
  <c r="BB39" i="1" s="1"/>
  <c r="AN27" i="22"/>
  <c r="AN28" i="22" s="1"/>
  <c r="AN29" i="22" s="1"/>
  <c r="AZ59" i="1" s="1"/>
  <c r="AQ19" i="22"/>
  <c r="AV25" i="22"/>
  <c r="H5" i="29"/>
  <c r="G6" i="29"/>
  <c r="G7" i="29" s="1"/>
  <c r="G8" i="29" s="1"/>
  <c r="F34" i="29"/>
  <c r="F35" i="29" s="1"/>
  <c r="F36" i="29" s="1"/>
  <c r="G33" i="29"/>
  <c r="H33" i="29" s="1"/>
  <c r="E26" i="29"/>
  <c r="E27" i="29" s="1"/>
  <c r="F25" i="29"/>
  <c r="F20" i="29"/>
  <c r="F21" i="29" s="1"/>
  <c r="F22" i="29" s="1"/>
  <c r="F6" i="29"/>
  <c r="F7" i="29" s="1"/>
  <c r="F8" i="29" s="1"/>
  <c r="E12" i="29"/>
  <c r="E13" i="29" s="1"/>
  <c r="F11" i="29"/>
  <c r="I32" i="29"/>
  <c r="E35" i="29"/>
  <c r="E36" i="29" s="1"/>
  <c r="E21" i="29"/>
  <c r="E22" i="29" s="1"/>
  <c r="G19" i="29"/>
  <c r="H18" i="29"/>
  <c r="AR12" i="22" l="1"/>
  <c r="AR13" i="22" s="1"/>
  <c r="AN20" i="22"/>
  <c r="AN21" i="22" s="1"/>
  <c r="AN22" i="22" s="1"/>
  <c r="AZ49" i="1" s="1"/>
  <c r="AO18" i="22"/>
  <c r="AQ32" i="22"/>
  <c r="AP26" i="22"/>
  <c r="AO27" i="22"/>
  <c r="AO28" i="22" s="1"/>
  <c r="AO29" i="22" s="1"/>
  <c r="BA59" i="1" s="1"/>
  <c r="AT11" i="22"/>
  <c r="AR19" i="22"/>
  <c r="H19" i="29"/>
  <c r="H20" i="29"/>
  <c r="I18" i="29"/>
  <c r="G20" i="29"/>
  <c r="G21" i="29" s="1"/>
  <c r="G22" i="29" s="1"/>
  <c r="F26" i="29"/>
  <c r="F27" i="29" s="1"/>
  <c r="G25" i="29"/>
  <c r="H34" i="29"/>
  <c r="H35" i="29" s="1"/>
  <c r="H36" i="29" s="1"/>
  <c r="G34" i="29"/>
  <c r="G35" i="29" s="1"/>
  <c r="G36" i="29" s="1"/>
  <c r="F12" i="29"/>
  <c r="G11" i="29"/>
  <c r="F13" i="29"/>
  <c r="E14" i="29"/>
  <c r="E15" i="29" s="1"/>
  <c r="I5" i="29"/>
  <c r="H6" i="29"/>
  <c r="H7" i="29" s="1"/>
  <c r="H8" i="29" s="1"/>
  <c r="E28" i="29"/>
  <c r="E29" i="29" s="1"/>
  <c r="I33" i="29"/>
  <c r="I34" i="29" s="1"/>
  <c r="J32" i="29"/>
  <c r="AR14" i="22" l="1"/>
  <c r="AR15" i="22" s="1"/>
  <c r="BD39" i="1" s="1"/>
  <c r="AS12" i="22"/>
  <c r="AS13" i="22" s="1"/>
  <c r="AQ26" i="22"/>
  <c r="AP27" i="22"/>
  <c r="AP28" i="22" s="1"/>
  <c r="AP29" i="22" s="1"/>
  <c r="BB59" i="1" s="1"/>
  <c r="AR32" i="22"/>
  <c r="AP18" i="22"/>
  <c r="AO20" i="22"/>
  <c r="AO21" i="22" s="1"/>
  <c r="AO22" i="22" s="1"/>
  <c r="BA49" i="1" s="1"/>
  <c r="AO5" i="22"/>
  <c r="AN6" i="22"/>
  <c r="AN7" i="22" s="1"/>
  <c r="AN8" i="22" s="1"/>
  <c r="AZ29" i="1" s="1"/>
  <c r="AU11" i="22"/>
  <c r="AS19" i="22"/>
  <c r="J33" i="29"/>
  <c r="K32" i="29"/>
  <c r="J34" i="29"/>
  <c r="G12" i="29"/>
  <c r="G13" i="29" s="1"/>
  <c r="H11" i="29"/>
  <c r="I6" i="29"/>
  <c r="I7" i="29" s="1"/>
  <c r="I8" i="29" s="1"/>
  <c r="J5" i="29"/>
  <c r="F28" i="29"/>
  <c r="F29" i="29" s="1"/>
  <c r="F14" i="29"/>
  <c r="F15" i="29" s="1"/>
  <c r="H21" i="29"/>
  <c r="H22" i="29" s="1"/>
  <c r="G26" i="29"/>
  <c r="G27" i="29" s="1"/>
  <c r="H25" i="29"/>
  <c r="I35" i="29"/>
  <c r="I36" i="29" s="1"/>
  <c r="I19" i="29"/>
  <c r="I20" i="29" s="1"/>
  <c r="J18" i="29"/>
  <c r="AS14" i="22" l="1"/>
  <c r="AS15" i="22" s="1"/>
  <c r="BE39" i="1" s="1"/>
  <c r="AT12" i="22"/>
  <c r="AU12" i="22" s="1"/>
  <c r="AU13" i="22" s="1"/>
  <c r="AR26" i="22"/>
  <c r="AQ27" i="22"/>
  <c r="AQ28" i="22" s="1"/>
  <c r="AQ29" i="22" s="1"/>
  <c r="BC59" i="1" s="1"/>
  <c r="AS32" i="22"/>
  <c r="AP5" i="22"/>
  <c r="AQ18" i="22"/>
  <c r="AP20" i="22"/>
  <c r="AP21" i="22" s="1"/>
  <c r="AP22" i="22" s="1"/>
  <c r="BB49" i="1" s="1"/>
  <c r="AT19" i="22"/>
  <c r="AV11" i="22"/>
  <c r="J6" i="29"/>
  <c r="J7" i="29" s="1"/>
  <c r="J8" i="29" s="1"/>
  <c r="K5" i="29"/>
  <c r="H26" i="29"/>
  <c r="H27" i="29" s="1"/>
  <c r="I25" i="29"/>
  <c r="J19" i="29"/>
  <c r="J20" i="29" s="1"/>
  <c r="K18" i="29"/>
  <c r="I21" i="29"/>
  <c r="I22" i="29" s="1"/>
  <c r="K33" i="29"/>
  <c r="K34" i="29"/>
  <c r="J35" i="29"/>
  <c r="J36" i="29" s="1"/>
  <c r="G28" i="29"/>
  <c r="G29" i="29" s="1"/>
  <c r="H12" i="29"/>
  <c r="H13" i="29" s="1"/>
  <c r="I11" i="29"/>
  <c r="G14" i="29"/>
  <c r="G15" i="29" s="1"/>
  <c r="AT13" i="22" l="1"/>
  <c r="AT14" i="22" s="1"/>
  <c r="AT15" i="22" s="1"/>
  <c r="BF39" i="1" s="1"/>
  <c r="AQ5" i="22"/>
  <c r="AR18" i="22"/>
  <c r="AQ20" i="22"/>
  <c r="AQ21" i="22" s="1"/>
  <c r="AQ22" i="22" s="1"/>
  <c r="BC49" i="1" s="1"/>
  <c r="AR27" i="22"/>
  <c r="AR28" i="22" s="1"/>
  <c r="AR29" i="22" s="1"/>
  <c r="BD59" i="1" s="1"/>
  <c r="AS26" i="22"/>
  <c r="AT32" i="22"/>
  <c r="AU19" i="22"/>
  <c r="AV12" i="22"/>
  <c r="AV13" i="22" s="1"/>
  <c r="AU14" i="22"/>
  <c r="AU15" i="22" s="1"/>
  <c r="BG39" i="1" s="1"/>
  <c r="K19" i="29"/>
  <c r="K20" i="29" s="1"/>
  <c r="J21" i="29"/>
  <c r="J22" i="29" s="1"/>
  <c r="H14" i="29"/>
  <c r="H15" i="29" s="1"/>
  <c r="I26" i="29"/>
  <c r="I27" i="29" s="1"/>
  <c r="J25" i="29"/>
  <c r="H28" i="29"/>
  <c r="H29" i="29" s="1"/>
  <c r="K35" i="29"/>
  <c r="K36" i="29" s="1"/>
  <c r="K6" i="29"/>
  <c r="K7" i="29" s="1"/>
  <c r="K8" i="29" s="1"/>
  <c r="I12" i="29"/>
  <c r="I13" i="29" s="1"/>
  <c r="J11" i="29"/>
  <c r="AS18" i="22" l="1"/>
  <c r="AR20" i="22"/>
  <c r="AR21" i="22" s="1"/>
  <c r="AR22" i="22" s="1"/>
  <c r="BD49" i="1" s="1"/>
  <c r="AS27" i="22"/>
  <c r="AS28" i="22" s="1"/>
  <c r="AS29" i="22" s="1"/>
  <c r="BE59" i="1" s="1"/>
  <c r="AT26" i="22"/>
  <c r="AR5" i="22"/>
  <c r="AU32" i="22"/>
  <c r="AV19" i="22"/>
  <c r="AV14" i="22"/>
  <c r="AV15" i="22" s="1"/>
  <c r="BH39" i="1" s="1"/>
  <c r="J26" i="29"/>
  <c r="J27" i="29" s="1"/>
  <c r="K25" i="29"/>
  <c r="J12" i="29"/>
  <c r="K11" i="29"/>
  <c r="J13" i="29"/>
  <c r="I28" i="29"/>
  <c r="I29" i="29" s="1"/>
  <c r="I14" i="29"/>
  <c r="I15" i="29" s="1"/>
  <c r="K21" i="29"/>
  <c r="K22" i="29" s="1"/>
  <c r="AS5" i="22" l="1"/>
  <c r="AU26" i="22"/>
  <c r="AT27" i="22"/>
  <c r="AT28" i="22" s="1"/>
  <c r="AT29" i="22" s="1"/>
  <c r="BF59" i="1" s="1"/>
  <c r="AV32" i="22"/>
  <c r="AT18" i="22"/>
  <c r="AS20" i="22"/>
  <c r="AS21" i="22" s="1"/>
  <c r="AS22" i="22" s="1"/>
  <c r="BE49" i="1" s="1"/>
  <c r="J14" i="29"/>
  <c r="J15" i="29" s="1"/>
  <c r="K12" i="29"/>
  <c r="K26" i="29"/>
  <c r="K27" i="29" s="1"/>
  <c r="J28" i="29"/>
  <c r="J29" i="29" s="1"/>
  <c r="AV26" i="22" l="1"/>
  <c r="AV27" i="22" s="1"/>
  <c r="AV28" i="22" s="1"/>
  <c r="AV29" i="22" s="1"/>
  <c r="BH59" i="1" s="1"/>
  <c r="AU27" i="22"/>
  <c r="AU28" i="22" s="1"/>
  <c r="AU29" i="22" s="1"/>
  <c r="BG59" i="1" s="1"/>
  <c r="AU18" i="22"/>
  <c r="AT20" i="22"/>
  <c r="AT21" i="22" s="1"/>
  <c r="AT22" i="22" s="1"/>
  <c r="BF49" i="1" s="1"/>
  <c r="AT5" i="22"/>
  <c r="K28" i="29"/>
  <c r="K29" i="29" s="1"/>
  <c r="K13" i="29"/>
  <c r="K14" i="29" s="1"/>
  <c r="K15" i="29" s="1"/>
  <c r="AU5" i="22" l="1"/>
  <c r="AV18" i="22"/>
  <c r="AV20" i="22" s="1"/>
  <c r="AV21" i="22" s="1"/>
  <c r="AV22" i="22" s="1"/>
  <c r="BH49" i="1" s="1"/>
  <c r="AU20" i="22"/>
  <c r="AU21" i="22" s="1"/>
  <c r="AU22" i="22" s="1"/>
  <c r="BG49" i="1" s="1"/>
  <c r="AV5" i="22" l="1"/>
  <c r="BG72" i="11" l="1"/>
  <c r="BF72" i="11"/>
  <c r="BE72" i="11"/>
  <c r="BD72" i="11"/>
  <c r="BC72" i="11"/>
  <c r="BB72" i="11"/>
  <c r="BA72" i="11"/>
  <c r="AZ72" i="11"/>
  <c r="AY72" i="11"/>
  <c r="BG71" i="11"/>
  <c r="BF71" i="11"/>
  <c r="BE71" i="11"/>
  <c r="BD71" i="11"/>
  <c r="BC71" i="11"/>
  <c r="BB71" i="11"/>
  <c r="BA71" i="11"/>
  <c r="AZ71" i="11"/>
  <c r="AY71" i="11"/>
  <c r="BG70" i="11"/>
  <c r="BF70" i="11"/>
  <c r="BE70" i="11"/>
  <c r="BD70" i="11"/>
  <c r="BC70" i="11"/>
  <c r="BB70" i="11"/>
  <c r="BA70" i="11"/>
  <c r="AZ70" i="11"/>
  <c r="AY70" i="11"/>
  <c r="BG69" i="11"/>
  <c r="BF69" i="11"/>
  <c r="BE69" i="11"/>
  <c r="BD69" i="11"/>
  <c r="BC69" i="11"/>
  <c r="BC73" i="11" s="1"/>
  <c r="BB69" i="11"/>
  <c r="BA69" i="11"/>
  <c r="AZ69" i="11"/>
  <c r="AY69" i="11"/>
  <c r="BG68" i="11"/>
  <c r="BF68" i="11"/>
  <c r="BF73" i="11" s="1"/>
  <c r="BE68" i="11"/>
  <c r="BE73" i="11" s="1"/>
  <c r="BD68" i="11"/>
  <c r="BD73" i="11" s="1"/>
  <c r="BC68" i="11"/>
  <c r="BB68" i="11"/>
  <c r="BA68" i="11"/>
  <c r="AZ68" i="11"/>
  <c r="AY68" i="11"/>
  <c r="BV64" i="11"/>
  <c r="BU64" i="11"/>
  <c r="BT64" i="11"/>
  <c r="BG64" i="11"/>
  <c r="BF64" i="11"/>
  <c r="BE64" i="11"/>
  <c r="BD64" i="11"/>
  <c r="BC64" i="11"/>
  <c r="BB64" i="11"/>
  <c r="BA64" i="11"/>
  <c r="AZ64" i="11"/>
  <c r="AY64" i="11"/>
  <c r="AX64" i="11"/>
  <c r="AW64" i="11"/>
  <c r="AV64" i="11"/>
  <c r="BV63" i="11"/>
  <c r="BU63" i="11"/>
  <c r="BT63" i="11"/>
  <c r="BG63" i="11"/>
  <c r="BF63" i="11"/>
  <c r="BE63" i="11"/>
  <c r="BD63" i="11"/>
  <c r="BC63" i="11"/>
  <c r="BB63" i="11"/>
  <c r="BA63" i="11"/>
  <c r="AZ63" i="11"/>
  <c r="AY63" i="11"/>
  <c r="AX63" i="11"/>
  <c r="AW63" i="11"/>
  <c r="AV63" i="11"/>
  <c r="BV62" i="11"/>
  <c r="BU62" i="11"/>
  <c r="BT62" i="11"/>
  <c r="BG62" i="11"/>
  <c r="BF62" i="11"/>
  <c r="BE62" i="11"/>
  <c r="BD62" i="11"/>
  <c r="BC62" i="11"/>
  <c r="BB62" i="11"/>
  <c r="BA62" i="11"/>
  <c r="AZ62" i="11"/>
  <c r="AY62" i="11"/>
  <c r="AX62" i="11"/>
  <c r="AW62" i="11"/>
  <c r="AV62" i="11"/>
  <c r="BV61" i="11"/>
  <c r="BU61" i="11"/>
  <c r="BT61" i="11"/>
  <c r="BG61" i="11"/>
  <c r="BF61" i="11"/>
  <c r="BE61" i="11"/>
  <c r="BD61" i="11"/>
  <c r="BC61" i="11"/>
  <c r="BB61" i="11"/>
  <c r="BA61" i="11"/>
  <c r="BA65" i="11" s="1"/>
  <c r="AZ61" i="11"/>
  <c r="AY61" i="11"/>
  <c r="AX61" i="11"/>
  <c r="AW61" i="11"/>
  <c r="AV61" i="11"/>
  <c r="BV60" i="11"/>
  <c r="BU60" i="11"/>
  <c r="BG60" i="11"/>
  <c r="BF60" i="11"/>
  <c r="BE60" i="11"/>
  <c r="BD60" i="11"/>
  <c r="BC60" i="11"/>
  <c r="BC65" i="11" s="1"/>
  <c r="BB60" i="11"/>
  <c r="BA60" i="11"/>
  <c r="AZ60" i="11"/>
  <c r="AZ65" i="11" s="1"/>
  <c r="AY60" i="11"/>
  <c r="AX60" i="11"/>
  <c r="AX65" i="11" s="1"/>
  <c r="AW60" i="11"/>
  <c r="AV60" i="11"/>
  <c r="BG55" i="11"/>
  <c r="BF55" i="11"/>
  <c r="BE55" i="11"/>
  <c r="BD55" i="11"/>
  <c r="BC55" i="11"/>
  <c r="BB55" i="11"/>
  <c r="BA55" i="11"/>
  <c r="AZ55" i="11"/>
  <c r="AY55" i="11"/>
  <c r="AX55" i="11"/>
  <c r="AW55" i="11"/>
  <c r="AV55" i="11"/>
  <c r="BV28" i="11"/>
  <c r="BU28" i="11"/>
  <c r="BT28" i="11"/>
  <c r="BG28" i="11"/>
  <c r="BF28" i="11"/>
  <c r="BF35" i="11" s="1"/>
  <c r="BG67" i="1" s="1"/>
  <c r="BE28" i="11"/>
  <c r="BE34" i="11" s="1"/>
  <c r="BF57" i="1" s="1"/>
  <c r="BD28" i="11"/>
  <c r="BD31" i="11" s="1"/>
  <c r="BE27" i="1" s="1"/>
  <c r="BC28" i="11"/>
  <c r="BC32" i="11" s="1"/>
  <c r="BD37" i="1" s="1"/>
  <c r="BB28" i="11"/>
  <c r="BB31" i="11" s="1"/>
  <c r="BC27" i="1" s="1"/>
  <c r="BA28" i="11"/>
  <c r="BA33" i="11" s="1"/>
  <c r="BB47" i="1" s="1"/>
  <c r="AZ28" i="11"/>
  <c r="AZ35" i="11" s="1"/>
  <c r="BA67" i="1" s="1"/>
  <c r="AY28" i="11"/>
  <c r="AY34" i="11" s="1"/>
  <c r="AZ57" i="1" s="1"/>
  <c r="AX28" i="11"/>
  <c r="AX35" i="11" s="1"/>
  <c r="AY67" i="1" s="1"/>
  <c r="AW28" i="11"/>
  <c r="AW34" i="11" s="1"/>
  <c r="AX57" i="1" s="1"/>
  <c r="AV28" i="11"/>
  <c r="BG20" i="11"/>
  <c r="BF20" i="11"/>
  <c r="BE20" i="11"/>
  <c r="BD20" i="11"/>
  <c r="BC20" i="11"/>
  <c r="BB20" i="11"/>
  <c r="BA20" i="11"/>
  <c r="AZ20" i="11"/>
  <c r="AY20" i="11"/>
  <c r="AX20" i="11"/>
  <c r="AW20" i="11"/>
  <c r="AV20" i="11"/>
  <c r="AV11" i="11"/>
  <c r="AV31" i="11" l="1"/>
  <c r="AW27" i="1" s="1"/>
  <c r="AV33" i="11"/>
  <c r="AW47" i="1" s="1"/>
  <c r="AV34" i="11"/>
  <c r="AW57" i="1" s="1"/>
  <c r="AV35" i="11"/>
  <c r="AW67" i="1" s="1"/>
  <c r="BG34" i="11"/>
  <c r="BH57" i="1" s="1"/>
  <c r="BG31" i="11"/>
  <c r="BH27" i="1" s="1"/>
  <c r="BT34" i="11"/>
  <c r="BT35" i="11"/>
  <c r="BT32" i="11"/>
  <c r="BT33" i="11"/>
  <c r="BT31" i="11"/>
  <c r="BU33" i="11"/>
  <c r="BU32" i="11"/>
  <c r="BU31" i="11"/>
  <c r="BU35" i="11"/>
  <c r="BU34" i="11"/>
  <c r="BV34" i="11"/>
  <c r="BV32" i="11"/>
  <c r="BV31" i="11"/>
  <c r="BV35" i="11"/>
  <c r="BV33" i="11"/>
  <c r="BB73" i="11"/>
  <c r="BA31" i="11"/>
  <c r="BB27" i="1" s="1"/>
  <c r="BE32" i="11"/>
  <c r="BF37" i="1" s="1"/>
  <c r="BG33" i="11"/>
  <c r="BH47" i="1" s="1"/>
  <c r="BC31" i="11"/>
  <c r="BD27" i="1" s="1"/>
  <c r="BF32" i="11"/>
  <c r="BG37" i="1" s="1"/>
  <c r="AX34" i="11"/>
  <c r="AY57" i="1" s="1"/>
  <c r="BF65" i="11"/>
  <c r="BA73" i="11"/>
  <c r="BE31" i="11"/>
  <c r="BF27" i="1" s="1"/>
  <c r="AW33" i="11"/>
  <c r="AX47" i="1" s="1"/>
  <c r="BF34" i="11"/>
  <c r="BG57" i="1" s="1"/>
  <c r="AY65" i="11"/>
  <c r="BG65" i="11"/>
  <c r="AV32" i="11"/>
  <c r="AW37" i="1" s="1"/>
  <c r="AX33" i="11"/>
  <c r="AY47" i="1" s="1"/>
  <c r="AW35" i="11"/>
  <c r="AX67" i="1" s="1"/>
  <c r="AW32" i="11"/>
  <c r="AX37" i="1" s="1"/>
  <c r="AY33" i="11"/>
  <c r="AZ47" i="1" s="1"/>
  <c r="AY35" i="11"/>
  <c r="AZ67" i="1" s="1"/>
  <c r="AZ73" i="11"/>
  <c r="AX32" i="11"/>
  <c r="AY37" i="1" s="1"/>
  <c r="BC33" i="11"/>
  <c r="BD47" i="1" s="1"/>
  <c r="BA35" i="11"/>
  <c r="BB67" i="1" s="1"/>
  <c r="BB65" i="11"/>
  <c r="BA32" i="11"/>
  <c r="BB37" i="1" s="1"/>
  <c r="BE33" i="11"/>
  <c r="BF47" i="1" s="1"/>
  <c r="BE35" i="11"/>
  <c r="BF67" i="1" s="1"/>
  <c r="AX71" i="11"/>
  <c r="AW31" i="11"/>
  <c r="BD32" i="11"/>
  <c r="BE37" i="1" s="1"/>
  <c r="BF33" i="11"/>
  <c r="BG47" i="1" s="1"/>
  <c r="BG35" i="11"/>
  <c r="BH67" i="1" s="1"/>
  <c r="AV65" i="11"/>
  <c r="AV72" i="11" s="1"/>
  <c r="BD65" i="11"/>
  <c r="AW65" i="11"/>
  <c r="AW68" i="11" s="1"/>
  <c r="BE65" i="11"/>
  <c r="AY73" i="11"/>
  <c r="BG73" i="11"/>
  <c r="BT65" i="11"/>
  <c r="BU65" i="11"/>
  <c r="BV65" i="11"/>
  <c r="AV71" i="11"/>
  <c r="AW71" i="11"/>
  <c r="AW72" i="11"/>
  <c r="AX69" i="11"/>
  <c r="AX70" i="11"/>
  <c r="AX72" i="11"/>
  <c r="AX68" i="11"/>
  <c r="AX31" i="11"/>
  <c r="AY27" i="1" s="1"/>
  <c r="BF31" i="11"/>
  <c r="AY32" i="11"/>
  <c r="AZ37" i="1" s="1"/>
  <c r="BG32" i="11"/>
  <c r="BH37" i="1" s="1"/>
  <c r="AZ33" i="11"/>
  <c r="BA47" i="1" s="1"/>
  <c r="BA34" i="11"/>
  <c r="BB57" i="1" s="1"/>
  <c r="BB35" i="11"/>
  <c r="BC67" i="1" s="1"/>
  <c r="AY31" i="11"/>
  <c r="AZ27" i="1" s="1"/>
  <c r="AZ32" i="11"/>
  <c r="BA37" i="1" s="1"/>
  <c r="BB34" i="11"/>
  <c r="BC57" i="1" s="1"/>
  <c r="BC35" i="11"/>
  <c r="BD67" i="1" s="1"/>
  <c r="AZ34" i="11"/>
  <c r="BA57" i="1" s="1"/>
  <c r="AZ31" i="11"/>
  <c r="BA27" i="1" s="1"/>
  <c r="BB33" i="11"/>
  <c r="BC47" i="1" s="1"/>
  <c r="BC34" i="11"/>
  <c r="BD57" i="1" s="1"/>
  <c r="BD35" i="11"/>
  <c r="BE67" i="1" s="1"/>
  <c r="BB32" i="11"/>
  <c r="BC37" i="1" s="1"/>
  <c r="BD34" i="11"/>
  <c r="BE57" i="1" s="1"/>
  <c r="BD33" i="11"/>
  <c r="BE47" i="1" s="1"/>
  <c r="AU5" i="11"/>
  <c r="BV57" i="1" l="1"/>
  <c r="BV27" i="1"/>
  <c r="BU57" i="1"/>
  <c r="BW47" i="1"/>
  <c r="BV37" i="1"/>
  <c r="BU67" i="1"/>
  <c r="BU27" i="1"/>
  <c r="BW37" i="1"/>
  <c r="BU47" i="1"/>
  <c r="BV47" i="1"/>
  <c r="BW27" i="1"/>
  <c r="BW57" i="1"/>
  <c r="BU37" i="1"/>
  <c r="BW67" i="1"/>
  <c r="BV67" i="1"/>
  <c r="BV39" i="11"/>
  <c r="BE36" i="11"/>
  <c r="AW16" i="1"/>
  <c r="AW36" i="11"/>
  <c r="AX27" i="1"/>
  <c r="BF36" i="11"/>
  <c r="BG27" i="1"/>
  <c r="AW70" i="11"/>
  <c r="BG36" i="11"/>
  <c r="AX36" i="11"/>
  <c r="AW69" i="11"/>
  <c r="AV69" i="11"/>
  <c r="BC36" i="11"/>
  <c r="BA36" i="11"/>
  <c r="AV70" i="11"/>
  <c r="AV73" i="11" s="1"/>
  <c r="AV68" i="11"/>
  <c r="BD36" i="11"/>
  <c r="AZ36" i="11"/>
  <c r="BB36" i="11"/>
  <c r="AW11" i="11"/>
  <c r="AX73" i="11"/>
  <c r="AY36" i="11"/>
  <c r="AV36" i="11"/>
  <c r="AW73" i="11"/>
  <c r="BU16" i="1" l="1"/>
  <c r="BV16" i="1"/>
  <c r="BW16" i="1"/>
  <c r="AX11" i="11"/>
  <c r="K11" i="28"/>
  <c r="AY11" i="11" l="1"/>
  <c r="AZ11" i="11" l="1"/>
  <c r="BY28" i="11"/>
  <c r="BZ28" i="11"/>
  <c r="CA28" i="11"/>
  <c r="CB28" i="11"/>
  <c r="CC28" i="11"/>
  <c r="CD28" i="11"/>
  <c r="CE28" i="11"/>
  <c r="CF28" i="11"/>
  <c r="CG28" i="11"/>
  <c r="CH28" i="11"/>
  <c r="BY55" i="11"/>
  <c r="BZ55" i="11"/>
  <c r="CA55" i="11"/>
  <c r="CB55" i="11"/>
  <c r="CC55" i="11"/>
  <c r="CD55" i="11"/>
  <c r="CE55" i="11"/>
  <c r="CF55" i="11"/>
  <c r="CG55" i="11"/>
  <c r="CH55" i="11"/>
  <c r="BY60" i="11"/>
  <c r="BZ60" i="11"/>
  <c r="CA60" i="11"/>
  <c r="CB60" i="11"/>
  <c r="CC60" i="11"/>
  <c r="CD60" i="11"/>
  <c r="CE60" i="11"/>
  <c r="CF60" i="11"/>
  <c r="CG60" i="11"/>
  <c r="BY61" i="11"/>
  <c r="BZ61" i="11"/>
  <c r="CA61" i="11"/>
  <c r="CB61" i="11"/>
  <c r="CC61" i="11"/>
  <c r="CD61" i="11"/>
  <c r="CE61" i="11"/>
  <c r="CF61" i="11"/>
  <c r="CG61" i="11"/>
  <c r="CH61" i="11"/>
  <c r="BY62" i="11"/>
  <c r="BZ62" i="11"/>
  <c r="CA62" i="11"/>
  <c r="CC62" i="11"/>
  <c r="CD62" i="11"/>
  <c r="CE62" i="11"/>
  <c r="CF62" i="11"/>
  <c r="CG62" i="11"/>
  <c r="CH62" i="11"/>
  <c r="BY63" i="11"/>
  <c r="BZ63" i="11"/>
  <c r="CA63" i="11"/>
  <c r="CB63" i="11"/>
  <c r="CC63" i="11"/>
  <c r="CD63" i="11"/>
  <c r="CE63" i="11"/>
  <c r="CF63" i="11"/>
  <c r="CG63" i="11"/>
  <c r="CH63" i="11"/>
  <c r="BY64" i="11"/>
  <c r="BZ64" i="11"/>
  <c r="CA64" i="11"/>
  <c r="CB64" i="11"/>
  <c r="CC64" i="11"/>
  <c r="CD64" i="11"/>
  <c r="CE64" i="11"/>
  <c r="CF64" i="11"/>
  <c r="CG64" i="11"/>
  <c r="CH64" i="11"/>
  <c r="BZ68" i="11"/>
  <c r="CA68" i="11"/>
  <c r="CB68" i="11"/>
  <c r="CC68" i="11"/>
  <c r="CD68" i="11"/>
  <c r="CE68" i="11"/>
  <c r="CF68" i="11"/>
  <c r="CG68" i="11"/>
  <c r="CH68" i="11"/>
  <c r="BZ69" i="11"/>
  <c r="CA69" i="11"/>
  <c r="CB69" i="11"/>
  <c r="CC69" i="11"/>
  <c r="CD69" i="11"/>
  <c r="CE69" i="11"/>
  <c r="CF69" i="11"/>
  <c r="CG69" i="11"/>
  <c r="CH69" i="11"/>
  <c r="BZ70" i="11"/>
  <c r="CA70" i="11"/>
  <c r="CB70" i="11"/>
  <c r="CC70" i="11"/>
  <c r="CD70" i="11"/>
  <c r="CE70" i="11"/>
  <c r="CF70" i="11"/>
  <c r="CG70" i="11"/>
  <c r="CH70" i="11"/>
  <c r="BZ71" i="11"/>
  <c r="CA71" i="11"/>
  <c r="CB71" i="11"/>
  <c r="CC71" i="11"/>
  <c r="CD71" i="11"/>
  <c r="CE71" i="11"/>
  <c r="CF71" i="11"/>
  <c r="CG71" i="11"/>
  <c r="CH71" i="11"/>
  <c r="BZ72" i="11"/>
  <c r="CA72" i="11"/>
  <c r="CB72" i="11"/>
  <c r="CC72" i="11"/>
  <c r="CD72" i="11"/>
  <c r="CE72" i="11"/>
  <c r="CF72" i="11"/>
  <c r="CG72" i="11"/>
  <c r="CH72" i="11"/>
  <c r="CC73" i="11" l="1"/>
  <c r="BA11" i="11"/>
  <c r="CG73" i="11"/>
  <c r="CE65" i="11"/>
  <c r="CA65" i="11"/>
  <c r="CE73" i="11"/>
  <c r="CA73" i="11"/>
  <c r="CH73" i="11"/>
  <c r="CD73" i="11"/>
  <c r="BZ73" i="11"/>
  <c r="CF73" i="11"/>
  <c r="CB73" i="11"/>
  <c r="CG65" i="11"/>
  <c r="CC65" i="11"/>
  <c r="BY65" i="11"/>
  <c r="CF65" i="11"/>
  <c r="CB65" i="11"/>
  <c r="CH65" i="11"/>
  <c r="CD65" i="11"/>
  <c r="BZ65" i="11"/>
  <c r="BB11" i="11" l="1"/>
  <c r="BY72" i="11"/>
  <c r="BY70" i="11"/>
  <c r="BY69" i="11"/>
  <c r="BY68" i="11"/>
  <c r="BY71" i="11"/>
  <c r="AU10" i="11"/>
  <c r="AU9" i="11"/>
  <c r="AU8" i="11"/>
  <c r="AU7" i="11"/>
  <c r="AU6" i="11"/>
  <c r="BC11" i="11" l="1"/>
  <c r="BY73" i="11"/>
  <c r="AU60" i="11"/>
  <c r="AU61" i="11"/>
  <c r="AU62" i="11"/>
  <c r="AU63" i="11"/>
  <c r="AU64" i="11"/>
  <c r="BD11" i="11" l="1"/>
  <c r="BE11" i="11" l="1"/>
  <c r="BF11" i="11" l="1"/>
  <c r="BG11" i="11" l="1"/>
  <c r="AM69" i="28" l="1"/>
  <c r="AN69" i="28"/>
  <c r="AO69" i="28"/>
  <c r="AP69" i="28"/>
  <c r="AQ69" i="28"/>
  <c r="AR69" i="28"/>
  <c r="AS69" i="28"/>
  <c r="AT69" i="28"/>
  <c r="AU69" i="28"/>
  <c r="AV69" i="28"/>
  <c r="AW69" i="28"/>
  <c r="AX69" i="28"/>
  <c r="AM70" i="28"/>
  <c r="AN70" i="28"/>
  <c r="AO70" i="28"/>
  <c r="AP70" i="28"/>
  <c r="AQ70" i="28"/>
  <c r="AR70" i="28"/>
  <c r="AS70" i="28"/>
  <c r="AT70" i="28"/>
  <c r="AU70" i="28"/>
  <c r="AV70" i="28"/>
  <c r="AW70" i="28"/>
  <c r="AX70" i="28"/>
  <c r="AM71" i="28"/>
  <c r="AN71" i="28"/>
  <c r="AO71" i="28"/>
  <c r="AP71" i="28"/>
  <c r="AQ71" i="28"/>
  <c r="AR71" i="28"/>
  <c r="AS71" i="28"/>
  <c r="AT71" i="28"/>
  <c r="AU71" i="28"/>
  <c r="AV71" i="28"/>
  <c r="AW71" i="28"/>
  <c r="AX71" i="28"/>
  <c r="AM72" i="28"/>
  <c r="AN72" i="28"/>
  <c r="AO72" i="28"/>
  <c r="AP72" i="28"/>
  <c r="AQ72" i="28"/>
  <c r="AR72" i="28"/>
  <c r="AS72" i="28"/>
  <c r="AT72" i="28"/>
  <c r="AU72" i="28"/>
  <c r="AV72" i="28"/>
  <c r="AW72" i="28"/>
  <c r="AX72" i="28"/>
  <c r="AM73" i="28"/>
  <c r="AN73" i="28"/>
  <c r="AO73" i="28"/>
  <c r="AP73" i="28"/>
  <c r="AQ73" i="28"/>
  <c r="AR73" i="28"/>
  <c r="AS73" i="28"/>
  <c r="AT73" i="28"/>
  <c r="AU73" i="28"/>
  <c r="AV73" i="28"/>
  <c r="AW73" i="28"/>
  <c r="AX73" i="28"/>
  <c r="E14" i="28" l="1"/>
  <c r="AX65" i="28"/>
  <c r="AW65" i="28"/>
  <c r="AV65" i="28"/>
  <c r="AU65" i="28"/>
  <c r="AT65" i="28"/>
  <c r="AS65" i="28"/>
  <c r="AR65" i="28"/>
  <c r="AQ65" i="28"/>
  <c r="AP65" i="28"/>
  <c r="AO65" i="28"/>
  <c r="AN65" i="28"/>
  <c r="AM65" i="28"/>
  <c r="AL65" i="28"/>
  <c r="AK65" i="28"/>
  <c r="AJ65" i="28"/>
  <c r="W65" i="28"/>
  <c r="V65" i="28"/>
  <c r="U65" i="28"/>
  <c r="T65" i="28"/>
  <c r="S65" i="28"/>
  <c r="R65" i="28"/>
  <c r="Q65" i="28"/>
  <c r="P65" i="28"/>
  <c r="O65" i="28"/>
  <c r="N65" i="28"/>
  <c r="M65" i="28"/>
  <c r="L65" i="28"/>
  <c r="K65" i="28"/>
  <c r="J65" i="28"/>
  <c r="I65" i="28"/>
  <c r="H65" i="28"/>
  <c r="G65" i="28"/>
  <c r="F65" i="28"/>
  <c r="E65" i="28"/>
  <c r="D65" i="28"/>
  <c r="AX64" i="28"/>
  <c r="AW64" i="28"/>
  <c r="AV64" i="28"/>
  <c r="AU64" i="28"/>
  <c r="AT64" i="28"/>
  <c r="AS64" i="28"/>
  <c r="AR64" i="28"/>
  <c r="AQ64" i="28"/>
  <c r="AP64" i="28"/>
  <c r="AO64" i="28"/>
  <c r="AN64" i="28"/>
  <c r="AM64" i="28"/>
  <c r="AL64" i="28"/>
  <c r="AK64" i="28"/>
  <c r="AJ64" i="28"/>
  <c r="W64" i="28"/>
  <c r="V64" i="28"/>
  <c r="U64" i="28"/>
  <c r="T64" i="28"/>
  <c r="S64" i="28"/>
  <c r="R64" i="28"/>
  <c r="Q64" i="28"/>
  <c r="P64" i="28"/>
  <c r="O64" i="28"/>
  <c r="N64" i="28"/>
  <c r="M64" i="28"/>
  <c r="L64" i="28"/>
  <c r="K64" i="28"/>
  <c r="J64" i="28"/>
  <c r="I64" i="28"/>
  <c r="H64" i="28"/>
  <c r="G64" i="28"/>
  <c r="F64" i="28"/>
  <c r="E64" i="28"/>
  <c r="D64" i="28"/>
  <c r="AX63" i="28"/>
  <c r="AW63" i="28"/>
  <c r="AV63" i="28"/>
  <c r="AU63" i="28"/>
  <c r="AT63" i="28"/>
  <c r="AS63" i="28"/>
  <c r="AR63" i="28"/>
  <c r="AQ63" i="28"/>
  <c r="AP63" i="28"/>
  <c r="AO63" i="28"/>
  <c r="AN63" i="28"/>
  <c r="AM63" i="28"/>
  <c r="AL63" i="28"/>
  <c r="AK63" i="28"/>
  <c r="AJ63" i="28"/>
  <c r="W63" i="28"/>
  <c r="V63" i="28"/>
  <c r="U63" i="28"/>
  <c r="T63" i="28"/>
  <c r="S63" i="28"/>
  <c r="R63" i="28"/>
  <c r="Q63" i="28"/>
  <c r="P63" i="28"/>
  <c r="O63" i="28"/>
  <c r="N63" i="28"/>
  <c r="M63" i="28"/>
  <c r="L63" i="28"/>
  <c r="K63" i="28"/>
  <c r="J63" i="28"/>
  <c r="I63" i="28"/>
  <c r="H63" i="28"/>
  <c r="G63" i="28"/>
  <c r="F63" i="28"/>
  <c r="E63" i="28"/>
  <c r="D63" i="28"/>
  <c r="AX62" i="28"/>
  <c r="AW62" i="28"/>
  <c r="AV62" i="28"/>
  <c r="AU62" i="28"/>
  <c r="AT62" i="28"/>
  <c r="AS62" i="28"/>
  <c r="AR62" i="28"/>
  <c r="AQ62" i="28"/>
  <c r="AP62" i="28"/>
  <c r="AO62" i="28"/>
  <c r="AN62" i="28"/>
  <c r="AM62" i="28"/>
  <c r="AL62" i="28"/>
  <c r="AK62" i="28"/>
  <c r="AJ62" i="28"/>
  <c r="W62" i="28"/>
  <c r="V62" i="28"/>
  <c r="U62" i="28"/>
  <c r="T62" i="28"/>
  <c r="S62" i="28"/>
  <c r="R62" i="28"/>
  <c r="Q62" i="28"/>
  <c r="P62" i="28"/>
  <c r="O62" i="28"/>
  <c r="N62" i="28"/>
  <c r="M62" i="28"/>
  <c r="L62" i="28"/>
  <c r="K62" i="28"/>
  <c r="J62" i="28"/>
  <c r="I62" i="28"/>
  <c r="H62" i="28"/>
  <c r="G62" i="28"/>
  <c r="F62" i="28"/>
  <c r="E62" i="28"/>
  <c r="D62" i="28"/>
  <c r="AX61" i="28"/>
  <c r="AW61" i="28"/>
  <c r="AV61" i="28"/>
  <c r="AU61" i="28"/>
  <c r="AT61" i="28"/>
  <c r="AS61" i="28"/>
  <c r="AR61" i="28"/>
  <c r="AQ61" i="28"/>
  <c r="AP61" i="28"/>
  <c r="AO61" i="28"/>
  <c r="AN61" i="28"/>
  <c r="AM61" i="28"/>
  <c r="AL61" i="28"/>
  <c r="AK61" i="28"/>
  <c r="W61" i="28"/>
  <c r="V61" i="28"/>
  <c r="U61" i="28"/>
  <c r="T61" i="28"/>
  <c r="S61" i="28"/>
  <c r="R61" i="28"/>
  <c r="Q61" i="28"/>
  <c r="P61" i="28"/>
  <c r="O61" i="28"/>
  <c r="N61" i="28"/>
  <c r="M61" i="28"/>
  <c r="L61" i="28"/>
  <c r="K61" i="28"/>
  <c r="J61" i="28"/>
  <c r="I61" i="28"/>
  <c r="H61" i="28"/>
  <c r="G61" i="28"/>
  <c r="F61" i="28"/>
  <c r="E61" i="28"/>
  <c r="D61" i="28"/>
  <c r="AX56" i="28"/>
  <c r="AW56" i="28"/>
  <c r="AV56" i="28"/>
  <c r="AU56" i="28"/>
  <c r="AT56" i="28"/>
  <c r="AS56" i="28"/>
  <c r="AR56" i="28"/>
  <c r="AQ56" i="28"/>
  <c r="AP56" i="28"/>
  <c r="AO56" i="28"/>
  <c r="AN56" i="28"/>
  <c r="AM56" i="28"/>
  <c r="W56" i="28"/>
  <c r="V56" i="28"/>
  <c r="U56" i="28"/>
  <c r="T56" i="28"/>
  <c r="S56" i="28"/>
  <c r="R56" i="28"/>
  <c r="P56" i="28"/>
  <c r="O56" i="28"/>
  <c r="N56" i="28"/>
  <c r="M56" i="28"/>
  <c r="L56" i="28"/>
  <c r="K56" i="28"/>
  <c r="J56" i="28"/>
  <c r="I56" i="28"/>
  <c r="H56" i="28"/>
  <c r="G56" i="28"/>
  <c r="F56" i="28"/>
  <c r="E56" i="28"/>
  <c r="D56" i="28"/>
  <c r="AX28" i="28"/>
  <c r="AX33" i="28" s="1"/>
  <c r="AW28" i="28"/>
  <c r="AV28" i="28"/>
  <c r="AV35" i="28" s="1"/>
  <c r="AU28" i="28"/>
  <c r="AU35" i="28" s="1"/>
  <c r="AT28" i="28"/>
  <c r="AT31" i="28" s="1"/>
  <c r="AS28" i="28"/>
  <c r="AR28" i="28"/>
  <c r="AR34" i="28" s="1"/>
  <c r="AQ28" i="28"/>
  <c r="AQ35" i="28" s="1"/>
  <c r="AP28" i="28"/>
  <c r="AP33" i="28" s="1"/>
  <c r="AO28" i="28"/>
  <c r="AN28" i="28"/>
  <c r="AN35" i="28" s="1"/>
  <c r="AM28" i="28"/>
  <c r="AL28" i="28"/>
  <c r="AK28" i="28"/>
  <c r="AJ28" i="28"/>
  <c r="AJ31" i="28" s="1"/>
  <c r="W28" i="28"/>
  <c r="V28" i="28"/>
  <c r="U28" i="28"/>
  <c r="T28" i="28"/>
  <c r="S28" i="28"/>
  <c r="R28" i="28"/>
  <c r="Q28" i="28"/>
  <c r="P28" i="28"/>
  <c r="O28" i="28"/>
  <c r="N28" i="28"/>
  <c r="M28" i="28"/>
  <c r="L28" i="28"/>
  <c r="K28" i="28"/>
  <c r="J28" i="28"/>
  <c r="I28" i="28"/>
  <c r="H28" i="28"/>
  <c r="G28" i="28"/>
  <c r="F28" i="28"/>
  <c r="E28" i="28"/>
  <c r="D28" i="28"/>
  <c r="W19" i="28"/>
  <c r="V19" i="28"/>
  <c r="S19" i="28"/>
  <c r="R19" i="28"/>
  <c r="Q19" i="28"/>
  <c r="P19" i="28"/>
  <c r="O19" i="28"/>
  <c r="N19" i="28"/>
  <c r="M19" i="28"/>
  <c r="L19" i="28"/>
  <c r="K19" i="28"/>
  <c r="J19" i="28"/>
  <c r="I19" i="28"/>
  <c r="H19" i="28"/>
  <c r="G19" i="28"/>
  <c r="F19" i="28"/>
  <c r="E19" i="28"/>
  <c r="D19" i="28"/>
  <c r="W18" i="28"/>
  <c r="V18" i="28"/>
  <c r="U18" i="28"/>
  <c r="T18" i="28"/>
  <c r="S18" i="28"/>
  <c r="R18" i="28"/>
  <c r="Q18" i="28"/>
  <c r="P18" i="28"/>
  <c r="O18" i="28"/>
  <c r="N18" i="28"/>
  <c r="M18" i="28"/>
  <c r="L18" i="28"/>
  <c r="K18" i="28"/>
  <c r="J18" i="28"/>
  <c r="I18" i="28"/>
  <c r="H18" i="28"/>
  <c r="G18" i="28"/>
  <c r="F18" i="28"/>
  <c r="E18" i="28"/>
  <c r="D18" i="28"/>
  <c r="W17" i="28"/>
  <c r="V17" i="28"/>
  <c r="U17" i="28"/>
  <c r="T17" i="28"/>
  <c r="S17" i="28"/>
  <c r="S34" i="28" s="1"/>
  <c r="U57" i="27" s="1"/>
  <c r="R17" i="28"/>
  <c r="Q17" i="28"/>
  <c r="P17" i="28"/>
  <c r="P34" i="28" s="1"/>
  <c r="R57" i="27" s="1"/>
  <c r="O17" i="28"/>
  <c r="N17" i="28"/>
  <c r="M17" i="28"/>
  <c r="L17" i="28"/>
  <c r="K17" i="28"/>
  <c r="K34" i="28" s="1"/>
  <c r="M57" i="27" s="1"/>
  <c r="J17" i="28"/>
  <c r="I17" i="28"/>
  <c r="H17" i="28"/>
  <c r="H34" i="28" s="1"/>
  <c r="J57" i="27" s="1"/>
  <c r="G17" i="28"/>
  <c r="F17" i="28"/>
  <c r="E17" i="28"/>
  <c r="D17" i="28"/>
  <c r="W16" i="28"/>
  <c r="V16" i="28"/>
  <c r="V33" i="28" s="1"/>
  <c r="X47" i="27" s="1"/>
  <c r="U16" i="28"/>
  <c r="T16" i="28"/>
  <c r="S16" i="28"/>
  <c r="R16" i="28"/>
  <c r="Q16" i="28"/>
  <c r="P16" i="28"/>
  <c r="O16" i="28"/>
  <c r="N16" i="28"/>
  <c r="N33" i="28" s="1"/>
  <c r="P47" i="27" s="1"/>
  <c r="M16" i="28"/>
  <c r="L16" i="28"/>
  <c r="K16" i="28"/>
  <c r="J16" i="28"/>
  <c r="I16" i="28"/>
  <c r="H16" i="28"/>
  <c r="G16" i="28"/>
  <c r="F16" i="28"/>
  <c r="E16" i="28"/>
  <c r="D16" i="28"/>
  <c r="W15" i="28"/>
  <c r="V15" i="28"/>
  <c r="U15" i="28"/>
  <c r="T15" i="28"/>
  <c r="S15" i="28"/>
  <c r="S32" i="28" s="1"/>
  <c r="U37" i="27" s="1"/>
  <c r="R15" i="28"/>
  <c r="R32" i="28" s="1"/>
  <c r="T37" i="27" s="1"/>
  <c r="Q15" i="28"/>
  <c r="P15" i="28"/>
  <c r="O15" i="28"/>
  <c r="O32" i="28" s="1"/>
  <c r="Q37" i="27" s="1"/>
  <c r="N15" i="28"/>
  <c r="N32" i="28" s="1"/>
  <c r="P37" i="27" s="1"/>
  <c r="M15" i="28"/>
  <c r="L15" i="28"/>
  <c r="K15" i="28"/>
  <c r="K32" i="28" s="1"/>
  <c r="M37" i="27" s="1"/>
  <c r="J15" i="28"/>
  <c r="J32" i="28" s="1"/>
  <c r="L37" i="27" s="1"/>
  <c r="I15" i="28"/>
  <c r="H15" i="28"/>
  <c r="H32" i="28" s="1"/>
  <c r="J37" i="27" s="1"/>
  <c r="G15" i="28"/>
  <c r="G32" i="28" s="1"/>
  <c r="I37" i="27" s="1"/>
  <c r="F15" i="28"/>
  <c r="F32" i="28" s="1"/>
  <c r="H37" i="27" s="1"/>
  <c r="E15" i="28"/>
  <c r="D15" i="28"/>
  <c r="AU20" i="28"/>
  <c r="AQ20" i="28"/>
  <c r="AP20" i="28"/>
  <c r="AM20" i="28"/>
  <c r="AL20" i="28"/>
  <c r="W14" i="28"/>
  <c r="V14" i="28"/>
  <c r="V31" i="28" s="1"/>
  <c r="X27" i="27" s="1"/>
  <c r="U14" i="28"/>
  <c r="T14" i="28"/>
  <c r="S14" i="28"/>
  <c r="R14" i="28"/>
  <c r="R31" i="28" s="1"/>
  <c r="T27" i="27" s="1"/>
  <c r="Q14" i="28"/>
  <c r="P14" i="28"/>
  <c r="O14" i="28"/>
  <c r="N14" i="28"/>
  <c r="M14" i="28"/>
  <c r="L14" i="28"/>
  <c r="K14" i="28"/>
  <c r="J14" i="28"/>
  <c r="J31" i="28" s="1"/>
  <c r="I14" i="28"/>
  <c r="H14" i="28"/>
  <c r="H31" i="28" s="1"/>
  <c r="J27" i="27" s="1"/>
  <c r="G14" i="28"/>
  <c r="F14" i="28"/>
  <c r="D14" i="28"/>
  <c r="AX11" i="28"/>
  <c r="AW11" i="28"/>
  <c r="AV11" i="28"/>
  <c r="AU11" i="28"/>
  <c r="AT11" i="28"/>
  <c r="AS11" i="28"/>
  <c r="AR11" i="28"/>
  <c r="AQ11" i="28"/>
  <c r="AP11" i="28"/>
  <c r="AO11" i="28"/>
  <c r="AN11" i="28"/>
  <c r="AM11" i="28"/>
  <c r="AL11" i="28"/>
  <c r="AK11" i="28"/>
  <c r="W11" i="28"/>
  <c r="V11" i="28"/>
  <c r="U11" i="28"/>
  <c r="S11" i="28"/>
  <c r="R11" i="28"/>
  <c r="Q11" i="28"/>
  <c r="P11" i="28"/>
  <c r="O11" i="28"/>
  <c r="N11" i="28"/>
  <c r="M11" i="28"/>
  <c r="L11" i="28"/>
  <c r="J11" i="28"/>
  <c r="I11" i="28"/>
  <c r="H11" i="28"/>
  <c r="G11" i="28"/>
  <c r="F11" i="28"/>
  <c r="E11" i="28"/>
  <c r="D11" i="28"/>
  <c r="U19" i="28"/>
  <c r="AL27" i="27" l="1"/>
  <c r="AM33" i="28"/>
  <c r="AM31" i="28"/>
  <c r="AV34" i="28"/>
  <c r="AV31" i="28"/>
  <c r="AV33" i="28"/>
  <c r="AN31" i="28"/>
  <c r="AV32" i="28"/>
  <c r="AT35" i="28"/>
  <c r="U66" i="28"/>
  <c r="U70" i="28" s="1"/>
  <c r="W38" i="27" s="1"/>
  <c r="W39" i="27" s="1"/>
  <c r="W40" i="27" s="1"/>
  <c r="U69" i="28"/>
  <c r="W28" i="27" s="1"/>
  <c r="W29" i="27" s="1"/>
  <c r="W30" i="27" s="1"/>
  <c r="U72" i="28"/>
  <c r="W58" i="27" s="1"/>
  <c r="W59" i="27" s="1"/>
  <c r="W60" i="27" s="1"/>
  <c r="O35" i="28"/>
  <c r="Q67" i="27" s="1"/>
  <c r="V66" i="28"/>
  <c r="V69" i="28"/>
  <c r="X28" i="27" s="1"/>
  <c r="X29" i="27" s="1"/>
  <c r="X30" i="27" s="1"/>
  <c r="X31" i="27" s="1"/>
  <c r="V72" i="28"/>
  <c r="X58" i="27" s="1"/>
  <c r="X59" i="27" s="1"/>
  <c r="X60" i="27" s="1"/>
  <c r="W69" i="28"/>
  <c r="Y28" i="27" s="1"/>
  <c r="Y29" i="27" s="1"/>
  <c r="Y30" i="27" s="1"/>
  <c r="V70" i="28"/>
  <c r="X38" i="27" s="1"/>
  <c r="X39" i="27" s="1"/>
  <c r="X40" i="27" s="1"/>
  <c r="P72" i="28"/>
  <c r="R58" i="27" s="1"/>
  <c r="R59" i="27" s="1"/>
  <c r="R60" i="27" s="1"/>
  <c r="R61" i="27" s="1"/>
  <c r="S33" i="28"/>
  <c r="U47" i="27" s="1"/>
  <c r="G34" i="28"/>
  <c r="I57" i="27" s="1"/>
  <c r="R35" i="28"/>
  <c r="T67" i="27" s="1"/>
  <c r="O70" i="28"/>
  <c r="Q38" i="27" s="1"/>
  <c r="Q39" i="27" s="1"/>
  <c r="Q40" i="27" s="1"/>
  <c r="Q41" i="27" s="1"/>
  <c r="T71" i="28"/>
  <c r="V48" i="27" s="1"/>
  <c r="V49" i="27" s="1"/>
  <c r="V50" i="27" s="1"/>
  <c r="V73" i="28"/>
  <c r="X68" i="27" s="1"/>
  <c r="O72" i="28"/>
  <c r="Q58" i="27" s="1"/>
  <c r="Q59" i="27" s="1"/>
  <c r="Q60" i="27" s="1"/>
  <c r="U71" i="28"/>
  <c r="W48" i="27" s="1"/>
  <c r="W49" i="27" s="1"/>
  <c r="W50" i="27" s="1"/>
  <c r="W73" i="28"/>
  <c r="Y68" i="27" s="1"/>
  <c r="V71" i="28"/>
  <c r="X48" i="27" s="1"/>
  <c r="X49" i="27" s="1"/>
  <c r="X50" i="27" s="1"/>
  <c r="X51" i="27" s="1"/>
  <c r="G31" i="28"/>
  <c r="I27" i="27" s="1"/>
  <c r="Y27" i="27"/>
  <c r="D32" i="28"/>
  <c r="F37" i="27" s="1"/>
  <c r="L32" i="28"/>
  <c r="G33" i="28"/>
  <c r="I47" i="27" s="1"/>
  <c r="O33" i="28"/>
  <c r="Q47" i="27" s="1"/>
  <c r="W33" i="28"/>
  <c r="Y47" i="27" s="1"/>
  <c r="J34" i="28"/>
  <c r="L57" i="27" s="1"/>
  <c r="R34" i="28"/>
  <c r="T57" i="27" s="1"/>
  <c r="R70" i="28"/>
  <c r="T38" i="27" s="1"/>
  <c r="T39" i="27" s="1"/>
  <c r="T40" i="27" s="1"/>
  <c r="T41" i="27" s="1"/>
  <c r="S35" i="28"/>
  <c r="U67" i="27" s="1"/>
  <c r="O20" i="28"/>
  <c r="F34" i="28"/>
  <c r="H57" i="27" s="1"/>
  <c r="N34" i="28"/>
  <c r="P57" i="27" s="1"/>
  <c r="S20" i="28"/>
  <c r="AU32" i="28"/>
  <c r="AN33" i="28"/>
  <c r="AU33" i="28"/>
  <c r="AN32" i="28"/>
  <c r="AN34" i="28"/>
  <c r="AM35" i="28"/>
  <c r="AX31" i="28"/>
  <c r="AR31" i="28"/>
  <c r="AR32" i="28"/>
  <c r="AU34" i="28"/>
  <c r="AQ33" i="28"/>
  <c r="AJ32" i="28"/>
  <c r="AJ33" i="28"/>
  <c r="AJ34" i="28"/>
  <c r="AJ35" i="28"/>
  <c r="AK34" i="28"/>
  <c r="AK33" i="28"/>
  <c r="AK32" i="28"/>
  <c r="AK35" i="28"/>
  <c r="AK31" i="28"/>
  <c r="AR33" i="28"/>
  <c r="AL34" i="28"/>
  <c r="AL33" i="28"/>
  <c r="AL31" i="28"/>
  <c r="AL35" i="28"/>
  <c r="AL32" i="28"/>
  <c r="AR35" i="28"/>
  <c r="AO66" i="28"/>
  <c r="AW66" i="28"/>
  <c r="AS66" i="28"/>
  <c r="AT66" i="28"/>
  <c r="AK66" i="28"/>
  <c r="M66" i="28"/>
  <c r="M70" i="28" s="1"/>
  <c r="O38" i="27" s="1"/>
  <c r="O39" i="27" s="1"/>
  <c r="O40" i="27" s="1"/>
  <c r="M72" i="28"/>
  <c r="O58" i="27" s="1"/>
  <c r="O59" i="27" s="1"/>
  <c r="O60" i="27" s="1"/>
  <c r="P32" i="28"/>
  <c r="R37" i="27" s="1"/>
  <c r="Q66" i="28"/>
  <c r="Q72" i="28" s="1"/>
  <c r="S58" i="27" s="1"/>
  <c r="S59" i="27" s="1"/>
  <c r="S60" i="27" s="1"/>
  <c r="R66" i="28"/>
  <c r="R69" i="28" s="1"/>
  <c r="T28" i="27" s="1"/>
  <c r="T29" i="27" s="1"/>
  <c r="T30" i="27" s="1"/>
  <c r="T31" i="27" s="1"/>
  <c r="N20" i="28"/>
  <c r="L34" i="28"/>
  <c r="Y67" i="27"/>
  <c r="N37" i="27"/>
  <c r="O34" i="28"/>
  <c r="Q57" i="27" s="1"/>
  <c r="L31" i="28"/>
  <c r="L33" i="28"/>
  <c r="P33" i="28"/>
  <c r="R47" i="27" s="1"/>
  <c r="L35" i="28"/>
  <c r="P35" i="28"/>
  <c r="R67" i="27" s="1"/>
  <c r="P31" i="28"/>
  <c r="R27" i="27" s="1"/>
  <c r="H33" i="28"/>
  <c r="J47" i="27" s="1"/>
  <c r="H35" i="28"/>
  <c r="J67" i="27" s="1"/>
  <c r="E66" i="28"/>
  <c r="E72" i="28" s="1"/>
  <c r="G58" i="27" s="1"/>
  <c r="G59" i="27" s="1"/>
  <c r="G60" i="27" s="1"/>
  <c r="K20" i="28"/>
  <c r="K33" i="28"/>
  <c r="M47" i="27" s="1"/>
  <c r="K35" i="28"/>
  <c r="M67" i="27" s="1"/>
  <c r="J33" i="28"/>
  <c r="L47" i="27" s="1"/>
  <c r="J35" i="28"/>
  <c r="L67" i="27" s="1"/>
  <c r="J20" i="28"/>
  <c r="I66" i="28"/>
  <c r="I70" i="28" s="1"/>
  <c r="K38" i="27" s="1"/>
  <c r="K39" i="27" s="1"/>
  <c r="K40" i="27" s="1"/>
  <c r="G35" i="28"/>
  <c r="I67" i="27" s="1"/>
  <c r="F31" i="28"/>
  <c r="H27" i="27" s="1"/>
  <c r="F33" i="28"/>
  <c r="H47" i="27" s="1"/>
  <c r="D33" i="28"/>
  <c r="F47" i="27" s="1"/>
  <c r="D31" i="28"/>
  <c r="F27" i="27" s="1"/>
  <c r="S31" i="28"/>
  <c r="U27" i="27" s="1"/>
  <c r="W32" i="28"/>
  <c r="Y37" i="27" s="1"/>
  <c r="AM32" i="28"/>
  <c r="AQ32" i="28"/>
  <c r="W34" i="28"/>
  <c r="Y57" i="27" s="1"/>
  <c r="AM34" i="28"/>
  <c r="AQ34" i="28"/>
  <c r="U32" i="28"/>
  <c r="W37" i="27" s="1"/>
  <c r="D20" i="28"/>
  <c r="D34" i="28"/>
  <c r="F57" i="27" s="1"/>
  <c r="D35" i="28"/>
  <c r="F66" i="28"/>
  <c r="F72" i="28" s="1"/>
  <c r="H58" i="27" s="1"/>
  <c r="H59" i="27" s="1"/>
  <c r="H60" i="27" s="1"/>
  <c r="AX66" i="28"/>
  <c r="D66" i="28"/>
  <c r="D69" i="28" s="1"/>
  <c r="F28" i="27" s="1"/>
  <c r="F29" i="27" s="1"/>
  <c r="F30" i="27" s="1"/>
  <c r="H66" i="28"/>
  <c r="H70" i="28" s="1"/>
  <c r="J38" i="27" s="1"/>
  <c r="J39" i="27" s="1"/>
  <c r="J40" i="27" s="1"/>
  <c r="L66" i="28"/>
  <c r="L71" i="28" s="1"/>
  <c r="N48" i="27" s="1"/>
  <c r="N49" i="27" s="1"/>
  <c r="N50" i="27" s="1"/>
  <c r="P66" i="28"/>
  <c r="P70" i="28" s="1"/>
  <c r="R38" i="27" s="1"/>
  <c r="R39" i="27" s="1"/>
  <c r="R40" i="27" s="1"/>
  <c r="T66" i="28"/>
  <c r="T70" i="28" s="1"/>
  <c r="V38" i="27" s="1"/>
  <c r="V39" i="27" s="1"/>
  <c r="V40" i="27" s="1"/>
  <c r="AJ66" i="28"/>
  <c r="AN66" i="28"/>
  <c r="AR66" i="28"/>
  <c r="AV66" i="28"/>
  <c r="J66" i="28"/>
  <c r="J72" i="28" s="1"/>
  <c r="L58" i="27" s="1"/>
  <c r="L59" i="27" s="1"/>
  <c r="L60" i="27" s="1"/>
  <c r="N66" i="28"/>
  <c r="N69" i="28" s="1"/>
  <c r="P28" i="27" s="1"/>
  <c r="P29" i="27" s="1"/>
  <c r="P30" i="27" s="1"/>
  <c r="AL66" i="28"/>
  <c r="AP66" i="28"/>
  <c r="AX35" i="28"/>
  <c r="AV20" i="28"/>
  <c r="AP35" i="28"/>
  <c r="F35" i="28"/>
  <c r="H67" i="27" s="1"/>
  <c r="N35" i="28"/>
  <c r="P67" i="27" s="1"/>
  <c r="R33" i="28"/>
  <c r="T47" i="27" s="1"/>
  <c r="AU31" i="28"/>
  <c r="V35" i="28"/>
  <c r="X67" i="27" s="1"/>
  <c r="AT33" i="28"/>
  <c r="E20" i="28"/>
  <c r="M20" i="28"/>
  <c r="Q20" i="28"/>
  <c r="AK20" i="28"/>
  <c r="AO20" i="28"/>
  <c r="AW20" i="28"/>
  <c r="E32" i="28"/>
  <c r="G37" i="27" s="1"/>
  <c r="AW32" i="28"/>
  <c r="I32" i="28"/>
  <c r="K37" i="27" s="1"/>
  <c r="M32" i="28"/>
  <c r="O37" i="27" s="1"/>
  <c r="Q32" i="28"/>
  <c r="S37" i="27" s="1"/>
  <c r="AO32" i="28"/>
  <c r="AS32" i="28"/>
  <c r="E34" i="28"/>
  <c r="G57" i="27" s="1"/>
  <c r="I34" i="28"/>
  <c r="K57" i="27" s="1"/>
  <c r="M34" i="28"/>
  <c r="O57" i="27" s="1"/>
  <c r="Q34" i="28"/>
  <c r="S57" i="27" s="1"/>
  <c r="U34" i="28"/>
  <c r="W57" i="27" s="1"/>
  <c r="AO34" i="28"/>
  <c r="AS34" i="28"/>
  <c r="AW34" i="28"/>
  <c r="H20" i="28"/>
  <c r="AP31" i="28"/>
  <c r="V32" i="28"/>
  <c r="X37" i="27" s="1"/>
  <c r="AP32" i="28"/>
  <c r="AT34" i="28"/>
  <c r="L20" i="28"/>
  <c r="AN20" i="28"/>
  <c r="N31" i="28"/>
  <c r="P27" i="27" s="1"/>
  <c r="AT32" i="28"/>
  <c r="AX32" i="28"/>
  <c r="V34" i="28"/>
  <c r="X57" i="27" s="1"/>
  <c r="AP34" i="28"/>
  <c r="AX34" i="28"/>
  <c r="P20" i="28"/>
  <c r="AR20" i="28"/>
  <c r="S36" i="28"/>
  <c r="I31" i="28"/>
  <c r="K27" i="27" s="1"/>
  <c r="U31" i="28"/>
  <c r="W27" i="27" s="1"/>
  <c r="AS31" i="28"/>
  <c r="E33" i="28"/>
  <c r="G47" i="27" s="1"/>
  <c r="I33" i="28"/>
  <c r="K47" i="27" s="1"/>
  <c r="M33" i="28"/>
  <c r="O47" i="27" s="1"/>
  <c r="Q33" i="28"/>
  <c r="S47" i="27" s="1"/>
  <c r="U33" i="28"/>
  <c r="W47" i="27" s="1"/>
  <c r="AO33" i="28"/>
  <c r="AS33" i="28"/>
  <c r="AW33" i="28"/>
  <c r="E35" i="28"/>
  <c r="G67" i="27" s="1"/>
  <c r="I35" i="28"/>
  <c r="K67" i="27" s="1"/>
  <c r="M35" i="28"/>
  <c r="O67" i="27" s="1"/>
  <c r="Q35" i="28"/>
  <c r="S67" i="27" s="1"/>
  <c r="U35" i="28"/>
  <c r="W67" i="27" s="1"/>
  <c r="AO35" i="28"/>
  <c r="AS35" i="28"/>
  <c r="AW35" i="28"/>
  <c r="I20" i="28"/>
  <c r="U20" i="28"/>
  <c r="AS20" i="28"/>
  <c r="L27" i="27"/>
  <c r="O31" i="28"/>
  <c r="Q27" i="27" s="1"/>
  <c r="AQ31" i="28"/>
  <c r="E31" i="28"/>
  <c r="M31" i="28"/>
  <c r="O27" i="27" s="1"/>
  <c r="AO31" i="28"/>
  <c r="T11" i="28"/>
  <c r="T19" i="28"/>
  <c r="T32" i="28" s="1"/>
  <c r="V37" i="27" s="1"/>
  <c r="F20" i="28"/>
  <c r="R20" i="28"/>
  <c r="V20" i="28"/>
  <c r="AT20" i="28"/>
  <c r="AX20" i="28"/>
  <c r="K31" i="28"/>
  <c r="M27" i="27" s="1"/>
  <c r="Q31" i="28"/>
  <c r="S27" i="27" s="1"/>
  <c r="AW31" i="28"/>
  <c r="G20" i="28"/>
  <c r="W20" i="28"/>
  <c r="Q56" i="28"/>
  <c r="G66" i="28"/>
  <c r="G69" i="28" s="1"/>
  <c r="I28" i="27" s="1"/>
  <c r="I29" i="27" s="1"/>
  <c r="I30" i="27" s="1"/>
  <c r="K66" i="28"/>
  <c r="K69" i="28" s="1"/>
  <c r="M28" i="27" s="1"/>
  <c r="M29" i="27" s="1"/>
  <c r="M30" i="27" s="1"/>
  <c r="O66" i="28"/>
  <c r="O71" i="28" s="1"/>
  <c r="Q48" i="27" s="1"/>
  <c r="Q49" i="27" s="1"/>
  <c r="Q50" i="27" s="1"/>
  <c r="S66" i="28"/>
  <c r="S69" i="28" s="1"/>
  <c r="U28" i="27" s="1"/>
  <c r="U29" i="27" s="1"/>
  <c r="U30" i="27" s="1"/>
  <c r="W66" i="28"/>
  <c r="W71" i="28" s="1"/>
  <c r="Y48" i="27" s="1"/>
  <c r="Y49" i="27" s="1"/>
  <c r="Y50" i="27" s="1"/>
  <c r="AM66" i="28"/>
  <c r="AQ66" i="28"/>
  <c r="AU66" i="28"/>
  <c r="AZ30" i="1"/>
  <c r="AZ40" i="1"/>
  <c r="BA40" i="1"/>
  <c r="BB40" i="1"/>
  <c r="BC40" i="1"/>
  <c r="BD40" i="1"/>
  <c r="BE40" i="1"/>
  <c r="BF40" i="1"/>
  <c r="BG40" i="1"/>
  <c r="BH40" i="1"/>
  <c r="AZ50" i="1"/>
  <c r="BA50" i="1"/>
  <c r="BB50" i="1"/>
  <c r="BC50" i="1"/>
  <c r="BD50" i="1"/>
  <c r="BE50" i="1"/>
  <c r="BF50" i="1"/>
  <c r="BG50" i="1"/>
  <c r="BH50" i="1"/>
  <c r="AZ60" i="1"/>
  <c r="BA60" i="1"/>
  <c r="BB60" i="1"/>
  <c r="BC60" i="1"/>
  <c r="BD60" i="1"/>
  <c r="BE60" i="1"/>
  <c r="BF60" i="1"/>
  <c r="BG60" i="1"/>
  <c r="BH60" i="1"/>
  <c r="AZ18" i="1"/>
  <c r="AC3" i="22"/>
  <c r="AC5" i="22" s="1"/>
  <c r="AD3" i="22"/>
  <c r="AE3" i="22"/>
  <c r="AF3" i="22"/>
  <c r="AG3" i="22"/>
  <c r="AH3" i="22"/>
  <c r="AI3" i="22"/>
  <c r="AJ3" i="22"/>
  <c r="AD10" i="22"/>
  <c r="AE10" i="22"/>
  <c r="AF10" i="22"/>
  <c r="AG10" i="22"/>
  <c r="AH10" i="22"/>
  <c r="AI10" i="22"/>
  <c r="AJ10" i="22"/>
  <c r="AD17" i="22"/>
  <c r="AE17" i="22"/>
  <c r="AF17" i="22"/>
  <c r="AG17" i="22"/>
  <c r="AH17" i="22"/>
  <c r="AI17" i="22"/>
  <c r="AJ17" i="22"/>
  <c r="AD24" i="22"/>
  <c r="AE24" i="22"/>
  <c r="AF24" i="22"/>
  <c r="AG24" i="22"/>
  <c r="AH24" i="22"/>
  <c r="AI24" i="22"/>
  <c r="AJ24" i="22"/>
  <c r="AD31" i="22"/>
  <c r="AE31" i="22"/>
  <c r="AF31" i="22"/>
  <c r="AG31" i="22"/>
  <c r="AH31" i="22"/>
  <c r="AI31" i="22"/>
  <c r="AJ31" i="22"/>
  <c r="AC31" i="22"/>
  <c r="AC24" i="22"/>
  <c r="AC17" i="22"/>
  <c r="AC19" i="22" s="1"/>
  <c r="AC10" i="22"/>
  <c r="AC4" i="22"/>
  <c r="AM67" i="27" l="1"/>
  <c r="AN37" i="27"/>
  <c r="AM37" i="27"/>
  <c r="AM47" i="27"/>
  <c r="AN27" i="27"/>
  <c r="AM57" i="27"/>
  <c r="AN47" i="27"/>
  <c r="AL67" i="27"/>
  <c r="AN57" i="27"/>
  <c r="AL57" i="27"/>
  <c r="AL47" i="27"/>
  <c r="AM27" i="27"/>
  <c r="AL37" i="27"/>
  <c r="AV36" i="28"/>
  <c r="AN67" i="27"/>
  <c r="AX40" i="28"/>
  <c r="AX42" i="28"/>
  <c r="AX39" i="28"/>
  <c r="AX43" i="28"/>
  <c r="AX41" i="28"/>
  <c r="W31" i="27"/>
  <c r="W51" i="27"/>
  <c r="X61" i="27"/>
  <c r="V41" i="27"/>
  <c r="R41" i="27"/>
  <c r="T69" i="28"/>
  <c r="V28" i="27" s="1"/>
  <c r="V29" i="27" s="1"/>
  <c r="V30" i="27" s="1"/>
  <c r="Y31" i="27"/>
  <c r="P73" i="28"/>
  <c r="R68" i="27" s="1"/>
  <c r="W70" i="28"/>
  <c r="Y38" i="27" s="1"/>
  <c r="Y39" i="27" s="1"/>
  <c r="Y40" i="27" s="1"/>
  <c r="Y41" i="27" s="1"/>
  <c r="S71" i="28"/>
  <c r="U48" i="27" s="1"/>
  <c r="U49" i="27" s="1"/>
  <c r="U50" i="27" s="1"/>
  <c r="U51" i="27" s="1"/>
  <c r="R73" i="28"/>
  <c r="T68" i="27" s="1"/>
  <c r="S73" i="28"/>
  <c r="U68" i="27" s="1"/>
  <c r="W61" i="27"/>
  <c r="M73" i="28"/>
  <c r="O68" i="27" s="1"/>
  <c r="O69" i="27" s="1"/>
  <c r="S72" i="28"/>
  <c r="U58" i="27" s="1"/>
  <c r="U59" i="27" s="1"/>
  <c r="U60" i="27" s="1"/>
  <c r="U61" i="27" s="1"/>
  <c r="O73" i="28"/>
  <c r="Q68" i="27" s="1"/>
  <c r="O69" i="28"/>
  <c r="Q28" i="27" s="1"/>
  <c r="Q29" i="27" s="1"/>
  <c r="Q30" i="27" s="1"/>
  <c r="Q31" i="27" s="1"/>
  <c r="Q69" i="28"/>
  <c r="S28" i="27" s="1"/>
  <c r="S29" i="27" s="1"/>
  <c r="S30" i="27" s="1"/>
  <c r="S31" i="27" s="1"/>
  <c r="P69" i="28"/>
  <c r="P71" i="28"/>
  <c r="R48" i="27" s="1"/>
  <c r="R49" i="27" s="1"/>
  <c r="R50" i="27" s="1"/>
  <c r="R51" i="27" s="1"/>
  <c r="S61" i="27"/>
  <c r="M69" i="28"/>
  <c r="O28" i="27" s="1"/>
  <c r="O29" i="27" s="1"/>
  <c r="O30" i="27" s="1"/>
  <c r="Q73" i="28"/>
  <c r="S68" i="27" s="1"/>
  <c r="Y51" i="27"/>
  <c r="R72" i="28"/>
  <c r="T58" i="27" s="1"/>
  <c r="T59" i="27" s="1"/>
  <c r="T60" i="27" s="1"/>
  <c r="T61" i="27" s="1"/>
  <c r="T73" i="28"/>
  <c r="V68" i="27" s="1"/>
  <c r="Q71" i="28"/>
  <c r="S48" i="27" s="1"/>
  <c r="S49" i="27" s="1"/>
  <c r="S50" i="27" s="1"/>
  <c r="S51" i="27" s="1"/>
  <c r="S70" i="28"/>
  <c r="U38" i="27" s="1"/>
  <c r="U39" i="27" s="1"/>
  <c r="U40" i="27" s="1"/>
  <c r="U41" i="27" s="1"/>
  <c r="Q61" i="27"/>
  <c r="L70" i="28"/>
  <c r="N38" i="27" s="1"/>
  <c r="N39" i="27" s="1"/>
  <c r="N40" i="27" s="1"/>
  <c r="N41" i="27" s="1"/>
  <c r="T72" i="28"/>
  <c r="V58" i="27" s="1"/>
  <c r="V59" i="27" s="1"/>
  <c r="V60" i="27" s="1"/>
  <c r="Q51" i="27"/>
  <c r="Q70" i="28"/>
  <c r="S38" i="27" s="1"/>
  <c r="S39" i="27" s="1"/>
  <c r="S40" i="27" s="1"/>
  <c r="S41" i="27" s="1"/>
  <c r="W72" i="28"/>
  <c r="Y58" i="27" s="1"/>
  <c r="Y59" i="27" s="1"/>
  <c r="Y60" i="27" s="1"/>
  <c r="Y61" i="27" s="1"/>
  <c r="W41" i="27"/>
  <c r="X41" i="27"/>
  <c r="X69" i="27"/>
  <c r="X17" i="27"/>
  <c r="R71" i="28"/>
  <c r="T48" i="27" s="1"/>
  <c r="T49" i="27" s="1"/>
  <c r="T50" i="27" s="1"/>
  <c r="T51" i="27" s="1"/>
  <c r="Y69" i="27"/>
  <c r="Y17" i="27"/>
  <c r="U31" i="27"/>
  <c r="M71" i="28"/>
  <c r="O48" i="27" s="1"/>
  <c r="O49" i="27" s="1"/>
  <c r="O50" i="27" s="1"/>
  <c r="O51" i="27" s="1"/>
  <c r="U73" i="28"/>
  <c r="W68" i="27" s="1"/>
  <c r="G36" i="28"/>
  <c r="G27" i="27"/>
  <c r="O31" i="27"/>
  <c r="AN36" i="28"/>
  <c r="AR36" i="28"/>
  <c r="AJ36" i="28"/>
  <c r="AU36" i="28"/>
  <c r="AL40" i="28"/>
  <c r="O61" i="27"/>
  <c r="AL43" i="28"/>
  <c r="AL39" i="28"/>
  <c r="AL41" i="28"/>
  <c r="AL42" i="28"/>
  <c r="P31" i="27"/>
  <c r="L73" i="28"/>
  <c r="N68" i="27" s="1"/>
  <c r="O17" i="27"/>
  <c r="N70" i="28"/>
  <c r="P38" i="27" s="1"/>
  <c r="P39" i="27" s="1"/>
  <c r="P40" i="27" s="1"/>
  <c r="P41" i="27" s="1"/>
  <c r="L69" i="28"/>
  <c r="N73" i="28"/>
  <c r="P68" i="27" s="1"/>
  <c r="P36" i="28"/>
  <c r="N72" i="28"/>
  <c r="P58" i="27" s="1"/>
  <c r="P59" i="27" s="1"/>
  <c r="P60" i="27" s="1"/>
  <c r="P61" i="27" s="1"/>
  <c r="L72" i="28"/>
  <c r="N58" i="27" s="1"/>
  <c r="N59" i="27" s="1"/>
  <c r="N60" i="27" s="1"/>
  <c r="O41" i="27"/>
  <c r="N71" i="28"/>
  <c r="P48" i="27" s="1"/>
  <c r="P49" i="27" s="1"/>
  <c r="P50" i="27" s="1"/>
  <c r="P51" i="27" s="1"/>
  <c r="P16" i="27"/>
  <c r="Q16" i="27"/>
  <c r="N57" i="27"/>
  <c r="W16" i="27"/>
  <c r="R16" i="27"/>
  <c r="U16" i="27"/>
  <c r="S16" i="27"/>
  <c r="N67" i="27"/>
  <c r="O16" i="27"/>
  <c r="X16" i="27"/>
  <c r="T16" i="27"/>
  <c r="N47" i="27"/>
  <c r="N51" i="27" s="1"/>
  <c r="N27" i="27"/>
  <c r="Y16" i="27"/>
  <c r="AC6" i="22"/>
  <c r="AC7" i="22" s="1"/>
  <c r="AC8" i="22" s="1"/>
  <c r="L36" i="28"/>
  <c r="E73" i="28"/>
  <c r="G68" i="27" s="1"/>
  <c r="G69" i="27" s="1"/>
  <c r="G70" i="27" s="1"/>
  <c r="E70" i="28"/>
  <c r="G38" i="27" s="1"/>
  <c r="G39" i="27" s="1"/>
  <c r="G40" i="27" s="1"/>
  <c r="H36" i="28"/>
  <c r="E71" i="28"/>
  <c r="G48" i="27" s="1"/>
  <c r="G49" i="27" s="1"/>
  <c r="G50" i="27" s="1"/>
  <c r="E69" i="28"/>
  <c r="G28" i="27" s="1"/>
  <c r="G29" i="27" s="1"/>
  <c r="G30" i="27" s="1"/>
  <c r="W36" i="28"/>
  <c r="G72" i="28"/>
  <c r="I58" i="27" s="1"/>
  <c r="I59" i="27" s="1"/>
  <c r="I60" i="27" s="1"/>
  <c r="G70" i="28"/>
  <c r="I38" i="27" s="1"/>
  <c r="I39" i="27" s="1"/>
  <c r="I40" i="27" s="1"/>
  <c r="H73" i="28"/>
  <c r="J68" i="27" s="1"/>
  <c r="J69" i="27" s="1"/>
  <c r="H71" i="28"/>
  <c r="J48" i="27" s="1"/>
  <c r="J49" i="27" s="1"/>
  <c r="J50" i="27" s="1"/>
  <c r="J70" i="28"/>
  <c r="L38" i="27" s="1"/>
  <c r="L39" i="27" s="1"/>
  <c r="L40" i="27" s="1"/>
  <c r="G73" i="28"/>
  <c r="I68" i="27" s="1"/>
  <c r="I69" i="27" s="1"/>
  <c r="G71" i="28"/>
  <c r="I48" i="27" s="1"/>
  <c r="I49" i="27" s="1"/>
  <c r="I50" i="27" s="1"/>
  <c r="D72" i="28"/>
  <c r="F58" i="27" s="1"/>
  <c r="F59" i="27" s="1"/>
  <c r="F60" i="27" s="1"/>
  <c r="D70" i="28"/>
  <c r="F38" i="27" s="1"/>
  <c r="F39" i="27" s="1"/>
  <c r="F40" i="27" s="1"/>
  <c r="I73" i="28"/>
  <c r="K68" i="27" s="1"/>
  <c r="K69" i="27" s="1"/>
  <c r="I71" i="28"/>
  <c r="K48" i="27" s="1"/>
  <c r="K49" i="27" s="1"/>
  <c r="K50" i="27" s="1"/>
  <c r="I69" i="28"/>
  <c r="D73" i="28"/>
  <c r="F68" i="27" s="1"/>
  <c r="F69" i="27" s="1"/>
  <c r="D71" i="28"/>
  <c r="F48" i="27" s="1"/>
  <c r="F49" i="27" s="1"/>
  <c r="F50" i="27" s="1"/>
  <c r="F70" i="28"/>
  <c r="H38" i="27" s="1"/>
  <c r="H39" i="27" s="1"/>
  <c r="H40" i="27" s="1"/>
  <c r="I72" i="28"/>
  <c r="K58" i="27" s="1"/>
  <c r="K59" i="27" s="1"/>
  <c r="K60" i="27" s="1"/>
  <c r="J73" i="28"/>
  <c r="L68" i="27" s="1"/>
  <c r="L69" i="27" s="1"/>
  <c r="J71" i="28"/>
  <c r="L48" i="27" s="1"/>
  <c r="L49" i="27" s="1"/>
  <c r="L50" i="27" s="1"/>
  <c r="J69" i="28"/>
  <c r="L28" i="27" s="1"/>
  <c r="L29" i="27" s="1"/>
  <c r="L30" i="27" s="1"/>
  <c r="H69" i="28"/>
  <c r="F73" i="28"/>
  <c r="H68" i="27" s="1"/>
  <c r="H69" i="27" s="1"/>
  <c r="F71" i="28"/>
  <c r="H48" i="27" s="1"/>
  <c r="H49" i="27" s="1"/>
  <c r="H50" i="27" s="1"/>
  <c r="F69" i="28"/>
  <c r="K72" i="28"/>
  <c r="M58" i="27" s="1"/>
  <c r="M59" i="27" s="1"/>
  <c r="M60" i="27" s="1"/>
  <c r="K70" i="28"/>
  <c r="M38" i="27" s="1"/>
  <c r="M39" i="27" s="1"/>
  <c r="M40" i="27" s="1"/>
  <c r="K73" i="28"/>
  <c r="M68" i="27" s="1"/>
  <c r="M69" i="27" s="1"/>
  <c r="K71" i="28"/>
  <c r="M48" i="27" s="1"/>
  <c r="M49" i="27" s="1"/>
  <c r="M50" i="27" s="1"/>
  <c r="H72" i="28"/>
  <c r="J58" i="27" s="1"/>
  <c r="J59" i="27" s="1"/>
  <c r="J60" i="27" s="1"/>
  <c r="AD19" i="22"/>
  <c r="AE19" i="22" s="1"/>
  <c r="AF19" i="22" s="1"/>
  <c r="AG19" i="22" s="1"/>
  <c r="AH19" i="22" s="1"/>
  <c r="AD4" i="22"/>
  <c r="AE4" i="22" s="1"/>
  <c r="AF4" i="22" s="1"/>
  <c r="AZ70" i="1"/>
  <c r="AZ19" i="1" s="1"/>
  <c r="F36" i="28"/>
  <c r="AD5" i="22"/>
  <c r="AE5" i="22" s="1"/>
  <c r="D36" i="28"/>
  <c r="F67" i="27"/>
  <c r="F16" i="27" s="1"/>
  <c r="R36" i="28"/>
  <c r="AM36" i="28"/>
  <c r="AQ36" i="28"/>
  <c r="K36" i="28"/>
  <c r="O36" i="28"/>
  <c r="AT36" i="28"/>
  <c r="J36" i="28"/>
  <c r="V74" i="28"/>
  <c r="AX74" i="28"/>
  <c r="Q74" i="28"/>
  <c r="AN74" i="28"/>
  <c r="S74" i="28"/>
  <c r="AP74" i="28"/>
  <c r="AW36" i="28"/>
  <c r="AO36" i="28"/>
  <c r="V36" i="28"/>
  <c r="AL36" i="28"/>
  <c r="N36" i="28"/>
  <c r="AP36" i="28"/>
  <c r="AX36" i="28"/>
  <c r="AW74" i="28"/>
  <c r="U74" i="28"/>
  <c r="O74" i="28"/>
  <c r="AT74" i="28"/>
  <c r="AK36" i="28"/>
  <c r="M36" i="28"/>
  <c r="AS36" i="28"/>
  <c r="AS74" i="28"/>
  <c r="AM74" i="28"/>
  <c r="Q36" i="28"/>
  <c r="E36" i="28"/>
  <c r="U36" i="28"/>
  <c r="T34" i="28"/>
  <c r="V57" i="27" s="1"/>
  <c r="T20" i="28"/>
  <c r="AO74" i="28"/>
  <c r="I36" i="28"/>
  <c r="T33" i="28"/>
  <c r="V47" i="27" s="1"/>
  <c r="V51" i="27" s="1"/>
  <c r="T31" i="28"/>
  <c r="V27" i="27" s="1"/>
  <c r="V31" i="27" s="1"/>
  <c r="T35" i="28"/>
  <c r="V67" i="27" s="1"/>
  <c r="AC33" i="22"/>
  <c r="AD33" i="22" s="1"/>
  <c r="AE33" i="22" s="1"/>
  <c r="AC11" i="22"/>
  <c r="AC25" i="22"/>
  <c r="AD25" i="22" s="1"/>
  <c r="AC12" i="22"/>
  <c r="AD12" i="22" s="1"/>
  <c r="AE12" i="22" s="1"/>
  <c r="AF12" i="22" s="1"/>
  <c r="AC26" i="22"/>
  <c r="AD26" i="22" s="1"/>
  <c r="AE26" i="22" s="1"/>
  <c r="AF26" i="22" s="1"/>
  <c r="AG26" i="22" s="1"/>
  <c r="AC18" i="22"/>
  <c r="AC32" i="22"/>
  <c r="AM16" i="27" l="1"/>
  <c r="AL16" i="27"/>
  <c r="AN16" i="27"/>
  <c r="AX44" i="28"/>
  <c r="E74" i="28"/>
  <c r="Y70" i="27"/>
  <c r="Y18" i="27"/>
  <c r="R69" i="27"/>
  <c r="M74" i="28"/>
  <c r="R74" i="28"/>
  <c r="X18" i="27"/>
  <c r="X70" i="27"/>
  <c r="S69" i="27"/>
  <c r="S17" i="27"/>
  <c r="W69" i="27"/>
  <c r="W17" i="27"/>
  <c r="R28" i="27"/>
  <c r="R29" i="27" s="1"/>
  <c r="R30" i="27" s="1"/>
  <c r="R31" i="27" s="1"/>
  <c r="P74" i="28"/>
  <c r="U69" i="27"/>
  <c r="U17" i="27"/>
  <c r="V61" i="27"/>
  <c r="V69" i="27"/>
  <c r="V17" i="27"/>
  <c r="N74" i="28"/>
  <c r="T74" i="28"/>
  <c r="Q69" i="27"/>
  <c r="Q17" i="27"/>
  <c r="T69" i="27"/>
  <c r="T17" i="27"/>
  <c r="AL44" i="28"/>
  <c r="N61" i="27"/>
  <c r="P17" i="27"/>
  <c r="P69" i="27"/>
  <c r="N28" i="27"/>
  <c r="N29" i="27" s="1"/>
  <c r="N30" i="27" s="1"/>
  <c r="N31" i="27" s="1"/>
  <c r="L74" i="28"/>
  <c r="O18" i="27"/>
  <c r="O70" i="27"/>
  <c r="N69" i="27"/>
  <c r="V16" i="27"/>
  <c r="N16" i="27"/>
  <c r="G19" i="27"/>
  <c r="AC34" i="22"/>
  <c r="AC35" i="22" s="1"/>
  <c r="AC36" i="22" s="1"/>
  <c r="G74" i="28"/>
  <c r="J74" i="28"/>
  <c r="G18" i="27"/>
  <c r="G31" i="27"/>
  <c r="J70" i="27"/>
  <c r="H70" i="27"/>
  <c r="K70" i="27"/>
  <c r="I70" i="27"/>
  <c r="I19" i="27" s="1"/>
  <c r="I18" i="27"/>
  <c r="J28" i="27"/>
  <c r="J29" i="27" s="1"/>
  <c r="J30" i="27" s="1"/>
  <c r="H74" i="28"/>
  <c r="L70" i="27"/>
  <c r="L19" i="27" s="1"/>
  <c r="L18" i="27"/>
  <c r="F70" i="27"/>
  <c r="F19" i="27" s="1"/>
  <c r="F18" i="27"/>
  <c r="M70" i="27"/>
  <c r="M19" i="27" s="1"/>
  <c r="M18" i="27"/>
  <c r="H28" i="27"/>
  <c r="H29" i="27" s="1"/>
  <c r="H30" i="27" s="1"/>
  <c r="F74" i="28"/>
  <c r="K28" i="27"/>
  <c r="K29" i="27" s="1"/>
  <c r="K30" i="27" s="1"/>
  <c r="I74" i="28"/>
  <c r="AC13" i="22"/>
  <c r="AC14" i="22" s="1"/>
  <c r="AC15" i="22" s="1"/>
  <c r="AE6" i="22"/>
  <c r="AE7" i="22" s="1"/>
  <c r="AE8" i="22" s="1"/>
  <c r="AF5" i="22"/>
  <c r="AG5" i="22" s="1"/>
  <c r="AH26" i="22"/>
  <c r="AI26" i="22" s="1"/>
  <c r="AJ26" i="22" s="1"/>
  <c r="AK26" i="22" s="1"/>
  <c r="AG12" i="22"/>
  <c r="AH12" i="22" s="1"/>
  <c r="AI12" i="22" s="1"/>
  <c r="AJ12" i="22" s="1"/>
  <c r="AK12" i="22" s="1"/>
  <c r="AD27" i="22"/>
  <c r="AD28" i="22" s="1"/>
  <c r="AD29" i="22" s="1"/>
  <c r="AE25" i="22"/>
  <c r="AG4" i="22"/>
  <c r="AI19" i="22"/>
  <c r="AJ19" i="22" s="1"/>
  <c r="AK19" i="22" s="1"/>
  <c r="AL19" i="22" s="1"/>
  <c r="AM19" i="22" s="1"/>
  <c r="AC20" i="22"/>
  <c r="AC21" i="22" s="1"/>
  <c r="AC22" i="22" s="1"/>
  <c r="AD18" i="22"/>
  <c r="AD32" i="22"/>
  <c r="AF33" i="22"/>
  <c r="AG33" i="22" s="1"/>
  <c r="AH33" i="22" s="1"/>
  <c r="AI33" i="22" s="1"/>
  <c r="AJ33" i="22" s="1"/>
  <c r="AK33" i="22" s="1"/>
  <c r="AD11" i="22"/>
  <c r="AD6" i="22"/>
  <c r="AD7" i="22" s="1"/>
  <c r="AD8" i="22" s="1"/>
  <c r="AU74" i="28"/>
  <c r="AR74" i="28"/>
  <c r="W74" i="28"/>
  <c r="AV74" i="28"/>
  <c r="D74" i="28"/>
  <c r="T36" i="28"/>
  <c r="AQ74" i="28"/>
  <c r="K74" i="28"/>
  <c r="AC27" i="22"/>
  <c r="AC28" i="22" s="1"/>
  <c r="AC29" i="22" s="1"/>
  <c r="U18" i="27" l="1"/>
  <c r="U70" i="27"/>
  <c r="Q18" i="27"/>
  <c r="Q70" i="27"/>
  <c r="R17" i="27"/>
  <c r="W70" i="27"/>
  <c r="W18" i="27"/>
  <c r="R18" i="27"/>
  <c r="R70" i="27"/>
  <c r="V18" i="27"/>
  <c r="V70" i="27"/>
  <c r="S70" i="27"/>
  <c r="S18" i="27"/>
  <c r="Y19" i="27"/>
  <c r="Y71" i="27"/>
  <c r="Y20" i="27" s="1"/>
  <c r="T18" i="27"/>
  <c r="T70" i="27"/>
  <c r="X19" i="27"/>
  <c r="X71" i="27"/>
  <c r="X20" i="27" s="1"/>
  <c r="N17" i="27"/>
  <c r="AL33" i="22"/>
  <c r="AM33" i="22" s="1"/>
  <c r="AO33" i="22" s="1"/>
  <c r="AL12" i="22"/>
  <c r="AL26" i="22"/>
  <c r="AM26" i="22" s="1"/>
  <c r="O19" i="27"/>
  <c r="O71" i="27"/>
  <c r="O20" i="27" s="1"/>
  <c r="P70" i="27"/>
  <c r="P18" i="27"/>
  <c r="N70" i="27"/>
  <c r="N18" i="27"/>
  <c r="AF6" i="22"/>
  <c r="AF7" i="22" s="1"/>
  <c r="AF8" i="22" s="1"/>
  <c r="H18" i="27"/>
  <c r="H19" i="27"/>
  <c r="K18" i="27"/>
  <c r="J18" i="27"/>
  <c r="K19" i="27"/>
  <c r="J19" i="27"/>
  <c r="AE32" i="22"/>
  <c r="AD34" i="22"/>
  <c r="AD35" i="22" s="1"/>
  <c r="AD36" i="22" s="1"/>
  <c r="AF25" i="22"/>
  <c r="AE27" i="22"/>
  <c r="AE28" i="22" s="1"/>
  <c r="AE29" i="22" s="1"/>
  <c r="AD20" i="22"/>
  <c r="AD21" i="22" s="1"/>
  <c r="AD22" i="22" s="1"/>
  <c r="AE18" i="22"/>
  <c r="AD13" i="22"/>
  <c r="AD14" i="22" s="1"/>
  <c r="AD15" i="22" s="1"/>
  <c r="AE11" i="22"/>
  <c r="AH5" i="22"/>
  <c r="AI5" i="22" s="1"/>
  <c r="AJ5" i="22" s="1"/>
  <c r="AK5" i="22" s="1"/>
  <c r="AH4" i="22"/>
  <c r="AG6" i="22"/>
  <c r="AG7" i="22" s="1"/>
  <c r="AG8" i="22" s="1"/>
  <c r="S19" i="27" l="1"/>
  <c r="S71" i="27"/>
  <c r="S20" i="27" s="1"/>
  <c r="Q19" i="27"/>
  <c r="Q71" i="27"/>
  <c r="Q20" i="27" s="1"/>
  <c r="V19" i="27"/>
  <c r="V71" i="27"/>
  <c r="V20" i="27" s="1"/>
  <c r="W19" i="27"/>
  <c r="W71" i="27"/>
  <c r="W20" i="27" s="1"/>
  <c r="U19" i="27"/>
  <c r="U71" i="27"/>
  <c r="U20" i="27" s="1"/>
  <c r="T19" i="27"/>
  <c r="T71" i="27"/>
  <c r="T20" i="27" s="1"/>
  <c r="R19" i="27"/>
  <c r="R71" i="27"/>
  <c r="R20" i="27" s="1"/>
  <c r="AL5" i="22"/>
  <c r="AM5" i="22" s="1"/>
  <c r="AM12" i="22"/>
  <c r="AP33" i="22"/>
  <c r="AO34" i="22"/>
  <c r="AO35" i="22" s="1"/>
  <c r="AO36" i="22" s="1"/>
  <c r="BA69" i="1" s="1"/>
  <c r="N19" i="27"/>
  <c r="N71" i="27"/>
  <c r="P19" i="27"/>
  <c r="P71" i="27"/>
  <c r="P20" i="27" s="1"/>
  <c r="AF18" i="22"/>
  <c r="AE20" i="22"/>
  <c r="AE21" i="22" s="1"/>
  <c r="AE22" i="22" s="1"/>
  <c r="AG25" i="22"/>
  <c r="AF27" i="22"/>
  <c r="AF28" i="22" s="1"/>
  <c r="AF29" i="22" s="1"/>
  <c r="AH6" i="22"/>
  <c r="AH7" i="22" s="1"/>
  <c r="AH8" i="22" s="1"/>
  <c r="AI4" i="22"/>
  <c r="AE13" i="22"/>
  <c r="AE14" i="22" s="1"/>
  <c r="AE15" i="22" s="1"/>
  <c r="AF11" i="22"/>
  <c r="AF32" i="22"/>
  <c r="AE34" i="22"/>
  <c r="AE35" i="22" s="1"/>
  <c r="AE36" i="22" s="1"/>
  <c r="BA70" i="1" l="1"/>
  <c r="AQ33" i="22"/>
  <c r="AP34" i="22"/>
  <c r="AP35" i="22" s="1"/>
  <c r="AP36" i="22" s="1"/>
  <c r="BB69" i="1" s="1"/>
  <c r="N20" i="27"/>
  <c r="AG11" i="22"/>
  <c r="AF13" i="22"/>
  <c r="AF14" i="22" s="1"/>
  <c r="AF15" i="22" s="1"/>
  <c r="AH25" i="22"/>
  <c r="AG27" i="22"/>
  <c r="AG28" i="22" s="1"/>
  <c r="AG29" i="22" s="1"/>
  <c r="AJ4" i="22"/>
  <c r="AK4" i="22" s="1"/>
  <c r="AI6" i="22"/>
  <c r="AI7" i="22" s="1"/>
  <c r="AI8" i="22" s="1"/>
  <c r="AG32" i="22"/>
  <c r="AF34" i="22"/>
  <c r="AF35" i="22" s="1"/>
  <c r="AF36" i="22" s="1"/>
  <c r="AG18" i="22"/>
  <c r="AF20" i="22"/>
  <c r="AF21" i="22" s="1"/>
  <c r="AF22" i="22" s="1"/>
  <c r="AL4" i="22" l="1"/>
  <c r="AK6" i="22"/>
  <c r="AK7" i="22" s="1"/>
  <c r="AK8" i="22" s="1"/>
  <c r="AW29" i="1" s="1"/>
  <c r="BB70" i="1"/>
  <c r="AR33" i="22"/>
  <c r="AQ34" i="22"/>
  <c r="AQ35" i="22" s="1"/>
  <c r="AQ36" i="22" s="1"/>
  <c r="BC69" i="1" s="1"/>
  <c r="AJ6" i="22"/>
  <c r="AJ7" i="22" s="1"/>
  <c r="AJ8" i="22" s="1"/>
  <c r="AH32" i="22"/>
  <c r="AG34" i="22"/>
  <c r="AG35" i="22" s="1"/>
  <c r="AG36" i="22" s="1"/>
  <c r="AI25" i="22"/>
  <c r="AH27" i="22"/>
  <c r="AH28" i="22" s="1"/>
  <c r="AH29" i="22" s="1"/>
  <c r="AG20" i="22"/>
  <c r="AG21" i="22" s="1"/>
  <c r="AG22" i="22" s="1"/>
  <c r="AH18" i="22"/>
  <c r="AH11" i="22"/>
  <c r="AG13" i="22"/>
  <c r="AG14" i="22" s="1"/>
  <c r="AG15" i="22" s="1"/>
  <c r="AB3" i="22"/>
  <c r="AB10" i="22"/>
  <c r="AB17" i="22"/>
  <c r="AB24" i="22"/>
  <c r="AB31" i="22"/>
  <c r="AM4" i="22" l="1"/>
  <c r="AL6" i="22"/>
  <c r="AL7" i="22" s="1"/>
  <c r="AL8" i="22" s="1"/>
  <c r="AX29" i="1" s="1"/>
  <c r="BC70" i="1"/>
  <c r="AS33" i="22"/>
  <c r="AR34" i="22"/>
  <c r="AR35" i="22" s="1"/>
  <c r="AR36" i="22" s="1"/>
  <c r="BD69" i="1" s="1"/>
  <c r="AJ25" i="22"/>
  <c r="AK25" i="22" s="1"/>
  <c r="AI27" i="22"/>
  <c r="AI28" i="22" s="1"/>
  <c r="AI29" i="22" s="1"/>
  <c r="AI11" i="22"/>
  <c r="AH13" i="22"/>
  <c r="AH14" i="22" s="1"/>
  <c r="AH15" i="22" s="1"/>
  <c r="AI18" i="22"/>
  <c r="AH20" i="22"/>
  <c r="AH21" i="22" s="1"/>
  <c r="AH22" i="22" s="1"/>
  <c r="AH34" i="22"/>
  <c r="AH35" i="22" s="1"/>
  <c r="AH36" i="22" s="1"/>
  <c r="AI32" i="22"/>
  <c r="BD70" i="1" l="1"/>
  <c r="AL25" i="22"/>
  <c r="AK27" i="22"/>
  <c r="AK28" i="22" s="1"/>
  <c r="AK29" i="22" s="1"/>
  <c r="AW59" i="1" s="1"/>
  <c r="AO4" i="22"/>
  <c r="AM6" i="22"/>
  <c r="AM7" i="22" s="1"/>
  <c r="AM8" i="22" s="1"/>
  <c r="AY29" i="1" s="1"/>
  <c r="AY30" i="1" s="1"/>
  <c r="AT33" i="22"/>
  <c r="AS34" i="22"/>
  <c r="AS35" i="22" s="1"/>
  <c r="AS36" i="22" s="1"/>
  <c r="BE69" i="1" s="1"/>
  <c r="AJ27" i="22"/>
  <c r="AJ28" i="22" s="1"/>
  <c r="AJ29" i="22" s="1"/>
  <c r="AJ32" i="22"/>
  <c r="AK32" i="22" s="1"/>
  <c r="AI34" i="22"/>
  <c r="AI35" i="22" s="1"/>
  <c r="AI36" i="22" s="1"/>
  <c r="AI13" i="22"/>
  <c r="AI14" i="22" s="1"/>
  <c r="AI15" i="22" s="1"/>
  <c r="AJ11" i="22"/>
  <c r="AK11" i="22" s="1"/>
  <c r="AI20" i="22"/>
  <c r="AI21" i="22" s="1"/>
  <c r="AI22" i="22" s="1"/>
  <c r="AJ18" i="22"/>
  <c r="AK18" i="22" s="1"/>
  <c r="AL11" i="22" l="1"/>
  <c r="AK13" i="22"/>
  <c r="AK14" i="22" s="1"/>
  <c r="AK15" i="22" s="1"/>
  <c r="AW39" i="1" s="1"/>
  <c r="AP4" i="22"/>
  <c r="AO6" i="22"/>
  <c r="AO7" i="22" s="1"/>
  <c r="AO8" i="22" s="1"/>
  <c r="BA29" i="1" s="1"/>
  <c r="AK20" i="22"/>
  <c r="AK21" i="22" s="1"/>
  <c r="AK22" i="22" s="1"/>
  <c r="AW49" i="1" s="1"/>
  <c r="AL18" i="22"/>
  <c r="AL32" i="22"/>
  <c r="AK34" i="22"/>
  <c r="AK35" i="22" s="1"/>
  <c r="AK36" i="22" s="1"/>
  <c r="AW69" i="1" s="1"/>
  <c r="AM25" i="22"/>
  <c r="AM27" i="22" s="1"/>
  <c r="AM28" i="22" s="1"/>
  <c r="AM29" i="22" s="1"/>
  <c r="AY59" i="1" s="1"/>
  <c r="AL27" i="22"/>
  <c r="AL28" i="22" s="1"/>
  <c r="AL29" i="22" s="1"/>
  <c r="AX59" i="1" s="1"/>
  <c r="BE70" i="1"/>
  <c r="AU33" i="22"/>
  <c r="AT34" i="22"/>
  <c r="AT35" i="22" s="1"/>
  <c r="AT36" i="22" s="1"/>
  <c r="BF69" i="1" s="1"/>
  <c r="AJ13" i="22"/>
  <c r="AJ14" i="22" s="1"/>
  <c r="AJ15" i="22" s="1"/>
  <c r="AJ34" i="22"/>
  <c r="AJ35" i="22" s="1"/>
  <c r="AJ36" i="22" s="1"/>
  <c r="AJ20" i="22"/>
  <c r="AJ21" i="22" s="1"/>
  <c r="AJ22" i="22" s="1"/>
  <c r="AY8" i="1"/>
  <c r="AZ8" i="1"/>
  <c r="BA8" i="1"/>
  <c r="BB8" i="1"/>
  <c r="BC8" i="1"/>
  <c r="BD8" i="1"/>
  <c r="BE8" i="1"/>
  <c r="BF8" i="1"/>
  <c r="BG8" i="1"/>
  <c r="BH8" i="1"/>
  <c r="BA17" i="1"/>
  <c r="BB17" i="1"/>
  <c r="BD17" i="1"/>
  <c r="BE17" i="1"/>
  <c r="BF17" i="1"/>
  <c r="BH17" i="1"/>
  <c r="AY78" i="1"/>
  <c r="AZ78" i="1"/>
  <c r="BA78" i="1"/>
  <c r="BB78" i="1"/>
  <c r="BC78" i="1"/>
  <c r="BD78" i="1"/>
  <c r="BE78" i="1"/>
  <c r="BF78" i="1"/>
  <c r="BG78" i="1"/>
  <c r="BH78" i="1"/>
  <c r="BB87" i="1"/>
  <c r="BB88" i="1" s="1"/>
  <c r="BC87" i="1"/>
  <c r="BC88" i="1" s="1"/>
  <c r="BD87" i="1"/>
  <c r="BD88" i="1" s="1"/>
  <c r="BE87" i="1"/>
  <c r="BE88" i="1" s="1"/>
  <c r="BF87" i="1"/>
  <c r="BF88" i="1" s="1"/>
  <c r="BG87" i="1"/>
  <c r="BG88" i="1" s="1"/>
  <c r="AZ87" i="1"/>
  <c r="AZ88" i="1" s="1"/>
  <c r="BA87" i="1"/>
  <c r="BA88" i="1" s="1"/>
  <c r="BH87" i="1"/>
  <c r="BH88" i="1" s="1"/>
  <c r="AZ93" i="1"/>
  <c r="BA93" i="1"/>
  <c r="BB93" i="1"/>
  <c r="BC93" i="1"/>
  <c r="BD93" i="1"/>
  <c r="BE93" i="1"/>
  <c r="BF93" i="1"/>
  <c r="BG93" i="1"/>
  <c r="BH93" i="1"/>
  <c r="AO85" i="1"/>
  <c r="AP85" i="1"/>
  <c r="AQ85" i="1"/>
  <c r="AR85" i="1"/>
  <c r="AS85" i="1"/>
  <c r="AT85" i="1"/>
  <c r="AU85" i="1"/>
  <c r="AV85" i="1"/>
  <c r="AN85" i="1"/>
  <c r="AN87" i="1" s="1"/>
  <c r="AM95" i="1"/>
  <c r="AM87" i="1"/>
  <c r="AK78" i="1"/>
  <c r="AM32" i="22" l="1"/>
  <c r="AM34" i="22" s="1"/>
  <c r="AM35" i="22" s="1"/>
  <c r="AM36" i="22" s="1"/>
  <c r="AY69" i="1" s="1"/>
  <c r="AL34" i="22"/>
  <c r="AL35" i="22" s="1"/>
  <c r="AL36" i="22" s="1"/>
  <c r="AX69" i="1" s="1"/>
  <c r="BF70" i="1"/>
  <c r="AL20" i="22"/>
  <c r="AL21" i="22" s="1"/>
  <c r="AL22" i="22" s="1"/>
  <c r="AX49" i="1" s="1"/>
  <c r="AM18" i="22"/>
  <c r="AM20" i="22" s="1"/>
  <c r="AM21" i="22" s="1"/>
  <c r="AM22" i="22" s="1"/>
  <c r="AY49" i="1" s="1"/>
  <c r="AV33" i="22"/>
  <c r="AV34" i="22" s="1"/>
  <c r="AV35" i="22" s="1"/>
  <c r="AV36" i="22" s="1"/>
  <c r="BH69" i="1" s="1"/>
  <c r="AU34" i="22"/>
  <c r="AU35" i="22" s="1"/>
  <c r="AU36" i="22" s="1"/>
  <c r="BG69" i="1" s="1"/>
  <c r="BA30" i="1"/>
  <c r="BA19" i="1" s="1"/>
  <c r="BA18" i="1"/>
  <c r="AQ4" i="22"/>
  <c r="AP6" i="22"/>
  <c r="AP7" i="22" s="1"/>
  <c r="AP8" i="22" s="1"/>
  <c r="BB29" i="1" s="1"/>
  <c r="AM11" i="22"/>
  <c r="AM13" i="22" s="1"/>
  <c r="AM14" i="22" s="1"/>
  <c r="AM15" i="22" s="1"/>
  <c r="AY39" i="1" s="1"/>
  <c r="AL13" i="22"/>
  <c r="AL14" i="22" s="1"/>
  <c r="AL15" i="22" s="1"/>
  <c r="AX39" i="1" s="1"/>
  <c r="AY60" i="1"/>
  <c r="AZ17" i="1"/>
  <c r="BG17" i="1"/>
  <c r="BC17" i="1"/>
  <c r="AY17" i="1"/>
  <c r="BH70" i="1" l="1"/>
  <c r="BB30" i="1"/>
  <c r="BB19" i="1" s="1"/>
  <c r="BB18" i="1"/>
  <c r="AR4" i="22"/>
  <c r="AQ6" i="22"/>
  <c r="AQ7" i="22" s="1"/>
  <c r="AQ8" i="22" s="1"/>
  <c r="BC29" i="1" s="1"/>
  <c r="BG70" i="1"/>
  <c r="AY50" i="1"/>
  <c r="AY40" i="1"/>
  <c r="C8" i="27"/>
  <c r="C10" i="27" s="1"/>
  <c r="D8" i="27"/>
  <c r="M71" i="27"/>
  <c r="L71" i="27"/>
  <c r="K71" i="27"/>
  <c r="J71" i="27"/>
  <c r="I71" i="27"/>
  <c r="H71" i="27"/>
  <c r="G71" i="27"/>
  <c r="F71" i="27"/>
  <c r="F72" i="27" s="1"/>
  <c r="M61" i="27"/>
  <c r="L61" i="27"/>
  <c r="K61" i="27"/>
  <c r="J61" i="27"/>
  <c r="I61" i="27"/>
  <c r="H61" i="27"/>
  <c r="G61" i="27"/>
  <c r="F61" i="27"/>
  <c r="F62" i="27" s="1"/>
  <c r="M51" i="27"/>
  <c r="L51" i="27"/>
  <c r="K51" i="27"/>
  <c r="J51" i="27"/>
  <c r="I51" i="27"/>
  <c r="H51" i="27"/>
  <c r="G51" i="27"/>
  <c r="F51" i="27"/>
  <c r="F52" i="27" s="1"/>
  <c r="M41" i="27"/>
  <c r="L41" i="27"/>
  <c r="K41" i="27"/>
  <c r="J41" i="27"/>
  <c r="I41" i="27"/>
  <c r="H41" i="27"/>
  <c r="G41" i="27"/>
  <c r="F41" i="27"/>
  <c r="F42" i="27" s="1"/>
  <c r="H31" i="27"/>
  <c r="L31" i="27"/>
  <c r="K31" i="27"/>
  <c r="J31" i="27"/>
  <c r="F31" i="27"/>
  <c r="F32" i="27" s="1"/>
  <c r="M17" i="27"/>
  <c r="L17" i="27"/>
  <c r="K17" i="27"/>
  <c r="J17" i="27"/>
  <c r="I17" i="27"/>
  <c r="H17" i="27"/>
  <c r="G17" i="27"/>
  <c r="F17" i="27"/>
  <c r="J16" i="27"/>
  <c r="M8" i="27"/>
  <c r="L8" i="27"/>
  <c r="K8" i="27"/>
  <c r="J8" i="27"/>
  <c r="I8" i="27"/>
  <c r="H8" i="27"/>
  <c r="G8" i="27"/>
  <c r="F8" i="27"/>
  <c r="E8" i="27"/>
  <c r="BC30" i="1" l="1"/>
  <c r="BC19" i="1" s="1"/>
  <c r="BC18" i="1"/>
  <c r="AS4" i="22"/>
  <c r="AR6" i="22"/>
  <c r="AR7" i="22" s="1"/>
  <c r="AR8" i="22" s="1"/>
  <c r="BD29" i="1" s="1"/>
  <c r="AY70" i="1"/>
  <c r="AY18" i="1"/>
  <c r="G20" i="27"/>
  <c r="J20" i="27"/>
  <c r="L20" i="27"/>
  <c r="K16" i="27"/>
  <c r="L16" i="27"/>
  <c r="G16" i="27"/>
  <c r="C12" i="27"/>
  <c r="C13" i="27" s="1"/>
  <c r="D10" i="27" s="1"/>
  <c r="C11" i="27"/>
  <c r="H16" i="27"/>
  <c r="F20" i="27"/>
  <c r="H20" i="27"/>
  <c r="I31" i="27"/>
  <c r="I16" i="27"/>
  <c r="M31" i="27"/>
  <c r="M16" i="27"/>
  <c r="F43" i="27"/>
  <c r="K20" i="27"/>
  <c r="F53" i="27"/>
  <c r="F63" i="27"/>
  <c r="Z79" i="27"/>
  <c r="Z81" i="27" s="1"/>
  <c r="Z82" i="27" s="1"/>
  <c r="D11" i="27" l="1"/>
  <c r="D12" i="27"/>
  <c r="D13" i="27" s="1"/>
  <c r="E10" i="27" s="1"/>
  <c r="BD30" i="1"/>
  <c r="BD19" i="1" s="1"/>
  <c r="BD18" i="1"/>
  <c r="AT4" i="22"/>
  <c r="AS6" i="22"/>
  <c r="AS7" i="22" s="1"/>
  <c r="AS8" i="22" s="1"/>
  <c r="BE29" i="1" s="1"/>
  <c r="AY19" i="1"/>
  <c r="F44" i="27"/>
  <c r="F54" i="27"/>
  <c r="F64" i="27"/>
  <c r="Z80" i="27"/>
  <c r="AA80" i="27" s="1"/>
  <c r="M20" i="27"/>
  <c r="F33" i="27"/>
  <c r="I20" i="27"/>
  <c r="BE30" i="1" l="1"/>
  <c r="BE19" i="1" s="1"/>
  <c r="BE18" i="1"/>
  <c r="AU4" i="22"/>
  <c r="AT6" i="22"/>
  <c r="AT7" i="22" s="1"/>
  <c r="AT8" i="22" s="1"/>
  <c r="BF29" i="1" s="1"/>
  <c r="G42" i="27"/>
  <c r="G43" i="27" s="1"/>
  <c r="G44" i="27" s="1"/>
  <c r="H42" i="27" s="1"/>
  <c r="H43" i="27" s="1"/>
  <c r="H44" i="27" s="1"/>
  <c r="G62" i="27"/>
  <c r="G63" i="27" s="1"/>
  <c r="G64" i="27" s="1"/>
  <c r="H62" i="27" s="1"/>
  <c r="H63" i="27" s="1"/>
  <c r="H64" i="27" s="1"/>
  <c r="G52" i="27"/>
  <c r="G53" i="27" s="1"/>
  <c r="G54" i="27" s="1"/>
  <c r="H52" i="27" s="1"/>
  <c r="H53" i="27" s="1"/>
  <c r="H54" i="27" s="1"/>
  <c r="F34" i="27"/>
  <c r="AV4" i="22" l="1"/>
  <c r="AV6" i="22" s="1"/>
  <c r="AV7" i="22" s="1"/>
  <c r="AV8" i="22" s="1"/>
  <c r="BH29" i="1" s="1"/>
  <c r="AU6" i="22"/>
  <c r="AU7" i="22" s="1"/>
  <c r="AU8" i="22" s="1"/>
  <c r="BG29" i="1" s="1"/>
  <c r="BF30" i="1"/>
  <c r="BF19" i="1" s="1"/>
  <c r="BF18" i="1"/>
  <c r="G32" i="27"/>
  <c r="G33" i="27" s="1"/>
  <c r="G34" i="27" s="1"/>
  <c r="I62" i="27"/>
  <c r="I63" i="27" s="1"/>
  <c r="I64" i="27" s="1"/>
  <c r="I52" i="27"/>
  <c r="I53" i="27" s="1"/>
  <c r="I54" i="27" s="1"/>
  <c r="I42" i="27"/>
  <c r="I43" i="27" s="1"/>
  <c r="I44" i="27" s="1"/>
  <c r="BG30" i="1" l="1"/>
  <c r="BG19" i="1" s="1"/>
  <c r="BG18" i="1"/>
  <c r="BH30" i="1"/>
  <c r="BH19" i="1" s="1"/>
  <c r="BH18" i="1"/>
  <c r="J62" i="27"/>
  <c r="J63" i="27" s="1"/>
  <c r="J64" i="27" s="1"/>
  <c r="J52" i="27"/>
  <c r="J53" i="27" s="1"/>
  <c r="J54" i="27" s="1"/>
  <c r="J42" i="27"/>
  <c r="J43" i="27" s="1"/>
  <c r="J44" i="27" s="1"/>
  <c r="H32" i="27"/>
  <c r="H33" i="27" s="1"/>
  <c r="H34" i="27" s="1"/>
  <c r="K62" i="27" l="1"/>
  <c r="K63" i="27" s="1"/>
  <c r="K64" i="27" s="1"/>
  <c r="K52" i="27"/>
  <c r="K53" i="27" s="1"/>
  <c r="K54" i="27" s="1"/>
  <c r="K42" i="27"/>
  <c r="K43" i="27" s="1"/>
  <c r="K44" i="27" s="1"/>
  <c r="I32" i="27"/>
  <c r="I33" i="27" s="1"/>
  <c r="I34" i="27" s="1"/>
  <c r="L52" i="27" l="1"/>
  <c r="L53" i="27" s="1"/>
  <c r="L54" i="27" s="1"/>
  <c r="L42" i="27"/>
  <c r="L43" i="27" s="1"/>
  <c r="L44" i="27" s="1"/>
  <c r="L62" i="27"/>
  <c r="L63" i="27" s="1"/>
  <c r="L64" i="27" s="1"/>
  <c r="J32" i="27"/>
  <c r="J33" i="27" s="1"/>
  <c r="J34" i="27" s="1"/>
  <c r="F73" i="27"/>
  <c r="F74" i="27" s="1"/>
  <c r="F21" i="27"/>
  <c r="F22" i="27" s="1"/>
  <c r="M42" i="27" l="1"/>
  <c r="M43" i="27" s="1"/>
  <c r="M44" i="27" s="1"/>
  <c r="M62" i="27"/>
  <c r="M63" i="27" s="1"/>
  <c r="M64" i="27" s="1"/>
  <c r="M52" i="27"/>
  <c r="M53" i="27" s="1"/>
  <c r="M54" i="27" s="1"/>
  <c r="F24" i="27"/>
  <c r="G72" i="27"/>
  <c r="K32" i="27"/>
  <c r="K33" i="27" s="1"/>
  <c r="K34" i="27" s="1"/>
  <c r="F23" i="27"/>
  <c r="AA3" i="22"/>
  <c r="AA10" i="22"/>
  <c r="AA17" i="22"/>
  <c r="AA24" i="22"/>
  <c r="AA31" i="22"/>
  <c r="L32" i="27" l="1"/>
  <c r="L33" i="27" s="1"/>
  <c r="L34" i="27" s="1"/>
  <c r="G21" i="27"/>
  <c r="G22" i="27" s="1"/>
  <c r="G73" i="27"/>
  <c r="M32" i="27" l="1"/>
  <c r="M33" i="27" s="1"/>
  <c r="M34" i="27" s="1"/>
  <c r="G74" i="27"/>
  <c r="H72" i="27" s="1"/>
  <c r="G23" i="27"/>
  <c r="G24" i="27" l="1"/>
  <c r="H21" i="27" l="1"/>
  <c r="H22" i="27" s="1"/>
  <c r="H73" i="27"/>
  <c r="H74" i="27" l="1"/>
  <c r="I72" i="27" s="1"/>
  <c r="H23" i="27"/>
  <c r="H24" i="27" l="1"/>
  <c r="I21" i="27" l="1"/>
  <c r="I22" i="27" s="1"/>
  <c r="I73" i="27"/>
  <c r="I74" i="27" l="1"/>
  <c r="J72" i="27" s="1"/>
  <c r="I23" i="27"/>
  <c r="I24" i="27" l="1"/>
  <c r="AC60" i="11"/>
  <c r="AC61" i="11"/>
  <c r="AC62" i="11"/>
  <c r="AC63" i="11"/>
  <c r="AC64" i="11"/>
  <c r="AD104" i="1"/>
  <c r="AE104" i="1" s="1"/>
  <c r="AF104" i="1" s="1"/>
  <c r="AG104" i="1" s="1"/>
  <c r="AH104" i="1" s="1"/>
  <c r="AI104" i="1" s="1"/>
  <c r="AJ104" i="1" s="1"/>
  <c r="AK104" i="1" s="1"/>
  <c r="AL104" i="1" s="1"/>
  <c r="AM104" i="1" s="1"/>
  <c r="AN104" i="1" s="1"/>
  <c r="AO104" i="1" s="1"/>
  <c r="AP104" i="1" s="1"/>
  <c r="AQ104" i="1" s="1"/>
  <c r="AR104" i="1" s="1"/>
  <c r="AS104" i="1" s="1"/>
  <c r="AT104" i="1" s="1"/>
  <c r="AU104" i="1" s="1"/>
  <c r="AV104" i="1" s="1"/>
  <c r="V98" i="1"/>
  <c r="V99" i="1" s="1"/>
  <c r="O98" i="1"/>
  <c r="O100" i="1" s="1"/>
  <c r="AC98" i="1"/>
  <c r="AC99" i="1" s="1"/>
  <c r="AB98" i="1"/>
  <c r="AB99" i="1" s="1"/>
  <c r="AA98" i="1"/>
  <c r="AA99" i="1" s="1"/>
  <c r="Z98" i="1"/>
  <c r="Z99" i="1" s="1"/>
  <c r="Y98" i="1"/>
  <c r="Y99" i="1" s="1"/>
  <c r="X98" i="1"/>
  <c r="X99" i="1" s="1"/>
  <c r="W98" i="1"/>
  <c r="W99" i="1" s="1"/>
  <c r="U98" i="1"/>
  <c r="U99" i="1" s="1"/>
  <c r="T98" i="1"/>
  <c r="T99" i="1" s="1"/>
  <c r="S98" i="1"/>
  <c r="S99" i="1" s="1"/>
  <c r="R98" i="1"/>
  <c r="R99" i="1" s="1"/>
  <c r="Q98" i="1"/>
  <c r="Q99" i="1" s="1"/>
  <c r="P98" i="1"/>
  <c r="P99" i="1" s="1"/>
  <c r="P104" i="1"/>
  <c r="Q104" i="1"/>
  <c r="R104" i="1"/>
  <c r="S104" i="1"/>
  <c r="T104" i="1"/>
  <c r="U104" i="1"/>
  <c r="V104" i="1"/>
  <c r="W104" i="1"/>
  <c r="X104" i="1"/>
  <c r="Y104" i="1"/>
  <c r="Z104" i="1"/>
  <c r="AA104" i="1"/>
  <c r="AB104" i="1"/>
  <c r="E31" i="22"/>
  <c r="C31" i="22"/>
  <c r="AD78" i="1"/>
  <c r="AE78" i="1"/>
  <c r="Y78" i="1"/>
  <c r="Y79" i="1" s="1"/>
  <c r="Z78" i="1"/>
  <c r="AA78" i="1"/>
  <c r="AB78" i="1"/>
  <c r="AC78" i="1"/>
  <c r="AF78" i="1"/>
  <c r="AG78" i="1"/>
  <c r="AH78" i="1"/>
  <c r="AI78" i="1"/>
  <c r="AJ78" i="1"/>
  <c r="AL78" i="1"/>
  <c r="AM78" i="1"/>
  <c r="AN78" i="1"/>
  <c r="AO78" i="1"/>
  <c r="AP78" i="1"/>
  <c r="AQ78" i="1"/>
  <c r="AR78" i="1"/>
  <c r="AS78" i="1"/>
  <c r="AT78" i="1"/>
  <c r="AU78" i="1"/>
  <c r="AV78" i="1"/>
  <c r="AW78" i="1"/>
  <c r="AX78" i="1"/>
  <c r="O88" i="1"/>
  <c r="Q85" i="1"/>
  <c r="Q87" i="1" s="1"/>
  <c r="Q88" i="1" s="1"/>
  <c r="R85" i="1"/>
  <c r="R87" i="1" s="1"/>
  <c r="R88" i="1" s="1"/>
  <c r="S85" i="1"/>
  <c r="S87" i="1" s="1"/>
  <c r="S88" i="1" s="1"/>
  <c r="T85" i="1"/>
  <c r="T87" i="1" s="1"/>
  <c r="T88" i="1" s="1"/>
  <c r="U85" i="1"/>
  <c r="U87" i="1" s="1"/>
  <c r="U88" i="1" s="1"/>
  <c r="V85" i="1"/>
  <c r="V87" i="1" s="1"/>
  <c r="V88" i="1" s="1"/>
  <c r="W85" i="1"/>
  <c r="W87" i="1"/>
  <c r="W88" i="1"/>
  <c r="X85" i="1"/>
  <c r="Y85" i="1"/>
  <c r="Y87" i="1"/>
  <c r="Y88" i="1" s="1"/>
  <c r="Z85" i="1"/>
  <c r="Z87" i="1" s="1"/>
  <c r="Z88" i="1" s="1"/>
  <c r="AA85" i="1"/>
  <c r="AB85" i="1"/>
  <c r="AC85" i="1"/>
  <c r="AC87" i="1" s="1"/>
  <c r="AC88" i="1" s="1"/>
  <c r="AD85" i="1"/>
  <c r="AE85" i="1"/>
  <c r="AE87" i="1" s="1"/>
  <c r="AE88" i="1" s="1"/>
  <c r="AF85" i="1"/>
  <c r="AF87" i="1" s="1"/>
  <c r="AF88" i="1" s="1"/>
  <c r="AG85" i="1"/>
  <c r="AG87" i="1" s="1"/>
  <c r="AG88" i="1" s="1"/>
  <c r="AH85" i="1"/>
  <c r="AH87" i="1" s="1"/>
  <c r="AH88" i="1" s="1"/>
  <c r="AI85" i="1"/>
  <c r="AJ85" i="1"/>
  <c r="AJ87" i="1" s="1"/>
  <c r="AJ88" i="1" s="1"/>
  <c r="AK85" i="1"/>
  <c r="AK87" i="1" s="1"/>
  <c r="AK88" i="1" s="1"/>
  <c r="AL85" i="1"/>
  <c r="AL87" i="1" s="1"/>
  <c r="AL88" i="1" s="1"/>
  <c r="P85" i="1"/>
  <c r="P87" i="1" s="1"/>
  <c r="P88" i="1" s="1"/>
  <c r="AM88" i="1"/>
  <c r="AN88" i="1"/>
  <c r="AO87" i="1"/>
  <c r="AO88" i="1" s="1"/>
  <c r="AP87" i="1"/>
  <c r="AP88" i="1"/>
  <c r="AQ87" i="1"/>
  <c r="AQ88" i="1" s="1"/>
  <c r="AR87" i="1"/>
  <c r="AR88" i="1" s="1"/>
  <c r="AS87" i="1"/>
  <c r="AS88" i="1" s="1"/>
  <c r="AT87" i="1"/>
  <c r="AT88" i="1" s="1"/>
  <c r="AU87" i="1"/>
  <c r="AU88" i="1" s="1"/>
  <c r="AV87" i="1"/>
  <c r="AV88" i="1" s="1"/>
  <c r="AD87" i="1"/>
  <c r="AD88" i="1" s="1"/>
  <c r="O87" i="1"/>
  <c r="AI87" i="1"/>
  <c r="AI88" i="1" s="1"/>
  <c r="AB87" i="1"/>
  <c r="AB88" i="1" s="1"/>
  <c r="AA87" i="1"/>
  <c r="AA88" i="1" s="1"/>
  <c r="X87" i="1"/>
  <c r="X88" i="1" s="1"/>
  <c r="Y8" i="1"/>
  <c r="X8" i="1"/>
  <c r="X14" i="11"/>
  <c r="P7" i="1"/>
  <c r="P8" i="1" s="1"/>
  <c r="E8" i="1"/>
  <c r="E10" i="1" s="1"/>
  <c r="E11" i="1" s="1"/>
  <c r="F8" i="1"/>
  <c r="G8" i="1"/>
  <c r="H8" i="1"/>
  <c r="I8" i="1"/>
  <c r="J8" i="1"/>
  <c r="K8" i="1"/>
  <c r="L8" i="1"/>
  <c r="M8" i="1"/>
  <c r="N8" i="1"/>
  <c r="O8" i="1"/>
  <c r="Q8" i="1"/>
  <c r="R8" i="1"/>
  <c r="S8" i="1"/>
  <c r="T8" i="1"/>
  <c r="U8" i="1"/>
  <c r="V8" i="1"/>
  <c r="W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P15" i="1"/>
  <c r="E17" i="1"/>
  <c r="F17" i="1"/>
  <c r="G17" i="1"/>
  <c r="H17" i="1"/>
  <c r="I17" i="1"/>
  <c r="J17" i="1"/>
  <c r="K17" i="1"/>
  <c r="L17" i="1"/>
  <c r="M17" i="1"/>
  <c r="N17" i="1"/>
  <c r="O17" i="1"/>
  <c r="AC14" i="11"/>
  <c r="AC19" i="11"/>
  <c r="AD14" i="11"/>
  <c r="AD19" i="11"/>
  <c r="AD28" i="11"/>
  <c r="P28" i="1"/>
  <c r="D3" i="22" s="1"/>
  <c r="Q28" i="1"/>
  <c r="E3" i="22" s="1"/>
  <c r="S3" i="22"/>
  <c r="AC15" i="11"/>
  <c r="AD15" i="11"/>
  <c r="P38" i="1"/>
  <c r="D10" i="22" s="1"/>
  <c r="Q38" i="1"/>
  <c r="S10" i="22"/>
  <c r="AC16" i="11"/>
  <c r="AD16" i="11"/>
  <c r="AD33" i="11" s="1"/>
  <c r="AE47" i="1" s="1"/>
  <c r="P48" i="1"/>
  <c r="D17" i="22" s="1"/>
  <c r="Q48" i="1"/>
  <c r="S17" i="22"/>
  <c r="AC17" i="11"/>
  <c r="AD17" i="11"/>
  <c r="P58" i="1"/>
  <c r="D24" i="22" s="1"/>
  <c r="S24" i="22"/>
  <c r="AC18" i="11"/>
  <c r="AD18" i="11"/>
  <c r="P68" i="1"/>
  <c r="D31" i="22" s="1"/>
  <c r="C3" i="22"/>
  <c r="E24" i="22"/>
  <c r="C24" i="22"/>
  <c r="C17" i="22"/>
  <c r="S31" i="22"/>
  <c r="E10" i="22"/>
  <c r="C10" i="22"/>
  <c r="T10" i="11"/>
  <c r="H17" i="22"/>
  <c r="I17" i="22"/>
  <c r="J17" i="22"/>
  <c r="K17" i="22"/>
  <c r="L17" i="22"/>
  <c r="M17" i="22"/>
  <c r="N17" i="22"/>
  <c r="O17" i="22"/>
  <c r="P17" i="22"/>
  <c r="Q17" i="22"/>
  <c r="R17" i="22"/>
  <c r="T17" i="22"/>
  <c r="U17" i="22"/>
  <c r="V17" i="22"/>
  <c r="W17" i="22"/>
  <c r="X17" i="22"/>
  <c r="Y17" i="22"/>
  <c r="Z17" i="22"/>
  <c r="G17" i="22"/>
  <c r="H31" i="22"/>
  <c r="I31" i="22"/>
  <c r="J31" i="22"/>
  <c r="K31" i="22"/>
  <c r="L31" i="22"/>
  <c r="M31" i="22"/>
  <c r="N31" i="22"/>
  <c r="O31" i="22"/>
  <c r="P31" i="22"/>
  <c r="Q31" i="22"/>
  <c r="Q32" i="22" s="1"/>
  <c r="R31" i="22"/>
  <c r="T31" i="22"/>
  <c r="U31" i="22"/>
  <c r="V31" i="22"/>
  <c r="W31" i="22"/>
  <c r="X31" i="22"/>
  <c r="Y31" i="22"/>
  <c r="Z31" i="22"/>
  <c r="G31" i="22"/>
  <c r="H24" i="22"/>
  <c r="I24" i="22"/>
  <c r="J24" i="22"/>
  <c r="K24" i="22"/>
  <c r="L24" i="22"/>
  <c r="M24" i="22"/>
  <c r="N24" i="22"/>
  <c r="O24" i="22"/>
  <c r="P24" i="22"/>
  <c r="P27" i="22" s="1"/>
  <c r="P28" i="22" s="1"/>
  <c r="P29" i="22" s="1"/>
  <c r="Q24" i="22"/>
  <c r="Q26" i="22" s="1"/>
  <c r="R24" i="22"/>
  <c r="T24" i="22"/>
  <c r="U24" i="22"/>
  <c r="V24" i="22"/>
  <c r="W24" i="22"/>
  <c r="X24" i="22"/>
  <c r="Y24" i="22"/>
  <c r="Z24" i="22"/>
  <c r="G24" i="22"/>
  <c r="H10" i="22"/>
  <c r="I10" i="22"/>
  <c r="J10" i="22"/>
  <c r="K10" i="22"/>
  <c r="L10" i="22"/>
  <c r="M10" i="22"/>
  <c r="N10" i="22"/>
  <c r="O10" i="22"/>
  <c r="P10" i="22"/>
  <c r="Q10" i="22"/>
  <c r="Q11" i="22" s="1"/>
  <c r="R10" i="22"/>
  <c r="T10" i="22"/>
  <c r="U10" i="22"/>
  <c r="V10" i="22"/>
  <c r="W10" i="22"/>
  <c r="X10" i="22"/>
  <c r="Y10" i="22"/>
  <c r="Z10" i="22"/>
  <c r="G10" i="22"/>
  <c r="H3" i="22"/>
  <c r="I3" i="22"/>
  <c r="J3" i="22"/>
  <c r="K3" i="22"/>
  <c r="L3" i="22"/>
  <c r="M3" i="22"/>
  <c r="N3" i="22"/>
  <c r="O3" i="22"/>
  <c r="P3" i="22"/>
  <c r="P6" i="22" s="1"/>
  <c r="Q3" i="22"/>
  <c r="Q4" i="22" s="1"/>
  <c r="R3" i="22"/>
  <c r="T3" i="22"/>
  <c r="U3" i="22"/>
  <c r="V3" i="22"/>
  <c r="W3" i="22"/>
  <c r="X3" i="22"/>
  <c r="Y3" i="22"/>
  <c r="Z3" i="22"/>
  <c r="G3" i="22"/>
  <c r="F31" i="22"/>
  <c r="F24" i="22"/>
  <c r="F26" i="22" s="1"/>
  <c r="G26" i="22" s="1"/>
  <c r="Q52" i="11"/>
  <c r="F17" i="22" s="1"/>
  <c r="Q51" i="11"/>
  <c r="F10" i="22" s="1"/>
  <c r="Q50" i="11"/>
  <c r="F3" i="22" s="1"/>
  <c r="BX64" i="11"/>
  <c r="BW64" i="11"/>
  <c r="AT64" i="11"/>
  <c r="AS64" i="11"/>
  <c r="AR64" i="11"/>
  <c r="AQ64" i="11"/>
  <c r="AP64" i="11"/>
  <c r="AO64" i="11"/>
  <c r="AN64" i="11"/>
  <c r="AM64" i="11"/>
  <c r="AL64" i="11"/>
  <c r="AK64" i="11"/>
  <c r="AJ64" i="11"/>
  <c r="AI64" i="11"/>
  <c r="AH64" i="11"/>
  <c r="AG64" i="11"/>
  <c r="AF64" i="11"/>
  <c r="AE64" i="11"/>
  <c r="AD64" i="11"/>
  <c r="AB64" i="11"/>
  <c r="AA64" i="11"/>
  <c r="Z64" i="11"/>
  <c r="Y64" i="11"/>
  <c r="X64" i="11"/>
  <c r="W64" i="11"/>
  <c r="V64" i="11"/>
  <c r="U64" i="11"/>
  <c r="T64" i="11"/>
  <c r="S64" i="11"/>
  <c r="R64" i="11"/>
  <c r="Q64" i="11"/>
  <c r="P64" i="11"/>
  <c r="O64" i="11"/>
  <c r="N64" i="11"/>
  <c r="M64" i="11"/>
  <c r="L64" i="11"/>
  <c r="K64" i="11"/>
  <c r="J64" i="11"/>
  <c r="I64" i="11"/>
  <c r="H64" i="11"/>
  <c r="G64" i="11"/>
  <c r="F64" i="11"/>
  <c r="E64" i="11"/>
  <c r="D64" i="11"/>
  <c r="BX63" i="11"/>
  <c r="BX71" i="11" s="1"/>
  <c r="AX60" i="1" s="1"/>
  <c r="BW63" i="11"/>
  <c r="AT63" i="11"/>
  <c r="AS63" i="11"/>
  <c r="AR63" i="11"/>
  <c r="AQ63" i="11"/>
  <c r="AP63" i="11"/>
  <c r="AO63" i="11"/>
  <c r="AN63" i="11"/>
  <c r="AM63" i="11"/>
  <c r="AL63" i="11"/>
  <c r="AK63" i="11"/>
  <c r="AJ63" i="11"/>
  <c r="AI63" i="11"/>
  <c r="AH63" i="11"/>
  <c r="AG63" i="11"/>
  <c r="AF63" i="11"/>
  <c r="AE63" i="11"/>
  <c r="AD63" i="11"/>
  <c r="AB63" i="11"/>
  <c r="AA63" i="11"/>
  <c r="Z63" i="11"/>
  <c r="Y63" i="11"/>
  <c r="X63" i="11"/>
  <c r="W63" i="11"/>
  <c r="V63" i="11"/>
  <c r="U63" i="11"/>
  <c r="T63" i="11"/>
  <c r="S63" i="11"/>
  <c r="R63" i="11"/>
  <c r="Q63" i="11"/>
  <c r="P63" i="11"/>
  <c r="O63" i="11"/>
  <c r="N63" i="11"/>
  <c r="M63" i="11"/>
  <c r="L63" i="11"/>
  <c r="K63" i="11"/>
  <c r="J63" i="11"/>
  <c r="I63" i="11"/>
  <c r="H63" i="11"/>
  <c r="G63" i="11"/>
  <c r="F63" i="11"/>
  <c r="E63" i="11"/>
  <c r="D63" i="11"/>
  <c r="BX62" i="11"/>
  <c r="BX70" i="11" s="1"/>
  <c r="AX50" i="1" s="1"/>
  <c r="BW62" i="11"/>
  <c r="AT62" i="11"/>
  <c r="AS62" i="11"/>
  <c r="AR62" i="11"/>
  <c r="AQ62" i="11"/>
  <c r="AP62" i="11"/>
  <c r="AO62" i="11"/>
  <c r="AN62" i="11"/>
  <c r="AM62" i="11"/>
  <c r="AL62" i="11"/>
  <c r="AK62" i="11"/>
  <c r="AJ62" i="11"/>
  <c r="AI62" i="11"/>
  <c r="AH62" i="11"/>
  <c r="AG62" i="11"/>
  <c r="AF62" i="11"/>
  <c r="AE62" i="11"/>
  <c r="AD62" i="11"/>
  <c r="AB62" i="11"/>
  <c r="AA62" i="11"/>
  <c r="Z62" i="11"/>
  <c r="Y62" i="11"/>
  <c r="X62" i="11"/>
  <c r="W62" i="11"/>
  <c r="V62" i="11"/>
  <c r="U62" i="11"/>
  <c r="T62" i="11"/>
  <c r="S62" i="11"/>
  <c r="R62" i="11"/>
  <c r="Q62" i="11"/>
  <c r="P62" i="11"/>
  <c r="O62" i="11"/>
  <c r="N62" i="11"/>
  <c r="M62" i="11"/>
  <c r="L62" i="11"/>
  <c r="K62" i="11"/>
  <c r="J62" i="11"/>
  <c r="I62" i="11"/>
  <c r="H62" i="11"/>
  <c r="G62" i="11"/>
  <c r="F62" i="11"/>
  <c r="E62" i="11"/>
  <c r="D62" i="11"/>
  <c r="BX61" i="11"/>
  <c r="BX69" i="11" s="1"/>
  <c r="BW61" i="11"/>
  <c r="AT61" i="11"/>
  <c r="AS61" i="11"/>
  <c r="AR61" i="11"/>
  <c r="AQ61" i="11"/>
  <c r="AP61" i="11"/>
  <c r="AO61" i="11"/>
  <c r="AN61" i="11"/>
  <c r="AM61" i="11"/>
  <c r="AM65" i="11" s="1"/>
  <c r="AM69" i="11" s="1"/>
  <c r="AL61" i="11"/>
  <c r="AK61" i="11"/>
  <c r="AJ61" i="11"/>
  <c r="AI61" i="11"/>
  <c r="AH61" i="11"/>
  <c r="AG61" i="11"/>
  <c r="AF61" i="11"/>
  <c r="AE61" i="11"/>
  <c r="AD61" i="11"/>
  <c r="AB61" i="11"/>
  <c r="AA61" i="11"/>
  <c r="Z61" i="11"/>
  <c r="Y61" i="11"/>
  <c r="X61" i="11"/>
  <c r="W61" i="11"/>
  <c r="V61" i="11"/>
  <c r="V65" i="11" s="1"/>
  <c r="U61" i="11"/>
  <c r="T61" i="11"/>
  <c r="S61" i="11"/>
  <c r="R61" i="11"/>
  <c r="Q61" i="11"/>
  <c r="P61" i="11"/>
  <c r="O61" i="11"/>
  <c r="N61" i="11"/>
  <c r="N65" i="11" s="1"/>
  <c r="N68" i="11" s="1"/>
  <c r="M61" i="11"/>
  <c r="L61" i="11"/>
  <c r="K61" i="11"/>
  <c r="J61" i="11"/>
  <c r="I61" i="11"/>
  <c r="H61" i="11"/>
  <c r="G61" i="11"/>
  <c r="F61" i="11"/>
  <c r="E61" i="11"/>
  <c r="D61" i="11"/>
  <c r="BX60" i="11"/>
  <c r="BW60" i="11"/>
  <c r="AT60" i="11"/>
  <c r="AS60" i="11"/>
  <c r="AR60" i="11"/>
  <c r="AR65" i="11" s="1"/>
  <c r="AQ60" i="11"/>
  <c r="AQ65" i="11" s="1"/>
  <c r="AQ72" i="11" s="1"/>
  <c r="AR68" i="1" s="1"/>
  <c r="AR69" i="1" s="1"/>
  <c r="AP60" i="11"/>
  <c r="AO60" i="11"/>
  <c r="AN60" i="11"/>
  <c r="AN65" i="11" s="1"/>
  <c r="AM60" i="11"/>
  <c r="AL60" i="11"/>
  <c r="AK60" i="11"/>
  <c r="AJ60" i="11"/>
  <c r="AI60" i="11"/>
  <c r="AH60" i="11"/>
  <c r="AG60" i="11"/>
  <c r="AF60" i="11"/>
  <c r="AE60" i="11"/>
  <c r="AD60" i="11"/>
  <c r="AB60" i="11"/>
  <c r="AA60" i="11"/>
  <c r="Z60" i="11"/>
  <c r="Y60" i="11"/>
  <c r="X60" i="11"/>
  <c r="W60" i="11"/>
  <c r="V60" i="11"/>
  <c r="U60" i="11"/>
  <c r="T60" i="11"/>
  <c r="S60" i="11"/>
  <c r="R60" i="11"/>
  <c r="Q60" i="11"/>
  <c r="P60" i="11"/>
  <c r="O60" i="11"/>
  <c r="N60" i="11"/>
  <c r="M60" i="11"/>
  <c r="L60" i="11"/>
  <c r="K60" i="11"/>
  <c r="J60" i="11"/>
  <c r="J65" i="11" s="1"/>
  <c r="I60" i="11"/>
  <c r="H60" i="11"/>
  <c r="G60" i="11"/>
  <c r="F60" i="11"/>
  <c r="E60" i="11"/>
  <c r="E65" i="11" s="1"/>
  <c r="D60" i="11"/>
  <c r="BX55" i="11"/>
  <c r="BW55" i="11"/>
  <c r="AU55" i="11"/>
  <c r="AT55" i="11"/>
  <c r="AS55" i="11"/>
  <c r="AR55" i="11"/>
  <c r="AQ55" i="11"/>
  <c r="AP55" i="11"/>
  <c r="AO55" i="11"/>
  <c r="AN55" i="11"/>
  <c r="AM55" i="11"/>
  <c r="AL55" i="11"/>
  <c r="AK55" i="11"/>
  <c r="AJ55" i="11"/>
  <c r="AI55" i="11"/>
  <c r="AH55" i="11"/>
  <c r="AG55" i="11"/>
  <c r="AF55" i="11"/>
  <c r="AE55" i="11"/>
  <c r="AD55" i="11"/>
  <c r="AC55" i="11"/>
  <c r="AB55" i="11"/>
  <c r="AA55" i="11"/>
  <c r="Z55" i="11"/>
  <c r="Y55" i="11"/>
  <c r="X55" i="11"/>
  <c r="W55" i="11"/>
  <c r="V55" i="11"/>
  <c r="U55" i="11"/>
  <c r="T55" i="11"/>
  <c r="S55" i="11"/>
  <c r="R55" i="11"/>
  <c r="P55" i="11"/>
  <c r="O55" i="11"/>
  <c r="N55" i="11"/>
  <c r="M55" i="11"/>
  <c r="L55" i="11"/>
  <c r="K55" i="11"/>
  <c r="J55" i="11"/>
  <c r="I55" i="11"/>
  <c r="H55" i="11"/>
  <c r="G55" i="11"/>
  <c r="F55" i="11"/>
  <c r="E55" i="11"/>
  <c r="D55" i="11"/>
  <c r="M65" i="11"/>
  <c r="M70" i="11" s="1"/>
  <c r="Q65" i="11"/>
  <c r="Q70" i="11" s="1"/>
  <c r="R48" i="1" s="1"/>
  <c r="U65" i="11"/>
  <c r="Y65" i="11"/>
  <c r="Y69" i="11" s="1"/>
  <c r="Z38" i="1" s="1"/>
  <c r="Z65" i="11"/>
  <c r="Z71" i="11" s="1"/>
  <c r="AA58" i="1" s="1"/>
  <c r="AD65" i="11"/>
  <c r="AD68" i="11" s="1"/>
  <c r="AH65" i="11"/>
  <c r="AH70" i="11" s="1"/>
  <c r="AI48" i="1" s="1"/>
  <c r="AP65" i="11"/>
  <c r="AP69" i="11" s="1"/>
  <c r="AQ38" i="1" s="1"/>
  <c r="AQ39" i="1" s="1"/>
  <c r="AQ40" i="1" s="1"/>
  <c r="G65" i="11"/>
  <c r="G68" i="11" s="1"/>
  <c r="K65" i="11"/>
  <c r="O65" i="11"/>
  <c r="O69" i="11" s="1"/>
  <c r="S65" i="11"/>
  <c r="W65" i="11"/>
  <c r="W72" i="11" s="1"/>
  <c r="X68" i="1" s="1"/>
  <c r="AA65" i="11"/>
  <c r="AU65" i="11"/>
  <c r="AU72" i="11" s="1"/>
  <c r="AV68" i="1" s="1"/>
  <c r="AV69" i="1" s="1"/>
  <c r="G70" i="11"/>
  <c r="U70" i="11"/>
  <c r="V48" i="1" s="1"/>
  <c r="G69" i="11"/>
  <c r="Q69" i="11"/>
  <c r="R38" i="1" s="1"/>
  <c r="G71" i="11"/>
  <c r="Q72" i="11"/>
  <c r="R68" i="1" s="1"/>
  <c r="Q71" i="11"/>
  <c r="R58" i="1" s="1"/>
  <c r="O68" i="11"/>
  <c r="E33" i="22"/>
  <c r="E32" i="22"/>
  <c r="E26" i="22"/>
  <c r="E25" i="22"/>
  <c r="E19" i="22"/>
  <c r="E18" i="22"/>
  <c r="E12" i="22"/>
  <c r="E11" i="22"/>
  <c r="E5" i="22"/>
  <c r="E4" i="22"/>
  <c r="Q25" i="22"/>
  <c r="R25" i="22" s="1"/>
  <c r="D6" i="22"/>
  <c r="D7" i="22" s="1"/>
  <c r="D34" i="22"/>
  <c r="D35" i="22" s="1"/>
  <c r="C34" i="22"/>
  <c r="C35" i="22" s="1"/>
  <c r="D27" i="22"/>
  <c r="D28" i="22" s="1"/>
  <c r="C27" i="22"/>
  <c r="C28" i="22" s="1"/>
  <c r="D20" i="22"/>
  <c r="D21" i="22" s="1"/>
  <c r="C20" i="22"/>
  <c r="C21" i="22" s="1"/>
  <c r="D13" i="22"/>
  <c r="D14" i="22" s="1"/>
  <c r="C13" i="22"/>
  <c r="C14" i="22" s="1"/>
  <c r="C6" i="22"/>
  <c r="C7" i="22" s="1"/>
  <c r="F14" i="11"/>
  <c r="D14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T14" i="11"/>
  <c r="U14" i="11"/>
  <c r="V14" i="11"/>
  <c r="W14" i="11"/>
  <c r="Y14" i="11"/>
  <c r="Z14" i="11"/>
  <c r="AA14" i="11"/>
  <c r="AB14" i="11"/>
  <c r="AE14" i="11"/>
  <c r="AF14" i="11"/>
  <c r="AG14" i="11"/>
  <c r="AH14" i="11"/>
  <c r="AI14" i="11"/>
  <c r="AJ14" i="11"/>
  <c r="AK14" i="11"/>
  <c r="AL14" i="11"/>
  <c r="AM14" i="11"/>
  <c r="AN14" i="11"/>
  <c r="AO14" i="11"/>
  <c r="AP14" i="11"/>
  <c r="AQ14" i="11"/>
  <c r="AR14" i="11"/>
  <c r="AS14" i="11"/>
  <c r="AT14" i="11"/>
  <c r="AU14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T15" i="11"/>
  <c r="U15" i="11"/>
  <c r="V15" i="11"/>
  <c r="W15" i="11"/>
  <c r="X15" i="11"/>
  <c r="Y15" i="11"/>
  <c r="Z15" i="11"/>
  <c r="AA15" i="11"/>
  <c r="AB15" i="11"/>
  <c r="AE15" i="11"/>
  <c r="AF15" i="11"/>
  <c r="AG15" i="11"/>
  <c r="AH15" i="11"/>
  <c r="AI15" i="11"/>
  <c r="AJ15" i="11"/>
  <c r="AK15" i="11"/>
  <c r="AL15" i="11"/>
  <c r="AM15" i="11"/>
  <c r="AN15" i="11"/>
  <c r="AO15" i="11"/>
  <c r="AP15" i="11"/>
  <c r="AQ15" i="11"/>
  <c r="AR15" i="11"/>
  <c r="AS15" i="11"/>
  <c r="AT15" i="11"/>
  <c r="AU15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E16" i="11"/>
  <c r="AF16" i="11"/>
  <c r="AG16" i="11"/>
  <c r="AH16" i="11"/>
  <c r="AI16" i="11"/>
  <c r="AJ16" i="11"/>
  <c r="AK16" i="11"/>
  <c r="AL16" i="11"/>
  <c r="AM16" i="11"/>
  <c r="AN16" i="11"/>
  <c r="AO16" i="11"/>
  <c r="AP16" i="11"/>
  <c r="AQ16" i="11"/>
  <c r="AR16" i="11"/>
  <c r="AS16" i="11"/>
  <c r="AT16" i="11"/>
  <c r="AU16" i="11"/>
  <c r="F17" i="11"/>
  <c r="G17" i="11"/>
  <c r="H17" i="11"/>
  <c r="I17" i="11"/>
  <c r="J17" i="11"/>
  <c r="K17" i="11"/>
  <c r="L17" i="11"/>
  <c r="M17" i="11"/>
  <c r="N17" i="11"/>
  <c r="O17" i="11"/>
  <c r="P17" i="11"/>
  <c r="Q17" i="11"/>
  <c r="R17" i="11"/>
  <c r="S17" i="11"/>
  <c r="T17" i="11"/>
  <c r="U17" i="11"/>
  <c r="V17" i="11"/>
  <c r="W17" i="11"/>
  <c r="X17" i="11"/>
  <c r="Y17" i="11"/>
  <c r="Z17" i="11"/>
  <c r="AA17" i="11"/>
  <c r="AB17" i="11"/>
  <c r="AE17" i="11"/>
  <c r="AF17" i="11"/>
  <c r="AG17" i="11"/>
  <c r="AH17" i="11"/>
  <c r="AI17" i="11"/>
  <c r="AJ17" i="11"/>
  <c r="AK17" i="11"/>
  <c r="AL17" i="11"/>
  <c r="AM17" i="11"/>
  <c r="AN17" i="11"/>
  <c r="AO17" i="11"/>
  <c r="AP17" i="11"/>
  <c r="AQ17" i="11"/>
  <c r="AR17" i="11"/>
  <c r="AS17" i="11"/>
  <c r="AT17" i="11"/>
  <c r="AU17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T18" i="11"/>
  <c r="U18" i="11"/>
  <c r="V18" i="11"/>
  <c r="W18" i="11"/>
  <c r="X18" i="11"/>
  <c r="Y18" i="11"/>
  <c r="Z18" i="11"/>
  <c r="AA18" i="11"/>
  <c r="AB18" i="11"/>
  <c r="AE18" i="11"/>
  <c r="AF18" i="11"/>
  <c r="AG18" i="11"/>
  <c r="AH18" i="11"/>
  <c r="AI18" i="11"/>
  <c r="AJ18" i="11"/>
  <c r="AK18" i="11"/>
  <c r="AL18" i="11"/>
  <c r="AM18" i="11"/>
  <c r="AN18" i="11"/>
  <c r="AO18" i="11"/>
  <c r="AP18" i="11"/>
  <c r="AQ18" i="11"/>
  <c r="AR18" i="11"/>
  <c r="AS18" i="11"/>
  <c r="AT18" i="11"/>
  <c r="AU18" i="11"/>
  <c r="F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S19" i="11"/>
  <c r="T19" i="11"/>
  <c r="U19" i="11"/>
  <c r="V19" i="11"/>
  <c r="W19" i="11"/>
  <c r="X19" i="11"/>
  <c r="Y19" i="11"/>
  <c r="Z19" i="11"/>
  <c r="AA19" i="11"/>
  <c r="AB19" i="11"/>
  <c r="AE19" i="11"/>
  <c r="AF19" i="11"/>
  <c r="AF20" i="11" s="1"/>
  <c r="AG19" i="11"/>
  <c r="AH19" i="11"/>
  <c r="AI19" i="11"/>
  <c r="AJ19" i="11"/>
  <c r="AK19" i="11"/>
  <c r="AL19" i="11"/>
  <c r="AM19" i="11"/>
  <c r="AN19" i="11"/>
  <c r="AO19" i="11"/>
  <c r="AP19" i="11"/>
  <c r="AQ19" i="11"/>
  <c r="AR19" i="11"/>
  <c r="AS19" i="11"/>
  <c r="AT19" i="11"/>
  <c r="AU19" i="11"/>
  <c r="E15" i="11"/>
  <c r="E16" i="11"/>
  <c r="E17" i="11"/>
  <c r="E18" i="11"/>
  <c r="E19" i="11"/>
  <c r="E14" i="11"/>
  <c r="K11" i="11"/>
  <c r="L11" i="11"/>
  <c r="K28" i="11"/>
  <c r="L28" i="11"/>
  <c r="I11" i="11"/>
  <c r="J11" i="11"/>
  <c r="J28" i="11"/>
  <c r="D11" i="11"/>
  <c r="D15" i="11"/>
  <c r="D32" i="11" s="1"/>
  <c r="E37" i="1" s="1"/>
  <c r="E41" i="1" s="1"/>
  <c r="E42" i="1" s="1"/>
  <c r="D16" i="11"/>
  <c r="D17" i="11"/>
  <c r="D18" i="11"/>
  <c r="D19" i="11"/>
  <c r="D28" i="11"/>
  <c r="D34" i="11" s="1"/>
  <c r="E57" i="1" s="1"/>
  <c r="E61" i="1" s="1"/>
  <c r="E62" i="1" s="1"/>
  <c r="F11" i="11"/>
  <c r="F28" i="11"/>
  <c r="H11" i="11"/>
  <c r="H28" i="11"/>
  <c r="E11" i="11"/>
  <c r="G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AF11" i="11"/>
  <c r="AG11" i="11"/>
  <c r="AH11" i="11"/>
  <c r="AI11" i="11"/>
  <c r="AJ11" i="11"/>
  <c r="AK11" i="11"/>
  <c r="AL11" i="11"/>
  <c r="AM11" i="11"/>
  <c r="AN11" i="11"/>
  <c r="AO11" i="11"/>
  <c r="AP11" i="11"/>
  <c r="AQ11" i="11"/>
  <c r="AR11" i="11"/>
  <c r="AS11" i="11"/>
  <c r="AT11" i="11"/>
  <c r="AU11" i="11"/>
  <c r="E28" i="11"/>
  <c r="G28" i="11"/>
  <c r="I28" i="11"/>
  <c r="M28" i="11"/>
  <c r="N28" i="11"/>
  <c r="O28" i="11"/>
  <c r="P28" i="11"/>
  <c r="Q28" i="11"/>
  <c r="R28" i="11"/>
  <c r="S28" i="11"/>
  <c r="S32" i="11" s="1"/>
  <c r="T37" i="1" s="1"/>
  <c r="T28" i="11"/>
  <c r="T34" i="11" s="1"/>
  <c r="U57" i="1" s="1"/>
  <c r="U28" i="11"/>
  <c r="V28" i="11"/>
  <c r="W28" i="11"/>
  <c r="X28" i="11"/>
  <c r="Y28" i="11"/>
  <c r="Z28" i="11"/>
  <c r="AA28" i="11"/>
  <c r="AA34" i="11" s="1"/>
  <c r="AB57" i="1" s="1"/>
  <c r="AB28" i="11"/>
  <c r="AB33" i="11" s="1"/>
  <c r="AC47" i="1" s="1"/>
  <c r="AC28" i="11"/>
  <c r="AC31" i="11" s="1"/>
  <c r="AD27" i="1" s="1"/>
  <c r="AE28" i="11"/>
  <c r="AF28" i="11"/>
  <c r="AG28" i="11"/>
  <c r="AH28" i="11"/>
  <c r="AI28" i="11"/>
  <c r="AJ28" i="11"/>
  <c r="AK28" i="11"/>
  <c r="AL28" i="11"/>
  <c r="AM28" i="11"/>
  <c r="AN28" i="11"/>
  <c r="AO28" i="11"/>
  <c r="AP28" i="11"/>
  <c r="AQ28" i="11"/>
  <c r="AR28" i="11"/>
  <c r="AS28" i="11"/>
  <c r="AT28" i="11"/>
  <c r="AU28" i="11"/>
  <c r="BW28" i="11"/>
  <c r="BX28" i="11"/>
  <c r="Q12" i="22" l="1"/>
  <c r="M35" i="11"/>
  <c r="N67" i="1" s="1"/>
  <c r="F25" i="22"/>
  <c r="I32" i="11"/>
  <c r="J37" i="1" s="1"/>
  <c r="J41" i="1" s="1"/>
  <c r="S35" i="11"/>
  <c r="T67" i="1" s="1"/>
  <c r="Y33" i="11"/>
  <c r="Z47" i="1" s="1"/>
  <c r="Q33" i="11"/>
  <c r="R47" i="1" s="1"/>
  <c r="K35" i="11"/>
  <c r="L67" i="1" s="1"/>
  <c r="L71" i="1" s="1"/>
  <c r="P35" i="11"/>
  <c r="Q67" i="1" s="1"/>
  <c r="O32" i="11"/>
  <c r="P37" i="1" s="1"/>
  <c r="O35" i="11"/>
  <c r="P67" i="1" s="1"/>
  <c r="R4" i="22"/>
  <c r="M20" i="11"/>
  <c r="H35" i="11"/>
  <c r="I67" i="1" s="1"/>
  <c r="I71" i="1" s="1"/>
  <c r="AD34" i="11"/>
  <c r="AE57" i="1" s="1"/>
  <c r="T35" i="11"/>
  <c r="U67" i="1" s="1"/>
  <c r="E31" i="11"/>
  <c r="F20" i="11"/>
  <c r="H26" i="22"/>
  <c r="F33" i="11"/>
  <c r="G47" i="1" s="1"/>
  <c r="G51" i="1" s="1"/>
  <c r="AU35" i="11"/>
  <c r="U33" i="11"/>
  <c r="V47" i="1" s="1"/>
  <c r="AE20" i="11"/>
  <c r="T31" i="11"/>
  <c r="U27" i="1" s="1"/>
  <c r="O89" i="1"/>
  <c r="O90" i="1" s="1"/>
  <c r="BW34" i="11"/>
  <c r="BW32" i="11"/>
  <c r="BW31" i="11"/>
  <c r="BX65" i="11"/>
  <c r="BX72" i="11" s="1"/>
  <c r="E20" i="22"/>
  <c r="E21" i="22" s="1"/>
  <c r="E27" i="22"/>
  <c r="E28" i="22" s="1"/>
  <c r="P7" i="22"/>
  <c r="P8" i="22" s="1"/>
  <c r="E34" i="22"/>
  <c r="E35" i="22" s="1"/>
  <c r="E6" i="22"/>
  <c r="E7" i="22" s="1"/>
  <c r="F32" i="22"/>
  <c r="Q33" i="22"/>
  <c r="R33" i="22" s="1"/>
  <c r="S33" i="22" s="1"/>
  <c r="T33" i="22" s="1"/>
  <c r="U33" i="22" s="1"/>
  <c r="V33" i="22" s="1"/>
  <c r="R11" i="22"/>
  <c r="S11" i="22" s="1"/>
  <c r="T11" i="22" s="1"/>
  <c r="U11" i="22" s="1"/>
  <c r="V11" i="22" s="1"/>
  <c r="W11" i="22" s="1"/>
  <c r="X11" i="22" s="1"/>
  <c r="Y11" i="22" s="1"/>
  <c r="U31" i="11"/>
  <c r="V27" i="1" s="1"/>
  <c r="T32" i="11"/>
  <c r="U37" i="1" s="1"/>
  <c r="T33" i="11"/>
  <c r="U47" i="1" s="1"/>
  <c r="L32" i="11"/>
  <c r="M37" i="1" s="1"/>
  <c r="M41" i="1" s="1"/>
  <c r="AB20" i="11"/>
  <c r="J33" i="11"/>
  <c r="K47" i="1" s="1"/>
  <c r="K51" i="1" s="1"/>
  <c r="Z20" i="11"/>
  <c r="Q20" i="11"/>
  <c r="I31" i="11"/>
  <c r="J27" i="1" s="1"/>
  <c r="J31" i="1" s="1"/>
  <c r="F31" i="11"/>
  <c r="G27" i="1" s="1"/>
  <c r="G31" i="1" s="1"/>
  <c r="I34" i="11"/>
  <c r="J57" i="1" s="1"/>
  <c r="J61" i="1" s="1"/>
  <c r="I33" i="11"/>
  <c r="J47" i="1" s="1"/>
  <c r="J51" i="1" s="1"/>
  <c r="M33" i="11"/>
  <c r="N47" i="1" s="1"/>
  <c r="N51" i="1" s="1"/>
  <c r="M34" i="11"/>
  <c r="N57" i="1" s="1"/>
  <c r="N61" i="1" s="1"/>
  <c r="I35" i="11"/>
  <c r="J67" i="1" s="1"/>
  <c r="J71" i="1" s="1"/>
  <c r="V34" i="11"/>
  <c r="W57" i="1" s="1"/>
  <c r="N32" i="11"/>
  <c r="O37" i="1" s="1"/>
  <c r="K34" i="11"/>
  <c r="L57" i="1" s="1"/>
  <c r="L61" i="1" s="1"/>
  <c r="J69" i="11"/>
  <c r="J71" i="11"/>
  <c r="J70" i="11"/>
  <c r="J72" i="11"/>
  <c r="E69" i="11"/>
  <c r="E68" i="11"/>
  <c r="E70" i="11"/>
  <c r="E71" i="11"/>
  <c r="E72" i="11"/>
  <c r="S31" i="11"/>
  <c r="T27" i="1" s="1"/>
  <c r="K32" i="11"/>
  <c r="L37" i="1" s="1"/>
  <c r="L41" i="1" s="1"/>
  <c r="R32" i="22"/>
  <c r="O72" i="11"/>
  <c r="Q55" i="11"/>
  <c r="AA70" i="11"/>
  <c r="AB48" i="1" s="1"/>
  <c r="AC33" i="11"/>
  <c r="AD47" i="1" s="1"/>
  <c r="N34" i="11"/>
  <c r="O57" i="1" s="1"/>
  <c r="S33" i="11"/>
  <c r="T47" i="1" s="1"/>
  <c r="D31" i="11"/>
  <c r="E27" i="1" s="1"/>
  <c r="E31" i="1" s="1"/>
  <c r="E32" i="1" s="1"/>
  <c r="E33" i="1" s="1"/>
  <c r="E20" i="11"/>
  <c r="AP35" i="11"/>
  <c r="AQ67" i="1" s="1"/>
  <c r="P31" i="11"/>
  <c r="Q27" i="1" s="1"/>
  <c r="P34" i="11"/>
  <c r="Q57" i="1" s="1"/>
  <c r="P33" i="11"/>
  <c r="Q47" i="1" s="1"/>
  <c r="P20" i="11"/>
  <c r="H20" i="11"/>
  <c r="O31" i="11"/>
  <c r="P27" i="1" s="1"/>
  <c r="G31" i="11"/>
  <c r="G72" i="11"/>
  <c r="D35" i="11"/>
  <c r="E67" i="1" s="1"/>
  <c r="E71" i="1" s="1"/>
  <c r="E72" i="1" s="1"/>
  <c r="E33" i="11"/>
  <c r="F47" i="1" s="1"/>
  <c r="F51" i="1" s="1"/>
  <c r="G35" i="11"/>
  <c r="H67" i="1" s="1"/>
  <c r="H71" i="1" s="1"/>
  <c r="O34" i="11"/>
  <c r="P57" i="1" s="1"/>
  <c r="G34" i="11"/>
  <c r="H57" i="1" s="1"/>
  <c r="H61" i="1" s="1"/>
  <c r="G33" i="11"/>
  <c r="H47" i="1" s="1"/>
  <c r="H51" i="1" s="1"/>
  <c r="G32" i="11"/>
  <c r="H37" i="1" s="1"/>
  <c r="H41" i="1" s="1"/>
  <c r="AG20" i="11"/>
  <c r="V20" i="11"/>
  <c r="O70" i="11"/>
  <c r="R65" i="11"/>
  <c r="R70" i="11" s="1"/>
  <c r="S48" i="1" s="1"/>
  <c r="BX68" i="11"/>
  <c r="AX30" i="1" s="1"/>
  <c r="S34" i="11"/>
  <c r="T57" i="1" s="1"/>
  <c r="R32" i="11"/>
  <c r="S37" i="1" s="1"/>
  <c r="D33" i="11"/>
  <c r="E47" i="1" s="1"/>
  <c r="E51" i="1" s="1"/>
  <c r="E52" i="1" s="1"/>
  <c r="E53" i="1" s="1"/>
  <c r="E54" i="1" s="1"/>
  <c r="F65" i="11"/>
  <c r="BW65" i="11"/>
  <c r="BW70" i="11" s="1"/>
  <c r="AW50" i="1" s="1"/>
  <c r="BW68" i="11"/>
  <c r="U35" i="11"/>
  <c r="V67" i="1" s="1"/>
  <c r="U20" i="11"/>
  <c r="J68" i="11"/>
  <c r="AN70" i="11"/>
  <c r="E32" i="11"/>
  <c r="F37" i="1" s="1"/>
  <c r="F41" i="1" s="1"/>
  <c r="F35" i="11"/>
  <c r="G67" i="1" s="1"/>
  <c r="G71" i="1" s="1"/>
  <c r="O71" i="11"/>
  <c r="M68" i="11"/>
  <c r="F12" i="22"/>
  <c r="M31" i="11"/>
  <c r="N27" i="1" s="1"/>
  <c r="N31" i="1" s="1"/>
  <c r="J31" i="11"/>
  <c r="K27" i="1" s="1"/>
  <c r="K31" i="1" s="1"/>
  <c r="K31" i="11"/>
  <c r="L27" i="1" s="1"/>
  <c r="L31" i="1" s="1"/>
  <c r="Q5" i="22"/>
  <c r="M72" i="11"/>
  <c r="I65" i="11"/>
  <c r="AD69" i="11"/>
  <c r="AE38" i="1" s="1"/>
  <c r="H27" i="1"/>
  <c r="H31" i="1" s="1"/>
  <c r="P32" i="11"/>
  <c r="Q37" i="1" s="1"/>
  <c r="X35" i="11"/>
  <c r="Y67" i="1" s="1"/>
  <c r="AD20" i="11"/>
  <c r="F34" i="11"/>
  <c r="G57" i="1" s="1"/>
  <c r="G61" i="1" s="1"/>
  <c r="AC34" i="11"/>
  <c r="AD57" i="1" s="1"/>
  <c r="Q31" i="11"/>
  <c r="R27" i="1" s="1"/>
  <c r="V31" i="11"/>
  <c r="AD31" i="11"/>
  <c r="AE27" i="1" s="1"/>
  <c r="W35" i="11"/>
  <c r="X67" i="1" s="1"/>
  <c r="M32" i="11"/>
  <c r="N37" i="1" s="1"/>
  <c r="N41" i="1" s="1"/>
  <c r="AD32" i="11"/>
  <c r="AE37" i="1" s="1"/>
  <c r="Q34" i="11"/>
  <c r="R57" i="1" s="1"/>
  <c r="AC20" i="11"/>
  <c r="AD35" i="11"/>
  <c r="AE67" i="1" s="1"/>
  <c r="R35" i="11"/>
  <c r="S67" i="1" s="1"/>
  <c r="Q32" i="11"/>
  <c r="R37" i="1" s="1"/>
  <c r="U34" i="11"/>
  <c r="V57" i="1" s="1"/>
  <c r="E35" i="11"/>
  <c r="Q35" i="11"/>
  <c r="R67" i="1" s="1"/>
  <c r="AX40" i="1"/>
  <c r="AX70" i="1"/>
  <c r="AR69" i="11"/>
  <c r="AS38" i="1" s="1"/>
  <c r="AS39" i="1" s="1"/>
  <c r="AS40" i="1" s="1"/>
  <c r="F19" i="22"/>
  <c r="F18" i="22"/>
  <c r="G18" i="22" s="1"/>
  <c r="J34" i="11"/>
  <c r="K57" i="1" s="1"/>
  <c r="K61" i="1" s="1"/>
  <c r="W31" i="11"/>
  <c r="X27" i="1" s="1"/>
  <c r="Y32" i="11"/>
  <c r="Z37" i="1" s="1"/>
  <c r="Y34" i="11"/>
  <c r="Z57" i="1" s="1"/>
  <c r="AA35" i="11"/>
  <c r="AB67" i="1" s="1"/>
  <c r="AB35" i="11"/>
  <c r="AC67" i="1" s="1"/>
  <c r="AR34" i="11"/>
  <c r="AS57" i="1" s="1"/>
  <c r="AJ33" i="11"/>
  <c r="AK47" i="1" s="1"/>
  <c r="Z34" i="11"/>
  <c r="AA57" i="1" s="1"/>
  <c r="AA20" i="11"/>
  <c r="W20" i="11"/>
  <c r="S20" i="11"/>
  <c r="O20" i="11"/>
  <c r="G20" i="11"/>
  <c r="W68" i="11"/>
  <c r="R34" i="11"/>
  <c r="S57" i="1" s="1"/>
  <c r="W32" i="11"/>
  <c r="X37" i="1" s="1"/>
  <c r="W33" i="11"/>
  <c r="X47" i="1" s="1"/>
  <c r="AA32" i="11"/>
  <c r="AB37" i="1" s="1"/>
  <c r="AB31" i="11"/>
  <c r="AC27" i="1" s="1"/>
  <c r="AQ34" i="11"/>
  <c r="AR57" i="1" s="1"/>
  <c r="Y35" i="11"/>
  <c r="Z67" i="1" s="1"/>
  <c r="I20" i="11"/>
  <c r="AH20" i="11"/>
  <c r="AB34" i="11"/>
  <c r="AC57" i="1" s="1"/>
  <c r="L34" i="11"/>
  <c r="M57" i="1" s="1"/>
  <c r="M61" i="1" s="1"/>
  <c r="H34" i="11"/>
  <c r="I57" i="1" s="1"/>
  <c r="I61" i="1" s="1"/>
  <c r="G73" i="11"/>
  <c r="AR68" i="11"/>
  <c r="AS28" i="1" s="1"/>
  <c r="AS29" i="1" s="1"/>
  <c r="AS30" i="1" s="1"/>
  <c r="Z69" i="11"/>
  <c r="AA38" i="1" s="1"/>
  <c r="P17" i="1"/>
  <c r="AC32" i="11"/>
  <c r="AD37" i="1" s="1"/>
  <c r="V33" i="11"/>
  <c r="W47" i="1" s="1"/>
  <c r="N31" i="11"/>
  <c r="O27" i="1" s="1"/>
  <c r="N33" i="11"/>
  <c r="O47" i="1" s="1"/>
  <c r="R31" i="11"/>
  <c r="S27" i="1" s="1"/>
  <c r="U32" i="11"/>
  <c r="V37" i="1" s="1"/>
  <c r="V35" i="11"/>
  <c r="W67" i="1" s="1"/>
  <c r="J32" i="11"/>
  <c r="K37" i="1" s="1"/>
  <c r="K41" i="1" s="1"/>
  <c r="J35" i="11"/>
  <c r="K67" i="1" s="1"/>
  <c r="K71" i="1" s="1"/>
  <c r="W34" i="11"/>
  <c r="X57" i="1" s="1"/>
  <c r="X32" i="11"/>
  <c r="Y37" i="1" s="1"/>
  <c r="AA31" i="11"/>
  <c r="AB27" i="1" s="1"/>
  <c r="AB32" i="11"/>
  <c r="AC37" i="1" s="1"/>
  <c r="AT33" i="11"/>
  <c r="AU47" i="1" s="1"/>
  <c r="AP31" i="11"/>
  <c r="AQ27" i="1" s="1"/>
  <c r="AL33" i="11"/>
  <c r="AM47" i="1" s="1"/>
  <c r="Y68" i="11"/>
  <c r="AH68" i="11"/>
  <c r="W69" i="11"/>
  <c r="X38" i="1" s="1"/>
  <c r="AA69" i="11"/>
  <c r="AB38" i="1" s="1"/>
  <c r="AN69" i="11"/>
  <c r="W70" i="11"/>
  <c r="X48" i="1" s="1"/>
  <c r="AR70" i="11"/>
  <c r="AS48" i="1" s="1"/>
  <c r="AS49" i="1" s="1"/>
  <c r="AS50" i="1" s="1"/>
  <c r="W71" i="11"/>
  <c r="X58" i="1" s="1"/>
  <c r="AA71" i="11"/>
  <c r="AB58" i="1" s="1"/>
  <c r="AB59" i="1" s="1"/>
  <c r="AB60" i="1" s="1"/>
  <c r="AB61" i="1" s="1"/>
  <c r="AN71" i="11"/>
  <c r="AR71" i="11"/>
  <c r="AS58" i="1" s="1"/>
  <c r="AS59" i="1" s="1"/>
  <c r="AS60" i="1" s="1"/>
  <c r="AA72" i="11"/>
  <c r="AB68" i="1" s="1"/>
  <c r="AN72" i="11"/>
  <c r="AR72" i="11"/>
  <c r="AS68" i="1" s="1"/>
  <c r="AS69" i="1" s="1"/>
  <c r="AC35" i="11"/>
  <c r="AD67" i="1" s="1"/>
  <c r="N35" i="11"/>
  <c r="O67" i="1" s="1"/>
  <c r="R33" i="11"/>
  <c r="S47" i="1" s="1"/>
  <c r="D20" i="11"/>
  <c r="AG34" i="11"/>
  <c r="AH57" i="1" s="1"/>
  <c r="V32" i="11"/>
  <c r="W37" i="1" s="1"/>
  <c r="R20" i="11"/>
  <c r="N20" i="11"/>
  <c r="J20" i="11"/>
  <c r="F32" i="11"/>
  <c r="AQ20" i="11"/>
  <c r="Y31" i="11"/>
  <c r="Z27" i="1" s="1"/>
  <c r="E73" i="11"/>
  <c r="Z68" i="11"/>
  <c r="AA28" i="1" s="1"/>
  <c r="AQ68" i="11"/>
  <c r="AR28" i="1" s="1"/>
  <c r="AR29" i="1" s="1"/>
  <c r="AR30" i="1" s="1"/>
  <c r="D65" i="11"/>
  <c r="P65" i="11"/>
  <c r="X65" i="11"/>
  <c r="AG65" i="11"/>
  <c r="AG71" i="11" s="1"/>
  <c r="AH58" i="1" s="1"/>
  <c r="AN38" i="1"/>
  <c r="F71" i="11"/>
  <c r="F69" i="11"/>
  <c r="F72" i="11"/>
  <c r="F70" i="11"/>
  <c r="K33" i="11"/>
  <c r="K20" i="11"/>
  <c r="E34" i="11"/>
  <c r="Z31" i="11"/>
  <c r="AA33" i="11"/>
  <c r="X34" i="11"/>
  <c r="Y57" i="1" s="1"/>
  <c r="X20" i="11"/>
  <c r="K72" i="11"/>
  <c r="K69" i="11"/>
  <c r="K71" i="11"/>
  <c r="K70" i="11"/>
  <c r="K68" i="11"/>
  <c r="AR73" i="11"/>
  <c r="V71" i="11"/>
  <c r="W58" i="1" s="1"/>
  <c r="V69" i="11"/>
  <c r="W38" i="1" s="1"/>
  <c r="V70" i="11"/>
  <c r="W48" i="1" s="1"/>
  <c r="V72" i="11"/>
  <c r="W68" i="1" s="1"/>
  <c r="P71" i="11"/>
  <c r="P70" i="11"/>
  <c r="P72" i="11"/>
  <c r="P68" i="11"/>
  <c r="W27" i="1"/>
  <c r="O33" i="11"/>
  <c r="Y20" i="11"/>
  <c r="Z33" i="11"/>
  <c r="AA47" i="1" s="1"/>
  <c r="X31" i="11"/>
  <c r="X33" i="11"/>
  <c r="Y47" i="1" s="1"/>
  <c r="L33" i="11"/>
  <c r="M47" i="1" s="1"/>
  <c r="M51" i="1" s="1"/>
  <c r="L35" i="11"/>
  <c r="M67" i="1" s="1"/>
  <c r="M71" i="1" s="1"/>
  <c r="H33" i="11"/>
  <c r="I47" i="1" s="1"/>
  <c r="I51" i="1" s="1"/>
  <c r="H32" i="11"/>
  <c r="I37" i="1" s="1"/>
  <c r="I41" i="1" s="1"/>
  <c r="F68" i="11"/>
  <c r="S71" i="11"/>
  <c r="T58" i="1" s="1"/>
  <c r="S68" i="11"/>
  <c r="S69" i="11"/>
  <c r="T38" i="1" s="1"/>
  <c r="S70" i="11"/>
  <c r="T48" i="1" s="1"/>
  <c r="X28" i="1"/>
  <c r="W73" i="11"/>
  <c r="N70" i="11"/>
  <c r="N72" i="11"/>
  <c r="N71" i="11"/>
  <c r="N69" i="11"/>
  <c r="Z28" i="1"/>
  <c r="AC65" i="11"/>
  <c r="S36" i="11"/>
  <c r="Z35" i="11"/>
  <c r="AA67" i="1" s="1"/>
  <c r="Z32" i="11"/>
  <c r="AA37" i="1" s="1"/>
  <c r="AM20" i="11"/>
  <c r="T20" i="11"/>
  <c r="L31" i="11"/>
  <c r="L20" i="11"/>
  <c r="H31" i="11"/>
  <c r="O73" i="11"/>
  <c r="V68" i="11"/>
  <c r="S72" i="11"/>
  <c r="T68" i="1" s="1"/>
  <c r="AE28" i="1"/>
  <c r="U68" i="11"/>
  <c r="U69" i="11"/>
  <c r="V38" i="1" s="1"/>
  <c r="U72" i="11"/>
  <c r="V68" i="1" s="1"/>
  <c r="U71" i="11"/>
  <c r="V58" i="1" s="1"/>
  <c r="AU20" i="11"/>
  <c r="AI35" i="11"/>
  <c r="AJ67" i="1" s="1"/>
  <c r="AH35" i="11"/>
  <c r="AI67" i="1" s="1"/>
  <c r="AO34" i="11"/>
  <c r="AP57" i="1" s="1"/>
  <c r="AH31" i="11"/>
  <c r="AI27" i="1" s="1"/>
  <c r="AM68" i="11"/>
  <c r="T65" i="11"/>
  <c r="T68" i="11" s="1"/>
  <c r="AB65" i="11"/>
  <c r="AB72" i="11" s="1"/>
  <c r="AC68" i="1" s="1"/>
  <c r="AO65" i="11"/>
  <c r="AO71" i="11" s="1"/>
  <c r="AP58" i="1" s="1"/>
  <c r="T70" i="11"/>
  <c r="U48" i="1" s="1"/>
  <c r="X70" i="11"/>
  <c r="AB71" i="11"/>
  <c r="AC58" i="1" s="1"/>
  <c r="AG72" i="11"/>
  <c r="AH68" i="1" s="1"/>
  <c r="AS65" i="11"/>
  <c r="AS70" i="11" s="1"/>
  <c r="AH34" i="11"/>
  <c r="AI57" i="1" s="1"/>
  <c r="AH32" i="11"/>
  <c r="AI37" i="1" s="1"/>
  <c r="AU71" i="11"/>
  <c r="AV58" i="1" s="1"/>
  <c r="AV59" i="1" s="1"/>
  <c r="AV60" i="1" s="1"/>
  <c r="AU70" i="11"/>
  <c r="AU69" i="11"/>
  <c r="AV38" i="1" s="1"/>
  <c r="AV39" i="1" s="1"/>
  <c r="AV40" i="1" s="1"/>
  <c r="P69" i="11"/>
  <c r="M69" i="11"/>
  <c r="M71" i="11"/>
  <c r="H65" i="11"/>
  <c r="L65" i="11"/>
  <c r="AA68" i="11"/>
  <c r="AT69" i="11"/>
  <c r="AU38" i="1" s="1"/>
  <c r="AU39" i="1" s="1"/>
  <c r="AU40" i="1" s="1"/>
  <c r="Y70" i="11"/>
  <c r="Z48" i="1" s="1"/>
  <c r="AD70" i="11"/>
  <c r="AE48" i="1" s="1"/>
  <c r="Y71" i="11"/>
  <c r="Z58" i="1" s="1"/>
  <c r="AD71" i="11"/>
  <c r="AE58" i="1" s="1"/>
  <c r="AH71" i="11"/>
  <c r="AI58" i="1" s="1"/>
  <c r="Y72" i="11"/>
  <c r="Z68" i="1" s="1"/>
  <c r="AD72" i="11"/>
  <c r="AE68" i="1" s="1"/>
  <c r="AH72" i="11"/>
  <c r="AI68" i="1" s="1"/>
  <c r="AU68" i="11"/>
  <c r="AV28" i="1" s="1"/>
  <c r="AV29" i="1" s="1"/>
  <c r="AV30" i="1" s="1"/>
  <c r="D36" i="11"/>
  <c r="AO32" i="11"/>
  <c r="AP37" i="1" s="1"/>
  <c r="AQ69" i="11"/>
  <c r="AR38" i="1" s="1"/>
  <c r="AR39" i="1" s="1"/>
  <c r="AR40" i="1" s="1"/>
  <c r="Z70" i="11"/>
  <c r="AM70" i="11"/>
  <c r="AQ70" i="11"/>
  <c r="AR48" i="1" s="1"/>
  <c r="AR49" i="1" s="1"/>
  <c r="AR50" i="1" s="1"/>
  <c r="AM71" i="11"/>
  <c r="AQ71" i="11"/>
  <c r="AR58" i="1" s="1"/>
  <c r="AR59" i="1" s="1"/>
  <c r="AR60" i="1" s="1"/>
  <c r="AR61" i="1" s="1"/>
  <c r="Z72" i="11"/>
  <c r="AA68" i="1" s="1"/>
  <c r="AM72" i="11"/>
  <c r="AN68" i="1" s="1"/>
  <c r="AH69" i="11"/>
  <c r="AI38" i="1" s="1"/>
  <c r="AT65" i="11"/>
  <c r="AT71" i="11" s="1"/>
  <c r="AU58" i="1" s="1"/>
  <c r="AU59" i="1" s="1"/>
  <c r="AU60" i="1" s="1"/>
  <c r="AL65" i="11"/>
  <c r="AL69" i="11" s="1"/>
  <c r="AM38" i="1" s="1"/>
  <c r="AP72" i="11"/>
  <c r="AQ68" i="1" s="1"/>
  <c r="AQ69" i="1" s="1"/>
  <c r="AQ70" i="1" s="1"/>
  <c r="Q68" i="11"/>
  <c r="AG68" i="11"/>
  <c r="AH28" i="1" s="1"/>
  <c r="AI65" i="11"/>
  <c r="AI71" i="11" s="1"/>
  <c r="AJ58" i="1" s="1"/>
  <c r="AE65" i="11"/>
  <c r="AE72" i="11" s="1"/>
  <c r="AF68" i="1" s="1"/>
  <c r="AN68" i="11"/>
  <c r="AN73" i="11" s="1"/>
  <c r="AP68" i="11"/>
  <c r="AQ28" i="1" s="1"/>
  <c r="AQ29" i="1" s="1"/>
  <c r="AQ30" i="1" s="1"/>
  <c r="AF65" i="11"/>
  <c r="AF69" i="11" s="1"/>
  <c r="AG38" i="1" s="1"/>
  <c r="AT70" i="11"/>
  <c r="AV67" i="1"/>
  <c r="AU33" i="11"/>
  <c r="AV47" i="1" s="1"/>
  <c r="AU34" i="11"/>
  <c r="AV57" i="1" s="1"/>
  <c r="AU32" i="11"/>
  <c r="AV37" i="1" s="1"/>
  <c r="AU31" i="11"/>
  <c r="AV48" i="1"/>
  <c r="AV49" i="1" s="1"/>
  <c r="AV50" i="1" s="1"/>
  <c r="AV70" i="1"/>
  <c r="AT34" i="11"/>
  <c r="AU57" i="1" s="1"/>
  <c r="AT35" i="11"/>
  <c r="AU67" i="1" s="1"/>
  <c r="AT32" i="11"/>
  <c r="AU37" i="1" s="1"/>
  <c r="AT31" i="11"/>
  <c r="AU27" i="1" s="1"/>
  <c r="AU48" i="1"/>
  <c r="AU49" i="1" s="1"/>
  <c r="AU50" i="1" s="1"/>
  <c r="AU51" i="1" s="1"/>
  <c r="AS34" i="11"/>
  <c r="AT57" i="1" s="1"/>
  <c r="AS32" i="11"/>
  <c r="AT37" i="1" s="1"/>
  <c r="AS35" i="11"/>
  <c r="AT67" i="1" s="1"/>
  <c r="AS31" i="11"/>
  <c r="AT27" i="1" s="1"/>
  <c r="AS33" i="11"/>
  <c r="AT47" i="1" s="1"/>
  <c r="AT20" i="11"/>
  <c r="AT48" i="1"/>
  <c r="AR33" i="11"/>
  <c r="AS47" i="1" s="1"/>
  <c r="AR31" i="11"/>
  <c r="AS27" i="1" s="1"/>
  <c r="AR35" i="11"/>
  <c r="AS67" i="1" s="1"/>
  <c r="AR32" i="11"/>
  <c r="AS37" i="1" s="1"/>
  <c r="AS20" i="11"/>
  <c r="AQ33" i="11"/>
  <c r="AR47" i="1" s="1"/>
  <c r="AQ35" i="11"/>
  <c r="AR67" i="1" s="1"/>
  <c r="AQ32" i="11"/>
  <c r="AR37" i="1" s="1"/>
  <c r="AQ31" i="11"/>
  <c r="AR27" i="1" s="1"/>
  <c r="AR20" i="11"/>
  <c r="AR70" i="1"/>
  <c r="AP34" i="11"/>
  <c r="AQ57" i="1" s="1"/>
  <c r="AP33" i="11"/>
  <c r="AQ47" i="1" s="1"/>
  <c r="AP32" i="11"/>
  <c r="AQ37" i="1" s="1"/>
  <c r="AP71" i="11"/>
  <c r="AQ58" i="1" s="1"/>
  <c r="AQ59" i="1" s="1"/>
  <c r="AQ60" i="1" s="1"/>
  <c r="AP70" i="11"/>
  <c r="AQ48" i="1" s="1"/>
  <c r="AO31" i="11"/>
  <c r="AP27" i="1" s="1"/>
  <c r="AO35" i="11"/>
  <c r="AP67" i="1" s="1"/>
  <c r="AO33" i="11"/>
  <c r="AP47" i="1" s="1"/>
  <c r="AP20" i="11"/>
  <c r="AN32" i="11"/>
  <c r="AO37" i="1" s="1"/>
  <c r="AN35" i="11"/>
  <c r="AO67" i="1" s="1"/>
  <c r="AN33" i="11"/>
  <c r="AO47" i="1" s="1"/>
  <c r="AO20" i="11"/>
  <c r="AN31" i="11"/>
  <c r="AO27" i="1" s="1"/>
  <c r="AN34" i="11"/>
  <c r="AO57" i="1" s="1"/>
  <c r="AO68" i="1"/>
  <c r="AO69" i="1" s="1"/>
  <c r="AO58" i="1"/>
  <c r="AO48" i="1"/>
  <c r="AO49" i="1" s="1"/>
  <c r="AO50" i="1" s="1"/>
  <c r="AO38" i="1"/>
  <c r="AO39" i="1" s="1"/>
  <c r="AO40" i="1" s="1"/>
  <c r="AO28" i="1"/>
  <c r="AO29" i="1" s="1"/>
  <c r="AO30" i="1" s="1"/>
  <c r="AM31" i="11"/>
  <c r="AN27" i="1" s="1"/>
  <c r="AM34" i="11"/>
  <c r="AN57" i="1" s="1"/>
  <c r="AM33" i="11"/>
  <c r="AN47" i="1" s="1"/>
  <c r="AM32" i="11"/>
  <c r="AN37" i="1" s="1"/>
  <c r="AM35" i="11"/>
  <c r="AN67" i="1" s="1"/>
  <c r="AN20" i="11"/>
  <c r="G12" i="22"/>
  <c r="H12" i="22" s="1"/>
  <c r="R26" i="22"/>
  <c r="S26" i="22" s="1"/>
  <c r="Q27" i="22"/>
  <c r="Q28" i="22" s="1"/>
  <c r="Q29" i="22" s="1"/>
  <c r="Q34" i="22"/>
  <c r="Q35" i="22" s="1"/>
  <c r="Q36" i="22" s="1"/>
  <c r="Q19" i="22"/>
  <c r="Q18" i="22"/>
  <c r="R18" i="22" s="1"/>
  <c r="S18" i="22" s="1"/>
  <c r="T18" i="22" s="1"/>
  <c r="U18" i="22" s="1"/>
  <c r="V18" i="22" s="1"/>
  <c r="P34" i="22"/>
  <c r="P35" i="22" s="1"/>
  <c r="P36" i="22" s="1"/>
  <c r="AL34" i="11"/>
  <c r="AM57" i="1" s="1"/>
  <c r="AL32" i="11"/>
  <c r="AM37" i="1" s="1"/>
  <c r="AL31" i="11"/>
  <c r="AM27" i="1" s="1"/>
  <c r="O91" i="1"/>
  <c r="O92" i="1" s="1"/>
  <c r="P89" i="1" s="1"/>
  <c r="E12" i="1"/>
  <c r="E13" i="1" s="1"/>
  <c r="F10" i="1" s="1"/>
  <c r="F12" i="1" s="1"/>
  <c r="F13" i="1" s="1"/>
  <c r="T16" i="1"/>
  <c r="E17" i="22"/>
  <c r="E22" i="22" s="1"/>
  <c r="Q17" i="1"/>
  <c r="Y81" i="1"/>
  <c r="Y82" i="1" s="1"/>
  <c r="Z79" i="1" s="1"/>
  <c r="Z81" i="1" s="1"/>
  <c r="Z82" i="1" s="1"/>
  <c r="AA79" i="1" s="1"/>
  <c r="AA81" i="1" s="1"/>
  <c r="AA82" i="1" s="1"/>
  <c r="AB79" i="1" s="1"/>
  <c r="AB81" i="1" s="1"/>
  <c r="AB82" i="1" s="1"/>
  <c r="AC79" i="1" s="1"/>
  <c r="AC81" i="1" s="1"/>
  <c r="AC82" i="1" s="1"/>
  <c r="AD79" i="1" s="1"/>
  <c r="AD81" i="1" s="1"/>
  <c r="AD82" i="1" s="1"/>
  <c r="AE79" i="1" s="1"/>
  <c r="AE81" i="1" s="1"/>
  <c r="AE82" i="1" s="1"/>
  <c r="AF79" i="1" s="1"/>
  <c r="AF81" i="1" s="1"/>
  <c r="AF82" i="1" s="1"/>
  <c r="AG79" i="1" s="1"/>
  <c r="AG81" i="1" s="1"/>
  <c r="AG82" i="1" s="1"/>
  <c r="Y80" i="1"/>
  <c r="C8" i="22"/>
  <c r="O29" i="1" s="1"/>
  <c r="O30" i="1" s="1"/>
  <c r="O31" i="1" s="1"/>
  <c r="O101" i="1"/>
  <c r="O102" i="1"/>
  <c r="E43" i="1"/>
  <c r="E44" i="1" s="1"/>
  <c r="N71" i="1"/>
  <c r="AL20" i="11"/>
  <c r="AK31" i="11"/>
  <c r="AL27" i="1" s="1"/>
  <c r="AK35" i="11"/>
  <c r="AL67" i="1" s="1"/>
  <c r="AK33" i="11"/>
  <c r="AL47" i="1" s="1"/>
  <c r="AK34" i="11"/>
  <c r="AL57" i="1" s="1"/>
  <c r="AK32" i="11"/>
  <c r="AL37" i="1" s="1"/>
  <c r="AK20" i="11"/>
  <c r="AL35" i="11"/>
  <c r="J21" i="27"/>
  <c r="J22" i="27" s="1"/>
  <c r="J73" i="27"/>
  <c r="AK65" i="11"/>
  <c r="AK70" i="11" s="1"/>
  <c r="AL48" i="1" s="1"/>
  <c r="AJ32" i="11"/>
  <c r="AK37" i="1" s="1"/>
  <c r="AJ35" i="11"/>
  <c r="AK67" i="1" s="1"/>
  <c r="AJ31" i="11"/>
  <c r="AK27" i="1" s="1"/>
  <c r="AJ65" i="11"/>
  <c r="AJ72" i="11" s="1"/>
  <c r="AK68" i="1" s="1"/>
  <c r="AI31" i="11"/>
  <c r="AJ27" i="1" s="1"/>
  <c r="AJ20" i="11"/>
  <c r="AI32" i="11"/>
  <c r="AJ37" i="1" s="1"/>
  <c r="AI34" i="11"/>
  <c r="AJ57" i="1" s="1"/>
  <c r="AI33" i="11"/>
  <c r="AJ47" i="1" s="1"/>
  <c r="AJ34" i="11"/>
  <c r="AH33" i="11"/>
  <c r="AI47" i="1" s="1"/>
  <c r="AI20" i="11"/>
  <c r="I26" i="22"/>
  <c r="P13" i="22"/>
  <c r="P14" i="22" s="1"/>
  <c r="P15" i="22" s="1"/>
  <c r="G32" i="22"/>
  <c r="H32" i="22" s="1"/>
  <c r="P20" i="22"/>
  <c r="P21" i="22" s="1"/>
  <c r="P22" i="22" s="1"/>
  <c r="S25" i="22"/>
  <c r="T25" i="22" s="1"/>
  <c r="U25" i="22" s="1"/>
  <c r="V25" i="22" s="1"/>
  <c r="W25" i="22" s="1"/>
  <c r="X25" i="22" s="1"/>
  <c r="C36" i="22"/>
  <c r="Q13" i="22"/>
  <c r="Q14" i="22" s="1"/>
  <c r="Q15" i="22" s="1"/>
  <c r="R12" i="22"/>
  <c r="F11" i="22"/>
  <c r="E13" i="22"/>
  <c r="E14" i="22" s="1"/>
  <c r="E15" i="22" s="1"/>
  <c r="C15" i="22"/>
  <c r="S4" i="22"/>
  <c r="T4" i="22" s="1"/>
  <c r="U4" i="22" s="1"/>
  <c r="V4" i="22" s="1"/>
  <c r="S32" i="22"/>
  <c r="G25" i="22"/>
  <c r="F27" i="22"/>
  <c r="F28" i="22" s="1"/>
  <c r="F29" i="22" s="1"/>
  <c r="F4" i="22"/>
  <c r="G4" i="22" s="1"/>
  <c r="F5" i="22"/>
  <c r="G5" i="22" s="1"/>
  <c r="F33" i="22"/>
  <c r="G33" i="22" s="1"/>
  <c r="D15" i="22"/>
  <c r="C22" i="22"/>
  <c r="C29" i="22"/>
  <c r="D8" i="22"/>
  <c r="D36" i="22"/>
  <c r="D22" i="22"/>
  <c r="D29" i="22"/>
  <c r="E8" i="22"/>
  <c r="E36" i="22"/>
  <c r="E29" i="22"/>
  <c r="AI28" i="1"/>
  <c r="AG32" i="11"/>
  <c r="AH37" i="1" s="1"/>
  <c r="AG31" i="11"/>
  <c r="AH27" i="1" s="1"/>
  <c r="AG35" i="11"/>
  <c r="AH67" i="1" s="1"/>
  <c r="AG33" i="11"/>
  <c r="AH47" i="1" s="1"/>
  <c r="AG70" i="11"/>
  <c r="AH48" i="1" s="1"/>
  <c r="AG69" i="11"/>
  <c r="AH38" i="1" s="1"/>
  <c r="AF35" i="11"/>
  <c r="AG67" i="1" s="1"/>
  <c r="AF32" i="11"/>
  <c r="AG37" i="1" s="1"/>
  <c r="AF33" i="11"/>
  <c r="AG47" i="1" s="1"/>
  <c r="AF31" i="11"/>
  <c r="AG27" i="1" s="1"/>
  <c r="AF34" i="11"/>
  <c r="AG57" i="1" s="1"/>
  <c r="E63" i="1"/>
  <c r="E64" i="1" s="1"/>
  <c r="AE35" i="11"/>
  <c r="AF67" i="1" s="1"/>
  <c r="AE31" i="11"/>
  <c r="AF27" i="1" s="1"/>
  <c r="AE32" i="11"/>
  <c r="AF37" i="1" s="1"/>
  <c r="AE33" i="11"/>
  <c r="AF47" i="1" s="1"/>
  <c r="AE34" i="11"/>
  <c r="AF57" i="1" s="1"/>
  <c r="E73" i="1"/>
  <c r="U16" i="1" l="1"/>
  <c r="J16" i="1"/>
  <c r="I36" i="11"/>
  <c r="T36" i="11"/>
  <c r="AD16" i="1"/>
  <c r="Q16" i="1"/>
  <c r="W16" i="1"/>
  <c r="F27" i="1"/>
  <c r="F31" i="1" s="1"/>
  <c r="Z16" i="1"/>
  <c r="O93" i="1"/>
  <c r="X16" i="1"/>
  <c r="X17" i="1"/>
  <c r="V16" i="1"/>
  <c r="H20" i="1"/>
  <c r="S16" i="1"/>
  <c r="H16" i="1"/>
  <c r="O16" i="1"/>
  <c r="AS61" i="1"/>
  <c r="AS31" i="1"/>
  <c r="AE16" i="1"/>
  <c r="F42" i="1"/>
  <c r="F43" i="1" s="1"/>
  <c r="F44" i="1" s="1"/>
  <c r="F52" i="1"/>
  <c r="F53" i="1" s="1"/>
  <c r="F54" i="1" s="1"/>
  <c r="G52" i="1" s="1"/>
  <c r="G53" i="1" s="1"/>
  <c r="G54" i="1" s="1"/>
  <c r="J20" i="1"/>
  <c r="E20" i="1"/>
  <c r="BX73" i="11"/>
  <c r="AS18" i="1"/>
  <c r="F20" i="22"/>
  <c r="F21" i="22" s="1"/>
  <c r="F22" i="22" s="1"/>
  <c r="R49" i="1" s="1"/>
  <c r="R50" i="1" s="1"/>
  <c r="R51" i="1" s="1"/>
  <c r="G19" i="22"/>
  <c r="H19" i="22" s="1"/>
  <c r="I19" i="22" s="1"/>
  <c r="J19" i="22" s="1"/>
  <c r="R34" i="22"/>
  <c r="R35" i="22" s="1"/>
  <c r="R36" i="22" s="1"/>
  <c r="AS41" i="1"/>
  <c r="AS70" i="1"/>
  <c r="AS71" i="1" s="1"/>
  <c r="AU61" i="1"/>
  <c r="AX19" i="1"/>
  <c r="E21" i="1"/>
  <c r="E22" i="1" s="1"/>
  <c r="E16" i="1"/>
  <c r="U36" i="11"/>
  <c r="AR31" i="1"/>
  <c r="N36" i="11"/>
  <c r="R36" i="11"/>
  <c r="W36" i="11"/>
  <c r="AD36" i="11"/>
  <c r="G36" i="11"/>
  <c r="F36" i="11"/>
  <c r="P36" i="11"/>
  <c r="AS17" i="1"/>
  <c r="AE17" i="1"/>
  <c r="T69" i="11"/>
  <c r="U38" i="1" s="1"/>
  <c r="BW71" i="11"/>
  <c r="AW60" i="1" s="1"/>
  <c r="R71" i="11"/>
  <c r="S58" i="1" s="1"/>
  <c r="R69" i="11"/>
  <c r="S38" i="1" s="1"/>
  <c r="S34" i="22"/>
  <c r="S35" i="22" s="1"/>
  <c r="S36" i="22" s="1"/>
  <c r="AE69" i="1" s="1"/>
  <c r="AE70" i="1" s="1"/>
  <c r="T71" i="11"/>
  <c r="U58" i="1" s="1"/>
  <c r="AW30" i="1"/>
  <c r="BW69" i="11"/>
  <c r="AW40" i="1" s="1"/>
  <c r="R16" i="1"/>
  <c r="I69" i="11"/>
  <c r="I68" i="11"/>
  <c r="I72" i="11"/>
  <c r="I71" i="11"/>
  <c r="I70" i="11"/>
  <c r="R68" i="11"/>
  <c r="K20" i="1"/>
  <c r="AC16" i="1"/>
  <c r="AX17" i="1"/>
  <c r="Q6" i="22"/>
  <c r="Q7" i="22" s="1"/>
  <c r="Q8" i="22" s="1"/>
  <c r="R5" i="22"/>
  <c r="R72" i="11"/>
  <c r="S68" i="1" s="1"/>
  <c r="J73" i="11"/>
  <c r="AS51" i="1"/>
  <c r="BW72" i="11"/>
  <c r="F67" i="1"/>
  <c r="AR17" i="1"/>
  <c r="Z17" i="1"/>
  <c r="G37" i="1"/>
  <c r="AC36" i="11"/>
  <c r="N16" i="1"/>
  <c r="M36" i="11"/>
  <c r="AV61" i="1"/>
  <c r="Q36" i="11"/>
  <c r="E36" i="11"/>
  <c r="F57" i="1"/>
  <c r="F61" i="1" s="1"/>
  <c r="F62" i="1" s="1"/>
  <c r="F63" i="1" s="1"/>
  <c r="F64" i="1" s="1"/>
  <c r="AF36" i="11"/>
  <c r="AL36" i="11"/>
  <c r="K16" i="1"/>
  <c r="AB36" i="11"/>
  <c r="N20" i="1"/>
  <c r="AR51" i="1"/>
  <c r="AV27" i="1"/>
  <c r="AV16" i="1" s="1"/>
  <c r="AX18" i="1"/>
  <c r="AO41" i="1"/>
  <c r="AO17" i="1"/>
  <c r="AI70" i="11"/>
  <c r="AJ48" i="1" s="1"/>
  <c r="AO68" i="11"/>
  <c r="AP28" i="1" s="1"/>
  <c r="AP29" i="1" s="1"/>
  <c r="AP30" i="1" s="1"/>
  <c r="AP31" i="1" s="1"/>
  <c r="AT72" i="11"/>
  <c r="AU68" i="1" s="1"/>
  <c r="AU69" i="1" s="1"/>
  <c r="AU70" i="1" s="1"/>
  <c r="AU71" i="1" s="1"/>
  <c r="AL71" i="11"/>
  <c r="AM58" i="1" s="1"/>
  <c r="AL70" i="11"/>
  <c r="AM48" i="1" s="1"/>
  <c r="AS72" i="11"/>
  <c r="AT68" i="1" s="1"/>
  <c r="AT69" i="1" s="1"/>
  <c r="AT70" i="1" s="1"/>
  <c r="AT71" i="1" s="1"/>
  <c r="Y36" i="11"/>
  <c r="AS69" i="11"/>
  <c r="AT38" i="1" s="1"/>
  <c r="AT39" i="1" s="1"/>
  <c r="AT40" i="1" s="1"/>
  <c r="AT41" i="1" s="1"/>
  <c r="D70" i="11"/>
  <c r="D69" i="11"/>
  <c r="D68" i="11"/>
  <c r="D72" i="11"/>
  <c r="D71" i="11"/>
  <c r="AQ61" i="1"/>
  <c r="AT36" i="11"/>
  <c r="AR41" i="1"/>
  <c r="AO72" i="11"/>
  <c r="AP68" i="1" s="1"/>
  <c r="AP69" i="1" s="1"/>
  <c r="AP70" i="1" s="1"/>
  <c r="AP71" i="1" s="1"/>
  <c r="AO70" i="11"/>
  <c r="AP48" i="1" s="1"/>
  <c r="AP49" i="1" s="1"/>
  <c r="AP50" i="1" s="1"/>
  <c r="AP51" i="1" s="1"/>
  <c r="AO69" i="11"/>
  <c r="AP38" i="1" s="1"/>
  <c r="AP39" i="1" s="1"/>
  <c r="AP40" i="1" s="1"/>
  <c r="AP41" i="1" s="1"/>
  <c r="AD73" i="11"/>
  <c r="N73" i="11"/>
  <c r="K73" i="11"/>
  <c r="J36" i="11"/>
  <c r="V36" i="11"/>
  <c r="AI69" i="11"/>
  <c r="AJ38" i="1" s="1"/>
  <c r="AU41" i="1"/>
  <c r="AT68" i="11"/>
  <c r="AU28" i="1" s="1"/>
  <c r="AU29" i="1" s="1"/>
  <c r="AU30" i="1" s="1"/>
  <c r="AU31" i="1" s="1"/>
  <c r="X72" i="11"/>
  <c r="Y68" i="1" s="1"/>
  <c r="X71" i="11"/>
  <c r="Y58" i="1" s="1"/>
  <c r="X69" i="11"/>
  <c r="Y38" i="1" s="1"/>
  <c r="X68" i="11"/>
  <c r="Y28" i="1" s="1"/>
  <c r="AP59" i="1"/>
  <c r="AP60" i="1" s="1"/>
  <c r="AP61" i="1" s="1"/>
  <c r="AN48" i="1"/>
  <c r="L69" i="11"/>
  <c r="L71" i="11"/>
  <c r="L68" i="11"/>
  <c r="L72" i="11"/>
  <c r="AB70" i="11"/>
  <c r="AC48" i="1" s="1"/>
  <c r="AK36" i="11"/>
  <c r="AQ16" i="1"/>
  <c r="AV18" i="1"/>
  <c r="AN58" i="1"/>
  <c r="AB68" i="11"/>
  <c r="H70" i="11"/>
  <c r="H72" i="11"/>
  <c r="H68" i="11"/>
  <c r="H69" i="11"/>
  <c r="H71" i="11"/>
  <c r="AB69" i="11"/>
  <c r="AC38" i="1" s="1"/>
  <c r="AC39" i="1" s="1"/>
  <c r="AC40" i="1" s="1"/>
  <c r="AC41" i="1" s="1"/>
  <c r="AN28" i="1"/>
  <c r="AM73" i="11"/>
  <c r="I27" i="1"/>
  <c r="H36" i="11"/>
  <c r="AF71" i="11"/>
  <c r="AG58" i="1" s="1"/>
  <c r="F73" i="11"/>
  <c r="L70" i="11"/>
  <c r="R28" i="1"/>
  <c r="R17" i="1" s="1"/>
  <c r="Q73" i="11"/>
  <c r="AF72" i="11"/>
  <c r="AG68" i="1" s="1"/>
  <c r="AH36" i="11"/>
  <c r="AG36" i="11"/>
  <c r="AG73" i="11"/>
  <c r="AK69" i="11"/>
  <c r="AL38" i="1" s="1"/>
  <c r="R27" i="22"/>
  <c r="R28" i="22" s="1"/>
  <c r="R29" i="22" s="1"/>
  <c r="AO51" i="1"/>
  <c r="AO16" i="1"/>
  <c r="AQ17" i="1"/>
  <c r="AQ31" i="1"/>
  <c r="AR18" i="1"/>
  <c r="AV51" i="1"/>
  <c r="AL72" i="11"/>
  <c r="AM68" i="1" s="1"/>
  <c r="AL68" i="11"/>
  <c r="AI72" i="11"/>
  <c r="AJ68" i="1" s="1"/>
  <c r="AE71" i="11"/>
  <c r="AF58" i="1" s="1"/>
  <c r="AE70" i="11"/>
  <c r="AF48" i="1" s="1"/>
  <c r="AE69" i="11"/>
  <c r="AF38" i="1" s="1"/>
  <c r="AF68" i="11"/>
  <c r="AI68" i="11"/>
  <c r="AC72" i="11"/>
  <c r="AD68" i="1" s="1"/>
  <c r="AC69" i="11"/>
  <c r="AD38" i="1" s="1"/>
  <c r="AC68" i="11"/>
  <c r="AC71" i="11"/>
  <c r="AD58" i="1" s="1"/>
  <c r="AF70" i="11"/>
  <c r="AG48" i="1" s="1"/>
  <c r="T72" i="11"/>
  <c r="U68" i="1" s="1"/>
  <c r="P73" i="11"/>
  <c r="AE68" i="11"/>
  <c r="Y73" i="11"/>
  <c r="AA27" i="1"/>
  <c r="AA16" i="1" s="1"/>
  <c r="Z36" i="11"/>
  <c r="AH73" i="11"/>
  <c r="AI16" i="1"/>
  <c r="AM36" i="11"/>
  <c r="AO73" i="11"/>
  <c r="AQ36" i="11"/>
  <c r="AQ73" i="11"/>
  <c r="AS36" i="11"/>
  <c r="AT16" i="1"/>
  <c r="AU73" i="11"/>
  <c r="AV41" i="1"/>
  <c r="AA48" i="1"/>
  <c r="AA17" i="1" s="1"/>
  <c r="Z73" i="11"/>
  <c r="AB28" i="1"/>
  <c r="AA73" i="11"/>
  <c r="M73" i="11"/>
  <c r="AS71" i="11"/>
  <c r="AT58" i="1" s="1"/>
  <c r="Y48" i="1"/>
  <c r="X73" i="11"/>
  <c r="U28" i="1"/>
  <c r="T73" i="11"/>
  <c r="V28" i="1"/>
  <c r="V17" i="1" s="1"/>
  <c r="U73" i="11"/>
  <c r="W28" i="1"/>
  <c r="W17" i="1" s="1"/>
  <c r="V73" i="11"/>
  <c r="M27" i="1"/>
  <c r="M31" i="1" s="1"/>
  <c r="M20" i="1" s="1"/>
  <c r="L36" i="11"/>
  <c r="AC70" i="11"/>
  <c r="AD48" i="1" s="1"/>
  <c r="AS68" i="11"/>
  <c r="T28" i="1"/>
  <c r="T17" i="1" s="1"/>
  <c r="S73" i="11"/>
  <c r="Y27" i="1"/>
  <c r="Y16" i="1" s="1"/>
  <c r="X36" i="11"/>
  <c r="P47" i="1"/>
  <c r="P16" i="1" s="1"/>
  <c r="O36" i="11"/>
  <c r="AB47" i="1"/>
  <c r="AB16" i="1" s="1"/>
  <c r="AA36" i="11"/>
  <c r="L47" i="1"/>
  <c r="K36" i="11"/>
  <c r="AU36" i="11"/>
  <c r="AV19" i="1"/>
  <c r="AV71" i="1"/>
  <c r="AV17" i="1"/>
  <c r="AU16" i="1"/>
  <c r="AT49" i="1"/>
  <c r="AR36" i="11"/>
  <c r="AS16" i="1"/>
  <c r="AR16" i="1"/>
  <c r="AR19" i="1"/>
  <c r="AR71" i="1"/>
  <c r="AQ41" i="1"/>
  <c r="AP36" i="11"/>
  <c r="AQ49" i="1"/>
  <c r="AP73" i="11"/>
  <c r="AQ71" i="1"/>
  <c r="AP16" i="1"/>
  <c r="AO36" i="11"/>
  <c r="AO31" i="1"/>
  <c r="AN36" i="11"/>
  <c r="AO59" i="1"/>
  <c r="AO60" i="1" s="1"/>
  <c r="AO61" i="1" s="1"/>
  <c r="AO70" i="1"/>
  <c r="AN16" i="1"/>
  <c r="AC59" i="1"/>
  <c r="AC60" i="1" s="1"/>
  <c r="AC61" i="1" s="1"/>
  <c r="Z11" i="22"/>
  <c r="T26" i="22"/>
  <c r="U26" i="22" s="1"/>
  <c r="U27" i="22" s="1"/>
  <c r="U28" i="22" s="1"/>
  <c r="U29" i="22" s="1"/>
  <c r="S27" i="22"/>
  <c r="S28" i="22" s="1"/>
  <c r="S29" i="22" s="1"/>
  <c r="T32" i="22"/>
  <c r="T34" i="22" s="1"/>
  <c r="T35" i="22" s="1"/>
  <c r="T36" i="22" s="1"/>
  <c r="Q20" i="22"/>
  <c r="Q21" i="22" s="1"/>
  <c r="Q22" i="22" s="1"/>
  <c r="AB49" i="1"/>
  <c r="AB50" i="1" s="1"/>
  <c r="Y25" i="22"/>
  <c r="R59" i="1"/>
  <c r="R60" i="1" s="1"/>
  <c r="R61" i="1" s="1"/>
  <c r="H18" i="22"/>
  <c r="I18" i="22" s="1"/>
  <c r="J18" i="22" s="1"/>
  <c r="AB69" i="1"/>
  <c r="AB70" i="1" s="1"/>
  <c r="AB71" i="1" s="1"/>
  <c r="AB39" i="1"/>
  <c r="AB40" i="1" s="1"/>
  <c r="AB41" i="1" s="1"/>
  <c r="AC69" i="1"/>
  <c r="AC70" i="1" s="1"/>
  <c r="AC71" i="1" s="1"/>
  <c r="R19" i="22"/>
  <c r="AM67" i="1"/>
  <c r="AM16" i="1" s="1"/>
  <c r="P91" i="1"/>
  <c r="P92" i="1" s="1"/>
  <c r="Q89" i="1" s="1"/>
  <c r="Q91" i="1" s="1"/>
  <c r="Q92" i="1" s="1"/>
  <c r="R89" i="1" s="1"/>
  <c r="R91" i="1" s="1"/>
  <c r="R92" i="1" s="1"/>
  <c r="S89" i="1" s="1"/>
  <c r="S91" i="1" s="1"/>
  <c r="S92" i="1" s="1"/>
  <c r="T89" i="1" s="1"/>
  <c r="T91" i="1" s="1"/>
  <c r="T92" i="1" s="1"/>
  <c r="U89" i="1" s="1"/>
  <c r="U91" i="1" s="1"/>
  <c r="U92" i="1" s="1"/>
  <c r="V89" i="1" s="1"/>
  <c r="V91" i="1" s="1"/>
  <c r="V92" i="1" s="1"/>
  <c r="W89" i="1" s="1"/>
  <c r="W91" i="1" s="1"/>
  <c r="W92" i="1" s="1"/>
  <c r="X89" i="1" s="1"/>
  <c r="X91" i="1" s="1"/>
  <c r="X92" i="1" s="1"/>
  <c r="Y89" i="1" s="1"/>
  <c r="Y91" i="1" s="1"/>
  <c r="Y92" i="1" s="1"/>
  <c r="Z89" i="1" s="1"/>
  <c r="Z91" i="1" s="1"/>
  <c r="Z92" i="1" s="1"/>
  <c r="AA89" i="1" s="1"/>
  <c r="AA91" i="1" s="1"/>
  <c r="AA92" i="1" s="1"/>
  <c r="AB89" i="1" s="1"/>
  <c r="AB91" i="1" s="1"/>
  <c r="AB92" i="1" s="1"/>
  <c r="AC89" i="1" s="1"/>
  <c r="AC91" i="1" s="1"/>
  <c r="AC92" i="1" s="1"/>
  <c r="AD89" i="1" s="1"/>
  <c r="AD91" i="1" s="1"/>
  <c r="AD92" i="1" s="1"/>
  <c r="AE89" i="1" s="1"/>
  <c r="AE91" i="1" s="1"/>
  <c r="AE92" i="1" s="1"/>
  <c r="AF89" i="1" s="1"/>
  <c r="AF91" i="1" s="1"/>
  <c r="AF92" i="1" s="1"/>
  <c r="AG89" i="1" s="1"/>
  <c r="AG91" i="1" s="1"/>
  <c r="AG92" i="1" s="1"/>
  <c r="AH89" i="1" s="1"/>
  <c r="P93" i="1"/>
  <c r="AH79" i="1"/>
  <c r="AH81" i="1" s="1"/>
  <c r="AH82" i="1" s="1"/>
  <c r="P90" i="1"/>
  <c r="G10" i="1"/>
  <c r="G12" i="1" s="1"/>
  <c r="G13" i="1" s="1"/>
  <c r="Z80" i="1"/>
  <c r="AA80" i="1" s="1"/>
  <c r="AB80" i="1" s="1"/>
  <c r="AC80" i="1" s="1"/>
  <c r="AD80" i="1" s="1"/>
  <c r="AE80" i="1" s="1"/>
  <c r="AF80" i="1" s="1"/>
  <c r="AG80" i="1" s="1"/>
  <c r="F11" i="1"/>
  <c r="AH16" i="1"/>
  <c r="Q39" i="1"/>
  <c r="Q40" i="1" s="1"/>
  <c r="Q41" i="1" s="1"/>
  <c r="Q49" i="1"/>
  <c r="Q50" i="1" s="1"/>
  <c r="Q51" i="1" s="1"/>
  <c r="Q69" i="1"/>
  <c r="P49" i="1"/>
  <c r="P50" i="1" s="1"/>
  <c r="O59" i="1"/>
  <c r="O60" i="1" s="1"/>
  <c r="O61" i="1" s="1"/>
  <c r="AH17" i="1"/>
  <c r="Q29" i="1"/>
  <c r="Q30" i="1" s="1"/>
  <c r="Q31" i="1" s="1"/>
  <c r="P69" i="1"/>
  <c r="P39" i="1"/>
  <c r="P40" i="1" s="1"/>
  <c r="P41" i="1" s="1"/>
  <c r="O49" i="1"/>
  <c r="O50" i="1" s="1"/>
  <c r="O51" i="1" s="1"/>
  <c r="Q59" i="1"/>
  <c r="Q60" i="1" s="1"/>
  <c r="Q61" i="1" s="1"/>
  <c r="P59" i="1"/>
  <c r="P60" i="1" s="1"/>
  <c r="P61" i="1" s="1"/>
  <c r="P29" i="1"/>
  <c r="P30" i="1" s="1"/>
  <c r="P31" i="1" s="1"/>
  <c r="O39" i="1"/>
  <c r="O40" i="1" s="1"/>
  <c r="O41" i="1" s="1"/>
  <c r="O69" i="1"/>
  <c r="O70" i="1" s="1"/>
  <c r="O71" i="1" s="1"/>
  <c r="AJ16" i="1"/>
  <c r="AL16" i="1"/>
  <c r="J74" i="27"/>
  <c r="K72" i="27" s="1"/>
  <c r="J23" i="27"/>
  <c r="AK68" i="11"/>
  <c r="AK72" i="11"/>
  <c r="AL68" i="1" s="1"/>
  <c r="AK71" i="11"/>
  <c r="AL58" i="1" s="1"/>
  <c r="AJ36" i="11"/>
  <c r="AK57" i="1"/>
  <c r="AK16" i="1" s="1"/>
  <c r="AJ71" i="11"/>
  <c r="AK58" i="1" s="1"/>
  <c r="AJ69" i="11"/>
  <c r="AK38" i="1" s="1"/>
  <c r="AJ70" i="11"/>
  <c r="AK48" i="1" s="1"/>
  <c r="AJ68" i="11"/>
  <c r="AI36" i="11"/>
  <c r="H33" i="22"/>
  <c r="H34" i="22" s="1"/>
  <c r="G34" i="22"/>
  <c r="G35" i="22" s="1"/>
  <c r="G36" i="22" s="1"/>
  <c r="W4" i="22"/>
  <c r="J26" i="22"/>
  <c r="W33" i="22"/>
  <c r="X33" i="22" s="1"/>
  <c r="Y33" i="22" s="1"/>
  <c r="F34" i="22"/>
  <c r="F35" i="22" s="1"/>
  <c r="F36" i="22" s="1"/>
  <c r="F6" i="22"/>
  <c r="F7" i="22" s="1"/>
  <c r="F8" i="22" s="1"/>
  <c r="S12" i="22"/>
  <c r="R13" i="22"/>
  <c r="R14" i="22" s="1"/>
  <c r="R15" i="22" s="1"/>
  <c r="I12" i="22"/>
  <c r="H5" i="22"/>
  <c r="U32" i="22"/>
  <c r="V32" i="22" s="1"/>
  <c r="W32" i="22" s="1"/>
  <c r="G6" i="22"/>
  <c r="G7" i="22" s="1"/>
  <c r="G8" i="22" s="1"/>
  <c r="H4" i="22"/>
  <c r="I32" i="22"/>
  <c r="W18" i="22"/>
  <c r="X18" i="22" s="1"/>
  <c r="H25" i="22"/>
  <c r="G27" i="22"/>
  <c r="G28" i="22" s="1"/>
  <c r="G29" i="22" s="1"/>
  <c r="G11" i="22"/>
  <c r="F13" i="22"/>
  <c r="F14" i="22" s="1"/>
  <c r="F15" i="22" s="1"/>
  <c r="AI17" i="1"/>
  <c r="AG16" i="1"/>
  <c r="AE36" i="11"/>
  <c r="AF16" i="1"/>
  <c r="E74" i="1"/>
  <c r="E34" i="1"/>
  <c r="AS19" i="1" l="1"/>
  <c r="AD59" i="1"/>
  <c r="AD60" i="1" s="1"/>
  <c r="AD61" i="1" s="1"/>
  <c r="AN17" i="1"/>
  <c r="AD69" i="1"/>
  <c r="AD70" i="1" s="1"/>
  <c r="AD71" i="1" s="1"/>
  <c r="G20" i="22"/>
  <c r="G21" i="22" s="1"/>
  <c r="G22" i="22" s="1"/>
  <c r="S49" i="1" s="1"/>
  <c r="S50" i="1" s="1"/>
  <c r="S51" i="1" s="1"/>
  <c r="G11" i="1"/>
  <c r="H11" i="1" s="1"/>
  <c r="AO18" i="1"/>
  <c r="T27" i="22"/>
  <c r="T28" i="22" s="1"/>
  <c r="T29" i="22" s="1"/>
  <c r="AF59" i="1" s="1"/>
  <c r="AF60" i="1" s="1"/>
  <c r="AF61" i="1" s="1"/>
  <c r="H20" i="22"/>
  <c r="H21" i="22" s="1"/>
  <c r="H22" i="22" s="1"/>
  <c r="T49" i="1" s="1"/>
  <c r="T50" i="1" s="1"/>
  <c r="T51" i="1" s="1"/>
  <c r="V26" i="22"/>
  <c r="W26" i="22" s="1"/>
  <c r="AP19" i="1"/>
  <c r="P51" i="1"/>
  <c r="S28" i="1"/>
  <c r="S17" i="1" s="1"/>
  <c r="R73" i="11"/>
  <c r="BW73" i="11"/>
  <c r="S5" i="22"/>
  <c r="R6" i="22"/>
  <c r="R7" i="22" s="1"/>
  <c r="R8" i="22" s="1"/>
  <c r="I73" i="11"/>
  <c r="AW17" i="1"/>
  <c r="AP20" i="1"/>
  <c r="AU19" i="1"/>
  <c r="AP18" i="1"/>
  <c r="Y17" i="1"/>
  <c r="AV31" i="1"/>
  <c r="AV20" i="1" s="1"/>
  <c r="AP17" i="1"/>
  <c r="AU17" i="1"/>
  <c r="I20" i="22"/>
  <c r="I21" i="22" s="1"/>
  <c r="I22" i="22" s="1"/>
  <c r="U49" i="1" s="1"/>
  <c r="U50" i="1" s="1"/>
  <c r="U51" i="1" s="1"/>
  <c r="AU18" i="1"/>
  <c r="F71" i="1"/>
  <c r="F20" i="1" s="1"/>
  <c r="F16" i="1"/>
  <c r="G41" i="1"/>
  <c r="G16" i="1"/>
  <c r="AT73" i="11"/>
  <c r="D73" i="11"/>
  <c r="I31" i="1"/>
  <c r="I20" i="1" s="1"/>
  <c r="I16" i="1"/>
  <c r="L51" i="1"/>
  <c r="L20" i="1" s="1"/>
  <c r="L16" i="1"/>
  <c r="AB17" i="1"/>
  <c r="AB29" i="1"/>
  <c r="AB30" i="1" s="1"/>
  <c r="AB31" i="1" s="1"/>
  <c r="AF28" i="1"/>
  <c r="AE73" i="11"/>
  <c r="AJ28" i="1"/>
  <c r="AJ17" i="1" s="1"/>
  <c r="AI73" i="11"/>
  <c r="M16" i="1"/>
  <c r="AT28" i="1"/>
  <c r="AT29" i="1" s="1"/>
  <c r="AT30" i="1" s="1"/>
  <c r="AT31" i="1" s="1"/>
  <c r="AS73" i="11"/>
  <c r="AT59" i="1"/>
  <c r="AT60" i="1" s="1"/>
  <c r="AT61" i="1" s="1"/>
  <c r="AD28" i="1"/>
  <c r="AC73" i="11"/>
  <c r="AG28" i="1"/>
  <c r="AG17" i="1" s="1"/>
  <c r="AF73" i="11"/>
  <c r="AC28" i="1"/>
  <c r="AC29" i="1" s="1"/>
  <c r="AC30" i="1" s="1"/>
  <c r="AC31" i="1" s="1"/>
  <c r="AB73" i="11"/>
  <c r="L73" i="11"/>
  <c r="U17" i="1"/>
  <c r="AL73" i="11"/>
  <c r="AM28" i="1"/>
  <c r="AM17" i="1" s="1"/>
  <c r="H73" i="11"/>
  <c r="AU20" i="1"/>
  <c r="AT50" i="1"/>
  <c r="AS20" i="1"/>
  <c r="AR20" i="1"/>
  <c r="AQ50" i="1"/>
  <c r="AQ18" i="1"/>
  <c r="AO19" i="1"/>
  <c r="AO71" i="1"/>
  <c r="R69" i="1"/>
  <c r="R70" i="1" s="1"/>
  <c r="X4" i="22"/>
  <c r="AC49" i="1"/>
  <c r="Z25" i="22"/>
  <c r="AA11" i="22"/>
  <c r="R39" i="1"/>
  <c r="R40" i="1" s="1"/>
  <c r="R41" i="1" s="1"/>
  <c r="Y18" i="22"/>
  <c r="AG59" i="1"/>
  <c r="AG60" i="1" s="1"/>
  <c r="AG61" i="1" s="1"/>
  <c r="R29" i="1"/>
  <c r="R30" i="1" s="1"/>
  <c r="R31" i="1" s="1"/>
  <c r="S19" i="22"/>
  <c r="R20" i="22"/>
  <c r="R21" i="22" s="1"/>
  <c r="R22" i="22" s="1"/>
  <c r="S59" i="1"/>
  <c r="S60" i="1" s="1"/>
  <c r="S61" i="1" s="1"/>
  <c r="AD39" i="1"/>
  <c r="AD40" i="1" s="1"/>
  <c r="AD41" i="1" s="1"/>
  <c r="S69" i="1"/>
  <c r="S70" i="1" s="1"/>
  <c r="AE59" i="1"/>
  <c r="AE60" i="1" s="1"/>
  <c r="AE61" i="1" s="1"/>
  <c r="W34" i="22"/>
  <c r="W35" i="22" s="1"/>
  <c r="W36" i="22" s="1"/>
  <c r="X32" i="22"/>
  <c r="AF69" i="1"/>
  <c r="AF70" i="1" s="1"/>
  <c r="AF71" i="1" s="1"/>
  <c r="Z33" i="22"/>
  <c r="AA33" i="22" s="1"/>
  <c r="Q93" i="1"/>
  <c r="R93" i="1" s="1"/>
  <c r="Q90" i="1"/>
  <c r="R90" i="1" s="1"/>
  <c r="S90" i="1" s="1"/>
  <c r="T90" i="1" s="1"/>
  <c r="U90" i="1" s="1"/>
  <c r="V90" i="1" s="1"/>
  <c r="W90" i="1" s="1"/>
  <c r="X90" i="1" s="1"/>
  <c r="Y90" i="1" s="1"/>
  <c r="Z90" i="1" s="1"/>
  <c r="AA90" i="1" s="1"/>
  <c r="AB90" i="1" s="1"/>
  <c r="AC90" i="1" s="1"/>
  <c r="AD90" i="1" s="1"/>
  <c r="AE90" i="1" s="1"/>
  <c r="AF90" i="1" s="1"/>
  <c r="AG90" i="1" s="1"/>
  <c r="AH90" i="1" s="1"/>
  <c r="AH80" i="1"/>
  <c r="AI79" i="1"/>
  <c r="AI81" i="1" s="1"/>
  <c r="AI82" i="1" s="1"/>
  <c r="H10" i="1"/>
  <c r="H12" i="1" s="1"/>
  <c r="H13" i="1" s="1"/>
  <c r="Q18" i="1"/>
  <c r="Q70" i="1"/>
  <c r="H52" i="1"/>
  <c r="H53" i="1" s="1"/>
  <c r="H54" i="1" s="1"/>
  <c r="O19" i="1"/>
  <c r="P70" i="1"/>
  <c r="P18" i="1"/>
  <c r="O20" i="1"/>
  <c r="O18" i="1"/>
  <c r="J24" i="27"/>
  <c r="AL28" i="1"/>
  <c r="AL17" i="1" s="1"/>
  <c r="AK73" i="11"/>
  <c r="AK28" i="1"/>
  <c r="AJ73" i="11"/>
  <c r="G13" i="22"/>
  <c r="G14" i="22" s="1"/>
  <c r="G15" i="22" s="1"/>
  <c r="H11" i="22"/>
  <c r="J20" i="22"/>
  <c r="J21" i="22" s="1"/>
  <c r="J22" i="22" s="1"/>
  <c r="K18" i="22"/>
  <c r="J12" i="22"/>
  <c r="U34" i="22"/>
  <c r="U35" i="22" s="1"/>
  <c r="U36" i="22" s="1"/>
  <c r="I5" i="22"/>
  <c r="K26" i="22"/>
  <c r="J32" i="22"/>
  <c r="I25" i="22"/>
  <c r="H27" i="22"/>
  <c r="H28" i="22" s="1"/>
  <c r="H29" i="22" s="1"/>
  <c r="H6" i="22"/>
  <c r="H7" i="22" s="1"/>
  <c r="H8" i="22" s="1"/>
  <c r="I4" i="22"/>
  <c r="K19" i="22"/>
  <c r="T12" i="22"/>
  <c r="S13" i="22"/>
  <c r="S14" i="22" s="1"/>
  <c r="S15" i="22" s="1"/>
  <c r="V34" i="22"/>
  <c r="V35" i="22" s="1"/>
  <c r="V36" i="22" s="1"/>
  <c r="AE71" i="1"/>
  <c r="H35" i="22"/>
  <c r="H36" i="22" s="1"/>
  <c r="I33" i="22"/>
  <c r="AB51" i="1"/>
  <c r="AH91" i="1"/>
  <c r="AH92" i="1" s="1"/>
  <c r="AI89" i="1" s="1"/>
  <c r="E23" i="1"/>
  <c r="G62" i="1"/>
  <c r="G63" i="1" s="1"/>
  <c r="G64" i="1" s="1"/>
  <c r="E24" i="1"/>
  <c r="F32" i="1"/>
  <c r="F33" i="1" s="1"/>
  <c r="F34" i="1" s="1"/>
  <c r="V27" i="22" l="1"/>
  <c r="V28" i="22" s="1"/>
  <c r="V29" i="22" s="1"/>
  <c r="S29" i="1"/>
  <c r="S30" i="1" s="1"/>
  <c r="S31" i="1" s="1"/>
  <c r="F72" i="1"/>
  <c r="AD29" i="1"/>
  <c r="AD30" i="1" s="1"/>
  <c r="AD31" i="1" s="1"/>
  <c r="AW18" i="1"/>
  <c r="AW70" i="1"/>
  <c r="T5" i="22"/>
  <c r="S6" i="22"/>
  <c r="S7" i="22" s="1"/>
  <c r="S8" i="22" s="1"/>
  <c r="AE29" i="1" s="1"/>
  <c r="AE30" i="1" s="1"/>
  <c r="AE31" i="1" s="1"/>
  <c r="AB18" i="1"/>
  <c r="AB19" i="1"/>
  <c r="AB20" i="1"/>
  <c r="G20" i="1"/>
  <c r="G42" i="1"/>
  <c r="G43" i="1" s="1"/>
  <c r="G44" i="1" s="1"/>
  <c r="H42" i="1" s="1"/>
  <c r="H43" i="1" s="1"/>
  <c r="H44" i="1" s="1"/>
  <c r="I42" i="1" s="1"/>
  <c r="I43" i="1" s="1"/>
  <c r="I44" i="1" s="1"/>
  <c r="AT18" i="1"/>
  <c r="AF17" i="1"/>
  <c r="R18" i="1"/>
  <c r="AT17" i="1"/>
  <c r="AD17" i="1"/>
  <c r="AC17" i="1"/>
  <c r="AT51" i="1"/>
  <c r="AT19" i="1"/>
  <c r="AQ51" i="1"/>
  <c r="AQ19" i="1"/>
  <c r="AO20" i="1"/>
  <c r="AE39" i="1"/>
  <c r="AE40" i="1" s="1"/>
  <c r="AE41" i="1" s="1"/>
  <c r="T69" i="1"/>
  <c r="T70" i="1" s="1"/>
  <c r="AH59" i="1"/>
  <c r="AH60" i="1" s="1"/>
  <c r="AH61" i="1" s="1"/>
  <c r="T59" i="1"/>
  <c r="T60" i="1" s="1"/>
  <c r="T61" i="1" s="1"/>
  <c r="AG69" i="1"/>
  <c r="AG70" i="1" s="1"/>
  <c r="AG71" i="1" s="1"/>
  <c r="Y32" i="22"/>
  <c r="X34" i="22"/>
  <c r="X35" i="22" s="1"/>
  <c r="X36" i="22" s="1"/>
  <c r="AC50" i="1"/>
  <c r="AC18" i="1"/>
  <c r="W27" i="22"/>
  <c r="W28" i="22" s="1"/>
  <c r="W29" i="22" s="1"/>
  <c r="X26" i="22"/>
  <c r="AI69" i="1"/>
  <c r="AI70" i="1" s="1"/>
  <c r="AI71" i="1" s="1"/>
  <c r="AD49" i="1"/>
  <c r="AA25" i="22"/>
  <c r="Y4" i="22"/>
  <c r="V49" i="1"/>
  <c r="V50" i="1" s="1"/>
  <c r="V51" i="1" s="1"/>
  <c r="T29" i="1"/>
  <c r="T30" i="1" s="1"/>
  <c r="T31" i="1" s="1"/>
  <c r="S39" i="1"/>
  <c r="S40" i="1" s="1"/>
  <c r="S41" i="1" s="1"/>
  <c r="AH69" i="1"/>
  <c r="AH70" i="1" s="1"/>
  <c r="T19" i="22"/>
  <c r="S20" i="22"/>
  <c r="S21" i="22" s="1"/>
  <c r="S22" i="22" s="1"/>
  <c r="Z18" i="22"/>
  <c r="S93" i="1"/>
  <c r="T93" i="1" s="1"/>
  <c r="U93" i="1" s="1"/>
  <c r="V93" i="1" s="1"/>
  <c r="W93" i="1" s="1"/>
  <c r="X93" i="1" s="1"/>
  <c r="Y93" i="1" s="1"/>
  <c r="Z93" i="1" s="1"/>
  <c r="AA93" i="1" s="1"/>
  <c r="AB93" i="1" s="1"/>
  <c r="AC93" i="1" s="1"/>
  <c r="AD93" i="1" s="1"/>
  <c r="AE93" i="1" s="1"/>
  <c r="AF93" i="1" s="1"/>
  <c r="AG93" i="1" s="1"/>
  <c r="AH93" i="1" s="1"/>
  <c r="AI93" i="1" s="1"/>
  <c r="AJ79" i="1"/>
  <c r="AJ81" i="1" s="1"/>
  <c r="AJ82" i="1" s="1"/>
  <c r="AK79" i="1" s="1"/>
  <c r="AI80" i="1"/>
  <c r="I10" i="1"/>
  <c r="I12" i="1" s="1"/>
  <c r="I13" i="1" s="1"/>
  <c r="P71" i="1"/>
  <c r="P20" i="1" s="1"/>
  <c r="P19" i="1"/>
  <c r="I52" i="1"/>
  <c r="I53" i="1" s="1"/>
  <c r="I54" i="1" s="1"/>
  <c r="AK17" i="1"/>
  <c r="Q71" i="1"/>
  <c r="Q20" i="1" s="1"/>
  <c r="Q19" i="1"/>
  <c r="K21" i="27"/>
  <c r="K22" i="27" s="1"/>
  <c r="K73" i="27"/>
  <c r="AI91" i="1"/>
  <c r="AI92" i="1" s="1"/>
  <c r="AJ89" i="1" s="1"/>
  <c r="R71" i="1"/>
  <c r="R20" i="1" s="1"/>
  <c r="R19" i="1"/>
  <c r="J33" i="22"/>
  <c r="J34" i="22" s="1"/>
  <c r="L19" i="22"/>
  <c r="J4" i="22"/>
  <c r="I6" i="22"/>
  <c r="I7" i="22" s="1"/>
  <c r="I8" i="22" s="1"/>
  <c r="I34" i="22"/>
  <c r="I35" i="22" s="1"/>
  <c r="I36" i="22" s="1"/>
  <c r="K12" i="22"/>
  <c r="I11" i="22"/>
  <c r="H13" i="22"/>
  <c r="H14" i="22" s="1"/>
  <c r="H15" i="22" s="1"/>
  <c r="K32" i="22"/>
  <c r="J5" i="22"/>
  <c r="L18" i="22"/>
  <c r="K20" i="22"/>
  <c r="K21" i="22" s="1"/>
  <c r="K22" i="22" s="1"/>
  <c r="S71" i="1"/>
  <c r="J25" i="22"/>
  <c r="I27" i="22"/>
  <c r="I28" i="22" s="1"/>
  <c r="I29" i="22" s="1"/>
  <c r="L26" i="22"/>
  <c r="T13" i="22"/>
  <c r="T14" i="22" s="1"/>
  <c r="T15" i="22" s="1"/>
  <c r="U12" i="22"/>
  <c r="AI90" i="1"/>
  <c r="H62" i="1"/>
  <c r="H63" i="1" s="1"/>
  <c r="H64" i="1" s="1"/>
  <c r="F73" i="1"/>
  <c r="F21" i="1"/>
  <c r="F22" i="1" s="1"/>
  <c r="G32" i="1"/>
  <c r="G33" i="1" s="1"/>
  <c r="G34" i="1" s="1"/>
  <c r="U5" i="22" l="1"/>
  <c r="T6" i="22"/>
  <c r="T7" i="22" s="1"/>
  <c r="T8" i="22" s="1"/>
  <c r="AF29" i="1" s="1"/>
  <c r="AF30" i="1" s="1"/>
  <c r="AF31" i="1" s="1"/>
  <c r="AW19" i="1"/>
  <c r="AT20" i="1"/>
  <c r="S18" i="1"/>
  <c r="S20" i="1"/>
  <c r="AQ20" i="1"/>
  <c r="S19" i="1"/>
  <c r="AF39" i="1"/>
  <c r="AF40" i="1" s="1"/>
  <c r="T39" i="1"/>
  <c r="T40" i="1" s="1"/>
  <c r="T41" i="1" s="1"/>
  <c r="AA18" i="22"/>
  <c r="AE49" i="1"/>
  <c r="Z4" i="22"/>
  <c r="AJ69" i="1"/>
  <c r="AD50" i="1"/>
  <c r="AD18" i="1"/>
  <c r="Z32" i="22"/>
  <c r="Y34" i="22"/>
  <c r="Y35" i="22" s="1"/>
  <c r="Y36" i="22" s="1"/>
  <c r="U29" i="1"/>
  <c r="U30" i="1" s="1"/>
  <c r="U31" i="1" s="1"/>
  <c r="Y26" i="22"/>
  <c r="X27" i="22"/>
  <c r="X28" i="22" s="1"/>
  <c r="X29" i="22" s="1"/>
  <c r="AC51" i="1"/>
  <c r="AC20" i="1" s="1"/>
  <c r="AC19" i="1"/>
  <c r="U59" i="1"/>
  <c r="U60" i="1" s="1"/>
  <c r="U61" i="1" s="1"/>
  <c r="W49" i="1"/>
  <c r="W50" i="1" s="1"/>
  <c r="W51" i="1" s="1"/>
  <c r="U69" i="1"/>
  <c r="U70" i="1" s="1"/>
  <c r="T20" i="22"/>
  <c r="T21" i="22" s="1"/>
  <c r="T22" i="22" s="1"/>
  <c r="U19" i="22"/>
  <c r="AI59" i="1"/>
  <c r="AI60" i="1" s="1"/>
  <c r="AI61" i="1" s="1"/>
  <c r="I11" i="1"/>
  <c r="AK81" i="1"/>
  <c r="AK82" i="1" s="1"/>
  <c r="AJ80" i="1"/>
  <c r="J10" i="1"/>
  <c r="J12" i="1" s="1"/>
  <c r="J13" i="1" s="1"/>
  <c r="J52" i="1"/>
  <c r="J53" i="1" s="1"/>
  <c r="J54" i="1" s="1"/>
  <c r="K74" i="27"/>
  <c r="L72" i="27" s="1"/>
  <c r="K23" i="27"/>
  <c r="AJ91" i="1"/>
  <c r="AJ92" i="1" s="1"/>
  <c r="AK89" i="1" s="1"/>
  <c r="AJ93" i="1"/>
  <c r="AJ90" i="1"/>
  <c r="M18" i="22"/>
  <c r="L20" i="22"/>
  <c r="L21" i="22" s="1"/>
  <c r="L22" i="22" s="1"/>
  <c r="AH71" i="1"/>
  <c r="K4" i="22"/>
  <c r="J6" i="22"/>
  <c r="J7" i="22" s="1"/>
  <c r="J8" i="22" s="1"/>
  <c r="K25" i="22"/>
  <c r="J27" i="22"/>
  <c r="J28" i="22" s="1"/>
  <c r="J29" i="22" s="1"/>
  <c r="T71" i="1"/>
  <c r="J11" i="22"/>
  <c r="I13" i="22"/>
  <c r="I14" i="22" s="1"/>
  <c r="I15" i="22" s="1"/>
  <c r="U13" i="22"/>
  <c r="U14" i="22" s="1"/>
  <c r="U15" i="22" s="1"/>
  <c r="V12" i="22"/>
  <c r="M26" i="22"/>
  <c r="K5" i="22"/>
  <c r="L12" i="22"/>
  <c r="M19" i="22"/>
  <c r="K33" i="22"/>
  <c r="K34" i="22" s="1"/>
  <c r="J35" i="22"/>
  <c r="J36" i="22" s="1"/>
  <c r="L32" i="22"/>
  <c r="J42" i="1"/>
  <c r="J43" i="1" s="1"/>
  <c r="J44" i="1" s="1"/>
  <c r="I62" i="1"/>
  <c r="I63" i="1" s="1"/>
  <c r="I64" i="1" s="1"/>
  <c r="H32" i="1"/>
  <c r="H33" i="1" s="1"/>
  <c r="H34" i="1" s="1"/>
  <c r="F74" i="1"/>
  <c r="F23" i="1"/>
  <c r="V5" i="22" l="1"/>
  <c r="U6" i="22"/>
  <c r="U7" i="22" s="1"/>
  <c r="U8" i="22" s="1"/>
  <c r="AG29" i="1" s="1"/>
  <c r="AG30" i="1" s="1"/>
  <c r="AG31" i="1" s="1"/>
  <c r="AF49" i="1"/>
  <c r="AE50" i="1"/>
  <c r="AE18" i="1"/>
  <c r="V69" i="1"/>
  <c r="V70" i="1" s="1"/>
  <c r="T19" i="1"/>
  <c r="T18" i="1"/>
  <c r="V19" i="22"/>
  <c r="U20" i="22"/>
  <c r="U21" i="22" s="1"/>
  <c r="U22" i="22" s="1"/>
  <c r="V29" i="1"/>
  <c r="V30" i="1" s="1"/>
  <c r="V31" i="1" s="1"/>
  <c r="AG39" i="1"/>
  <c r="AG40" i="1" s="1"/>
  <c r="AG41" i="1" s="1"/>
  <c r="T20" i="1"/>
  <c r="AK69" i="1"/>
  <c r="AJ70" i="1"/>
  <c r="AA4" i="22"/>
  <c r="Z26" i="22"/>
  <c r="Y27" i="22"/>
  <c r="Y28" i="22" s="1"/>
  <c r="Y29" i="22" s="1"/>
  <c r="X49" i="1"/>
  <c r="X50" i="1" s="1"/>
  <c r="X51" i="1" s="1"/>
  <c r="U39" i="1"/>
  <c r="U40" i="1" s="1"/>
  <c r="U41" i="1" s="1"/>
  <c r="V59" i="1"/>
  <c r="V60" i="1" s="1"/>
  <c r="V61" i="1" s="1"/>
  <c r="AJ59" i="1"/>
  <c r="AJ60" i="1" s="1"/>
  <c r="AJ61" i="1" s="1"/>
  <c r="AA32" i="22"/>
  <c r="Z34" i="22"/>
  <c r="Z35" i="22" s="1"/>
  <c r="Z36" i="22" s="1"/>
  <c r="AD51" i="1"/>
  <c r="AD20" i="1" s="1"/>
  <c r="AD19" i="1"/>
  <c r="J11" i="1"/>
  <c r="AL79" i="1"/>
  <c r="AL81" i="1" s="1"/>
  <c r="AL82" i="1" s="1"/>
  <c r="AK90" i="1"/>
  <c r="AK80" i="1"/>
  <c r="K10" i="1"/>
  <c r="K12" i="1" s="1"/>
  <c r="K13" i="1" s="1"/>
  <c r="K52" i="1"/>
  <c r="K53" i="1" s="1"/>
  <c r="K54" i="1" s="1"/>
  <c r="K24" i="27"/>
  <c r="AK91" i="1"/>
  <c r="AK92" i="1" s="1"/>
  <c r="AL89" i="1" s="1"/>
  <c r="AK93" i="1"/>
  <c r="N19" i="22"/>
  <c r="L5" i="22"/>
  <c r="L4" i="22"/>
  <c r="K6" i="22"/>
  <c r="K7" i="22" s="1"/>
  <c r="K8" i="22" s="1"/>
  <c r="U71" i="1"/>
  <c r="W12" i="22"/>
  <c r="V13" i="22"/>
  <c r="V14" i="22" s="1"/>
  <c r="V15" i="22" s="1"/>
  <c r="AF41" i="1"/>
  <c r="M12" i="22"/>
  <c r="M32" i="22"/>
  <c r="L33" i="22"/>
  <c r="K35" i="22"/>
  <c r="K36" i="22" s="1"/>
  <c r="N26" i="22"/>
  <c r="K11" i="22"/>
  <c r="J13" i="22"/>
  <c r="J14" i="22" s="1"/>
  <c r="J15" i="22" s="1"/>
  <c r="L25" i="22"/>
  <c r="K27" i="22"/>
  <c r="K28" i="22" s="1"/>
  <c r="K29" i="22" s="1"/>
  <c r="M20" i="22"/>
  <c r="M21" i="22" s="1"/>
  <c r="M22" i="22" s="1"/>
  <c r="N18" i="22"/>
  <c r="J62" i="1"/>
  <c r="J63" i="1" s="1"/>
  <c r="J64" i="1" s="1"/>
  <c r="K42" i="1"/>
  <c r="K43" i="1" s="1"/>
  <c r="K44" i="1" s="1"/>
  <c r="G72" i="1"/>
  <c r="F24" i="1"/>
  <c r="I32" i="1"/>
  <c r="I33" i="1" s="1"/>
  <c r="I34" i="1" s="1"/>
  <c r="W5" i="22" l="1"/>
  <c r="V6" i="22"/>
  <c r="V7" i="22" s="1"/>
  <c r="V8" i="22" s="1"/>
  <c r="AH29" i="1" s="1"/>
  <c r="AH30" i="1" s="1"/>
  <c r="AH31" i="1" s="1"/>
  <c r="U19" i="1"/>
  <c r="U20" i="1"/>
  <c r="U18" i="1"/>
  <c r="AJ71" i="1"/>
  <c r="W69" i="1"/>
  <c r="W70" i="1" s="1"/>
  <c r="AK70" i="1"/>
  <c r="V20" i="22"/>
  <c r="V21" i="22" s="1"/>
  <c r="V22" i="22" s="1"/>
  <c r="W19" i="22"/>
  <c r="AF50" i="1"/>
  <c r="AF18" i="1"/>
  <c r="W59" i="1"/>
  <c r="W60" i="1" s="1"/>
  <c r="W61" i="1" s="1"/>
  <c r="AG49" i="1"/>
  <c r="Y49" i="1"/>
  <c r="Y50" i="1" s="1"/>
  <c r="Y51" i="1" s="1"/>
  <c r="AH39" i="1"/>
  <c r="AH40" i="1" s="1"/>
  <c r="AH41" i="1" s="1"/>
  <c r="AL69" i="1"/>
  <c r="AK59" i="1"/>
  <c r="AK60" i="1" s="1"/>
  <c r="AK61" i="1" s="1"/>
  <c r="AB6" i="22"/>
  <c r="AB7" i="22" s="1"/>
  <c r="AB8" i="22" s="1"/>
  <c r="AN29" i="1" s="1"/>
  <c r="AN30" i="1" s="1"/>
  <c r="AN31" i="1" s="1"/>
  <c r="W29" i="1"/>
  <c r="W30" i="1" s="1"/>
  <c r="W31" i="1" s="1"/>
  <c r="V39" i="1"/>
  <c r="V40" i="1" s="1"/>
  <c r="V41" i="1" s="1"/>
  <c r="W13" i="22"/>
  <c r="W14" i="22" s="1"/>
  <c r="W15" i="22" s="1"/>
  <c r="X12" i="22"/>
  <c r="AB34" i="22"/>
  <c r="AB35" i="22" s="1"/>
  <c r="AB36" i="22" s="1"/>
  <c r="AN69" i="1" s="1"/>
  <c r="AA34" i="22"/>
  <c r="AA35" i="22" s="1"/>
  <c r="AA36" i="22" s="1"/>
  <c r="AA26" i="22"/>
  <c r="Z27" i="22"/>
  <c r="Z28" i="22" s="1"/>
  <c r="Z29" i="22" s="1"/>
  <c r="AE51" i="1"/>
  <c r="AE20" i="1" s="1"/>
  <c r="AE19" i="1"/>
  <c r="AL93" i="1"/>
  <c r="AM79" i="1"/>
  <c r="AM81" i="1" s="1"/>
  <c r="AM82" i="1" s="1"/>
  <c r="K11" i="1"/>
  <c r="L10" i="1"/>
  <c r="L12" i="1" s="1"/>
  <c r="L13" i="1" s="1"/>
  <c r="AL80" i="1"/>
  <c r="AM80" i="1" s="1"/>
  <c r="L52" i="1"/>
  <c r="L53" i="1" s="1"/>
  <c r="L54" i="1" s="1"/>
  <c r="L21" i="27"/>
  <c r="L22" i="27" s="1"/>
  <c r="L73" i="27"/>
  <c r="AL91" i="1"/>
  <c r="AL92" i="1" s="1"/>
  <c r="AM89" i="1" s="1"/>
  <c r="AL90" i="1"/>
  <c r="O26" i="22"/>
  <c r="V71" i="1"/>
  <c r="M5" i="22"/>
  <c r="M25" i="22"/>
  <c r="L27" i="22"/>
  <c r="L28" i="22" s="1"/>
  <c r="L29" i="22" s="1"/>
  <c r="M33" i="22"/>
  <c r="M34" i="22" s="1"/>
  <c r="N12" i="22"/>
  <c r="M4" i="22"/>
  <c r="L6" i="22"/>
  <c r="L7" i="22" s="1"/>
  <c r="L8" i="22" s="1"/>
  <c r="N32" i="22"/>
  <c r="L11" i="22"/>
  <c r="K13" i="22"/>
  <c r="K14" i="22" s="1"/>
  <c r="K15" i="22" s="1"/>
  <c r="N20" i="22"/>
  <c r="N21" i="22" s="1"/>
  <c r="N22" i="22" s="1"/>
  <c r="O18" i="22"/>
  <c r="L34" i="22"/>
  <c r="L35" i="22" s="1"/>
  <c r="L36" i="22" s="1"/>
  <c r="O19" i="22"/>
  <c r="L42" i="1"/>
  <c r="L43" i="1" s="1"/>
  <c r="L44" i="1" s="1"/>
  <c r="K62" i="1"/>
  <c r="K63" i="1" s="1"/>
  <c r="K64" i="1" s="1"/>
  <c r="J32" i="1"/>
  <c r="J33" i="1" s="1"/>
  <c r="J34" i="1" s="1"/>
  <c r="G73" i="1"/>
  <c r="G21" i="1"/>
  <c r="G22" i="1" s="1"/>
  <c r="AN79" i="1" l="1"/>
  <c r="AN81" i="1" s="1"/>
  <c r="AN82" i="1" s="1"/>
  <c r="AN80" i="1"/>
  <c r="AM93" i="1"/>
  <c r="X5" i="22"/>
  <c r="W6" i="22"/>
  <c r="W7" i="22" s="1"/>
  <c r="W8" i="22" s="1"/>
  <c r="AI29" i="1" s="1"/>
  <c r="AI30" i="1" s="1"/>
  <c r="AI31" i="1" s="1"/>
  <c r="AN70" i="1"/>
  <c r="V20" i="1"/>
  <c r="V18" i="1"/>
  <c r="V19" i="1"/>
  <c r="X29" i="1"/>
  <c r="X30" i="1" s="1"/>
  <c r="X31" i="1" s="1"/>
  <c r="W39" i="1"/>
  <c r="W40" i="1" s="1"/>
  <c r="W41" i="1" s="1"/>
  <c r="AF51" i="1"/>
  <c r="AF20" i="1" s="1"/>
  <c r="AF19" i="1"/>
  <c r="AI39" i="1"/>
  <c r="AI40" i="1" s="1"/>
  <c r="AI41" i="1" s="1"/>
  <c r="AL70" i="1"/>
  <c r="W20" i="22"/>
  <c r="W21" i="22" s="1"/>
  <c r="W22" i="22" s="1"/>
  <c r="X19" i="22"/>
  <c r="AM69" i="1"/>
  <c r="Y12" i="22"/>
  <c r="X13" i="22"/>
  <c r="X14" i="22" s="1"/>
  <c r="X15" i="22" s="1"/>
  <c r="AG50" i="1"/>
  <c r="AG18" i="1"/>
  <c r="X69" i="1"/>
  <c r="X70" i="1" s="1"/>
  <c r="X59" i="1"/>
  <c r="X60" i="1" s="1"/>
  <c r="X61" i="1" s="1"/>
  <c r="AL59" i="1"/>
  <c r="AL60" i="1" s="1"/>
  <c r="AL61" i="1" s="1"/>
  <c r="AH49" i="1"/>
  <c r="AK71" i="1"/>
  <c r="Z49" i="1"/>
  <c r="Z50" i="1" s="1"/>
  <c r="Z51" i="1" s="1"/>
  <c r="AA27" i="22"/>
  <c r="AA28" i="22" s="1"/>
  <c r="AA29" i="22" s="1"/>
  <c r="AM91" i="1"/>
  <c r="AM92" i="1" s="1"/>
  <c r="AN89" i="1" s="1"/>
  <c r="L11" i="1"/>
  <c r="M10" i="1"/>
  <c r="M12" i="1" s="1"/>
  <c r="M13" i="1" s="1"/>
  <c r="M52" i="1"/>
  <c r="M53" i="1" s="1"/>
  <c r="M54" i="1" s="1"/>
  <c r="L74" i="27"/>
  <c r="M72" i="27" s="1"/>
  <c r="L23" i="27"/>
  <c r="AM90" i="1"/>
  <c r="M11" i="22"/>
  <c r="L13" i="22"/>
  <c r="L14" i="22" s="1"/>
  <c r="L15" i="22" s="1"/>
  <c r="N4" i="22"/>
  <c r="M6" i="22"/>
  <c r="M7" i="22" s="1"/>
  <c r="M8" i="22" s="1"/>
  <c r="M35" i="22"/>
  <c r="M36" i="22" s="1"/>
  <c r="N33" i="22"/>
  <c r="N34" i="22" s="1"/>
  <c r="N25" i="22"/>
  <c r="M27" i="22"/>
  <c r="M28" i="22" s="1"/>
  <c r="M29" i="22" s="1"/>
  <c r="O12" i="22"/>
  <c r="O20" i="22"/>
  <c r="O21" i="22" s="1"/>
  <c r="O22" i="22" s="1"/>
  <c r="O32" i="22"/>
  <c r="N5" i="22"/>
  <c r="W71" i="1"/>
  <c r="L62" i="1"/>
  <c r="L63" i="1" s="1"/>
  <c r="L64" i="1" s="1"/>
  <c r="M42" i="1"/>
  <c r="M43" i="1" s="1"/>
  <c r="M44" i="1" s="1"/>
  <c r="G74" i="1"/>
  <c r="G23" i="1"/>
  <c r="K32" i="1"/>
  <c r="K33" i="1" s="1"/>
  <c r="K34" i="1" s="1"/>
  <c r="AO79" i="1" l="1"/>
  <c r="AO81" i="1" s="1"/>
  <c r="AO82" i="1" s="1"/>
  <c r="AO80" i="1"/>
  <c r="Y5" i="22"/>
  <c r="X6" i="22"/>
  <c r="X7" i="22" s="1"/>
  <c r="X8" i="22" s="1"/>
  <c r="AJ29" i="1" s="1"/>
  <c r="AJ30" i="1" s="1"/>
  <c r="AJ31" i="1" s="1"/>
  <c r="AN71" i="1"/>
  <c r="W18" i="1"/>
  <c r="W19" i="1"/>
  <c r="W20" i="1"/>
  <c r="AN91" i="1"/>
  <c r="AN92" i="1" s="1"/>
  <c r="AO89" i="1" s="1"/>
  <c r="AN93" i="1"/>
  <c r="AM59" i="1"/>
  <c r="AM60" i="1" s="1"/>
  <c r="AM61" i="1" s="1"/>
  <c r="X39" i="1"/>
  <c r="X40" i="1" s="1"/>
  <c r="X41" i="1" s="1"/>
  <c r="AB27" i="22"/>
  <c r="AB28" i="22" s="1"/>
  <c r="AB29" i="22" s="1"/>
  <c r="AN59" i="1" s="1"/>
  <c r="AH50" i="1"/>
  <c r="AH18" i="1"/>
  <c r="Y19" i="22"/>
  <c r="X20" i="22"/>
  <c r="X21" i="22" s="1"/>
  <c r="X22" i="22" s="1"/>
  <c r="AI49" i="1"/>
  <c r="Y59" i="1"/>
  <c r="Y60" i="1" s="1"/>
  <c r="Y61" i="1" s="1"/>
  <c r="AG19" i="1"/>
  <c r="AG51" i="1"/>
  <c r="AG20" i="1" s="1"/>
  <c r="Z12" i="22"/>
  <c r="Y13" i="22"/>
  <c r="Y14" i="22" s="1"/>
  <c r="Y15" i="22" s="1"/>
  <c r="Y69" i="1"/>
  <c r="Y70" i="1" s="1"/>
  <c r="AJ39" i="1"/>
  <c r="AJ40" i="1" s="1"/>
  <c r="AJ41" i="1" s="1"/>
  <c r="AA49" i="1"/>
  <c r="AA50" i="1" s="1"/>
  <c r="AA51" i="1" s="1"/>
  <c r="Y29" i="1"/>
  <c r="Y30" i="1" s="1"/>
  <c r="Y31" i="1" s="1"/>
  <c r="AM70" i="1"/>
  <c r="AL71" i="1"/>
  <c r="AN90" i="1"/>
  <c r="N10" i="1"/>
  <c r="N12" i="1" s="1"/>
  <c r="N13" i="1" s="1"/>
  <c r="M11" i="1"/>
  <c r="N52" i="1"/>
  <c r="N53" i="1" s="1"/>
  <c r="N54" i="1" s="1"/>
  <c r="L24" i="27"/>
  <c r="N27" i="22"/>
  <c r="N28" i="22" s="1"/>
  <c r="N29" i="22" s="1"/>
  <c r="O25" i="22"/>
  <c r="O27" i="22" s="1"/>
  <c r="O28" i="22" s="1"/>
  <c r="O29" i="22" s="1"/>
  <c r="O4" i="22"/>
  <c r="N6" i="22"/>
  <c r="N7" i="22" s="1"/>
  <c r="N8" i="22" s="1"/>
  <c r="O5" i="22"/>
  <c r="O33" i="22"/>
  <c r="O34" i="22" s="1"/>
  <c r="N35" i="22"/>
  <c r="N36" i="22" s="1"/>
  <c r="N11" i="22"/>
  <c r="M13" i="22"/>
  <c r="M14" i="22" s="1"/>
  <c r="M15" i="22" s="1"/>
  <c r="X71" i="1"/>
  <c r="N42" i="1"/>
  <c r="N43" i="1" s="1"/>
  <c r="N44" i="1" s="1"/>
  <c r="M62" i="1"/>
  <c r="M63" i="1" s="1"/>
  <c r="M64" i="1" s="1"/>
  <c r="L32" i="1"/>
  <c r="L33" i="1" s="1"/>
  <c r="L34" i="1" s="1"/>
  <c r="G24" i="1"/>
  <c r="H72" i="1"/>
  <c r="AP79" i="1" l="1"/>
  <c r="AP81" i="1" s="1"/>
  <c r="AP82" i="1" s="1"/>
  <c r="AP80" i="1"/>
  <c r="O6" i="22"/>
  <c r="Z5" i="22"/>
  <c r="Y6" i="22"/>
  <c r="Y7" i="22" s="1"/>
  <c r="Y8" i="22" s="1"/>
  <c r="AK29" i="1" s="1"/>
  <c r="AK30" i="1" s="1"/>
  <c r="AK31" i="1" s="1"/>
  <c r="AN60" i="1"/>
  <c r="X18" i="1"/>
  <c r="X19" i="1"/>
  <c r="AO91" i="1"/>
  <c r="AO92" i="1" s="1"/>
  <c r="AP89" i="1" s="1"/>
  <c r="AO93" i="1"/>
  <c r="AO90" i="1"/>
  <c r="X20" i="1"/>
  <c r="Z29" i="1"/>
  <c r="Z30" i="1" s="1"/>
  <c r="Z31" i="1" s="1"/>
  <c r="Z69" i="1"/>
  <c r="Z70" i="1" s="1"/>
  <c r="Z59" i="1"/>
  <c r="Z60" i="1" s="1"/>
  <c r="Z61" i="1" s="1"/>
  <c r="AM71" i="1"/>
  <c r="AA12" i="22"/>
  <c r="Z13" i="22"/>
  <c r="Z14" i="22" s="1"/>
  <c r="Z15" i="22" s="1"/>
  <c r="Z19" i="22"/>
  <c r="Y20" i="22"/>
  <c r="Y21" i="22" s="1"/>
  <c r="Y22" i="22" s="1"/>
  <c r="AH19" i="1"/>
  <c r="AH51" i="1"/>
  <c r="AH20" i="1" s="1"/>
  <c r="Y39" i="1"/>
  <c r="Y40" i="1" s="1"/>
  <c r="Y41" i="1" s="1"/>
  <c r="AI50" i="1"/>
  <c r="AI18" i="1"/>
  <c r="AA59" i="1"/>
  <c r="AA60" i="1" s="1"/>
  <c r="AA61" i="1" s="1"/>
  <c r="AK39" i="1"/>
  <c r="AK40" i="1" s="1"/>
  <c r="AK41" i="1" s="1"/>
  <c r="AJ49" i="1"/>
  <c r="N11" i="1"/>
  <c r="O10" i="1"/>
  <c r="O12" i="1" s="1"/>
  <c r="O13" i="1" s="1"/>
  <c r="O52" i="1"/>
  <c r="O53" i="1" s="1"/>
  <c r="O54" i="1" s="1"/>
  <c r="M21" i="27"/>
  <c r="M22" i="27" s="1"/>
  <c r="M73" i="27"/>
  <c r="Y71" i="1"/>
  <c r="O11" i="22"/>
  <c r="O13" i="22" s="1"/>
  <c r="O14" i="22" s="1"/>
  <c r="O15" i="22" s="1"/>
  <c r="N13" i="22"/>
  <c r="N14" i="22" s="1"/>
  <c r="N15" i="22" s="1"/>
  <c r="O7" i="22"/>
  <c r="O8" i="22" s="1"/>
  <c r="O35" i="22"/>
  <c r="O36" i="22" s="1"/>
  <c r="N62" i="1"/>
  <c r="N63" i="1" s="1"/>
  <c r="N64" i="1" s="1"/>
  <c r="O42" i="1"/>
  <c r="O43" i="1" s="1"/>
  <c r="O44" i="1" s="1"/>
  <c r="P42" i="1" s="1"/>
  <c r="H21" i="1"/>
  <c r="H22" i="1" s="1"/>
  <c r="H73" i="1"/>
  <c r="M32" i="1"/>
  <c r="M33" i="1" s="1"/>
  <c r="M34" i="1" s="1"/>
  <c r="AQ79" i="1" l="1"/>
  <c r="AQ81" i="1" s="1"/>
  <c r="AQ82" i="1" s="1"/>
  <c r="AA5" i="22"/>
  <c r="AA6" i="22" s="1"/>
  <c r="AA7" i="22" s="1"/>
  <c r="AA8" i="22" s="1"/>
  <c r="AM29" i="1" s="1"/>
  <c r="AM30" i="1" s="1"/>
  <c r="AM31" i="1" s="1"/>
  <c r="Z6" i="22"/>
  <c r="Z7" i="22" s="1"/>
  <c r="Z8" i="22" s="1"/>
  <c r="AL29" i="1" s="1"/>
  <c r="AL30" i="1" s="1"/>
  <c r="AL31" i="1" s="1"/>
  <c r="Y19" i="1"/>
  <c r="AN61" i="1"/>
  <c r="Y20" i="1"/>
  <c r="Y18" i="1"/>
  <c r="AP91" i="1"/>
  <c r="AP92" i="1" s="1"/>
  <c r="AQ89" i="1" s="1"/>
  <c r="AP93" i="1"/>
  <c r="AP90" i="1"/>
  <c r="AL39" i="1"/>
  <c r="AL40" i="1" s="1"/>
  <c r="AL41" i="1" s="1"/>
  <c r="AA39" i="1"/>
  <c r="AA40" i="1" s="1"/>
  <c r="AA41" i="1" s="1"/>
  <c r="AK49" i="1"/>
  <c r="AA29" i="1"/>
  <c r="AA30" i="1" s="1"/>
  <c r="AA31" i="1" s="1"/>
  <c r="AI19" i="1"/>
  <c r="AI51" i="1"/>
  <c r="AI20" i="1" s="1"/>
  <c r="AA19" i="22"/>
  <c r="Z20" i="22"/>
  <c r="Z21" i="22" s="1"/>
  <c r="Z22" i="22" s="1"/>
  <c r="AA13" i="22"/>
  <c r="AA14" i="22" s="1"/>
  <c r="AA15" i="22" s="1"/>
  <c r="AA69" i="1"/>
  <c r="AA70" i="1" s="1"/>
  <c r="Z39" i="1"/>
  <c r="Z40" i="1" s="1"/>
  <c r="Z41" i="1" s="1"/>
  <c r="AJ50" i="1"/>
  <c r="AJ18" i="1"/>
  <c r="P10" i="1"/>
  <c r="P12" i="1" s="1"/>
  <c r="P13" i="1" s="1"/>
  <c r="O11" i="1"/>
  <c r="P52" i="1"/>
  <c r="P53" i="1" s="1"/>
  <c r="P54" i="1" s="1"/>
  <c r="M74" i="27"/>
  <c r="M23" i="27"/>
  <c r="Z71" i="1"/>
  <c r="P43" i="1"/>
  <c r="P44" i="1" s="1"/>
  <c r="O62" i="1"/>
  <c r="O63" i="1" s="1"/>
  <c r="O64" i="1" s="1"/>
  <c r="P62" i="1" s="1"/>
  <c r="H74" i="1"/>
  <c r="H23" i="1"/>
  <c r="N32" i="1"/>
  <c r="N33" i="1" s="1"/>
  <c r="N34" i="1" s="1"/>
  <c r="AR79" i="1" l="1"/>
  <c r="AR81" i="1" s="1"/>
  <c r="AR82" i="1" s="1"/>
  <c r="AQ80" i="1"/>
  <c r="AR80" i="1" s="1"/>
  <c r="AQ90" i="1"/>
  <c r="AA18" i="1"/>
  <c r="AQ91" i="1"/>
  <c r="AQ92" i="1" s="1"/>
  <c r="AR89" i="1" s="1"/>
  <c r="AQ93" i="1"/>
  <c r="Z19" i="1"/>
  <c r="Z18" i="1"/>
  <c r="AJ51" i="1"/>
  <c r="AJ20" i="1" s="1"/>
  <c r="AJ19" i="1"/>
  <c r="AL49" i="1"/>
  <c r="AK50" i="1"/>
  <c r="AK18" i="1"/>
  <c r="AM39" i="1"/>
  <c r="AM40" i="1" s="1"/>
  <c r="AM41" i="1" s="1"/>
  <c r="AA20" i="22"/>
  <c r="AA21" i="22" s="1"/>
  <c r="AA22" i="22" s="1"/>
  <c r="Z20" i="1"/>
  <c r="AB13" i="22"/>
  <c r="AB14" i="22" s="1"/>
  <c r="AB15" i="22" s="1"/>
  <c r="AN39" i="1" s="1"/>
  <c r="AN40" i="1" s="1"/>
  <c r="AN41" i="1" s="1"/>
  <c r="P11" i="1"/>
  <c r="Q10" i="1"/>
  <c r="Q12" i="1" s="1"/>
  <c r="Q13" i="1" s="1"/>
  <c r="Q52" i="1"/>
  <c r="Q53" i="1" s="1"/>
  <c r="Q54" i="1" s="1"/>
  <c r="M24" i="27"/>
  <c r="AA71" i="1"/>
  <c r="AA20" i="1" s="1"/>
  <c r="AA19" i="1"/>
  <c r="P63" i="1"/>
  <c r="P64" i="1" s="1"/>
  <c r="Q42" i="1"/>
  <c r="Q43" i="1" s="1"/>
  <c r="Q44" i="1" s="1"/>
  <c r="I72" i="1"/>
  <c r="H24" i="1"/>
  <c r="O32" i="1"/>
  <c r="O33" i="1" s="1"/>
  <c r="O34" i="1" s="1"/>
  <c r="P32" i="1" s="1"/>
  <c r="P33" i="1" s="1"/>
  <c r="P34" i="1" s="1"/>
  <c r="AS79" i="1" l="1"/>
  <c r="AS81" i="1" s="1"/>
  <c r="AS82" i="1" s="1"/>
  <c r="AR91" i="1"/>
  <c r="AR92" i="1" s="1"/>
  <c r="AS89" i="1" s="1"/>
  <c r="AR93" i="1"/>
  <c r="AR90" i="1"/>
  <c r="AM49" i="1"/>
  <c r="AB20" i="22"/>
  <c r="AB21" i="22" s="1"/>
  <c r="AB22" i="22" s="1"/>
  <c r="AN49" i="1" s="1"/>
  <c r="AL50" i="1"/>
  <c r="AL18" i="1"/>
  <c r="AK51" i="1"/>
  <c r="AK20" i="1" s="1"/>
  <c r="AK19" i="1"/>
  <c r="R10" i="1"/>
  <c r="R12" i="1" s="1"/>
  <c r="R13" i="1" s="1"/>
  <c r="Q11" i="1"/>
  <c r="R52" i="1"/>
  <c r="R53" i="1" s="1"/>
  <c r="R54" i="1" s="1"/>
  <c r="R42" i="1"/>
  <c r="R43" i="1" s="1"/>
  <c r="R44" i="1" s="1"/>
  <c r="Q62" i="1"/>
  <c r="Q63" i="1" s="1"/>
  <c r="Q64" i="1" s="1"/>
  <c r="I73" i="1"/>
  <c r="I21" i="1"/>
  <c r="I22" i="1" s="1"/>
  <c r="AT79" i="1" l="1"/>
  <c r="AT81" i="1" s="1"/>
  <c r="AT82" i="1" s="1"/>
  <c r="AS80" i="1"/>
  <c r="AT80" i="1" s="1"/>
  <c r="AN50" i="1"/>
  <c r="AN18" i="1"/>
  <c r="AS91" i="1"/>
  <c r="AS92" i="1" s="1"/>
  <c r="AT89" i="1" s="1"/>
  <c r="AS93" i="1"/>
  <c r="AS90" i="1"/>
  <c r="AM50" i="1"/>
  <c r="AM18" i="1"/>
  <c r="AL51" i="1"/>
  <c r="AL20" i="1" s="1"/>
  <c r="AL19" i="1"/>
  <c r="R11" i="1"/>
  <c r="S10" i="1"/>
  <c r="S12" i="1" s="1"/>
  <c r="S13" i="1" s="1"/>
  <c r="S52" i="1"/>
  <c r="S53" i="1" s="1"/>
  <c r="S54" i="1" s="1"/>
  <c r="R62" i="1"/>
  <c r="R63" i="1" s="1"/>
  <c r="R64" i="1" s="1"/>
  <c r="S42" i="1"/>
  <c r="S43" i="1" s="1"/>
  <c r="S44" i="1" s="1"/>
  <c r="I74" i="1"/>
  <c r="I23" i="1"/>
  <c r="Q32" i="1"/>
  <c r="Q33" i="1" s="1"/>
  <c r="Q34" i="1" s="1"/>
  <c r="AU79" i="1" l="1"/>
  <c r="AU81" i="1" s="1"/>
  <c r="AU82" i="1" s="1"/>
  <c r="AU80" i="1"/>
  <c r="AN51" i="1"/>
  <c r="AN20" i="1" s="1"/>
  <c r="AN19" i="1"/>
  <c r="AT91" i="1"/>
  <c r="AT92" i="1" s="1"/>
  <c r="AU89" i="1" s="1"/>
  <c r="AT93" i="1"/>
  <c r="AT90" i="1"/>
  <c r="AM51" i="1"/>
  <c r="AM20" i="1" s="1"/>
  <c r="AM19" i="1"/>
  <c r="T10" i="1"/>
  <c r="T12" i="1" s="1"/>
  <c r="T13" i="1" s="1"/>
  <c r="S11" i="1"/>
  <c r="T52" i="1"/>
  <c r="T53" i="1" s="1"/>
  <c r="T54" i="1" s="1"/>
  <c r="T42" i="1"/>
  <c r="T43" i="1" s="1"/>
  <c r="T44" i="1" s="1"/>
  <c r="S62" i="1"/>
  <c r="S63" i="1" s="1"/>
  <c r="S64" i="1" s="1"/>
  <c r="R32" i="1"/>
  <c r="R33" i="1" s="1"/>
  <c r="R34" i="1" s="1"/>
  <c r="I24" i="1"/>
  <c r="J72" i="1"/>
  <c r="AV79" i="1" l="1"/>
  <c r="AV81" i="1" s="1"/>
  <c r="AV82" i="1" s="1"/>
  <c r="AV80" i="1"/>
  <c r="AU91" i="1"/>
  <c r="AU92" i="1" s="1"/>
  <c r="AV89" i="1" s="1"/>
  <c r="AU93" i="1"/>
  <c r="AU90" i="1"/>
  <c r="T11" i="1"/>
  <c r="U10" i="1"/>
  <c r="U12" i="1" s="1"/>
  <c r="U13" i="1" s="1"/>
  <c r="U52" i="1"/>
  <c r="U53" i="1" s="1"/>
  <c r="U54" i="1" s="1"/>
  <c r="T62" i="1"/>
  <c r="T63" i="1" s="1"/>
  <c r="T64" i="1" s="1"/>
  <c r="U42" i="1"/>
  <c r="U43" i="1" s="1"/>
  <c r="U44" i="1" s="1"/>
  <c r="J73" i="1"/>
  <c r="J21" i="1"/>
  <c r="J22" i="1" s="1"/>
  <c r="S32" i="1"/>
  <c r="S33" i="1" s="1"/>
  <c r="S34" i="1" s="1"/>
  <c r="AW79" i="1" l="1"/>
  <c r="AW81" i="1" s="1"/>
  <c r="AW82" i="1" s="1"/>
  <c r="AX79" i="1" s="1"/>
  <c r="AX81" i="1" s="1"/>
  <c r="AX82" i="1" s="1"/>
  <c r="AY79" i="1" s="1"/>
  <c r="AY81" i="1" s="1"/>
  <c r="AY82" i="1" s="1"/>
  <c r="AZ79" i="1" s="1"/>
  <c r="AZ81" i="1" s="1"/>
  <c r="AZ82" i="1" s="1"/>
  <c r="BA79" i="1" s="1"/>
  <c r="BA81" i="1" s="1"/>
  <c r="BA82" i="1" s="1"/>
  <c r="BB79" i="1" s="1"/>
  <c r="BB81" i="1" s="1"/>
  <c r="BB82" i="1" s="1"/>
  <c r="BC79" i="1" s="1"/>
  <c r="BC81" i="1" s="1"/>
  <c r="BC82" i="1" s="1"/>
  <c r="BD79" i="1" s="1"/>
  <c r="BD81" i="1" s="1"/>
  <c r="BD82" i="1" s="1"/>
  <c r="BE79" i="1" s="1"/>
  <c r="BE81" i="1" s="1"/>
  <c r="BE82" i="1" s="1"/>
  <c r="BF79" i="1" s="1"/>
  <c r="BF81" i="1" s="1"/>
  <c r="BF82" i="1" s="1"/>
  <c r="BG79" i="1" s="1"/>
  <c r="BG81" i="1" s="1"/>
  <c r="BG82" i="1" s="1"/>
  <c r="AW80" i="1"/>
  <c r="AV91" i="1"/>
  <c r="AV92" i="1" s="1"/>
  <c r="AW100" i="1" s="1"/>
  <c r="AV93" i="1"/>
  <c r="AW95" i="1" s="1"/>
  <c r="AV90" i="1"/>
  <c r="AW101" i="1" s="1"/>
  <c r="U11" i="1"/>
  <c r="V10" i="1"/>
  <c r="V12" i="1" s="1"/>
  <c r="V13" i="1" s="1"/>
  <c r="V52" i="1"/>
  <c r="V53" i="1" s="1"/>
  <c r="V54" i="1" s="1"/>
  <c r="V42" i="1"/>
  <c r="V43" i="1" s="1"/>
  <c r="V44" i="1" s="1"/>
  <c r="U62" i="1"/>
  <c r="U63" i="1" s="1"/>
  <c r="U64" i="1" s="1"/>
  <c r="T32" i="1"/>
  <c r="T33" i="1" s="1"/>
  <c r="T34" i="1" s="1"/>
  <c r="J74" i="1"/>
  <c r="J23" i="1"/>
  <c r="AX80" i="1" l="1"/>
  <c r="AY80" i="1" s="1"/>
  <c r="AZ80" i="1" s="1"/>
  <c r="BA80" i="1" s="1"/>
  <c r="BB80" i="1" s="1"/>
  <c r="BC80" i="1" s="1"/>
  <c r="BD80" i="1" s="1"/>
  <c r="BE80" i="1" s="1"/>
  <c r="BF80" i="1" s="1"/>
  <c r="BG80" i="1" s="1"/>
  <c r="AW102" i="1"/>
  <c r="AW103" i="1" s="1"/>
  <c r="AX100" i="1" s="1"/>
  <c r="AX102" i="1" s="1"/>
  <c r="AX103" i="1" s="1"/>
  <c r="AY100" i="1" s="1"/>
  <c r="AY102" i="1" s="1"/>
  <c r="AY103" i="1" s="1"/>
  <c r="AZ100" i="1" s="1"/>
  <c r="AZ102" i="1" s="1"/>
  <c r="AZ103" i="1" s="1"/>
  <c r="BA100" i="1" s="1"/>
  <c r="BA102" i="1" s="1"/>
  <c r="BA103" i="1" s="1"/>
  <c r="BB100" i="1" s="1"/>
  <c r="BB102" i="1" s="1"/>
  <c r="BB103" i="1" s="1"/>
  <c r="BC100" i="1" s="1"/>
  <c r="BC102" i="1" s="1"/>
  <c r="BC103" i="1" s="1"/>
  <c r="BD100" i="1" s="1"/>
  <c r="BD102" i="1" s="1"/>
  <c r="BD103" i="1" s="1"/>
  <c r="BE100" i="1" s="1"/>
  <c r="BE102" i="1" s="1"/>
  <c r="BE103" i="1" s="1"/>
  <c r="BF100" i="1" s="1"/>
  <c r="BF102" i="1" s="1"/>
  <c r="BF103" i="1" s="1"/>
  <c r="BG100" i="1" s="1"/>
  <c r="BG102" i="1" s="1"/>
  <c r="BG103" i="1" s="1"/>
  <c r="BH100" i="1" s="1"/>
  <c r="BH102" i="1" s="1"/>
  <c r="BH103" i="1" s="1"/>
  <c r="AW104" i="1"/>
  <c r="BH79" i="1"/>
  <c r="BH81" i="1" s="1"/>
  <c r="BH82" i="1" s="1"/>
  <c r="BH80" i="1"/>
  <c r="AZ89" i="1"/>
  <c r="AZ91" i="1" s="1"/>
  <c r="AZ92" i="1" s="1"/>
  <c r="V11" i="1"/>
  <c r="W10" i="1"/>
  <c r="W12" i="1" s="1"/>
  <c r="W13" i="1" s="1"/>
  <c r="W52" i="1"/>
  <c r="W53" i="1" s="1"/>
  <c r="W54" i="1" s="1"/>
  <c r="V62" i="1"/>
  <c r="V63" i="1" s="1"/>
  <c r="V64" i="1" s="1"/>
  <c r="W42" i="1"/>
  <c r="W43" i="1" s="1"/>
  <c r="W44" i="1" s="1"/>
  <c r="K72" i="1"/>
  <c r="J24" i="1"/>
  <c r="U32" i="1"/>
  <c r="U33" i="1" s="1"/>
  <c r="U34" i="1" s="1"/>
  <c r="AX104" i="1" l="1"/>
  <c r="AY104" i="1" s="1"/>
  <c r="AZ104" i="1" s="1"/>
  <c r="AX101" i="1"/>
  <c r="AY101" i="1" s="1"/>
  <c r="AZ101" i="1" s="1"/>
  <c r="BA101" i="1" s="1"/>
  <c r="BB101" i="1" s="1"/>
  <c r="BC101" i="1" s="1"/>
  <c r="BD101" i="1" s="1"/>
  <c r="BE101" i="1" s="1"/>
  <c r="BF101" i="1" s="1"/>
  <c r="BG101" i="1" s="1"/>
  <c r="BH101" i="1" s="1"/>
  <c r="BA89" i="1"/>
  <c r="BA91" i="1" s="1"/>
  <c r="BA92" i="1" s="1"/>
  <c r="AZ90" i="1"/>
  <c r="X10" i="1"/>
  <c r="X12" i="1" s="1"/>
  <c r="X13" i="1" s="1"/>
  <c r="Y10" i="1" s="1"/>
  <c r="Y12" i="1" s="1"/>
  <c r="Y13" i="1" s="1"/>
  <c r="W11" i="1"/>
  <c r="X52" i="1"/>
  <c r="X53" i="1" s="1"/>
  <c r="X54" i="1" s="1"/>
  <c r="X42" i="1"/>
  <c r="X43" i="1" s="1"/>
  <c r="X44" i="1" s="1"/>
  <c r="W62" i="1"/>
  <c r="W63" i="1" s="1"/>
  <c r="W64" i="1" s="1"/>
  <c r="K73" i="1"/>
  <c r="K21" i="1"/>
  <c r="K22" i="1" s="1"/>
  <c r="V32" i="1"/>
  <c r="V33" i="1" s="1"/>
  <c r="V34" i="1" s="1"/>
  <c r="BA90" i="1" l="1"/>
  <c r="BA104" i="1"/>
  <c r="BB89" i="1"/>
  <c r="BB91" i="1" s="1"/>
  <c r="BB92" i="1" s="1"/>
  <c r="X11" i="1"/>
  <c r="Y11" i="1" s="1"/>
  <c r="Y52" i="1"/>
  <c r="Y53" i="1" s="1"/>
  <c r="Y54" i="1" s="1"/>
  <c r="X62" i="1"/>
  <c r="X63" i="1" s="1"/>
  <c r="X64" i="1" s="1"/>
  <c r="Y42" i="1"/>
  <c r="Y43" i="1" s="1"/>
  <c r="Y44" i="1" s="1"/>
  <c r="W32" i="1"/>
  <c r="W33" i="1" s="1"/>
  <c r="W34" i="1" s="1"/>
  <c r="K74" i="1"/>
  <c r="K23" i="1"/>
  <c r="BB104" i="1" l="1"/>
  <c r="BC89" i="1"/>
  <c r="BC91" i="1" s="1"/>
  <c r="BC92" i="1" s="1"/>
  <c r="BB90" i="1"/>
  <c r="Z10" i="1"/>
  <c r="Z12" i="1" s="1"/>
  <c r="Z13" i="1" s="1"/>
  <c r="Z52" i="1"/>
  <c r="Z53" i="1" s="1"/>
  <c r="Z54" i="1" s="1"/>
  <c r="Z42" i="1"/>
  <c r="Z43" i="1" s="1"/>
  <c r="Z44" i="1" s="1"/>
  <c r="Y62" i="1"/>
  <c r="Y63" i="1" s="1"/>
  <c r="Y64" i="1" s="1"/>
  <c r="X32" i="1"/>
  <c r="X33" i="1" s="1"/>
  <c r="X34" i="1" s="1"/>
  <c r="K24" i="1"/>
  <c r="L72" i="1"/>
  <c r="BC90" i="1" l="1"/>
  <c r="BD89" i="1"/>
  <c r="BD91" i="1" s="1"/>
  <c r="BD92" i="1" s="1"/>
  <c r="BC104" i="1"/>
  <c r="BD104" i="1" s="1"/>
  <c r="Z11" i="1"/>
  <c r="AA10" i="1"/>
  <c r="AA12" i="1" s="1"/>
  <c r="AA13" i="1" s="1"/>
  <c r="AA52" i="1"/>
  <c r="AA53" i="1" s="1"/>
  <c r="AA54" i="1" s="1"/>
  <c r="Z62" i="1"/>
  <c r="Z63" i="1" s="1"/>
  <c r="Z64" i="1" s="1"/>
  <c r="AA42" i="1"/>
  <c r="AA43" i="1" s="1"/>
  <c r="AA44" i="1" s="1"/>
  <c r="L21" i="1"/>
  <c r="L22" i="1" s="1"/>
  <c r="L73" i="1"/>
  <c r="Y32" i="1"/>
  <c r="Y33" i="1" s="1"/>
  <c r="Y34" i="1" s="1"/>
  <c r="BE89" i="1" l="1"/>
  <c r="BE91" i="1" s="1"/>
  <c r="BE92" i="1" s="1"/>
  <c r="BD90" i="1"/>
  <c r="AB10" i="1"/>
  <c r="AB12" i="1" s="1"/>
  <c r="AB13" i="1" s="1"/>
  <c r="AA11" i="1"/>
  <c r="AB52" i="1"/>
  <c r="AB53" i="1" s="1"/>
  <c r="AB54" i="1" s="1"/>
  <c r="AB42" i="1"/>
  <c r="AB43" i="1" s="1"/>
  <c r="AB44" i="1" s="1"/>
  <c r="AA62" i="1"/>
  <c r="AA63" i="1" s="1"/>
  <c r="AA64" i="1" s="1"/>
  <c r="L74" i="1"/>
  <c r="L23" i="1"/>
  <c r="Z32" i="1"/>
  <c r="Z33" i="1" s="1"/>
  <c r="Z34" i="1" s="1"/>
  <c r="BE90" i="1" l="1"/>
  <c r="BF89" i="1"/>
  <c r="BF91" i="1" s="1"/>
  <c r="BF92" i="1" s="1"/>
  <c r="BE104" i="1"/>
  <c r="BF104" i="1" s="1"/>
  <c r="AB11" i="1"/>
  <c r="AC10" i="1"/>
  <c r="AC12" i="1" s="1"/>
  <c r="AC13" i="1" s="1"/>
  <c r="AC52" i="1"/>
  <c r="AC53" i="1" s="1"/>
  <c r="AC54" i="1" s="1"/>
  <c r="AB62" i="1"/>
  <c r="AB63" i="1" s="1"/>
  <c r="AB64" i="1" s="1"/>
  <c r="AC42" i="1"/>
  <c r="AC43" i="1" s="1"/>
  <c r="AC44" i="1" s="1"/>
  <c r="M72" i="1"/>
  <c r="L24" i="1"/>
  <c r="AA32" i="1"/>
  <c r="AA33" i="1" s="1"/>
  <c r="AA34" i="1" s="1"/>
  <c r="BG89" i="1" l="1"/>
  <c r="BG91" i="1" s="1"/>
  <c r="BG92" i="1" s="1"/>
  <c r="BF90" i="1"/>
  <c r="AD10" i="1"/>
  <c r="AD12" i="1" s="1"/>
  <c r="AD13" i="1" s="1"/>
  <c r="AC11" i="1"/>
  <c r="AD52" i="1"/>
  <c r="AD53" i="1" s="1"/>
  <c r="AD54" i="1" s="1"/>
  <c r="AC62" i="1"/>
  <c r="AC63" i="1" s="1"/>
  <c r="AC64" i="1" s="1"/>
  <c r="AD42" i="1"/>
  <c r="AD43" i="1" s="1"/>
  <c r="AD44" i="1" s="1"/>
  <c r="AB32" i="1"/>
  <c r="AB33" i="1" s="1"/>
  <c r="AB34" i="1" s="1"/>
  <c r="M73" i="1"/>
  <c r="M21" i="1"/>
  <c r="M22" i="1" s="1"/>
  <c r="BG90" i="1" l="1"/>
  <c r="BH89" i="1"/>
  <c r="BH91" i="1" s="1"/>
  <c r="BH92" i="1" s="1"/>
  <c r="BG104" i="1"/>
  <c r="AD11" i="1"/>
  <c r="AE10" i="1"/>
  <c r="AE12" i="1" s="1"/>
  <c r="AE13" i="1" s="1"/>
  <c r="AE52" i="1"/>
  <c r="AE53" i="1" s="1"/>
  <c r="AE54" i="1" s="1"/>
  <c r="AE42" i="1"/>
  <c r="AE43" i="1" s="1"/>
  <c r="AE44" i="1" s="1"/>
  <c r="AD62" i="1"/>
  <c r="AD63" i="1" s="1"/>
  <c r="AD64" i="1" s="1"/>
  <c r="AC32" i="1"/>
  <c r="AC33" i="1" s="1"/>
  <c r="AC34" i="1" s="1"/>
  <c r="M74" i="1"/>
  <c r="M23" i="1"/>
  <c r="BH104" i="1" l="1"/>
  <c r="BH90" i="1"/>
  <c r="AE11" i="1"/>
  <c r="AF10" i="1"/>
  <c r="AF12" i="1" s="1"/>
  <c r="AF13" i="1" s="1"/>
  <c r="AF52" i="1"/>
  <c r="AF53" i="1" s="1"/>
  <c r="AF54" i="1" s="1"/>
  <c r="AE62" i="1"/>
  <c r="AE63" i="1" s="1"/>
  <c r="AE64" i="1" s="1"/>
  <c r="AF42" i="1"/>
  <c r="AF43" i="1" s="1"/>
  <c r="AF44" i="1" s="1"/>
  <c r="AG42" i="1" s="1"/>
  <c r="AG43" i="1" s="1"/>
  <c r="N72" i="1"/>
  <c r="M24" i="1"/>
  <c r="AD32" i="1"/>
  <c r="AD33" i="1" s="1"/>
  <c r="AD34" i="1" s="1"/>
  <c r="AF11" i="1" l="1"/>
  <c r="AG10" i="1"/>
  <c r="AG12" i="1" s="1"/>
  <c r="AG13" i="1" s="1"/>
  <c r="AG52" i="1"/>
  <c r="AG53" i="1" s="1"/>
  <c r="AG54" i="1" s="1"/>
  <c r="AG44" i="1"/>
  <c r="AH42" i="1" s="1"/>
  <c r="AH43" i="1" s="1"/>
  <c r="AF62" i="1"/>
  <c r="AF63" i="1" s="1"/>
  <c r="AF64" i="1" s="1"/>
  <c r="AG62" i="1" s="1"/>
  <c r="AG63" i="1" s="1"/>
  <c r="AE32" i="1"/>
  <c r="AE33" i="1" s="1"/>
  <c r="AE34" i="1" s="1"/>
  <c r="AF32" i="1" s="1"/>
  <c r="AF33" i="1" s="1"/>
  <c r="N73" i="1"/>
  <c r="N21" i="1"/>
  <c r="N22" i="1" s="1"/>
  <c r="AG11" i="1" l="1"/>
  <c r="AH10" i="1"/>
  <c r="AH12" i="1" s="1"/>
  <c r="AH13" i="1" s="1"/>
  <c r="AH52" i="1"/>
  <c r="AH53" i="1" s="1"/>
  <c r="AH54" i="1" s="1"/>
  <c r="AG64" i="1"/>
  <c r="AH62" i="1" s="1"/>
  <c r="AH63" i="1" s="1"/>
  <c r="AH44" i="1"/>
  <c r="AI42" i="1" s="1"/>
  <c r="AI43" i="1" s="1"/>
  <c r="AF34" i="1"/>
  <c r="AG32" i="1" s="1"/>
  <c r="AG33" i="1" s="1"/>
  <c r="N74" i="1"/>
  <c r="N23" i="1"/>
  <c r="AH11" i="1" l="1"/>
  <c r="AI10" i="1"/>
  <c r="AI12" i="1" s="1"/>
  <c r="AI13" i="1" s="1"/>
  <c r="AI52" i="1"/>
  <c r="AI53" i="1" s="1"/>
  <c r="AI44" i="1"/>
  <c r="AJ42" i="1" s="1"/>
  <c r="AJ43" i="1" s="1"/>
  <c r="AH64" i="1"/>
  <c r="AI62" i="1" s="1"/>
  <c r="AI63" i="1" s="1"/>
  <c r="N24" i="1"/>
  <c r="O72" i="1"/>
  <c r="AG34" i="1"/>
  <c r="AH32" i="1" s="1"/>
  <c r="AH33" i="1" s="1"/>
  <c r="AJ10" i="1" l="1"/>
  <c r="AJ12" i="1" s="1"/>
  <c r="AJ13" i="1" s="1"/>
  <c r="AI11" i="1"/>
  <c r="AI54" i="1"/>
  <c r="AI64" i="1"/>
  <c r="AJ62" i="1" s="1"/>
  <c r="AJ63" i="1" s="1"/>
  <c r="AJ44" i="1"/>
  <c r="AK42" i="1" s="1"/>
  <c r="AK43" i="1" s="1"/>
  <c r="O21" i="1"/>
  <c r="O22" i="1" s="1"/>
  <c r="O73" i="1"/>
  <c r="AH34" i="1"/>
  <c r="AI32" i="1" s="1"/>
  <c r="AI33" i="1" s="1"/>
  <c r="AJ11" i="1" l="1"/>
  <c r="AK10" i="1"/>
  <c r="AK12" i="1" s="1"/>
  <c r="AK13" i="1" s="1"/>
  <c r="AJ52" i="1"/>
  <c r="AJ53" i="1" s="1"/>
  <c r="AJ54" i="1" s="1"/>
  <c r="AK44" i="1"/>
  <c r="AL42" i="1" s="1"/>
  <c r="AL43" i="1" s="1"/>
  <c r="AJ64" i="1"/>
  <c r="AK62" i="1" s="1"/>
  <c r="AK63" i="1" s="1"/>
  <c r="AI34" i="1"/>
  <c r="AJ32" i="1" s="1"/>
  <c r="AJ33" i="1" s="1"/>
  <c r="O74" i="1"/>
  <c r="O23" i="1"/>
  <c r="AL10" i="1" l="1"/>
  <c r="AL12" i="1" s="1"/>
  <c r="AL13" i="1" s="1"/>
  <c r="AK11" i="1"/>
  <c r="AK52" i="1"/>
  <c r="AK53" i="1" s="1"/>
  <c r="AK54" i="1" s="1"/>
  <c r="AK64" i="1"/>
  <c r="AL62" i="1" s="1"/>
  <c r="AL63" i="1" s="1"/>
  <c r="AL44" i="1"/>
  <c r="AM42" i="1" s="1"/>
  <c r="AM43" i="1" s="1"/>
  <c r="AJ34" i="1"/>
  <c r="AK32" i="1" s="1"/>
  <c r="AK33" i="1" s="1"/>
  <c r="O24" i="1"/>
  <c r="P72" i="1"/>
  <c r="AL11" i="1" l="1"/>
  <c r="AM10" i="1"/>
  <c r="AM12" i="1" s="1"/>
  <c r="AM13" i="1" s="1"/>
  <c r="AL52" i="1"/>
  <c r="AL53" i="1" s="1"/>
  <c r="AL54" i="1" s="1"/>
  <c r="AM52" i="1" s="1"/>
  <c r="AM44" i="1"/>
  <c r="AN42" i="1" s="1"/>
  <c r="AN43" i="1" s="1"/>
  <c r="AN44" i="1" s="1"/>
  <c r="AL64" i="1"/>
  <c r="AM62" i="1" s="1"/>
  <c r="AM63" i="1" s="1"/>
  <c r="P21" i="1"/>
  <c r="P22" i="1" s="1"/>
  <c r="P73" i="1"/>
  <c r="AK34" i="1"/>
  <c r="AL32" i="1" s="1"/>
  <c r="AL33" i="1" s="1"/>
  <c r="AO42" i="1" l="1"/>
  <c r="AM53" i="1"/>
  <c r="AN10" i="1"/>
  <c r="AN12" i="1" s="1"/>
  <c r="AN13" i="1" s="1"/>
  <c r="AM11" i="1"/>
  <c r="AM64" i="1"/>
  <c r="AN62" i="1" s="1"/>
  <c r="AN63" i="1" s="1"/>
  <c r="AN64" i="1" s="1"/>
  <c r="AO62" i="1" s="1"/>
  <c r="AO63" i="1" s="1"/>
  <c r="AO64" i="1" s="1"/>
  <c r="AL34" i="1"/>
  <c r="AM32" i="1" s="1"/>
  <c r="AM33" i="1" s="1"/>
  <c r="P74" i="1"/>
  <c r="P23" i="1"/>
  <c r="AP62" i="1" l="1"/>
  <c r="AP63" i="1" s="1"/>
  <c r="AP64" i="1" s="1"/>
  <c r="AO43" i="1"/>
  <c r="AM54" i="1"/>
  <c r="AN52" i="1" s="1"/>
  <c r="AN11" i="1"/>
  <c r="AO10" i="1"/>
  <c r="AO12" i="1" s="1"/>
  <c r="AO13" i="1" s="1"/>
  <c r="AM34" i="1"/>
  <c r="AN32" i="1" s="1"/>
  <c r="AN33" i="1" s="1"/>
  <c r="AN34" i="1" s="1"/>
  <c r="P24" i="1"/>
  <c r="Q72" i="1"/>
  <c r="AQ62" i="1" l="1"/>
  <c r="AQ63" i="1" s="1"/>
  <c r="AQ64" i="1" s="1"/>
  <c r="AO32" i="1"/>
  <c r="AO33" i="1" s="1"/>
  <c r="AO34" i="1" s="1"/>
  <c r="AO44" i="1"/>
  <c r="AN53" i="1"/>
  <c r="AO11" i="1"/>
  <c r="AP10" i="1"/>
  <c r="AP12" i="1" s="1"/>
  <c r="AP13" i="1" s="1"/>
  <c r="Q21" i="1"/>
  <c r="Q22" i="1" s="1"/>
  <c r="Q73" i="1"/>
  <c r="AR62" i="1" l="1"/>
  <c r="AR63" i="1" s="1"/>
  <c r="AR64" i="1" s="1"/>
  <c r="AP32" i="1"/>
  <c r="AP33" i="1" s="1"/>
  <c r="AP34" i="1" s="1"/>
  <c r="AP42" i="1"/>
  <c r="AN54" i="1"/>
  <c r="AO52" i="1" s="1"/>
  <c r="AP11" i="1"/>
  <c r="AQ10" i="1"/>
  <c r="AQ12" i="1" s="1"/>
  <c r="AQ13" i="1" s="1"/>
  <c r="Q74" i="1"/>
  <c r="Q23" i="1"/>
  <c r="AS62" i="1" l="1"/>
  <c r="AS63" i="1" s="1"/>
  <c r="AS64" i="1" s="1"/>
  <c r="AQ32" i="1"/>
  <c r="AQ33" i="1" s="1"/>
  <c r="AQ34" i="1" s="1"/>
  <c r="AO53" i="1"/>
  <c r="AP43" i="1"/>
  <c r="AR10" i="1"/>
  <c r="AR12" i="1" s="1"/>
  <c r="AR13" i="1" s="1"/>
  <c r="AQ11" i="1"/>
  <c r="Q24" i="1"/>
  <c r="R72" i="1"/>
  <c r="AT62" i="1" l="1"/>
  <c r="AT63" i="1" s="1"/>
  <c r="AT64" i="1" s="1"/>
  <c r="AR32" i="1"/>
  <c r="AR33" i="1" s="1"/>
  <c r="AR34" i="1" s="1"/>
  <c r="AO54" i="1"/>
  <c r="AP44" i="1"/>
  <c r="AR11" i="1"/>
  <c r="AS10" i="1"/>
  <c r="AS12" i="1" s="1"/>
  <c r="AS13" i="1" s="1"/>
  <c r="AT10" i="1" s="1"/>
  <c r="R21" i="1"/>
  <c r="R22" i="1" s="1"/>
  <c r="R73" i="1"/>
  <c r="AU62" i="1" l="1"/>
  <c r="AU63" i="1" s="1"/>
  <c r="AU64" i="1" s="1"/>
  <c r="AP52" i="1"/>
  <c r="AQ42" i="1"/>
  <c r="AT12" i="1"/>
  <c r="AT13" i="1" s="1"/>
  <c r="AU10" i="1" s="1"/>
  <c r="AS11" i="1"/>
  <c r="R74" i="1"/>
  <c r="R23" i="1"/>
  <c r="AV62" i="1" l="1"/>
  <c r="AV63" i="1" s="1"/>
  <c r="AV64" i="1" s="1"/>
  <c r="AP53" i="1"/>
  <c r="AQ43" i="1"/>
  <c r="AT11" i="1"/>
  <c r="AU12" i="1"/>
  <c r="AU13" i="1" s="1"/>
  <c r="AV10" i="1" s="1"/>
  <c r="R24" i="1"/>
  <c r="S72" i="1"/>
  <c r="AP54" i="1" l="1"/>
  <c r="AQ44" i="1"/>
  <c r="AV12" i="1"/>
  <c r="AV13" i="1" s="1"/>
  <c r="AW10" i="1" s="1"/>
  <c r="AU11" i="1"/>
  <c r="S21" i="1"/>
  <c r="S22" i="1" s="1"/>
  <c r="S73" i="1"/>
  <c r="AQ52" i="1" l="1"/>
  <c r="AR42" i="1"/>
  <c r="AV11" i="1"/>
  <c r="AW12" i="1"/>
  <c r="AW13" i="1" s="1"/>
  <c r="AX10" i="1" s="1"/>
  <c r="S74" i="1"/>
  <c r="S23" i="1"/>
  <c r="AQ53" i="1" l="1"/>
  <c r="AR43" i="1"/>
  <c r="AX12" i="1"/>
  <c r="AX13" i="1" s="1"/>
  <c r="AY10" i="1" s="1"/>
  <c r="AW11" i="1"/>
  <c r="S24" i="1"/>
  <c r="T72" i="1"/>
  <c r="AQ54" i="1" l="1"/>
  <c r="AR44" i="1"/>
  <c r="AS42" i="1" s="1"/>
  <c r="AS43" i="1" s="1"/>
  <c r="AX11" i="1"/>
  <c r="AY12" i="1"/>
  <c r="AY13" i="1" s="1"/>
  <c r="AZ10" i="1" s="1"/>
  <c r="T21" i="1"/>
  <c r="T22" i="1" s="1"/>
  <c r="T73" i="1"/>
  <c r="AZ12" i="1" l="1"/>
  <c r="AZ13" i="1" s="1"/>
  <c r="BA10" i="1" s="1"/>
  <c r="AR52" i="1"/>
  <c r="AS44" i="1"/>
  <c r="AT42" i="1" s="1"/>
  <c r="AT43" i="1" s="1"/>
  <c r="AY11" i="1"/>
  <c r="T74" i="1"/>
  <c r="T23" i="1"/>
  <c r="BA12" i="1" l="1"/>
  <c r="BA13" i="1" s="1"/>
  <c r="BB10" i="1" s="1"/>
  <c r="AZ11" i="1"/>
  <c r="BA11" i="1" s="1"/>
  <c r="AR53" i="1"/>
  <c r="AT44" i="1"/>
  <c r="AU42" i="1" s="1"/>
  <c r="AU43" i="1" s="1"/>
  <c r="U72" i="1"/>
  <c r="T24" i="1"/>
  <c r="BB12" i="1" l="1"/>
  <c r="BB13" i="1" s="1"/>
  <c r="BC10" i="1" s="1"/>
  <c r="AR54" i="1"/>
  <c r="AS52" i="1" s="1"/>
  <c r="AU44" i="1"/>
  <c r="AV42" i="1" s="1"/>
  <c r="AV43" i="1" s="1"/>
  <c r="U21" i="1"/>
  <c r="U22" i="1" s="1"/>
  <c r="U73" i="1"/>
  <c r="BC12" i="1" l="1"/>
  <c r="BC13" i="1" s="1"/>
  <c r="BD10" i="1" s="1"/>
  <c r="BB11" i="1"/>
  <c r="BC11" i="1" s="1"/>
  <c r="AS53" i="1"/>
  <c r="AS54" i="1" s="1"/>
  <c r="AV44" i="1"/>
  <c r="U74" i="1"/>
  <c r="U23" i="1"/>
  <c r="BD12" i="1" l="1"/>
  <c r="BD13" i="1" s="1"/>
  <c r="BE10" i="1" s="1"/>
  <c r="AT52" i="1"/>
  <c r="U24" i="1"/>
  <c r="V72" i="1"/>
  <c r="BE12" i="1" l="1"/>
  <c r="BE13" i="1" s="1"/>
  <c r="BF10" i="1" s="1"/>
  <c r="BD11" i="1"/>
  <c r="BE11" i="1" s="1"/>
  <c r="AT53" i="1"/>
  <c r="V21" i="1"/>
  <c r="V22" i="1" s="1"/>
  <c r="V73" i="1"/>
  <c r="BF12" i="1" l="1"/>
  <c r="BF13" i="1" s="1"/>
  <c r="BG10" i="1" s="1"/>
  <c r="AT54" i="1"/>
  <c r="AU52" i="1" s="1"/>
  <c r="AU53" i="1" s="1"/>
  <c r="V74" i="1"/>
  <c r="V23" i="1"/>
  <c r="BG12" i="1" l="1"/>
  <c r="BG13" i="1" s="1"/>
  <c r="BH10" i="1" s="1"/>
  <c r="BF11" i="1"/>
  <c r="BG11" i="1" s="1"/>
  <c r="AU54" i="1"/>
  <c r="AV52" i="1" s="1"/>
  <c r="AV53" i="1" s="1"/>
  <c r="V24" i="1"/>
  <c r="W72" i="1"/>
  <c r="BH12" i="1" l="1"/>
  <c r="BH13" i="1" s="1"/>
  <c r="BI10" i="1" s="1"/>
  <c r="BI12" i="1" s="1"/>
  <c r="BI13" i="1" s="1"/>
  <c r="BJ10" i="1" s="1"/>
  <c r="BJ12" i="1" s="1"/>
  <c r="BJ13" i="1" s="1"/>
  <c r="BK10" i="1" s="1"/>
  <c r="BK12" i="1" s="1"/>
  <c r="BK13" i="1" s="1"/>
  <c r="BL10" i="1" s="1"/>
  <c r="BL12" i="1" s="1"/>
  <c r="BL13" i="1" s="1"/>
  <c r="BN10" i="1" s="1"/>
  <c r="BN12" i="1" s="1"/>
  <c r="BN13" i="1" s="1"/>
  <c r="BO10" i="1" s="1"/>
  <c r="BO12" i="1" s="1"/>
  <c r="BO13" i="1" s="1"/>
  <c r="BP10" i="1" s="1"/>
  <c r="BP12" i="1" s="1"/>
  <c r="BP13" i="1" s="1"/>
  <c r="BQ10" i="1" s="1"/>
  <c r="BQ12" i="1" s="1"/>
  <c r="BQ13" i="1" s="1"/>
  <c r="BR10" i="1" s="1"/>
  <c r="BR12" i="1" s="1"/>
  <c r="BR13" i="1" s="1"/>
  <c r="BS10" i="1" s="1"/>
  <c r="BS12" i="1" s="1"/>
  <c r="BS13" i="1" s="1"/>
  <c r="AV54" i="1"/>
  <c r="W21" i="1"/>
  <c r="W22" i="1" s="1"/>
  <c r="W73" i="1"/>
  <c r="BT10" i="1" l="1"/>
  <c r="BT12" i="1" s="1"/>
  <c r="BT13" i="1" s="1"/>
  <c r="BH11" i="1"/>
  <c r="BI11" i="1" s="1"/>
  <c r="BJ11" i="1" s="1"/>
  <c r="BK11" i="1" s="1"/>
  <c r="BL11" i="1" s="1"/>
  <c r="BM11" i="1" s="1"/>
  <c r="BN11" i="1" s="1"/>
  <c r="BO11" i="1" s="1"/>
  <c r="BP11" i="1" s="1"/>
  <c r="BQ11" i="1" s="1"/>
  <c r="BR11" i="1" s="1"/>
  <c r="BS11" i="1" s="1"/>
  <c r="W74" i="1"/>
  <c r="W23" i="1"/>
  <c r="BT11" i="1" l="1"/>
  <c r="W24" i="1"/>
  <c r="X72" i="1"/>
  <c r="X21" i="1" l="1"/>
  <c r="X22" i="1" s="1"/>
  <c r="X73" i="1"/>
  <c r="X74" i="1" l="1"/>
  <c r="X23" i="1"/>
  <c r="X24" i="1" l="1"/>
  <c r="Y72" i="1"/>
  <c r="Y21" i="1" l="1"/>
  <c r="Y22" i="1" s="1"/>
  <c r="Y73" i="1"/>
  <c r="Y74" i="1" l="1"/>
  <c r="Y23" i="1"/>
  <c r="Y24" i="1" l="1"/>
  <c r="Z72" i="1"/>
  <c r="Z73" i="1" l="1"/>
  <c r="Z21" i="1"/>
  <c r="Z22" i="1" s="1"/>
  <c r="Z74" i="1" l="1"/>
  <c r="Z23" i="1"/>
  <c r="Z24" i="1" l="1"/>
  <c r="AA72" i="1"/>
  <c r="AA21" i="1" l="1"/>
  <c r="AA22" i="1" s="1"/>
  <c r="AA73" i="1"/>
  <c r="AA23" i="1" l="1"/>
  <c r="AA74" i="1"/>
  <c r="AA24" i="1" l="1"/>
  <c r="AB72" i="1"/>
  <c r="AB21" i="1" l="1"/>
  <c r="AB22" i="1" s="1"/>
  <c r="AB73" i="1"/>
  <c r="AB74" i="1" l="1"/>
  <c r="AB23" i="1"/>
  <c r="AB24" i="1" l="1"/>
  <c r="AC72" i="1"/>
  <c r="AC73" i="1" l="1"/>
  <c r="AC21" i="1"/>
  <c r="AC22" i="1" s="1"/>
  <c r="AC74" i="1" l="1"/>
  <c r="AC23" i="1"/>
  <c r="AC24" i="1" l="1"/>
  <c r="AD72" i="1"/>
  <c r="AD21" i="1" l="1"/>
  <c r="AD22" i="1" s="1"/>
  <c r="AD73" i="1"/>
  <c r="AD74" i="1" l="1"/>
  <c r="AD23" i="1"/>
  <c r="AE72" i="1" l="1"/>
  <c r="AD24" i="1"/>
  <c r="AE73" i="1" l="1"/>
  <c r="AE21" i="1"/>
  <c r="AE22" i="1" s="1"/>
  <c r="AE23" i="1" l="1"/>
  <c r="AE74" i="1"/>
  <c r="AF72" i="1" s="1"/>
  <c r="AF21" i="1" l="1"/>
  <c r="AF22" i="1" s="1"/>
  <c r="AF73" i="1"/>
  <c r="AF23" i="1" s="1"/>
  <c r="AE24" i="1"/>
  <c r="AF74" i="1" l="1"/>
  <c r="AG72" i="1" s="1"/>
  <c r="AG73" i="1" s="1"/>
  <c r="AG23" i="1" s="1"/>
  <c r="AF24" i="1" l="1"/>
  <c r="AG21" i="1"/>
  <c r="AG22" i="1" s="1"/>
  <c r="AG74" i="1"/>
  <c r="AH72" i="1" s="1"/>
  <c r="AH21" i="1" s="1"/>
  <c r="AH22" i="1" l="1"/>
  <c r="AH73" i="1"/>
  <c r="AH23" i="1" s="1"/>
  <c r="AG24" i="1"/>
  <c r="AH74" i="1" l="1"/>
  <c r="AI72" i="1" s="1"/>
  <c r="AI73" i="1" s="1"/>
  <c r="AH24" i="1" l="1"/>
  <c r="AI21" i="1"/>
  <c r="AI22" i="1" s="1"/>
  <c r="AI23" i="1"/>
  <c r="AI74" i="1"/>
  <c r="AJ72" i="1" l="1"/>
  <c r="AI24" i="1"/>
  <c r="AJ21" i="1" l="1"/>
  <c r="AJ22" i="1" s="1"/>
  <c r="AJ73" i="1"/>
  <c r="AJ23" i="1" l="1"/>
  <c r="AJ74" i="1"/>
  <c r="AK72" i="1" l="1"/>
  <c r="AJ24" i="1"/>
  <c r="AK21" i="1" l="1"/>
  <c r="AK22" i="1" s="1"/>
  <c r="AK73" i="1"/>
  <c r="AK23" i="1" l="1"/>
  <c r="AK74" i="1"/>
  <c r="AL72" i="1" l="1"/>
  <c r="AK24" i="1"/>
  <c r="AL21" i="1" l="1"/>
  <c r="AL22" i="1" s="1"/>
  <c r="AL73" i="1"/>
  <c r="AL23" i="1" l="1"/>
  <c r="AL74" i="1"/>
  <c r="AM72" i="1" s="1"/>
  <c r="AM73" i="1" l="1"/>
  <c r="AM23" i="1" s="1"/>
  <c r="AM21" i="1"/>
  <c r="AM22" i="1" s="1"/>
  <c r="AL24" i="1"/>
  <c r="AM74" i="1" l="1"/>
  <c r="AN72" i="1" s="1"/>
  <c r="AN73" i="1" s="1"/>
  <c r="AM24" i="1" l="1"/>
  <c r="AN21" i="1"/>
  <c r="AN22" i="1" s="1"/>
  <c r="AN74" i="1"/>
  <c r="AN23" i="1"/>
  <c r="AO72" i="1" l="1"/>
  <c r="AN24" i="1"/>
  <c r="AO73" i="1" l="1"/>
  <c r="AO21" i="1"/>
  <c r="AO22" i="1" s="1"/>
  <c r="AO74" i="1" l="1"/>
  <c r="AO23" i="1"/>
  <c r="AP72" i="1" l="1"/>
  <c r="AO24" i="1"/>
  <c r="AP73" i="1" l="1"/>
  <c r="AP21" i="1"/>
  <c r="AP22" i="1" s="1"/>
  <c r="AP74" i="1" l="1"/>
  <c r="AP23" i="1"/>
  <c r="AQ72" i="1" l="1"/>
  <c r="AP24" i="1"/>
  <c r="AQ73" i="1" l="1"/>
  <c r="AQ21" i="1"/>
  <c r="AQ22" i="1" s="1"/>
  <c r="AQ74" i="1" l="1"/>
  <c r="AQ23" i="1"/>
  <c r="E12" i="27"/>
  <c r="E13" i="27" s="1"/>
  <c r="F10" i="27" s="1"/>
  <c r="AR72" i="1" l="1"/>
  <c r="AQ24" i="1"/>
  <c r="E11" i="27"/>
  <c r="AR73" i="1" l="1"/>
  <c r="AR21" i="1"/>
  <c r="AR22" i="1" s="1"/>
  <c r="F12" i="27"/>
  <c r="F11" i="27"/>
  <c r="AS37" i="33" l="1"/>
  <c r="AT37" i="33" s="1"/>
  <c r="AR74" i="1"/>
  <c r="AR23" i="1"/>
  <c r="F13" i="27"/>
  <c r="G10" i="27" s="1"/>
  <c r="AS15" i="1" l="1"/>
  <c r="AS26" i="1"/>
  <c r="AS32" i="1" s="1"/>
  <c r="AS33" i="1" s="1"/>
  <c r="AS34" i="1" s="1"/>
  <c r="AT32" i="1" s="1"/>
  <c r="AT33" i="1" s="1"/>
  <c r="AT34" i="1" s="1"/>
  <c r="AS72" i="1"/>
  <c r="AR24" i="1"/>
  <c r="G12" i="27"/>
  <c r="G13" i="27" s="1"/>
  <c r="H10" i="27" s="1"/>
  <c r="G11" i="27"/>
  <c r="AU32" i="1" l="1"/>
  <c r="AU33" i="1" s="1"/>
  <c r="AU34" i="1" s="1"/>
  <c r="AS21" i="1"/>
  <c r="AS22" i="1" s="1"/>
  <c r="AS73" i="1"/>
  <c r="H12" i="27"/>
  <c r="H13" i="27" s="1"/>
  <c r="I10" i="27" s="1"/>
  <c r="AS23" i="1" l="1"/>
  <c r="AS74" i="1"/>
  <c r="AV32" i="1"/>
  <c r="AV33" i="1" s="1"/>
  <c r="AV34" i="1" s="1"/>
  <c r="I12" i="27"/>
  <c r="I13" i="27" s="1"/>
  <c r="J10" i="27" s="1"/>
  <c r="H11" i="27"/>
  <c r="I11" i="27" s="1"/>
  <c r="AS24" i="1" l="1"/>
  <c r="AT72" i="1"/>
  <c r="J12" i="27"/>
  <c r="J13" i="27" s="1"/>
  <c r="K10" i="27" s="1"/>
  <c r="AT73" i="1" l="1"/>
  <c r="AT21" i="1"/>
  <c r="AT22" i="1" s="1"/>
  <c r="J11" i="27"/>
  <c r="K12" i="27"/>
  <c r="K13" i="27" s="1"/>
  <c r="AT74" i="1" l="1"/>
  <c r="AT23" i="1"/>
  <c r="L10" i="27"/>
  <c r="L12" i="27" s="1"/>
  <c r="L13" i="27" s="1"/>
  <c r="M10" i="27" s="1"/>
  <c r="M12" i="27" s="1"/>
  <c r="M13" i="27" s="1"/>
  <c r="N10" i="27" s="1"/>
  <c r="K11" i="27"/>
  <c r="N12" i="27" l="1"/>
  <c r="N13" i="27" s="1"/>
  <c r="O10" i="27" s="1"/>
  <c r="O12" i="27" s="1"/>
  <c r="O13" i="27" s="1"/>
  <c r="P10" i="27" s="1"/>
  <c r="P12" i="27" s="1"/>
  <c r="P13" i="27" s="1"/>
  <c r="Q10" i="27" s="1"/>
  <c r="Q12" i="27" s="1"/>
  <c r="Q13" i="27" s="1"/>
  <c r="R10" i="27" s="1"/>
  <c r="R12" i="27" s="1"/>
  <c r="R13" i="27" s="1"/>
  <c r="S10" i="27" s="1"/>
  <c r="S12" i="27" s="1"/>
  <c r="S13" i="27" s="1"/>
  <c r="T10" i="27" s="1"/>
  <c r="T12" i="27" s="1"/>
  <c r="T13" i="27" s="1"/>
  <c r="U10" i="27" s="1"/>
  <c r="U12" i="27" s="1"/>
  <c r="U13" i="27" s="1"/>
  <c r="V10" i="27" s="1"/>
  <c r="V12" i="27" s="1"/>
  <c r="V13" i="27" s="1"/>
  <c r="W10" i="27" s="1"/>
  <c r="W12" i="27" s="1"/>
  <c r="W13" i="27" s="1"/>
  <c r="X10" i="27" s="1"/>
  <c r="X12" i="27" s="1"/>
  <c r="X13" i="27" s="1"/>
  <c r="AU72" i="1"/>
  <c r="AT24" i="1"/>
  <c r="L11" i="27"/>
  <c r="M11" i="27" s="1"/>
  <c r="N11" i="27" s="1"/>
  <c r="O11" i="27" s="1"/>
  <c r="P11" i="27" l="1"/>
  <c r="Q11" i="27" s="1"/>
  <c r="R11" i="27" s="1"/>
  <c r="S11" i="27" s="1"/>
  <c r="T11" i="27" s="1"/>
  <c r="U11" i="27" s="1"/>
  <c r="V11" i="27" s="1"/>
  <c r="W11" i="27" s="1"/>
  <c r="X11" i="27" s="1"/>
  <c r="Y10" i="27"/>
  <c r="AU21" i="1"/>
  <c r="AU22" i="1" s="1"/>
  <c r="AU73" i="1"/>
  <c r="Y11" i="27" l="1"/>
  <c r="Y12" i="27"/>
  <c r="Y13" i="27" s="1"/>
  <c r="AU23" i="1"/>
  <c r="AU74" i="1"/>
  <c r="AV72" i="1" l="1"/>
  <c r="AU24" i="1"/>
  <c r="AV21" i="1" l="1"/>
  <c r="AV22" i="1" s="1"/>
  <c r="AV73" i="1"/>
  <c r="AV23" i="1" l="1"/>
  <c r="AV74" i="1"/>
  <c r="AV24" i="1" l="1"/>
  <c r="BW20" i="11" l="1"/>
  <c r="CA20" i="11"/>
  <c r="CH32" i="11"/>
  <c r="BZ33" i="11"/>
  <c r="BY33" i="11"/>
  <c r="CB20" i="11"/>
  <c r="CG34" i="11"/>
  <c r="CD34" i="11"/>
  <c r="BY32" i="11"/>
  <c r="CH33" i="11"/>
  <c r="CG35" i="11"/>
  <c r="CA31" i="11"/>
  <c r="CE20" i="11"/>
  <c r="BX33" i="11"/>
  <c r="CF20" i="11"/>
  <c r="BZ32" i="11"/>
  <c r="BZ20" i="11"/>
  <c r="CE31" i="11"/>
  <c r="BX35" i="11"/>
  <c r="BW33" i="11"/>
  <c r="BY35" i="11"/>
  <c r="CH34" i="11"/>
  <c r="CC33" i="11"/>
  <c r="CB35" i="11"/>
  <c r="CG33" i="11"/>
  <c r="CF33" i="11"/>
  <c r="CF32" i="11"/>
  <c r="CC35" i="11"/>
  <c r="CA35" i="11"/>
  <c r="BZ31" i="11"/>
  <c r="CC20" i="11"/>
  <c r="CB31" i="11"/>
  <c r="CF35" i="11"/>
  <c r="CH20" i="11"/>
  <c r="CD20" i="11"/>
  <c r="CA34" i="11"/>
  <c r="CC31" i="11"/>
  <c r="BY20" i="11"/>
  <c r="BX32" i="11"/>
  <c r="BX20" i="11"/>
  <c r="BW35" i="11"/>
  <c r="BV43" i="11"/>
  <c r="BV20" i="11"/>
  <c r="CD32" i="11"/>
  <c r="CE33" i="11"/>
  <c r="BY34" i="11"/>
  <c r="CG32" i="11"/>
  <c r="CB32" i="11"/>
  <c r="CC32" i="11"/>
  <c r="CE35" i="11"/>
  <c r="CD33" i="11"/>
  <c r="CG20" i="11"/>
  <c r="BY31" i="11"/>
  <c r="BX31" i="11"/>
  <c r="CC34" i="11"/>
  <c r="BZ34" i="11"/>
  <c r="CE34" i="11"/>
  <c r="CG31" i="11"/>
  <c r="BU20" i="11"/>
  <c r="CB34" i="11"/>
  <c r="CA33" i="11"/>
  <c r="BZ35" i="11"/>
  <c r="CB33" i="11"/>
  <c r="CF34" i="11"/>
  <c r="CH35" i="11"/>
  <c r="CD31" i="11"/>
  <c r="BX34" i="11"/>
  <c r="CD35" i="11"/>
  <c r="BV11" i="11"/>
  <c r="CF31" i="11"/>
  <c r="CH31" i="11"/>
  <c r="CE32" i="11"/>
  <c r="CA32" i="11"/>
  <c r="AW61" i="1"/>
  <c r="AX61" i="1"/>
  <c r="AW51" i="1"/>
  <c r="BW11" i="11"/>
  <c r="CH42" i="11" l="1"/>
  <c r="CH39" i="11"/>
  <c r="CH36" i="11"/>
  <c r="CE36" i="11"/>
  <c r="BY36" i="11"/>
  <c r="CA36" i="11"/>
  <c r="CH43" i="11"/>
  <c r="CG36" i="11"/>
  <c r="BV40" i="11"/>
  <c r="BV41" i="11"/>
  <c r="CD36" i="11"/>
  <c r="CF36" i="11"/>
  <c r="BU36" i="11"/>
  <c r="CB36" i="11"/>
  <c r="CC36" i="11"/>
  <c r="BZ36" i="11"/>
  <c r="BX36" i="11"/>
  <c r="CH40" i="11"/>
  <c r="BV42" i="11"/>
  <c r="CH41" i="11"/>
  <c r="BV36" i="11"/>
  <c r="BA71" i="1"/>
  <c r="AZ71" i="1"/>
  <c r="AX41" i="1"/>
  <c r="AY71" i="1"/>
  <c r="AX71" i="1"/>
  <c r="AW71" i="1"/>
  <c r="AW52" i="1"/>
  <c r="AW53" i="1" s="1"/>
  <c r="AW54" i="1" s="1"/>
  <c r="AW62" i="1"/>
  <c r="AW63" i="1" s="1"/>
  <c r="AW64" i="1" s="1"/>
  <c r="AX62" i="1" s="1"/>
  <c r="AX63" i="1" s="1"/>
  <c r="BU11" i="11"/>
  <c r="BW36" i="11"/>
  <c r="BT36" i="11"/>
  <c r="AW41" i="1"/>
  <c r="AW31" i="1"/>
  <c r="BV44" i="11" l="1"/>
  <c r="CH44" i="11"/>
  <c r="AX64" i="1"/>
  <c r="AX31" i="1"/>
  <c r="BX11" i="11"/>
  <c r="AY41" i="1"/>
  <c r="AW72" i="1"/>
  <c r="AW20" i="1"/>
  <c r="AW32" i="1"/>
  <c r="AW33" i="1" s="1"/>
  <c r="AW34" i="1" s="1"/>
  <c r="AW42" i="1"/>
  <c r="AW43" i="1" s="1"/>
  <c r="AW44" i="1" s="1"/>
  <c r="AX42" i="1" s="1"/>
  <c r="AX43" i="1" s="1"/>
  <c r="AW21" i="1" l="1"/>
  <c r="AW22" i="1" s="1"/>
  <c r="AY31" i="1"/>
  <c r="BY11" i="11"/>
  <c r="AX32" i="1"/>
  <c r="AX33" i="1" s="1"/>
  <c r="AX34" i="1" s="1"/>
  <c r="BB71" i="1"/>
  <c r="AX51" i="1"/>
  <c r="AX20" i="1" s="1"/>
  <c r="AX16" i="1"/>
  <c r="AY51" i="1"/>
  <c r="AX44" i="1"/>
  <c r="AY42" i="1" s="1"/>
  <c r="AY43" i="1" s="1"/>
  <c r="AY61" i="1"/>
  <c r="AW73" i="1"/>
  <c r="AZ41" i="1"/>
  <c r="AY20" i="1" l="1"/>
  <c r="AY44" i="1"/>
  <c r="AZ42" i="1" s="1"/>
  <c r="AZ43" i="1" s="1"/>
  <c r="AZ44" i="1" s="1"/>
  <c r="AX52" i="1"/>
  <c r="AX53" i="1" s="1"/>
  <c r="AX54" i="1" s="1"/>
  <c r="AY52" i="1" s="1"/>
  <c r="AY53" i="1" s="1"/>
  <c r="BZ11" i="11"/>
  <c r="AZ31" i="1"/>
  <c r="AZ61" i="1"/>
  <c r="AW74" i="1"/>
  <c r="AX72" i="1" s="1"/>
  <c r="AW23" i="1"/>
  <c r="AY32" i="1"/>
  <c r="AY33" i="1" s="1"/>
  <c r="AY34" i="1" s="1"/>
  <c r="BC71" i="1"/>
  <c r="BA41" i="1"/>
  <c r="AY16" i="1"/>
  <c r="AY62" i="1"/>
  <c r="AY63" i="1" s="1"/>
  <c r="AY64" i="1" s="1"/>
  <c r="AZ51" i="1"/>
  <c r="AZ20" i="1" l="1"/>
  <c r="AX21" i="1"/>
  <c r="AX22" i="1" s="1"/>
  <c r="AX73" i="1"/>
  <c r="AX23" i="1" s="1"/>
  <c r="AY54" i="1"/>
  <c r="AZ52" i="1" s="1"/>
  <c r="AZ53" i="1" s="1"/>
  <c r="AZ54" i="1" s="1"/>
  <c r="BD71" i="1"/>
  <c r="AZ16" i="1"/>
  <c r="AZ62" i="1"/>
  <c r="AZ63" i="1" s="1"/>
  <c r="AZ64" i="1" s="1"/>
  <c r="BA42" i="1"/>
  <c r="BA43" i="1" s="1"/>
  <c r="BA44" i="1" s="1"/>
  <c r="BA31" i="1"/>
  <c r="CA11" i="11"/>
  <c r="AW24" i="1"/>
  <c r="BA51" i="1"/>
  <c r="BB41" i="1"/>
  <c r="AZ32" i="1"/>
  <c r="AZ33" i="1" s="1"/>
  <c r="AZ34" i="1" s="1"/>
  <c r="BA61" i="1"/>
  <c r="AX74" i="1" l="1"/>
  <c r="AY72" i="1" s="1"/>
  <c r="AY21" i="1" s="1"/>
  <c r="AY22" i="1" s="1"/>
  <c r="BA20" i="1"/>
  <c r="AY73" i="1"/>
  <c r="AY23" i="1" s="1"/>
  <c r="BA52" i="1"/>
  <c r="BA53" i="1" s="1"/>
  <c r="BA54" i="1" s="1"/>
  <c r="AX24" i="1"/>
  <c r="BB51" i="1"/>
  <c r="BA62" i="1"/>
  <c r="BA63" i="1" s="1"/>
  <c r="BA64" i="1" s="1"/>
  <c r="BA32" i="1"/>
  <c r="BA33" i="1" s="1"/>
  <c r="BA34" i="1" s="1"/>
  <c r="BA16" i="1"/>
  <c r="BB61" i="1"/>
  <c r="BC41" i="1"/>
  <c r="BB31" i="1"/>
  <c r="CB11" i="11"/>
  <c r="BE71" i="1"/>
  <c r="BB42" i="1"/>
  <c r="BB43" i="1" s="1"/>
  <c r="BB44" i="1" s="1"/>
  <c r="AY74" i="1" l="1"/>
  <c r="AZ72" i="1" s="1"/>
  <c r="AZ21" i="1" s="1"/>
  <c r="AZ22" i="1" s="1"/>
  <c r="BB20" i="1"/>
  <c r="BB32" i="1"/>
  <c r="BB33" i="1" s="1"/>
  <c r="BB34" i="1" s="1"/>
  <c r="BD41" i="1"/>
  <c r="BC51" i="1"/>
  <c r="BB52" i="1"/>
  <c r="BB53" i="1" s="1"/>
  <c r="BB54" i="1" s="1"/>
  <c r="BC42" i="1"/>
  <c r="BC43" i="1" s="1"/>
  <c r="BC44" i="1" s="1"/>
  <c r="BB16" i="1"/>
  <c r="BF71" i="1"/>
  <c r="BB62" i="1"/>
  <c r="BB63" i="1" s="1"/>
  <c r="BB64" i="1" s="1"/>
  <c r="CC11" i="11"/>
  <c r="BC31" i="1"/>
  <c r="BC61" i="1"/>
  <c r="BC16" i="1"/>
  <c r="AY24" i="1" l="1"/>
  <c r="AZ73" i="1"/>
  <c r="AZ23" i="1" s="1"/>
  <c r="BC20" i="1"/>
  <c r="BD51" i="1"/>
  <c r="BC52" i="1"/>
  <c r="BC53" i="1" s="1"/>
  <c r="BC54" i="1" s="1"/>
  <c r="BD42" i="1"/>
  <c r="BD43" i="1" s="1"/>
  <c r="BD44" i="1" s="1"/>
  <c r="BC62" i="1"/>
  <c r="BC63" i="1" s="1"/>
  <c r="BC64" i="1" s="1"/>
  <c r="BC32" i="1"/>
  <c r="BC33" i="1" s="1"/>
  <c r="BC34" i="1" s="1"/>
  <c r="BE41" i="1"/>
  <c r="BH71" i="1"/>
  <c r="BD31" i="1"/>
  <c r="CD11" i="11"/>
  <c r="BD61" i="1"/>
  <c r="BD16" i="1"/>
  <c r="BG71" i="1"/>
  <c r="AZ74" i="1" l="1"/>
  <c r="BA72" i="1" s="1"/>
  <c r="BA21" i="1" s="1"/>
  <c r="BA22" i="1" s="1"/>
  <c r="BD20" i="1"/>
  <c r="BE42" i="1"/>
  <c r="BE43" i="1" s="1"/>
  <c r="BE44" i="1" s="1"/>
  <c r="BD62" i="1"/>
  <c r="BD63" i="1" s="1"/>
  <c r="BD64" i="1" s="1"/>
  <c r="BE51" i="1"/>
  <c r="BD52" i="1"/>
  <c r="BD53" i="1" s="1"/>
  <c r="BD54" i="1" s="1"/>
  <c r="BE31" i="1"/>
  <c r="CE11" i="11"/>
  <c r="BE61" i="1"/>
  <c r="BE16" i="1"/>
  <c r="BD32" i="1"/>
  <c r="BD33" i="1" s="1"/>
  <c r="BD34" i="1" s="1"/>
  <c r="BF41" i="1"/>
  <c r="BA73" i="1" l="1"/>
  <c r="AZ24" i="1"/>
  <c r="BE20" i="1"/>
  <c r="BA23" i="1"/>
  <c r="BA74" i="1"/>
  <c r="BF51" i="1"/>
  <c r="BF42" i="1"/>
  <c r="BF43" i="1" s="1"/>
  <c r="BF44" i="1" s="1"/>
  <c r="CF11" i="11"/>
  <c r="BF31" i="1"/>
  <c r="BE32" i="1"/>
  <c r="BE33" i="1" s="1"/>
  <c r="BE34" i="1" s="1"/>
  <c r="BF61" i="1"/>
  <c r="BH41" i="1"/>
  <c r="BG41" i="1"/>
  <c r="BE62" i="1"/>
  <c r="BE63" i="1" s="1"/>
  <c r="BE64" i="1" s="1"/>
  <c r="BE52" i="1"/>
  <c r="BE53" i="1" s="1"/>
  <c r="BE54" i="1" s="1"/>
  <c r="BB72" i="1" l="1"/>
  <c r="BA24" i="1"/>
  <c r="BF20" i="1"/>
  <c r="BF32" i="1"/>
  <c r="BF33" i="1" s="1"/>
  <c r="BF34" i="1" s="1"/>
  <c r="CG11" i="11"/>
  <c r="BG31" i="1"/>
  <c r="BG42" i="1"/>
  <c r="BG43" i="1" s="1"/>
  <c r="BG44" i="1" s="1"/>
  <c r="BH42" i="1" s="1"/>
  <c r="BH43" i="1" s="1"/>
  <c r="BF16" i="1"/>
  <c r="BF62" i="1"/>
  <c r="BF63" i="1" s="1"/>
  <c r="BF64" i="1" s="1"/>
  <c r="BF52" i="1"/>
  <c r="BF53" i="1" s="1"/>
  <c r="BF54" i="1" s="1"/>
  <c r="BH61" i="1"/>
  <c r="BG61" i="1"/>
  <c r="BG51" i="1"/>
  <c r="BH51" i="1"/>
  <c r="BB73" i="1" l="1"/>
  <c r="BB21" i="1"/>
  <c r="BB22" i="1" s="1"/>
  <c r="BG20" i="1"/>
  <c r="BH44" i="1"/>
  <c r="BI42" i="1" s="1"/>
  <c r="BI43" i="1" s="1"/>
  <c r="BI44" i="1" s="1"/>
  <c r="BJ42" i="1" s="1"/>
  <c r="BJ43" i="1" s="1"/>
  <c r="BJ44" i="1" s="1"/>
  <c r="BK42" i="1" s="1"/>
  <c r="BK43" i="1" s="1"/>
  <c r="BK44" i="1" s="1"/>
  <c r="BL42" i="1" s="1"/>
  <c r="BL43" i="1" s="1"/>
  <c r="BL44" i="1" s="1"/>
  <c r="BM42" i="1" s="1"/>
  <c r="BM43" i="1" s="1"/>
  <c r="BM44" i="1" s="1"/>
  <c r="BN42" i="1" s="1"/>
  <c r="BN43" i="1" s="1"/>
  <c r="BN44" i="1" s="1"/>
  <c r="BO42" i="1" s="1"/>
  <c r="BO43" i="1" s="1"/>
  <c r="BO44" i="1" s="1"/>
  <c r="BP42" i="1" s="1"/>
  <c r="BP43" i="1" s="1"/>
  <c r="BP44" i="1" s="1"/>
  <c r="BQ42" i="1" s="1"/>
  <c r="BQ43" i="1" s="1"/>
  <c r="BQ44" i="1" s="1"/>
  <c r="BR42" i="1" s="1"/>
  <c r="BR43" i="1" s="1"/>
  <c r="BR44" i="1" s="1"/>
  <c r="BS42" i="1" s="1"/>
  <c r="BS43" i="1" s="1"/>
  <c r="BS44" i="1" s="1"/>
  <c r="BG52" i="1"/>
  <c r="BG53" i="1" s="1"/>
  <c r="BG54" i="1" s="1"/>
  <c r="BH52" i="1" s="1"/>
  <c r="BH53" i="1" s="1"/>
  <c r="BG62" i="1"/>
  <c r="BG63" i="1" s="1"/>
  <c r="BG64" i="1" s="1"/>
  <c r="BH62" i="1" s="1"/>
  <c r="BH63" i="1" s="1"/>
  <c r="BH31" i="1"/>
  <c r="BH20" i="1" s="1"/>
  <c r="CH11" i="11"/>
  <c r="BG32" i="1"/>
  <c r="BG33" i="1" s="1"/>
  <c r="BG34" i="1" s="1"/>
  <c r="BG16" i="1"/>
  <c r="BT42" i="1" l="1"/>
  <c r="BT43" i="1" s="1"/>
  <c r="BT44" i="1" s="1"/>
  <c r="BB23" i="1"/>
  <c r="BB74" i="1"/>
  <c r="BH54" i="1"/>
  <c r="BI52" i="1" s="1"/>
  <c r="BI53" i="1" s="1"/>
  <c r="BI54" i="1" s="1"/>
  <c r="BJ52" i="1" s="1"/>
  <c r="BJ53" i="1" s="1"/>
  <c r="BJ54" i="1" s="1"/>
  <c r="BK52" i="1" s="1"/>
  <c r="BK53" i="1" s="1"/>
  <c r="BK54" i="1" s="1"/>
  <c r="BL52" i="1" s="1"/>
  <c r="BL53" i="1" s="1"/>
  <c r="BL54" i="1" s="1"/>
  <c r="BM52" i="1" s="1"/>
  <c r="BM53" i="1" s="1"/>
  <c r="BM54" i="1" s="1"/>
  <c r="BN52" i="1" s="1"/>
  <c r="BN53" i="1" s="1"/>
  <c r="BN54" i="1" s="1"/>
  <c r="BO52" i="1" s="1"/>
  <c r="BO53" i="1" s="1"/>
  <c r="BO54" i="1" s="1"/>
  <c r="BP52" i="1" s="1"/>
  <c r="BP53" i="1" s="1"/>
  <c r="BP54" i="1" s="1"/>
  <c r="BQ52" i="1" s="1"/>
  <c r="BQ53" i="1" s="1"/>
  <c r="BQ54" i="1" s="1"/>
  <c r="BR52" i="1" s="1"/>
  <c r="BR53" i="1" s="1"/>
  <c r="BR54" i="1" s="1"/>
  <c r="BS52" i="1" s="1"/>
  <c r="BS53" i="1" s="1"/>
  <c r="BS54" i="1" s="1"/>
  <c r="BH64" i="1"/>
  <c r="BI62" i="1" s="1"/>
  <c r="BI63" i="1" s="1"/>
  <c r="BI64" i="1" s="1"/>
  <c r="BJ62" i="1" s="1"/>
  <c r="BJ63" i="1" s="1"/>
  <c r="BJ64" i="1" s="1"/>
  <c r="BK62" i="1" s="1"/>
  <c r="BK63" i="1" s="1"/>
  <c r="BK64" i="1" s="1"/>
  <c r="BL62" i="1" s="1"/>
  <c r="BL63" i="1" s="1"/>
  <c r="BL64" i="1" s="1"/>
  <c r="BM62" i="1" s="1"/>
  <c r="BM63" i="1" s="1"/>
  <c r="BM64" i="1" s="1"/>
  <c r="BN62" i="1" s="1"/>
  <c r="BN63" i="1" s="1"/>
  <c r="BN64" i="1" s="1"/>
  <c r="BO62" i="1" s="1"/>
  <c r="BO63" i="1" s="1"/>
  <c r="BO64" i="1" s="1"/>
  <c r="BP62" i="1" s="1"/>
  <c r="BP63" i="1" s="1"/>
  <c r="BP64" i="1" s="1"/>
  <c r="BQ62" i="1" s="1"/>
  <c r="BQ63" i="1" s="1"/>
  <c r="BQ64" i="1" s="1"/>
  <c r="BR62" i="1" s="1"/>
  <c r="BR63" i="1" s="1"/>
  <c r="BR64" i="1" s="1"/>
  <c r="BS62" i="1" s="1"/>
  <c r="BS63" i="1" s="1"/>
  <c r="BS64" i="1" s="1"/>
  <c r="BH32" i="1"/>
  <c r="BH33" i="1" s="1"/>
  <c r="BH34" i="1" s="1"/>
  <c r="BI32" i="1" s="1"/>
  <c r="BI33" i="1" s="1"/>
  <c r="BI34" i="1" s="1"/>
  <c r="BJ32" i="1" s="1"/>
  <c r="BJ33" i="1" s="1"/>
  <c r="BJ34" i="1" s="1"/>
  <c r="BK32" i="1" s="1"/>
  <c r="BK33" i="1" s="1"/>
  <c r="BK34" i="1" s="1"/>
  <c r="BL32" i="1" s="1"/>
  <c r="BL33" i="1" s="1"/>
  <c r="BL34" i="1" s="1"/>
  <c r="BM32" i="1" s="1"/>
  <c r="BM33" i="1" s="1"/>
  <c r="BM34" i="1" s="1"/>
  <c r="BN32" i="1" s="1"/>
  <c r="BN33" i="1" s="1"/>
  <c r="BN34" i="1" s="1"/>
  <c r="BO32" i="1" s="1"/>
  <c r="BO33" i="1" s="1"/>
  <c r="BO34" i="1" s="1"/>
  <c r="BP32" i="1" s="1"/>
  <c r="BP33" i="1" s="1"/>
  <c r="BP34" i="1" s="1"/>
  <c r="BQ32" i="1" s="1"/>
  <c r="BQ33" i="1" s="1"/>
  <c r="BQ34" i="1" s="1"/>
  <c r="BR32" i="1" s="1"/>
  <c r="BR33" i="1" s="1"/>
  <c r="BR34" i="1" s="1"/>
  <c r="BS32" i="1" s="1"/>
  <c r="BS33" i="1" s="1"/>
  <c r="BS34" i="1" s="1"/>
  <c r="BH16" i="1"/>
  <c r="BT52" i="1" l="1"/>
  <c r="BT53" i="1" s="1"/>
  <c r="BT54" i="1" s="1"/>
  <c r="BT62" i="1"/>
  <c r="BT63" i="1" s="1"/>
  <c r="BT64" i="1" s="1"/>
  <c r="BT32" i="1"/>
  <c r="BT33" i="1" s="1"/>
  <c r="BT34" i="1" s="1"/>
  <c r="BC72" i="1"/>
  <c r="BB24" i="1"/>
  <c r="BC21" i="1" l="1"/>
  <c r="BC22" i="1" s="1"/>
  <c r="BC73" i="1"/>
  <c r="BC23" i="1" l="1"/>
  <c r="BC74" i="1"/>
  <c r="BD72" i="1" l="1"/>
  <c r="BC24" i="1"/>
  <c r="BD73" i="1" l="1"/>
  <c r="BD21" i="1"/>
  <c r="BD22" i="1" s="1"/>
  <c r="BD23" i="1" l="1"/>
  <c r="BD74" i="1"/>
  <c r="BE72" i="1" l="1"/>
  <c r="BD24" i="1"/>
  <c r="BE21" i="1" l="1"/>
  <c r="BE22" i="1" s="1"/>
  <c r="BE73" i="1"/>
  <c r="BE23" i="1" l="1"/>
  <c r="BE74" i="1"/>
  <c r="BF72" i="1" l="1"/>
  <c r="BE24" i="1"/>
  <c r="BF73" i="1" l="1"/>
  <c r="BF21" i="1"/>
  <c r="BF22" i="1" s="1"/>
  <c r="BF74" i="1" l="1"/>
  <c r="BF23" i="1"/>
  <c r="BG72" i="1" l="1"/>
  <c r="BF24" i="1"/>
  <c r="BG21" i="1" l="1"/>
  <c r="BG22" i="1" s="1"/>
  <c r="BG73" i="1"/>
  <c r="BG23" i="1" l="1"/>
  <c r="BG74" i="1"/>
  <c r="BG24" i="1" l="1"/>
  <c r="BH72" i="1"/>
  <c r="BT11" i="11"/>
  <c r="BT20" i="11"/>
  <c r="BH21" i="1" l="1"/>
  <c r="BH22" i="1" s="1"/>
  <c r="BH73" i="1"/>
  <c r="BH23" i="1" l="1"/>
  <c r="BH74" i="1"/>
  <c r="AJ11" i="28"/>
  <c r="AJ20" i="28"/>
  <c r="BH24" i="1" l="1"/>
  <c r="BI72" i="1"/>
  <c r="BI21" i="1" l="1"/>
  <c r="BI22" i="1" s="1"/>
  <c r="BI73" i="1"/>
  <c r="BI23" i="1" l="1"/>
  <c r="BI74" i="1"/>
  <c r="BJ72" i="1" l="1"/>
  <c r="BI24" i="1"/>
  <c r="BJ73" i="1" l="1"/>
  <c r="BJ21" i="1"/>
  <c r="BJ22" i="1" s="1"/>
  <c r="BJ23" i="1" l="1"/>
  <c r="BJ74" i="1"/>
  <c r="BK72" i="1" l="1"/>
  <c r="BJ24" i="1"/>
  <c r="BK21" i="1" l="1"/>
  <c r="BK22" i="1" s="1"/>
  <c r="BK73" i="1"/>
  <c r="BK74" i="1" l="1"/>
  <c r="BK23" i="1"/>
  <c r="BK24" i="1" l="1"/>
  <c r="BL72" i="1"/>
  <c r="BL21" i="1" l="1"/>
  <c r="BL22" i="1" s="1"/>
  <c r="BL73" i="1"/>
  <c r="BL74" i="1" l="1"/>
  <c r="BL23" i="1"/>
  <c r="BM72" i="1" l="1"/>
  <c r="BL24" i="1"/>
  <c r="BM73" i="1" l="1"/>
  <c r="BM21" i="1"/>
  <c r="BM22" i="1" s="1"/>
  <c r="BM23" i="1" l="1"/>
  <c r="BM74" i="1"/>
  <c r="BM24" i="1" l="1"/>
  <c r="BN72" i="1"/>
  <c r="BN73" i="1" l="1"/>
  <c r="BN21" i="1"/>
  <c r="BN22" i="1" s="1"/>
  <c r="BN74" i="1" l="1"/>
  <c r="BN23" i="1"/>
  <c r="BN24" i="1" l="1"/>
  <c r="BO72" i="1"/>
  <c r="BO21" i="1" l="1"/>
  <c r="BO22" i="1" s="1"/>
  <c r="BO73" i="1"/>
  <c r="BO74" i="1" l="1"/>
  <c r="BO23" i="1"/>
  <c r="BO24" i="1" l="1"/>
  <c r="BP72" i="1"/>
  <c r="BP21" i="1" l="1"/>
  <c r="BP22" i="1" s="1"/>
  <c r="BP73" i="1"/>
  <c r="BP74" i="1" l="1"/>
  <c r="BP23" i="1"/>
  <c r="BP24" i="1" l="1"/>
  <c r="BQ72" i="1"/>
  <c r="BQ21" i="1" l="1"/>
  <c r="BQ22" i="1" s="1"/>
  <c r="BQ73" i="1"/>
  <c r="BQ74" i="1" l="1"/>
  <c r="BQ23" i="1"/>
  <c r="BQ24" i="1" l="1"/>
  <c r="BR72" i="1"/>
  <c r="BR21" i="1" l="1"/>
  <c r="BR22" i="1" s="1"/>
  <c r="BR73" i="1"/>
  <c r="BR74" i="1" l="1"/>
  <c r="BR23" i="1"/>
  <c r="BR24" i="1" l="1"/>
  <c r="BS72" i="1"/>
  <c r="BS21" i="1" l="1"/>
  <c r="BS22" i="1" s="1"/>
  <c r="BS73" i="1"/>
  <c r="BS74" i="1" l="1"/>
  <c r="BT72" i="1" s="1"/>
  <c r="BS23" i="1"/>
  <c r="BT21" i="1" l="1"/>
  <c r="BT22" i="1" s="1"/>
  <c r="BT73" i="1"/>
  <c r="BS24" i="1"/>
  <c r="BT74" i="1" l="1"/>
  <c r="BT23" i="1"/>
  <c r="BT24" i="1" l="1"/>
  <c r="L32" i="31" l="1"/>
  <c r="N46" i="27" s="1"/>
  <c r="N52" i="27" s="1"/>
  <c r="N53" i="27" s="1"/>
  <c r="N54" i="27" s="1"/>
  <c r="O52" i="27" s="1"/>
  <c r="O53" i="27" s="1"/>
  <c r="O54" i="27" s="1"/>
  <c r="P52" i="27" s="1"/>
  <c r="P53" i="27" s="1"/>
  <c r="P54" i="27" s="1"/>
  <c r="Q52" i="27" s="1"/>
  <c r="Q53" i="27" s="1"/>
  <c r="Q54" i="27" s="1"/>
  <c r="R52" i="27" s="1"/>
  <c r="R53" i="27" s="1"/>
  <c r="R54" i="27" s="1"/>
  <c r="S52" i="27" s="1"/>
  <c r="S53" i="27" s="1"/>
  <c r="S54" i="27" s="1"/>
  <c r="T52" i="27" s="1"/>
  <c r="T53" i="27" s="1"/>
  <c r="T54" i="27" s="1"/>
  <c r="U52" i="27" s="1"/>
  <c r="U53" i="27" s="1"/>
  <c r="U54" i="27" s="1"/>
  <c r="V52" i="27" s="1"/>
  <c r="V53" i="27" s="1"/>
  <c r="V54" i="27" s="1"/>
  <c r="W52" i="27" s="1"/>
  <c r="W53" i="27" s="1"/>
  <c r="W54" i="27" s="1"/>
  <c r="X52" i="27" s="1"/>
  <c r="X53" i="27" s="1"/>
  <c r="X54" i="27" s="1"/>
  <c r="Y52" i="27" s="1"/>
  <c r="Y53" i="27" s="1"/>
  <c r="Y54" i="27" s="1"/>
  <c r="Z52" i="27" s="1"/>
  <c r="Z53" i="27" s="1"/>
  <c r="Z54" i="27" s="1"/>
  <c r="AA52" i="27" s="1"/>
  <c r="AA53" i="27" s="1"/>
  <c r="AA54" i="27" s="1"/>
  <c r="AB52" i="27" s="1"/>
  <c r="AB53" i="27" s="1"/>
  <c r="AB54" i="27" s="1"/>
  <c r="AC52" i="27" s="1"/>
  <c r="AC53" i="27" s="1"/>
  <c r="AC54" i="27" s="1"/>
  <c r="AD52" i="27" s="1"/>
  <c r="AD53" i="27" s="1"/>
  <c r="AD54" i="27" s="1"/>
  <c r="AE52" i="27" s="1"/>
  <c r="AE53" i="27" s="1"/>
  <c r="AE54" i="27" s="1"/>
  <c r="AF52" i="27" s="1"/>
  <c r="AF53" i="27" s="1"/>
  <c r="AF54" i="27" s="1"/>
  <c r="AG52" i="27" s="1"/>
  <c r="AG53" i="27" s="1"/>
  <c r="AG54" i="27" s="1"/>
  <c r="AH52" i="27" s="1"/>
  <c r="AH53" i="27" s="1"/>
  <c r="AH54" i="27" s="1"/>
  <c r="AI52" i="27" s="1"/>
  <c r="AI53" i="27" s="1"/>
  <c r="AI54" i="27" s="1"/>
  <c r="AJ52" i="27" s="1"/>
  <c r="AJ53" i="27" s="1"/>
  <c r="AJ54" i="27" s="1"/>
  <c r="AK52" i="27" s="1"/>
  <c r="AK53" i="27" s="1"/>
  <c r="AK54" i="27" s="1"/>
  <c r="N36" i="27"/>
  <c r="N42" i="27" s="1"/>
  <c r="N43" i="27" s="1"/>
  <c r="N44" i="27" s="1"/>
  <c r="O42" i="27" s="1"/>
  <c r="O43" i="27" s="1"/>
  <c r="O44" i="27" s="1"/>
  <c r="P42" i="27" s="1"/>
  <c r="P43" i="27" s="1"/>
  <c r="P44" i="27" s="1"/>
  <c r="Q42" i="27" s="1"/>
  <c r="Q43" i="27" s="1"/>
  <c r="Q44" i="27" s="1"/>
  <c r="R42" i="27" s="1"/>
  <c r="R43" i="27" s="1"/>
  <c r="R44" i="27" s="1"/>
  <c r="S42" i="27" s="1"/>
  <c r="S43" i="27" s="1"/>
  <c r="S44" i="27" s="1"/>
  <c r="T42" i="27" s="1"/>
  <c r="T43" i="27" s="1"/>
  <c r="T44" i="27" s="1"/>
  <c r="U42" i="27" s="1"/>
  <c r="U43" i="27" s="1"/>
  <c r="U44" i="27" s="1"/>
  <c r="V42" i="27" s="1"/>
  <c r="V43" i="27" s="1"/>
  <c r="V44" i="27" s="1"/>
  <c r="W42" i="27" s="1"/>
  <c r="W43" i="27" s="1"/>
  <c r="W44" i="27" s="1"/>
  <c r="X42" i="27" s="1"/>
  <c r="X43" i="27" s="1"/>
  <c r="X44" i="27" s="1"/>
  <c r="Y42" i="27" s="1"/>
  <c r="Y43" i="27" s="1"/>
  <c r="Y44" i="27" s="1"/>
  <c r="Z42" i="27" s="1"/>
  <c r="Z43" i="27" s="1"/>
  <c r="Z44" i="27" s="1"/>
  <c r="AA42" i="27" s="1"/>
  <c r="AA43" i="27" s="1"/>
  <c r="AA44" i="27" s="1"/>
  <c r="AB42" i="27" s="1"/>
  <c r="AB43" i="27" s="1"/>
  <c r="AB44" i="27" s="1"/>
  <c r="AC42" i="27" s="1"/>
  <c r="AC43" i="27" s="1"/>
  <c r="AC44" i="27" s="1"/>
  <c r="AD42" i="27" s="1"/>
  <c r="AD43" i="27" s="1"/>
  <c r="AD44" i="27" s="1"/>
  <c r="AE42" i="27" s="1"/>
  <c r="AE43" i="27" s="1"/>
  <c r="AE44" i="27" s="1"/>
  <c r="AF42" i="27" s="1"/>
  <c r="AF43" i="27" s="1"/>
  <c r="AF44" i="27" s="1"/>
  <c r="AG42" i="27" s="1"/>
  <c r="AG43" i="27" s="1"/>
  <c r="AG44" i="27" s="1"/>
  <c r="AH42" i="27" s="1"/>
  <c r="AH43" i="27" s="1"/>
  <c r="AH44" i="27" s="1"/>
  <c r="AI42" i="27" s="1"/>
  <c r="AI43" i="27" s="1"/>
  <c r="AI44" i="27" s="1"/>
  <c r="AJ42" i="27" s="1"/>
  <c r="AJ43" i="27" s="1"/>
  <c r="AJ44" i="27" s="1"/>
  <c r="AK42" i="27" s="1"/>
  <c r="AK43" i="27" s="1"/>
  <c r="AK44" i="27" s="1"/>
  <c r="L42" i="31"/>
  <c r="N56" i="27" s="1"/>
  <c r="N62" i="27" s="1"/>
  <c r="N63" i="27" s="1"/>
  <c r="N64" i="27" s="1"/>
  <c r="O62" i="27" s="1"/>
  <c r="O63" i="27" s="1"/>
  <c r="O64" i="27" s="1"/>
  <c r="P62" i="27" s="1"/>
  <c r="P63" i="27" s="1"/>
  <c r="P64" i="27" s="1"/>
  <c r="Q62" i="27" s="1"/>
  <c r="Q63" i="27" s="1"/>
  <c r="Q64" i="27" s="1"/>
  <c r="R62" i="27" s="1"/>
  <c r="R63" i="27" s="1"/>
  <c r="R64" i="27" s="1"/>
  <c r="S62" i="27" s="1"/>
  <c r="S63" i="27" s="1"/>
  <c r="S64" i="27" s="1"/>
  <c r="T62" i="27" s="1"/>
  <c r="T63" i="27" s="1"/>
  <c r="T64" i="27" s="1"/>
  <c r="U62" i="27" s="1"/>
  <c r="U63" i="27" s="1"/>
  <c r="U64" i="27" s="1"/>
  <c r="V62" i="27" s="1"/>
  <c r="V63" i="27" s="1"/>
  <c r="V64" i="27" s="1"/>
  <c r="W62" i="27" s="1"/>
  <c r="W63" i="27" s="1"/>
  <c r="W64" i="27" s="1"/>
  <c r="X62" i="27" s="1"/>
  <c r="X63" i="27" s="1"/>
  <c r="X64" i="27" s="1"/>
  <c r="Y62" i="27" s="1"/>
  <c r="Y63" i="27" s="1"/>
  <c r="Y64" i="27" s="1"/>
  <c r="Z62" i="27" s="1"/>
  <c r="Z63" i="27" s="1"/>
  <c r="Z64" i="27" s="1"/>
  <c r="AA62" i="27" s="1"/>
  <c r="AA63" i="27" s="1"/>
  <c r="AA64" i="27" s="1"/>
  <c r="AB62" i="27" s="1"/>
  <c r="AB63" i="27" s="1"/>
  <c r="AB64" i="27" s="1"/>
  <c r="AC62" i="27" s="1"/>
  <c r="AC63" i="27" s="1"/>
  <c r="AC64" i="27" s="1"/>
  <c r="AD62" i="27" s="1"/>
  <c r="AD63" i="27" s="1"/>
  <c r="AD64" i="27" s="1"/>
  <c r="AE62" i="27" s="1"/>
  <c r="AE63" i="27" s="1"/>
  <c r="AE64" i="27" s="1"/>
  <c r="AF62" i="27" s="1"/>
  <c r="AF63" i="27" s="1"/>
  <c r="AF64" i="27" s="1"/>
  <c r="AG62" i="27" s="1"/>
  <c r="AG63" i="27" s="1"/>
  <c r="AG64" i="27" s="1"/>
  <c r="AH62" i="27" s="1"/>
  <c r="AH63" i="27" s="1"/>
  <c r="AH64" i="27" s="1"/>
  <c r="AI62" i="27" s="1"/>
  <c r="AI63" i="27" s="1"/>
  <c r="AI64" i="27" s="1"/>
  <c r="AJ62" i="27" s="1"/>
  <c r="AJ63" i="27" s="1"/>
  <c r="AJ64" i="27" s="1"/>
  <c r="AK62" i="27" s="1"/>
  <c r="AK63" i="27" s="1"/>
  <c r="AK64" i="27" s="1"/>
  <c r="L12" i="31" l="1"/>
  <c r="N26" i="27" s="1"/>
  <c r="N32" i="27" l="1"/>
  <c r="N33" i="27" s="1"/>
  <c r="N34" i="27" s="1"/>
  <c r="O32" i="27" s="1"/>
  <c r="O33" i="27" s="1"/>
  <c r="O34" i="27" s="1"/>
  <c r="P32" i="27" s="1"/>
  <c r="P33" i="27" s="1"/>
  <c r="P34" i="27" s="1"/>
  <c r="Q32" i="27" s="1"/>
  <c r="Q33" i="27" s="1"/>
  <c r="Q34" i="27" s="1"/>
  <c r="R32" i="27" s="1"/>
  <c r="R33" i="27" s="1"/>
  <c r="R34" i="27" s="1"/>
  <c r="S32" i="27" s="1"/>
  <c r="S33" i="27" s="1"/>
  <c r="S34" i="27" s="1"/>
  <c r="T32" i="27" s="1"/>
  <c r="T33" i="27" s="1"/>
  <c r="T34" i="27" s="1"/>
  <c r="U32" i="27" s="1"/>
  <c r="U33" i="27" s="1"/>
  <c r="U34" i="27" s="1"/>
  <c r="V32" i="27" s="1"/>
  <c r="V33" i="27" s="1"/>
  <c r="V34" i="27" s="1"/>
  <c r="W32" i="27" s="1"/>
  <c r="W33" i="27" s="1"/>
  <c r="W34" i="27" s="1"/>
  <c r="X32" i="27" s="1"/>
  <c r="X33" i="27" s="1"/>
  <c r="X34" i="27" s="1"/>
  <c r="Y32" i="27" s="1"/>
  <c r="Y33" i="27" s="1"/>
  <c r="Y34" i="27" s="1"/>
  <c r="Z32" i="27" s="1"/>
  <c r="Z33" i="27" s="1"/>
  <c r="Z34" i="27" s="1"/>
  <c r="AA32" i="27" s="1"/>
  <c r="AA33" i="27" s="1"/>
  <c r="AA34" i="27" s="1"/>
  <c r="AB32" i="27" s="1"/>
  <c r="AB33" i="27" s="1"/>
  <c r="AB34" i="27" s="1"/>
  <c r="AC32" i="27" s="1"/>
  <c r="AC33" i="27" s="1"/>
  <c r="AC34" i="27" s="1"/>
  <c r="AD32" i="27" s="1"/>
  <c r="AD33" i="27" s="1"/>
  <c r="AD34" i="27" s="1"/>
  <c r="AE32" i="27" s="1"/>
  <c r="AE33" i="27" s="1"/>
  <c r="AE34" i="27" s="1"/>
  <c r="AF32" i="27" s="1"/>
  <c r="AF33" i="27" s="1"/>
  <c r="AF34" i="27" s="1"/>
  <c r="AG32" i="27" s="1"/>
  <c r="AG33" i="27" s="1"/>
  <c r="AG34" i="27" s="1"/>
  <c r="AH32" i="27" s="1"/>
  <c r="AH33" i="27" s="1"/>
  <c r="AH34" i="27" s="1"/>
  <c r="AI32" i="27" s="1"/>
  <c r="AI33" i="27" s="1"/>
  <c r="AI34" i="27" s="1"/>
  <c r="AJ32" i="27" s="1"/>
  <c r="AJ33" i="27" s="1"/>
  <c r="AJ34" i="27" s="1"/>
  <c r="AK32" i="27" s="1"/>
  <c r="AK33" i="27" s="1"/>
  <c r="AK34" i="27" s="1"/>
  <c r="L52" i="31" l="1"/>
  <c r="N66" i="27" s="1"/>
  <c r="N72" i="27" l="1"/>
  <c r="N15" i="27"/>
  <c r="N73" i="27" l="1"/>
  <c r="N21" i="27"/>
  <c r="N22" i="27" s="1"/>
  <c r="N74" i="27" l="1"/>
  <c r="N23" i="27"/>
  <c r="N24" i="27" l="1"/>
  <c r="O72" i="27"/>
  <c r="O73" i="27" l="1"/>
  <c r="O21" i="27"/>
  <c r="O22" i="27" s="1"/>
  <c r="O23" i="27" l="1"/>
  <c r="O74" i="27"/>
  <c r="O24" i="27" l="1"/>
  <c r="P72" i="27"/>
  <c r="P21" i="27" l="1"/>
  <c r="P22" i="27" s="1"/>
  <c r="P73" i="27"/>
  <c r="P74" i="27" l="1"/>
  <c r="P23" i="27"/>
  <c r="Q72" i="27" l="1"/>
  <c r="P24" i="27"/>
  <c r="Q73" i="27" l="1"/>
  <c r="Q21" i="27"/>
  <c r="Q22" i="27" s="1"/>
  <c r="Q23" i="27" l="1"/>
  <c r="Q74" i="27"/>
  <c r="R72" i="27" l="1"/>
  <c r="Q24" i="27"/>
  <c r="R21" i="27" l="1"/>
  <c r="R22" i="27" s="1"/>
  <c r="R73" i="27"/>
  <c r="R23" i="27" l="1"/>
  <c r="R74" i="27"/>
  <c r="S72" i="27" l="1"/>
  <c r="R24" i="27"/>
  <c r="S21" i="27" l="1"/>
  <c r="S22" i="27" s="1"/>
  <c r="S73" i="27"/>
  <c r="S23" i="27" l="1"/>
  <c r="S74" i="27"/>
  <c r="T72" i="27" l="1"/>
  <c r="S24" i="27"/>
  <c r="T21" i="27" l="1"/>
  <c r="T22" i="27" s="1"/>
  <c r="T73" i="27"/>
  <c r="T23" i="27" l="1"/>
  <c r="T74" i="27"/>
  <c r="U72" i="27" l="1"/>
  <c r="T24" i="27"/>
  <c r="U21" i="27" l="1"/>
  <c r="U22" i="27" s="1"/>
  <c r="U73" i="27"/>
  <c r="U23" i="27" l="1"/>
  <c r="U74" i="27"/>
  <c r="V72" i="27" l="1"/>
  <c r="U24" i="27"/>
  <c r="V21" i="27" l="1"/>
  <c r="V22" i="27" s="1"/>
  <c r="V73" i="27"/>
  <c r="V23" i="27" l="1"/>
  <c r="V74" i="27"/>
  <c r="W72" i="27" l="1"/>
  <c r="V24" i="27"/>
  <c r="W21" i="27" l="1"/>
  <c r="W22" i="27" s="1"/>
  <c r="W73" i="27"/>
  <c r="W23" i="27" l="1"/>
  <c r="W74" i="27"/>
  <c r="X72" i="27" l="1"/>
  <c r="W24" i="27"/>
  <c r="X21" i="27" l="1"/>
  <c r="X22" i="27" s="1"/>
  <c r="X73" i="27"/>
  <c r="X23" i="27" l="1"/>
  <c r="X74" i="27"/>
  <c r="Y72" i="27" l="1"/>
  <c r="X24" i="27"/>
  <c r="Y21" i="27" l="1"/>
  <c r="Y22" i="27" s="1"/>
  <c r="Y73" i="27"/>
  <c r="Y23" i="27" l="1"/>
  <c r="Y74" i="27"/>
  <c r="Z72" i="27" l="1"/>
  <c r="Y24" i="27"/>
  <c r="Z21" i="27" l="1"/>
  <c r="Z22" i="27" s="1"/>
  <c r="Z73" i="27"/>
  <c r="Z74" i="27" l="1"/>
  <c r="Z23" i="27"/>
  <c r="Z24" i="27" l="1"/>
  <c r="AA72" i="27"/>
  <c r="AA73" i="27" l="1"/>
  <c r="AA21" i="27"/>
  <c r="AA22" i="27" s="1"/>
  <c r="AA74" i="27" l="1"/>
  <c r="AA23" i="27"/>
  <c r="AA24" i="27" l="1"/>
  <c r="AB72" i="27"/>
  <c r="AB21" i="27" l="1"/>
  <c r="AB22" i="27" s="1"/>
  <c r="AB73" i="27"/>
  <c r="AB74" i="27" l="1"/>
  <c r="AB23" i="27"/>
  <c r="AB24" i="27" l="1"/>
  <c r="AC72" i="27"/>
  <c r="AC21" i="27" l="1"/>
  <c r="AC22" i="27" s="1"/>
  <c r="AC73" i="27"/>
  <c r="AC74" i="27" l="1"/>
  <c r="AC23" i="27"/>
  <c r="AC24" i="27" l="1"/>
  <c r="AD72" i="27"/>
  <c r="AD21" i="27" l="1"/>
  <c r="AD22" i="27" s="1"/>
  <c r="AD73" i="27"/>
  <c r="AD74" i="27" l="1"/>
  <c r="AD23" i="27"/>
  <c r="AD24" i="27" l="1"/>
  <c r="AE72" i="27"/>
  <c r="AE21" i="27" l="1"/>
  <c r="AE22" i="27" s="1"/>
  <c r="AE73" i="27"/>
  <c r="AE74" i="27" l="1"/>
  <c r="AE23" i="27"/>
  <c r="AE24" i="27" l="1"/>
  <c r="AF72" i="27"/>
  <c r="AF21" i="27" l="1"/>
  <c r="AF22" i="27" s="1"/>
  <c r="AF73" i="27"/>
  <c r="AF74" i="27" l="1"/>
  <c r="AF23" i="27"/>
  <c r="AF24" i="27" l="1"/>
  <c r="AG72" i="27"/>
  <c r="AG21" i="27" l="1"/>
  <c r="AG22" i="27" s="1"/>
  <c r="AG73" i="27"/>
  <c r="AG74" i="27" l="1"/>
  <c r="AG23" i="27"/>
  <c r="AG24" i="27" l="1"/>
  <c r="AH72" i="27"/>
  <c r="AH21" i="27" l="1"/>
  <c r="AH22" i="27" s="1"/>
  <c r="AH73" i="27"/>
  <c r="AH23" i="27" l="1"/>
  <c r="AH74" i="27"/>
  <c r="AH24" i="27" l="1"/>
  <c r="AI72" i="27"/>
  <c r="AI21" i="27" l="1"/>
  <c r="AI22" i="27" s="1"/>
  <c r="AI73" i="27"/>
  <c r="AI23" i="27" l="1"/>
  <c r="AI74" i="27"/>
  <c r="AI24" i="27" l="1"/>
  <c r="AJ72" i="27"/>
  <c r="AJ21" i="27" l="1"/>
  <c r="AJ22" i="27" s="1"/>
  <c r="AJ73" i="27"/>
  <c r="AJ74" i="27" l="1"/>
  <c r="AJ23" i="27"/>
  <c r="AK72" i="27" l="1"/>
  <c r="AJ24" i="27"/>
  <c r="AK21" i="27" l="1"/>
  <c r="AK22" i="27" s="1"/>
  <c r="AK73" i="27"/>
  <c r="AK74" i="27" l="1"/>
  <c r="AK23" i="27"/>
  <c r="AK24" i="27" l="1"/>
  <c r="AL80" i="27" l="1"/>
  <c r="AL81" i="27"/>
  <c r="AL82" i="27" s="1"/>
  <c r="AM79" i="27" s="1"/>
  <c r="AM81" i="27" l="1"/>
  <c r="AM82" i="27" s="1"/>
  <c r="AN79" i="27" s="1"/>
  <c r="AM80" i="27"/>
  <c r="AN80" i="27" l="1"/>
  <c r="AN81" i="27"/>
  <c r="AN82" i="27" s="1"/>
  <c r="BV8" i="1" l="1"/>
  <c r="AL71" i="28"/>
  <c r="AN48" i="27" s="1"/>
  <c r="Z17" i="29"/>
  <c r="BK10" i="22"/>
  <c r="BV69" i="11"/>
  <c r="BW38" i="1" s="1"/>
  <c r="BJ31" i="22"/>
  <c r="BU72" i="11"/>
  <c r="BV68" i="1" s="1"/>
  <c r="BJ24" i="22"/>
  <c r="BU71" i="11"/>
  <c r="BV58" i="1" s="1"/>
  <c r="BU69" i="11"/>
  <c r="BV38" i="1" s="1"/>
  <c r="BJ10" i="22"/>
  <c r="X3" i="29"/>
  <c r="X4" i="29" s="1"/>
  <c r="X5" i="29" s="1"/>
  <c r="X6" i="29" s="1"/>
  <c r="X7" i="29" s="1"/>
  <c r="X8" i="29" s="1"/>
  <c r="AJ69" i="28"/>
  <c r="AL28" i="27" s="1"/>
  <c r="AJ56" i="28"/>
  <c r="BT70" i="11"/>
  <c r="BU48" i="1" s="1"/>
  <c r="BI17" i="22"/>
  <c r="AN8" i="27"/>
  <c r="AM8" i="27"/>
  <c r="Y31" i="29"/>
  <c r="AK73" i="28"/>
  <c r="AM68" i="27" s="1"/>
  <c r="BU8" i="1"/>
  <c r="BU10" i="1" s="1"/>
  <c r="AJ73" i="28"/>
  <c r="AL68" i="27" s="1"/>
  <c r="X31" i="29"/>
  <c r="X32" i="29" s="1"/>
  <c r="X33" i="29" s="1"/>
  <c r="X34" i="29" s="1"/>
  <c r="X35" i="29" s="1"/>
  <c r="X36" i="29" s="1"/>
  <c r="Z24" i="29"/>
  <c r="AL72" i="28"/>
  <c r="AN58" i="27" s="1"/>
  <c r="AK71" i="28"/>
  <c r="AM48" i="27" s="1"/>
  <c r="Y17" i="29"/>
  <c r="BI10" i="22"/>
  <c r="BT69" i="11"/>
  <c r="BU38" i="1" s="1"/>
  <c r="BV72" i="11"/>
  <c r="BW68" i="1" s="1"/>
  <c r="BK31" i="22"/>
  <c r="AK69" i="28"/>
  <c r="AM28" i="27" s="1"/>
  <c r="AK56" i="28"/>
  <c r="Y3" i="29"/>
  <c r="AK72" i="28"/>
  <c r="AM58" i="27" s="1"/>
  <c r="Y24" i="29"/>
  <c r="AL8" i="27"/>
  <c r="AJ71" i="28"/>
  <c r="AL48" i="27" s="1"/>
  <c r="X17" i="29"/>
  <c r="X18" i="29" s="1"/>
  <c r="X19" i="29" s="1"/>
  <c r="X20" i="29" s="1"/>
  <c r="X21" i="29" s="1"/>
  <c r="X22" i="29" s="1"/>
  <c r="AL49" i="27" s="1"/>
  <c r="AL50" i="27" s="1"/>
  <c r="AL51" i="27" s="1"/>
  <c r="AL52" i="27" s="1"/>
  <c r="AL53" i="27" s="1"/>
  <c r="AL54" i="27" s="1"/>
  <c r="Z10" i="29"/>
  <c r="AL70" i="28"/>
  <c r="AN38" i="27" s="1"/>
  <c r="AK70" i="28"/>
  <c r="AM38" i="27" s="1"/>
  <c r="Y10" i="29"/>
  <c r="BK24" i="22"/>
  <c r="BV71" i="11"/>
  <c r="BW58" i="1" s="1"/>
  <c r="BI31" i="22"/>
  <c r="BT72" i="11"/>
  <c r="BU68" i="1" s="1"/>
  <c r="BW8" i="1"/>
  <c r="X24" i="29"/>
  <c r="X25" i="29" s="1"/>
  <c r="X26" i="29" s="1"/>
  <c r="X27" i="29" s="1"/>
  <c r="X28" i="29" s="1"/>
  <c r="X29" i="29" s="1"/>
  <c r="AJ72" i="28"/>
  <c r="AL58" i="27" s="1"/>
  <c r="Z3" i="29"/>
  <c r="AL56" i="28"/>
  <c r="AL69" i="28"/>
  <c r="BK17" i="22"/>
  <c r="BV70" i="11"/>
  <c r="BW48" i="1" s="1"/>
  <c r="Z31" i="29"/>
  <c r="AL73" i="28"/>
  <c r="AN68" i="27" s="1"/>
  <c r="BT71" i="11"/>
  <c r="BU58" i="1" s="1"/>
  <c r="BI24" i="22"/>
  <c r="BJ17" i="22"/>
  <c r="BU70" i="11"/>
  <c r="BV48" i="1" s="1"/>
  <c r="X10" i="29"/>
  <c r="X11" i="29" s="1"/>
  <c r="X12" i="29" s="1"/>
  <c r="X13" i="29" s="1"/>
  <c r="X14" i="29" s="1"/>
  <c r="X15" i="29" s="1"/>
  <c r="AJ70" i="28"/>
  <c r="AL38" i="27" s="1"/>
  <c r="AL13" i="27" l="1"/>
  <c r="AL17" i="27"/>
  <c r="AL29" i="27"/>
  <c r="AL30" i="27" s="1"/>
  <c r="AL31" i="27" s="1"/>
  <c r="AL59" i="27"/>
  <c r="AL60" i="27" s="1"/>
  <c r="AL61" i="27" s="1"/>
  <c r="AL62" i="27" s="1"/>
  <c r="AL63" i="27" s="1"/>
  <c r="AL64" i="27" s="1"/>
  <c r="BW78" i="1"/>
  <c r="Y18" i="29"/>
  <c r="Y19" i="29" s="1"/>
  <c r="Y20" i="29" s="1"/>
  <c r="Y21" i="29" s="1"/>
  <c r="Y22" i="29" s="1"/>
  <c r="AM49" i="27" s="1"/>
  <c r="AM50" i="27" s="1"/>
  <c r="AM51" i="27" s="1"/>
  <c r="AM52" i="27" s="1"/>
  <c r="AM53" i="27" s="1"/>
  <c r="AM54" i="27" s="1"/>
  <c r="AM10" i="27"/>
  <c r="AL11" i="27"/>
  <c r="BI3" i="22"/>
  <c r="BT55" i="11"/>
  <c r="BT68" i="11"/>
  <c r="BT73" i="11" s="1"/>
  <c r="Y25" i="29"/>
  <c r="Y26" i="29" s="1"/>
  <c r="Y27" i="29" s="1"/>
  <c r="Y28" i="29" s="1"/>
  <c r="Y29" i="29" s="1"/>
  <c r="AM59" i="27" s="1"/>
  <c r="AM60" i="27" s="1"/>
  <c r="AM61" i="27" s="1"/>
  <c r="BI33" i="22"/>
  <c r="BJ33" i="22" s="1"/>
  <c r="BK33" i="22" s="1"/>
  <c r="BI32" i="22"/>
  <c r="BJ32" i="22" s="1"/>
  <c r="BK32" i="22" s="1"/>
  <c r="AM17" i="27"/>
  <c r="BI25" i="22"/>
  <c r="BJ25" i="22" s="1"/>
  <c r="BK25" i="22" s="1"/>
  <c r="BI26" i="22"/>
  <c r="BJ26" i="22" s="1"/>
  <c r="BK26" i="22" s="1"/>
  <c r="Y4" i="29"/>
  <c r="Y5" i="29" s="1"/>
  <c r="Y6" i="29" s="1"/>
  <c r="Y7" i="29" s="1"/>
  <c r="Y8" i="29" s="1"/>
  <c r="AM29" i="27" s="1"/>
  <c r="AM30" i="27" s="1"/>
  <c r="AM31" i="27" s="1"/>
  <c r="AL69" i="27"/>
  <c r="BI19" i="22"/>
  <c r="BJ19" i="22" s="1"/>
  <c r="BK19" i="22" s="1"/>
  <c r="BI18" i="22"/>
  <c r="BJ18" i="22" s="1"/>
  <c r="BK18" i="22" s="1"/>
  <c r="BI11" i="22"/>
  <c r="BJ11" i="22" s="1"/>
  <c r="BK11" i="22" s="1"/>
  <c r="BI12" i="22"/>
  <c r="BJ12" i="22" s="1"/>
  <c r="BK12" i="22" s="1"/>
  <c r="BV55" i="11"/>
  <c r="BV68" i="11"/>
  <c r="BV73" i="11" s="1"/>
  <c r="BK3" i="22"/>
  <c r="AN28" i="27"/>
  <c r="AN17" i="27" s="1"/>
  <c r="AL74" i="28"/>
  <c r="AL39" i="27"/>
  <c r="AL40" i="27" s="1"/>
  <c r="AL41" i="27" s="1"/>
  <c r="AL42" i="27" s="1"/>
  <c r="AL43" i="27" s="1"/>
  <c r="AL44" i="27" s="1"/>
  <c r="Y11" i="29"/>
  <c r="Y12" i="29" s="1"/>
  <c r="AK74" i="28"/>
  <c r="BU11" i="1"/>
  <c r="BU12" i="1"/>
  <c r="BU13" i="1" s="1"/>
  <c r="BV10" i="1" s="1"/>
  <c r="BU78" i="1"/>
  <c r="BU79" i="1" s="1"/>
  <c r="Z18" i="29"/>
  <c r="Z19" i="29" s="1"/>
  <c r="Z20" i="29" s="1"/>
  <c r="Z21" i="29" s="1"/>
  <c r="Z22" i="29" s="1"/>
  <c r="AN49" i="27" s="1"/>
  <c r="AN50" i="27" s="1"/>
  <c r="AN51" i="27" s="1"/>
  <c r="BJ3" i="22"/>
  <c r="BU68" i="11"/>
  <c r="BU73" i="11" s="1"/>
  <c r="BU55" i="11"/>
  <c r="BV78" i="1"/>
  <c r="Y32" i="29"/>
  <c r="Y33" i="29" s="1"/>
  <c r="AJ74" i="28"/>
  <c r="AM62" i="27" l="1"/>
  <c r="AM63" i="27" s="1"/>
  <c r="AM64" i="27" s="1"/>
  <c r="BV12" i="1"/>
  <c r="BV13" i="1" s="1"/>
  <c r="BW10" i="1" s="1"/>
  <c r="AM12" i="27"/>
  <c r="AM13" i="27" s="1"/>
  <c r="AN10" i="27" s="1"/>
  <c r="BK13" i="22"/>
  <c r="BK14" i="22" s="1"/>
  <c r="BK15" i="22" s="1"/>
  <c r="BW39" i="1" s="1"/>
  <c r="BW40" i="1" s="1"/>
  <c r="BW41" i="1" s="1"/>
  <c r="Z4" i="29"/>
  <c r="Z5" i="29" s="1"/>
  <c r="Z6" i="29" s="1"/>
  <c r="Z7" i="29" s="1"/>
  <c r="Z8" i="29" s="1"/>
  <c r="AN29" i="27" s="1"/>
  <c r="AN30" i="27" s="1"/>
  <c r="AN31" i="27" s="1"/>
  <c r="BI20" i="22"/>
  <c r="BI21" i="22" s="1"/>
  <c r="BI22" i="22" s="1"/>
  <c r="BU49" i="1" s="1"/>
  <c r="BU50" i="1" s="1"/>
  <c r="BU51" i="1" s="1"/>
  <c r="BU52" i="1" s="1"/>
  <c r="BU53" i="1" s="1"/>
  <c r="BU54" i="1" s="1"/>
  <c r="BK34" i="22"/>
  <c r="BK35" i="22" s="1"/>
  <c r="BK36" i="22" s="1"/>
  <c r="BW69" i="1" s="1"/>
  <c r="BW70" i="1" s="1"/>
  <c r="BI13" i="22"/>
  <c r="BI14" i="22" s="1"/>
  <c r="BI15" i="22" s="1"/>
  <c r="BU39" i="1" s="1"/>
  <c r="BU40" i="1" s="1"/>
  <c r="BU41" i="1" s="1"/>
  <c r="BU42" i="1" s="1"/>
  <c r="BU43" i="1" s="1"/>
  <c r="BU44" i="1" s="1"/>
  <c r="BW28" i="1"/>
  <c r="BW17" i="1" s="1"/>
  <c r="BK20" i="22"/>
  <c r="BK21" i="22" s="1"/>
  <c r="BK22" i="22" s="1"/>
  <c r="BW49" i="1" s="1"/>
  <c r="BW50" i="1" s="1"/>
  <c r="BW51" i="1" s="1"/>
  <c r="BI34" i="22"/>
  <c r="BI35" i="22" s="1"/>
  <c r="BI36" i="22" s="1"/>
  <c r="BU69" i="1" s="1"/>
  <c r="BV11" i="1"/>
  <c r="BK27" i="22"/>
  <c r="BK28" i="22" s="1"/>
  <c r="BK29" i="22" s="1"/>
  <c r="BW59" i="1" s="1"/>
  <c r="BW60" i="1" s="1"/>
  <c r="BW61" i="1" s="1"/>
  <c r="BU28" i="1"/>
  <c r="BU17" i="1" s="1"/>
  <c r="BJ34" i="22"/>
  <c r="BJ35" i="22" s="1"/>
  <c r="BJ36" i="22" s="1"/>
  <c r="BV69" i="1" s="1"/>
  <c r="BV70" i="1" s="1"/>
  <c r="BJ27" i="22"/>
  <c r="BJ28" i="22" s="1"/>
  <c r="BJ29" i="22" s="1"/>
  <c r="BV59" i="1" s="1"/>
  <c r="BV60" i="1" s="1"/>
  <c r="BV61" i="1" s="1"/>
  <c r="AM87" i="27"/>
  <c r="AM88" i="27" s="1"/>
  <c r="BU98" i="1"/>
  <c r="BU99" i="1" s="1"/>
  <c r="BU100" i="1" s="1"/>
  <c r="BV98" i="1"/>
  <c r="BV99" i="1" s="1"/>
  <c r="BJ20" i="22"/>
  <c r="BJ21" i="22" s="1"/>
  <c r="BJ22" i="22" s="1"/>
  <c r="BV49" i="1" s="1"/>
  <c r="BV50" i="1" s="1"/>
  <c r="BV51" i="1" s="1"/>
  <c r="AN52" i="27"/>
  <c r="AN53" i="27" s="1"/>
  <c r="AN54" i="27" s="1"/>
  <c r="Z32" i="29"/>
  <c r="Z33" i="29" s="1"/>
  <c r="Z34" i="29" s="1"/>
  <c r="Z35" i="29" s="1"/>
  <c r="Z36" i="29" s="1"/>
  <c r="AN69" i="27" s="1"/>
  <c r="AN87" i="27"/>
  <c r="AN88" i="27" s="1"/>
  <c r="BU70" i="1"/>
  <c r="BJ13" i="22"/>
  <c r="BJ14" i="22" s="1"/>
  <c r="BJ15" i="22" s="1"/>
  <c r="BV39" i="1" s="1"/>
  <c r="BV40" i="1" s="1"/>
  <c r="BV41" i="1" s="1"/>
  <c r="BU80" i="1"/>
  <c r="BU81" i="1"/>
  <c r="BU82" i="1" s="1"/>
  <c r="BV79" i="1" s="1"/>
  <c r="AL70" i="27"/>
  <c r="AL18" i="27"/>
  <c r="Y34" i="29"/>
  <c r="Y35" i="29" s="1"/>
  <c r="Y36" i="29" s="1"/>
  <c r="AM69" i="27" s="1"/>
  <c r="AL87" i="27"/>
  <c r="AL88" i="27" s="1"/>
  <c r="AL89" i="27" s="1"/>
  <c r="Z11" i="29"/>
  <c r="Z12" i="29" s="1"/>
  <c r="Z13" i="29" s="1"/>
  <c r="Z14" i="29" s="1"/>
  <c r="Z15" i="29" s="1"/>
  <c r="AN39" i="27" s="1"/>
  <c r="AN40" i="27" s="1"/>
  <c r="AN41" i="27" s="1"/>
  <c r="BW11" i="1"/>
  <c r="BW98" i="1"/>
  <c r="BW99" i="1" s="1"/>
  <c r="BI5" i="22"/>
  <c r="BJ5" i="22" s="1"/>
  <c r="BK5" i="22" s="1"/>
  <c r="BI4" i="22"/>
  <c r="BJ4" i="22" s="1"/>
  <c r="BK4" i="22" s="1"/>
  <c r="Z25" i="29"/>
  <c r="AL32" i="27"/>
  <c r="AL33" i="27" s="1"/>
  <c r="AL34" i="27" s="1"/>
  <c r="AM32" i="27" s="1"/>
  <c r="AM33" i="27" s="1"/>
  <c r="AM34" i="27" s="1"/>
  <c r="AN32" i="27" s="1"/>
  <c r="AN33" i="27" s="1"/>
  <c r="AN34" i="27" s="1"/>
  <c r="BV28" i="1"/>
  <c r="BV17" i="1" s="1"/>
  <c r="Y13" i="29"/>
  <c r="Y14" i="29" s="1"/>
  <c r="Y15" i="29" s="1"/>
  <c r="AM39" i="27" s="1"/>
  <c r="AM40" i="27" s="1"/>
  <c r="AM41" i="27" s="1"/>
  <c r="AM42" i="27" s="1"/>
  <c r="AM43" i="27" s="1"/>
  <c r="AM44" i="27" s="1"/>
  <c r="BI27" i="22"/>
  <c r="BI28" i="22" s="1"/>
  <c r="BI29" i="22" s="1"/>
  <c r="BU59" i="1" s="1"/>
  <c r="BU60" i="1" s="1"/>
  <c r="BU61" i="1" s="1"/>
  <c r="BU62" i="1" s="1"/>
  <c r="BU63" i="1" s="1"/>
  <c r="BU64" i="1" s="1"/>
  <c r="AM11" i="27"/>
  <c r="AN11" i="27" s="1"/>
  <c r="BV42" i="1" l="1"/>
  <c r="BV43" i="1" s="1"/>
  <c r="BV44" i="1" s="1"/>
  <c r="BW42" i="1" s="1"/>
  <c r="BW43" i="1" s="1"/>
  <c r="BW44" i="1" s="1"/>
  <c r="BV81" i="1"/>
  <c r="BV82" i="1" s="1"/>
  <c r="BW79" i="1" s="1"/>
  <c r="BU104" i="1"/>
  <c r="AN12" i="27"/>
  <c r="AN13" i="27" s="1"/>
  <c r="AL93" i="27"/>
  <c r="BW12" i="1"/>
  <c r="BW13" i="1" s="1"/>
  <c r="BV52" i="1"/>
  <c r="BV53" i="1" s="1"/>
  <c r="BV54" i="1" s="1"/>
  <c r="BW52" i="1" s="1"/>
  <c r="BW53" i="1" s="1"/>
  <c r="BW54" i="1" s="1"/>
  <c r="BI6" i="22"/>
  <c r="BI7" i="22" s="1"/>
  <c r="BI8" i="22" s="1"/>
  <c r="BU29" i="1" s="1"/>
  <c r="AN42" i="27"/>
  <c r="AN43" i="27" s="1"/>
  <c r="AN44" i="27" s="1"/>
  <c r="BU71" i="1"/>
  <c r="Z26" i="29"/>
  <c r="Z27" i="29" s="1"/>
  <c r="Z28" i="29" s="1"/>
  <c r="Z29" i="29" s="1"/>
  <c r="AN59" i="27" s="1"/>
  <c r="AN60" i="27" s="1"/>
  <c r="AN61" i="27" s="1"/>
  <c r="AN62" i="27" s="1"/>
  <c r="AN63" i="27" s="1"/>
  <c r="AN64" i="27" s="1"/>
  <c r="BU102" i="1"/>
  <c r="BU103" i="1" s="1"/>
  <c r="BV100" i="1" s="1"/>
  <c r="BU101" i="1"/>
  <c r="AL90" i="27"/>
  <c r="AL91" i="27"/>
  <c r="AL92" i="27" s="1"/>
  <c r="AM89" i="27" s="1"/>
  <c r="BV80" i="1"/>
  <c r="BW80" i="1" s="1"/>
  <c r="AM70" i="27"/>
  <c r="AM18" i="27"/>
  <c r="BV71" i="1"/>
  <c r="BJ6" i="22"/>
  <c r="BJ7" i="22" s="1"/>
  <c r="BJ8" i="22" s="1"/>
  <c r="BV29" i="1" s="1"/>
  <c r="BV30" i="1" s="1"/>
  <c r="BV31" i="1" s="1"/>
  <c r="AN70" i="27"/>
  <c r="BK6" i="22"/>
  <c r="BK7" i="22" s="1"/>
  <c r="BK8" i="22" s="1"/>
  <c r="BW29" i="1" s="1"/>
  <c r="AL71" i="27"/>
  <c r="AL19" i="27"/>
  <c r="BW71" i="1"/>
  <c r="BV62" i="1"/>
  <c r="BV63" i="1" s="1"/>
  <c r="BV64" i="1" s="1"/>
  <c r="BW62" i="1" s="1"/>
  <c r="BW63" i="1" s="1"/>
  <c r="BW64" i="1" s="1"/>
  <c r="AM91" i="27" l="1"/>
  <c r="AM92" i="27" s="1"/>
  <c r="AN89" i="27" s="1"/>
  <c r="BW81" i="1"/>
  <c r="BW82" i="1" s="1"/>
  <c r="AM90" i="27"/>
  <c r="AN90" i="27" s="1"/>
  <c r="BU30" i="1"/>
  <c r="BU18" i="1"/>
  <c r="BV102" i="1"/>
  <c r="BV103" i="1" s="1"/>
  <c r="BW100" i="1" s="1"/>
  <c r="BV104" i="1"/>
  <c r="BV20" i="1"/>
  <c r="BU72" i="1"/>
  <c r="BV19" i="1"/>
  <c r="BV101" i="1"/>
  <c r="AL72" i="27"/>
  <c r="AL21" i="27" s="1"/>
  <c r="AL20" i="27"/>
  <c r="AM71" i="27"/>
  <c r="AM19" i="27"/>
  <c r="BW30" i="1"/>
  <c r="BW18" i="1"/>
  <c r="AN19" i="27"/>
  <c r="AN71" i="27"/>
  <c r="BV18" i="1"/>
  <c r="AN18" i="27"/>
  <c r="AM93" i="27"/>
  <c r="AN93" i="27" s="1"/>
  <c r="BW102" i="1" l="1"/>
  <c r="BW103" i="1" s="1"/>
  <c r="AL22" i="27"/>
  <c r="AN91" i="27"/>
  <c r="AN92" i="27" s="1"/>
  <c r="BW104" i="1"/>
  <c r="BW101" i="1"/>
  <c r="BU31" i="1"/>
  <c r="BU19" i="1"/>
  <c r="BU73" i="1"/>
  <c r="BW31" i="1"/>
  <c r="BW19" i="1"/>
  <c r="AM20" i="27"/>
  <c r="AN20" i="27"/>
  <c r="AL73" i="27"/>
  <c r="BU32" i="1" l="1"/>
  <c r="BU20" i="1"/>
  <c r="AL74" i="27"/>
  <c r="AL23" i="27"/>
  <c r="BW20" i="1"/>
  <c r="BU74" i="1"/>
  <c r="BU33" i="1" l="1"/>
  <c r="BU21" i="1"/>
  <c r="BV72" i="1"/>
  <c r="AL24" i="27"/>
  <c r="AM72" i="27"/>
  <c r="BU22" i="1" l="1"/>
  <c r="BU34" i="1"/>
  <c r="BU23" i="1"/>
  <c r="AM21" i="27"/>
  <c r="AM73" i="27"/>
  <c r="BV73" i="1"/>
  <c r="AM22" i="27" l="1"/>
  <c r="BV32" i="1"/>
  <c r="BU24" i="1"/>
  <c r="BV74" i="1"/>
  <c r="AM74" i="27"/>
  <c r="AM23" i="27"/>
  <c r="BV33" i="1" l="1"/>
  <c r="BV21" i="1"/>
  <c r="AM24" i="27"/>
  <c r="AN72" i="27"/>
  <c r="BW72" i="1"/>
  <c r="BV22" i="1" l="1"/>
  <c r="BV34" i="1"/>
  <c r="BV23" i="1"/>
  <c r="AN21" i="27"/>
  <c r="AN73" i="27"/>
  <c r="BW73" i="1"/>
  <c r="AN22" i="27" l="1"/>
  <c r="BW32" i="1"/>
  <c r="BV24" i="1"/>
  <c r="AN74" i="27"/>
  <c r="AN24" i="27" s="1"/>
  <c r="AN23" i="27"/>
  <c r="BW74" i="1"/>
  <c r="BW33" i="1" l="1"/>
  <c r="BW21" i="1"/>
  <c r="BW22" i="1" l="1"/>
  <c r="BW34" i="1"/>
  <c r="BW24" i="1" s="1"/>
  <c r="BW23" i="1"/>
</calcChain>
</file>

<file path=xl/comments1.xml><?xml version="1.0" encoding="utf-8"?>
<comments xmlns="http://schemas.openxmlformats.org/spreadsheetml/2006/main">
  <authors>
    <author>Filley, Kimberly S</author>
    <author>Logan, Raysene</author>
  </authors>
  <commentList>
    <comment ref="AD5" authorId="0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includes cost and associated interest correction related to prud review to back out $21,490.44 in costs from March 19 - Sep 20 for RT = 34 as these are not recoverable through MEEIA and $491.96 in associated interest</t>
        </r>
      </text>
    </comment>
    <comment ref="AL5" authorId="0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PC and assoc. interest adj related to PAYS labor that was incorrectly included in M3 PC booked in GL in November 21</t>
        </r>
      </text>
    </comment>
    <comment ref="AE6" authorId="0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includes $70.13 in costs related to PAYS program</t>
        </r>
      </text>
    </comment>
    <comment ref="AF6" authorId="0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includes $169.53 in costs related to PAYS program</t>
        </r>
      </text>
    </comment>
    <comment ref="AG6" authorId="0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includes $175.17 in costs related to PAYS program</t>
        </r>
      </text>
    </comment>
    <comment ref="AH6" authorId="0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includes $220.92 in costs related to PAYS program</t>
        </r>
      </text>
    </comment>
    <comment ref="AI6" authorId="0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includes $379 in costs related to PAYS program</t>
        </r>
      </text>
    </comment>
    <comment ref="AJ6" authorId="0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includes $592.10 in costs related to PAYS program</t>
        </r>
      </text>
    </comment>
    <comment ref="AK6" authorId="0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includes $850.16 in costs related to PAYS program</t>
        </r>
      </text>
    </comment>
    <comment ref="N15" authorId="0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Note, this total value is not  linked into the TD-Total formulas below because already included via the TD 1M-4M and 11M updates we made below</t>
        </r>
      </text>
    </comment>
    <comment ref="Z15" authorId="0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interest correction needed in Nov 2020 as interest was incorrectly calculated Feb - Oct 20 as this amount is already in the TD totals for 1M - 11M below do not need to link to this particular row to this TD-TOTAL total section in gray</t>
        </r>
      </text>
    </comment>
    <comment ref="F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F3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F4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F5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F6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AC76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OA of -$50K should have been in MEEIA Nov 2020 filing, booked to GL in Feb 2021 and will be part of rates starting Feb 2022</t>
        </r>
      </text>
    </comment>
    <comment ref="AK76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OA of -$153,732.06 booked to GL in Nov  2021 and will be part of rates starting Feb 2022 - remember when I drop this 153,732.06 in here to revamp the forumla for this first month so as not to double count interest look at how the OA of -50K formulas worked and then make sure Dec on formulas are the same as the formulas in the month follwoing the -$50K OA recognitiion we did in Feb 2021 KSF 8-3-2021</t>
        </r>
      </text>
    </comment>
    <comment ref="AL76" authorId="0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interest on the 50K OA that should w/h/been included in M3 had the OA been initially recorded in Nov 20 instead of Feb 21 - booked in GL in Novemember 2021</t>
        </r>
      </text>
    </comment>
    <comment ref="Q84" authorId="0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each time new EO rates go into effect have to update this cell - no M3 EO rate in effect currently so no value to put herein at this time - see comment box in same section of the MEEIA 2 calcs tab herein for how to handle when M3 EO rates do go into effect</t>
        </r>
      </text>
    </comment>
    <comment ref="W84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2019 EO for M3 of $6.6M booked in August 20 and includes a TD True-up -$344K</t>
        </r>
      </text>
    </comment>
    <comment ref="AJ84" authorId="1" shapeId="0">
      <text>
        <r>
          <rPr>
            <b/>
            <sz val="9"/>
            <color indexed="81"/>
            <rFont val="Tahoma"/>
            <family val="2"/>
          </rPr>
          <t>Filley, Kim:</t>
        </r>
        <r>
          <rPr>
            <sz val="9"/>
            <color indexed="81"/>
            <rFont val="Tahoma"/>
            <family val="2"/>
          </rPr>
          <t xml:space="preserve">
-$613,446.59: TD True-up for inclusion in EO booked to GL in September 21
-$100,000: stipulated Black Box amount for inclusion in EO booked to GL in September 21
+$10,195,155.19: M3 PY2020 EO booked to GL in September 21</t>
        </r>
      </text>
    </comment>
  </commentList>
</comments>
</file>

<file path=xl/comments2.xml><?xml version="1.0" encoding="utf-8"?>
<comments xmlns="http://schemas.openxmlformats.org/spreadsheetml/2006/main">
  <authors>
    <author>Logan, Raysene</author>
    <author>Filley, Kimberly S</author>
    <author>Raysene Logan</author>
  </authors>
  <commentList>
    <comment ref="P5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M1 ending balances rolled into M2 effective Feb 2017</t>
        </r>
      </text>
    </comment>
    <comment ref="Y5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to adjust interest related to Cardinals sign expense removal and radio allocation changes booked in November</t>
        </r>
      </text>
    </comment>
    <comment ref="BM5" authorId="1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includes cost and associated interest correction related to prud review to back out $3,273.98 in costs from March 19 - Sep 20 for RT = 34 as these are not recoverable through MEEIA and $66.60 in associated interest</t>
        </r>
      </text>
    </comment>
    <comment ref="AS15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to adjust interest related to TD HER adjs booked in July.
Manually adj formulas in red below to include interest adj in total - did NOT push down to customer classes</t>
        </r>
      </text>
    </comment>
    <comment ref="P26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splits by rate class from M1 final recon to be filed 11-2017</t>
        </r>
      </text>
    </comment>
    <comment ref="AS26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to adjust interest related to TD HER adjs booked in July.
Manually adj formulas in red below to include interest adj in total - did NOT push down to customer classes</t>
        </r>
      </text>
    </comment>
    <comment ref="Y76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OA in MEEIA Nov 2017 filing and booked to GL in Nov 2017, will be in rates starting Feb 2018</t>
        </r>
      </text>
    </comment>
    <comment ref="AK76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OA in MEEIA Nov 2018 filing and booked to GL in Nov 2018, will be in rates starting Feb 2019</t>
        </r>
      </text>
    </comment>
    <comment ref="AM84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Additional $9M awarded in avoided cost complaint ruling, booked in Jan 19 GL</t>
        </r>
      </text>
    </comment>
    <comment ref="AL95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First 1/2 of 2017 booked in Dec 18 GL</t>
        </r>
      </text>
    </comment>
    <comment ref="AM95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Second 1/2 of 2017 and 2016 booked in Jan 19 GL</t>
        </r>
      </text>
    </comment>
    <comment ref="AU95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Final EO calc booked in Sep 19 GL</t>
        </r>
      </text>
    </comment>
    <comment ref="AW95" authorId="2" shapeId="0">
      <text>
        <r>
          <rPr>
            <b/>
            <sz val="9"/>
            <color indexed="81"/>
            <rFont val="Tahoma"/>
            <family val="2"/>
          </rPr>
          <t>Raysene Logan:</t>
        </r>
        <r>
          <rPr>
            <sz val="9"/>
            <color indexed="81"/>
            <rFont val="Tahoma"/>
            <family val="2"/>
          </rPr>
          <t xml:space="preserve">
Rolling M1 PI balance into M2 effective Nov 2019 with annual MEEIA rate filing</t>
        </r>
      </text>
    </comment>
    <comment ref="BF95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TD True-up approved for inclusion in EO booked to GL in August 20</t>
        </r>
      </text>
    </comment>
    <comment ref="BR95" authorId="0" shapeId="0">
      <text>
        <r>
          <rPr>
            <b/>
            <sz val="9"/>
            <color indexed="81"/>
            <rFont val="Tahoma"/>
            <family val="2"/>
          </rPr>
          <t>Filley, Kim:</t>
        </r>
        <r>
          <rPr>
            <sz val="9"/>
            <color indexed="81"/>
            <rFont val="Tahoma"/>
            <family val="2"/>
          </rPr>
          <t xml:space="preserve">
TD True-up for inclusion in EO booked to GL in August 21</t>
        </r>
      </text>
    </comment>
    <comment ref="AC104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1/2 of 2016 EMV results</t>
        </r>
      </text>
    </comment>
  </commentList>
</comments>
</file>

<file path=xl/comments3.xml><?xml version="1.0" encoding="utf-8"?>
<comments xmlns="http://schemas.openxmlformats.org/spreadsheetml/2006/main">
  <authors>
    <author>Logan, Raysene</author>
  </authors>
  <commentList>
    <comment ref="G7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Remove Cardinals sign</t>
        </r>
      </text>
    </comment>
    <comment ref="H7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Correct Cardinals radio allocation</t>
        </r>
      </text>
    </comment>
    <comment ref="L7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Remove Cardinals sign and correct Cardinals radio allocation</t>
        </r>
      </text>
    </comment>
    <comment ref="Q7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Reverse impacts of actual booking for Cardinals corrections in November</t>
        </r>
      </text>
    </comment>
    <comment ref="A41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round to $0.01</t>
        </r>
      </text>
    </comment>
  </commentList>
</comments>
</file>

<file path=xl/sharedStrings.xml><?xml version="1.0" encoding="utf-8"?>
<sst xmlns="http://schemas.openxmlformats.org/spreadsheetml/2006/main" count="648" uniqueCount="110">
  <si>
    <t>Program Cost</t>
  </si>
  <si>
    <t>MEEIA Cycle 2</t>
  </si>
  <si>
    <t>Cumulative Balance - TD Regulatory Asset/(Liability)</t>
  </si>
  <si>
    <t>Cumulative Balance - PC Regulatory Asset/(Liability)</t>
  </si>
  <si>
    <t xml:space="preserve">   Interest Rate (ST Borrowing rate)</t>
  </si>
  <si>
    <t xml:space="preserve">   Interest $</t>
  </si>
  <si>
    <t>Cumulative Interest</t>
  </si>
  <si>
    <t>Over/Under Calculations</t>
  </si>
  <si>
    <t>Interest $ - ST rate</t>
  </si>
  <si>
    <t>Program Cost Expense</t>
  </si>
  <si>
    <t>Program Cost Revenue</t>
  </si>
  <si>
    <t>PC (Over)/Under Recovery</t>
  </si>
  <si>
    <t>Total PC (Over)/Under Recovery</t>
  </si>
  <si>
    <t>TD (Over)/Under Recovery</t>
  </si>
  <si>
    <t>Total TD (Over)/Under Recovery</t>
  </si>
  <si>
    <t>Cumulative Balance - TD Regulatory Asset/(Liability) 1M</t>
  </si>
  <si>
    <t>Cumulative Balance - TD Regulatory Asset/(Liability) 2M</t>
  </si>
  <si>
    <t>Cumulative Balance - TD Regulatory Asset/(Liability) 3M</t>
  </si>
  <si>
    <t>Cumulative Balance - TD Regulatory Asset/(Liability) 4M</t>
  </si>
  <si>
    <t>Cumulative Balance - TD Regulatory Asset/(Liability) 11M</t>
  </si>
  <si>
    <t>TD - 1M RES</t>
  </si>
  <si>
    <t>TD - 2M SGS</t>
  </si>
  <si>
    <t>TD - 3M LGS</t>
  </si>
  <si>
    <t>TD - 4M SPS</t>
  </si>
  <si>
    <t>TD - 11M LPS</t>
  </si>
  <si>
    <t>TD - TOTAL</t>
  </si>
  <si>
    <t>Throughput Disincentive Revenue</t>
  </si>
  <si>
    <t>Cumulative interest</t>
  </si>
  <si>
    <t>Throughput Disincentive - Current Month</t>
  </si>
  <si>
    <t>Low Income</t>
  </si>
  <si>
    <t>Allocate TD Low Income</t>
  </si>
  <si>
    <t>Total</t>
  </si>
  <si>
    <t>kwh from CDW (adjusted for opt out)</t>
  </si>
  <si>
    <t>1M - RES</t>
  </si>
  <si>
    <t>2M - SGS</t>
  </si>
  <si>
    <t>3M - LGS</t>
  </si>
  <si>
    <t>4M - SPS</t>
  </si>
  <si>
    <t>11M - LPS</t>
  </si>
  <si>
    <t>TD $ from TD calculation file - Cumulative</t>
  </si>
  <si>
    <t>TD $ - Monthly</t>
  </si>
  <si>
    <t>TD Allocated - Monthly</t>
  </si>
  <si>
    <t>MEEIA Performance Incentive Revenue (Current $)</t>
  </si>
  <si>
    <t>PI (Over)/Under Recovery</t>
  </si>
  <si>
    <t>Cumulative Balance - PI Regulatory Asset/(Liability)</t>
  </si>
  <si>
    <t>Total PI (Over)/Under Recovery - Cumulative</t>
  </si>
  <si>
    <t xml:space="preserve">   Interest (Expense)/Revenue $</t>
  </si>
  <si>
    <t>MEEIA PI Amortization per Rider EEIC tariff</t>
  </si>
  <si>
    <t>Amortization of previous year balance</t>
  </si>
  <si>
    <t>Net TD Revenue</t>
  </si>
  <si>
    <t>TD Billed Rev</t>
  </si>
  <si>
    <t>TDR Rate (o/u)</t>
  </si>
  <si>
    <t>PTD rate (projected)</t>
  </si>
  <si>
    <t>TDR % of rate</t>
  </si>
  <si>
    <t>TDR Billed Revenue $ Amort</t>
  </si>
  <si>
    <t>Total PI (Over)/Under Recovery</t>
  </si>
  <si>
    <t>Allocate TD Low Income Exemption Bill Credits</t>
  </si>
  <si>
    <t>TD Billed Revenue $ - GL query</t>
  </si>
  <si>
    <t>Low Income Exemption (RES) - CDW</t>
  </si>
  <si>
    <t>TD Billed Revenue Allocated</t>
  </si>
  <si>
    <t>Total TD Rate</t>
  </si>
  <si>
    <t>Over/Under Calculation Adjs</t>
  </si>
  <si>
    <t>Ordered Adjustments</t>
  </si>
  <si>
    <t>Ordered Adjustment Revenue</t>
  </si>
  <si>
    <t>OA (Over)/Under Recovery</t>
  </si>
  <si>
    <t>Cardinals sign removal and radio allocation changes - included in MEEIA rate filing and booked to GL in Nov 2017</t>
  </si>
  <si>
    <t>Total OA (Over)/Under Recovery</t>
  </si>
  <si>
    <t>Cumulative Balance - OA Regulatory Asset/(Liability)</t>
  </si>
  <si>
    <t>TDR Rate ((over)/under)</t>
  </si>
  <si>
    <t>MEEIA EO Amortization per Rider EEIC tariff</t>
  </si>
  <si>
    <t>MEEIA Earnings Opportunity Revenue (Current $)</t>
  </si>
  <si>
    <t>EO (Over)/Under Recovery</t>
  </si>
  <si>
    <t>Total EO (Over)/Under Recovery</t>
  </si>
  <si>
    <t>Total EO (Over)/Under Recovery - Cumulative</t>
  </si>
  <si>
    <t>Cumulative Balance - EO Regulatory Asset/(Liability)</t>
  </si>
  <si>
    <t>M2 Earnings Opportunity</t>
  </si>
  <si>
    <t>M1 Performance Incentive</t>
  </si>
  <si>
    <t>MEEIA Cycle 3</t>
  </si>
  <si>
    <t>M3 Earnings Opportunity</t>
  </si>
  <si>
    <t>TD Home Energy Report adjs to book in accordance with tariff - booked to GL in Jul 2019</t>
  </si>
  <si>
    <t>Updated TD per month based on HER adjs</t>
  </si>
  <si>
    <t>original calc</t>
  </si>
  <si>
    <t>adj needed - all RES</t>
  </si>
  <si>
    <t>forecast from TD calculator file</t>
  </si>
  <si>
    <t>forecast from PPC.1 tab</t>
  </si>
  <si>
    <t>TDR.1</t>
  </si>
  <si>
    <t>TDR.1F</t>
  </si>
  <si>
    <t>PTD.1</t>
  </si>
  <si>
    <t>Rate filing TDR tab, lines 22 - 26</t>
  </si>
  <si>
    <t>Rate filing TDR tab, line 36</t>
  </si>
  <si>
    <t xml:space="preserve">adj needed  </t>
  </si>
  <si>
    <t>adj needed</t>
  </si>
  <si>
    <t>revised costs cumulative calculated to right as result of prud review</t>
  </si>
  <si>
    <t>adj</t>
  </si>
  <si>
    <t>revised interest calculated to right</t>
  </si>
  <si>
    <t>revised costs to exclude RT = 34</t>
  </si>
  <si>
    <t>original costs</t>
  </si>
  <si>
    <t>orginal interest</t>
  </si>
  <si>
    <t>PM EB</t>
  </si>
  <si>
    <t xml:space="preserve">CM Deferred Spend </t>
  </si>
  <si>
    <t>Less:  Amortization</t>
  </si>
  <si>
    <t>Cumulative Unamortized Balance</t>
  </si>
  <si>
    <t>Less:  Deferred Taxes</t>
  </si>
  <si>
    <t>Net Rate Base</t>
  </si>
  <si>
    <t>PISA Rate:</t>
  </si>
  <si>
    <t>Customer Financing Rate</t>
  </si>
  <si>
    <t>Rate of Return</t>
  </si>
  <si>
    <t>Interest to flow through MEEIA</t>
  </si>
  <si>
    <r>
      <t xml:space="preserve">M3 TD interest correction calculation - booked November 2020 close - </t>
    </r>
    <r>
      <rPr>
        <b/>
        <i/>
        <sz val="11"/>
        <color rgb="FFFF0000"/>
        <rFont val="Calibri"/>
        <family val="2"/>
        <scheme val="minor"/>
      </rPr>
      <t>see workpaper CPA3.A - M3 over under TD interst error support for calculation details</t>
    </r>
  </si>
  <si>
    <r>
      <t>TD interest adjs to book as result of the air compressor margin rate being applied to all measures  - booked to GL in Nov 2019 -</t>
    </r>
    <r>
      <rPr>
        <b/>
        <i/>
        <sz val="11"/>
        <color rgb="FFFF0000"/>
        <rFont val="Calibri"/>
        <family val="2"/>
        <scheme val="minor"/>
      </rPr>
      <t>see workpaper CPA3.A - M3 over under TD interst error support for calculation details</t>
    </r>
  </si>
  <si>
    <t>PAYS interest to be included in MEEIA 3 PC - see CPA3.B for calcuation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</si>
</sst>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0000%"/>
    <numFmt numFmtId="166" formatCode="_(* #,##0_);_(* \(#,##0\);_(* &quot;-&quot;??_);_(@_)"/>
    <numFmt numFmtId="167" formatCode="&quot;$&quot;#,##0.000000_);[Red]\(&quot;$&quot;#,##0.000000\)"/>
    <numFmt numFmtId="168" formatCode="&quot;$&quot;#,##0.000000_);\(&quot;$&quot;#,##0.000000\)"/>
    <numFmt numFmtId="169" formatCode="mmm\-yyyy"/>
  </numFmts>
  <fonts count="8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3" tint="-0.499984740745262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sz val="10"/>
      <color indexed="0"/>
      <name val="Arial"/>
      <family val="2"/>
    </font>
    <font>
      <b/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theme="1"/>
      <name val="Book Antiqua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0"/>
      <color rgb="FF006100"/>
      <name val="Calibri"/>
      <family val="2"/>
    </font>
    <font>
      <sz val="10"/>
      <color rgb="FF9C0006"/>
      <name val="Calibri"/>
      <family val="2"/>
    </font>
    <font>
      <sz val="10"/>
      <color rgb="FF9C6500"/>
      <name val="Calibri"/>
      <family val="2"/>
    </font>
    <font>
      <sz val="10"/>
      <color rgb="FF3F3F76"/>
      <name val="Calibri"/>
      <family val="2"/>
    </font>
    <font>
      <b/>
      <sz val="10"/>
      <color rgb="FF3F3F3F"/>
      <name val="Calibri"/>
      <family val="2"/>
    </font>
    <font>
      <b/>
      <sz val="10"/>
      <color rgb="FFFA7D00"/>
      <name val="Calibri"/>
      <family val="2"/>
    </font>
    <font>
      <sz val="10"/>
      <color rgb="FFFA7D00"/>
      <name val="Calibri"/>
      <family val="2"/>
    </font>
    <font>
      <b/>
      <sz val="10"/>
      <color theme="0"/>
      <name val="Calibri"/>
      <family val="2"/>
    </font>
    <font>
      <sz val="10"/>
      <color rgb="FFFF0000"/>
      <name val="Calibri"/>
      <family val="2"/>
    </font>
    <font>
      <i/>
      <sz val="10"/>
      <color rgb="FF7F7F7F"/>
      <name val="Calibri"/>
      <family val="2"/>
    </font>
    <font>
      <b/>
      <sz val="10"/>
      <color theme="1"/>
      <name val="Calibri"/>
      <family val="2"/>
    </font>
    <font>
      <sz val="10"/>
      <color theme="0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rgb="FF000000"/>
      <name val="Times New Roman"/>
      <family val="1"/>
    </font>
    <font>
      <b/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rgb="FF0000FF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9"/>
      <color rgb="FF000000"/>
      <name val="Tahoma"/>
      <family val="2"/>
    </font>
  </fonts>
  <fills count="83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7C5B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rgb="FFC9C9CB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7699">
    <xf numFmtId="0" fontId="0" fillId="0" borderId="0"/>
    <xf numFmtId="0" fontId="2" fillId="2" borderId="1" applyNumberFormat="0" applyAlignment="0" applyProtection="0"/>
    <xf numFmtId="0" fontId="3" fillId="3" borderId="1" applyNumberFormat="0" applyAlignment="0" applyProtection="0"/>
    <xf numFmtId="0" fontId="1" fillId="4" borderId="2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2" fillId="10" borderId="0" applyNumberFormat="0" applyAlignment="0">
      <alignment horizontal="right"/>
    </xf>
    <xf numFmtId="0" fontId="12" fillId="11" borderId="0" applyNumberFormat="0" applyAlignment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7" fillId="0" borderId="0"/>
    <xf numFmtId="0" fontId="19" fillId="0" borderId="0" applyNumberFormat="0" applyFill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16" borderId="0" applyNumberFormat="0" applyBorder="0" applyAlignment="0" applyProtection="0"/>
    <xf numFmtId="0" fontId="24" fillId="17" borderId="0" applyNumberFormat="0" applyBorder="0" applyAlignment="0" applyProtection="0"/>
    <xf numFmtId="0" fontId="25" fillId="18" borderId="0" applyNumberFormat="0" applyBorder="0" applyAlignment="0" applyProtection="0"/>
    <xf numFmtId="0" fontId="26" fillId="3" borderId="8" applyNumberFormat="0" applyAlignment="0" applyProtection="0"/>
    <xf numFmtId="0" fontId="27" fillId="0" borderId="9" applyNumberFormat="0" applyFill="0" applyAlignment="0" applyProtection="0"/>
    <xf numFmtId="0" fontId="28" fillId="19" borderId="10" applyNumberFormat="0" applyAlignment="0" applyProtection="0"/>
    <xf numFmtId="0" fontId="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7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7" fillId="43" borderId="0" applyNumberFormat="0" applyBorder="0" applyAlignment="0" applyProtection="0"/>
    <xf numFmtId="43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7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10" borderId="0" applyNumberFormat="0" applyAlignment="0">
      <alignment horizontal="right"/>
    </xf>
    <xf numFmtId="0" fontId="12" fillId="11" borderId="0" applyNumberFormat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" fillId="0" borderId="0"/>
    <xf numFmtId="43" fontId="12" fillId="0" borderId="0" applyFont="0" applyFill="0" applyBorder="0" applyAlignment="0" applyProtection="0"/>
    <xf numFmtId="0" fontId="35" fillId="0" borderId="0"/>
    <xf numFmtId="9" fontId="3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0" borderId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40" fillId="0" borderId="7" applyNumberFormat="0" applyFill="0" applyAlignment="0" applyProtection="0"/>
    <xf numFmtId="0" fontId="40" fillId="0" borderId="0" applyNumberFormat="0" applyFill="0" applyBorder="0" applyAlignment="0" applyProtection="0"/>
    <xf numFmtId="0" fontId="41" fillId="16" borderId="0" applyNumberFormat="0" applyBorder="0" applyAlignment="0" applyProtection="0"/>
    <xf numFmtId="0" fontId="42" fillId="17" borderId="0" applyNumberFormat="0" applyBorder="0" applyAlignment="0" applyProtection="0"/>
    <xf numFmtId="0" fontId="43" fillId="18" borderId="0" applyNumberFormat="0" applyBorder="0" applyAlignment="0" applyProtection="0"/>
    <xf numFmtId="0" fontId="44" fillId="2" borderId="1" applyNumberFormat="0" applyAlignment="0" applyProtection="0"/>
    <xf numFmtId="0" fontId="45" fillId="3" borderId="8" applyNumberFormat="0" applyAlignment="0" applyProtection="0"/>
    <xf numFmtId="0" fontId="46" fillId="3" borderId="1" applyNumberFormat="0" applyAlignment="0" applyProtection="0"/>
    <xf numFmtId="0" fontId="47" fillId="0" borderId="9" applyNumberFormat="0" applyFill="0" applyAlignment="0" applyProtection="0"/>
    <xf numFmtId="0" fontId="48" fillId="19" borderId="10" applyNumberFormat="0" applyAlignment="0" applyProtection="0"/>
    <xf numFmtId="0" fontId="49" fillId="0" borderId="0" applyNumberFormat="0" applyFill="0" applyBorder="0" applyAlignment="0" applyProtection="0"/>
    <xf numFmtId="0" fontId="37" fillId="4" borderId="2" applyNumberFormat="0" applyFont="0" applyAlignment="0" applyProtection="0"/>
    <xf numFmtId="0" fontId="50" fillId="0" borderId="0" applyNumberFormat="0" applyFill="0" applyBorder="0" applyAlignment="0" applyProtection="0"/>
    <xf numFmtId="0" fontId="51" fillId="0" borderId="11" applyNumberFormat="0" applyFill="0" applyAlignment="0" applyProtection="0"/>
    <xf numFmtId="0" fontId="52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34" borderId="0" applyNumberFormat="0" applyBorder="0" applyAlignment="0" applyProtection="0"/>
    <xf numFmtId="0" fontId="52" fillId="35" borderId="0" applyNumberFormat="0" applyBorder="0" applyAlignment="0" applyProtection="0"/>
    <xf numFmtId="0" fontId="52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38" borderId="0" applyNumberFormat="0" applyBorder="0" applyAlignment="0" applyProtection="0"/>
    <xf numFmtId="0" fontId="52" fillId="39" borderId="0" applyNumberFormat="0" applyBorder="0" applyAlignment="0" applyProtection="0"/>
    <xf numFmtId="0" fontId="52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2" borderId="0" applyNumberFormat="0" applyBorder="0" applyAlignment="0" applyProtection="0"/>
    <xf numFmtId="0" fontId="52" fillId="43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12" fillId="0" borderId="0"/>
    <xf numFmtId="0" fontId="12" fillId="0" borderId="0"/>
    <xf numFmtId="0" fontId="12" fillId="0" borderId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7" fillId="28" borderId="0" applyNumberFormat="0" applyBorder="0" applyAlignment="0" applyProtection="0"/>
    <xf numFmtId="0" fontId="22" fillId="0" borderId="7" applyNumberFormat="0" applyFill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43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7" fillId="2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2" fillId="0" borderId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43" borderId="0" applyNumberFormat="0" applyBorder="0" applyAlignment="0" applyProtection="0"/>
    <xf numFmtId="0" fontId="7" fillId="35" borderId="0" applyNumberFormat="0" applyBorder="0" applyAlignment="0" applyProtection="0"/>
    <xf numFmtId="0" fontId="12" fillId="0" borderId="0"/>
    <xf numFmtId="0" fontId="26" fillId="3" borderId="8" applyNumberFormat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20" borderId="0" applyNumberFormat="0" applyBorder="0" applyAlignment="0" applyProtection="0"/>
    <xf numFmtId="0" fontId="20" fillId="0" borderId="5" applyNumberFormat="0" applyFill="0" applyAlignment="0" applyProtection="0"/>
    <xf numFmtId="0" fontId="27" fillId="0" borderId="9" applyNumberFormat="0" applyFill="0" applyAlignment="0" applyProtection="0"/>
    <xf numFmtId="0" fontId="5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12" fillId="0" borderId="0"/>
    <xf numFmtId="0" fontId="13" fillId="0" borderId="0"/>
    <xf numFmtId="0" fontId="12" fillId="0" borderId="0"/>
    <xf numFmtId="9" fontId="37" fillId="0" borderId="0" applyFont="0" applyFill="0" applyBorder="0" applyAlignment="0" applyProtection="0"/>
    <xf numFmtId="0" fontId="12" fillId="0" borderId="0"/>
    <xf numFmtId="0" fontId="7" fillId="36" borderId="0" applyNumberFormat="0" applyBorder="0" applyAlignment="0" applyProtection="0"/>
    <xf numFmtId="0" fontId="7" fillId="40" borderId="0" applyNumberFormat="0" applyBorder="0" applyAlignment="0" applyProtection="0"/>
    <xf numFmtId="44" fontId="1" fillId="0" borderId="0" applyFont="0" applyFill="0" applyBorder="0" applyAlignment="0" applyProtection="0"/>
    <xf numFmtId="0" fontId="7" fillId="23" borderId="0" applyNumberFormat="0" applyBorder="0" applyAlignment="0" applyProtection="0"/>
    <xf numFmtId="0" fontId="7" fillId="39" borderId="0" applyNumberFormat="0" applyBorder="0" applyAlignment="0" applyProtection="0"/>
    <xf numFmtId="0" fontId="12" fillId="0" borderId="0"/>
    <xf numFmtId="0" fontId="7" fillId="24" borderId="0" applyNumberFormat="0" applyBorder="0" applyAlignment="0" applyProtection="0"/>
    <xf numFmtId="0" fontId="12" fillId="0" borderId="0"/>
    <xf numFmtId="0" fontId="12" fillId="0" borderId="0"/>
    <xf numFmtId="0" fontId="7" fillId="32" borderId="0" applyNumberFormat="0" applyBorder="0" applyAlignment="0" applyProtection="0"/>
    <xf numFmtId="0" fontId="4" fillId="0" borderId="11" applyNumberFormat="0" applyFill="0" applyAlignment="0" applyProtection="0"/>
    <xf numFmtId="0" fontId="37" fillId="0" borderId="0"/>
    <xf numFmtId="0" fontId="7" fillId="31" borderId="0" applyNumberFormat="0" applyBorder="0" applyAlignment="0" applyProtection="0"/>
    <xf numFmtId="0" fontId="12" fillId="0" borderId="0"/>
    <xf numFmtId="0" fontId="23" fillId="16" borderId="0" applyNumberFormat="0" applyBorder="0" applyAlignment="0" applyProtection="0"/>
    <xf numFmtId="0" fontId="12" fillId="0" borderId="0"/>
    <xf numFmtId="0" fontId="25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24" fillId="17" borderId="0" applyNumberFormat="0" applyBorder="0" applyAlignment="0" applyProtection="0"/>
    <xf numFmtId="0" fontId="12" fillId="0" borderId="0"/>
    <xf numFmtId="0" fontId="28" fillId="19" borderId="10" applyNumberFormat="0" applyAlignment="0" applyProtection="0"/>
    <xf numFmtId="0" fontId="12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3" fillId="3" borderId="1" applyNumberFormat="0" applyAlignment="0" applyProtection="0"/>
    <xf numFmtId="0" fontId="2" fillId="2" borderId="1" applyNumberFormat="0" applyAlignment="0" applyProtection="0"/>
    <xf numFmtId="0" fontId="12" fillId="0" borderId="0"/>
    <xf numFmtId="43" fontId="13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0" fontId="7" fillId="43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6" borderId="0" applyNumberFormat="0" applyBorder="0" applyAlignment="0" applyProtection="0"/>
    <xf numFmtId="0" fontId="7" fillId="40" borderId="0" applyNumberFormat="0" applyBorder="0" applyAlignment="0" applyProtection="0"/>
    <xf numFmtId="0" fontId="24" fillId="17" borderId="0" applyNumberFormat="0" applyBorder="0" applyAlignment="0" applyProtection="0"/>
    <xf numFmtId="0" fontId="3" fillId="3" borderId="1" applyNumberFormat="0" applyAlignment="0" applyProtection="0"/>
    <xf numFmtId="0" fontId="28" fillId="19" borderId="10" applyNumberFormat="0" applyAlignment="0" applyProtection="0"/>
    <xf numFmtId="43" fontId="35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3" fillId="16" borderId="0" applyNumberFormat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" fillId="2" borderId="1" applyNumberFormat="0" applyAlignment="0" applyProtection="0"/>
    <xf numFmtId="0" fontId="27" fillId="0" borderId="9" applyNumberFormat="0" applyFill="0" applyAlignment="0" applyProtection="0"/>
    <xf numFmtId="0" fontId="25" fillId="18" borderId="0" applyNumberFormat="0" applyBorder="0" applyAlignment="0" applyProtection="0"/>
    <xf numFmtId="0" fontId="26" fillId="3" borderId="8" applyNumberFormat="0" applyAlignment="0" applyProtection="0"/>
    <xf numFmtId="9" fontId="35" fillId="0" borderId="0" applyFont="0" applyFill="0" applyBorder="0" applyAlignment="0" applyProtection="0"/>
    <xf numFmtId="0" fontId="4" fillId="0" borderId="11" applyNumberFormat="0" applyFill="0" applyAlignment="0" applyProtection="0"/>
    <xf numFmtId="0" fontId="5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" fillId="21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37" fillId="21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" fillId="21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" fillId="25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37" fillId="25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" fillId="25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" fillId="29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37" fillId="29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" fillId="29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" fillId="33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37" fillId="33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" fillId="33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" fillId="37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37" fillId="37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" fillId="37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" fillId="41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37" fillId="41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" fillId="41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" fillId="22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37" fillId="22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" fillId="22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" fillId="26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37" fillId="26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" fillId="26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" fillId="30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37" fillId="30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" fillId="30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" fillId="34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37" fillId="34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" fillId="34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" fillId="38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37" fillId="38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" fillId="38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" fillId="42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37" fillId="42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" fillId="42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37" fontId="1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6" fontId="16" fillId="0" borderId="0" applyFont="0" applyFill="0" applyBorder="0" applyAlignment="0" applyProtection="0"/>
    <xf numFmtId="6" fontId="1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6" fontId="16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" fillId="4" borderId="2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" fillId="4" borderId="2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9" fontId="12" fillId="0" borderId="0" applyFont="0" applyFill="0" applyBorder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7" fillId="0" borderId="0"/>
    <xf numFmtId="43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70" fillId="0" borderId="0"/>
    <xf numFmtId="44" fontId="1" fillId="0" borderId="0" applyFont="0" applyFill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9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4" fillId="0" borderId="0"/>
  </cellStyleXfs>
  <cellXfs count="263">
    <xf numFmtId="0" fontId="0" fillId="0" borderId="0" xfId="0"/>
    <xf numFmtId="0" fontId="7" fillId="0" borderId="0" xfId="0" applyFont="1"/>
    <xf numFmtId="0" fontId="0" fillId="0" borderId="0" xfId="0" applyFont="1" applyFill="1"/>
    <xf numFmtId="0" fontId="6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7" fillId="0" borderId="0" xfId="0" applyFont="1" applyFill="1"/>
    <xf numFmtId="0" fontId="6" fillId="8" borderId="0" xfId="0" applyFont="1" applyFill="1" applyBorder="1" applyProtection="1">
      <protection locked="0"/>
    </xf>
    <xf numFmtId="0" fontId="6" fillId="8" borderId="0" xfId="0" applyFont="1" applyFill="1" applyBorder="1" applyAlignment="1" applyProtection="1">
      <alignment horizontal="left" indent="1"/>
      <protection locked="0"/>
    </xf>
    <xf numFmtId="164" fontId="6" fillId="0" borderId="3" xfId="2" applyNumberFormat="1" applyFont="1" applyFill="1" applyBorder="1" applyProtection="1"/>
    <xf numFmtId="164" fontId="6" fillId="5" borderId="3" xfId="2" applyNumberFormat="1" applyFont="1" applyFill="1" applyBorder="1" applyProtection="1"/>
    <xf numFmtId="0" fontId="18" fillId="8" borderId="0" xfId="0" applyFont="1" applyFill="1" applyBorder="1" applyProtection="1">
      <protection locked="0"/>
    </xf>
    <xf numFmtId="17" fontId="4" fillId="12" borderId="4" xfId="0" applyNumberFormat="1" applyFont="1" applyFill="1" applyBorder="1" applyAlignment="1" applyProtection="1">
      <alignment horizontal="center"/>
    </xf>
    <xf numFmtId="0" fontId="18" fillId="6" borderId="0" xfId="0" applyFont="1" applyFill="1" applyBorder="1" applyProtection="1">
      <protection locked="0"/>
    </xf>
    <xf numFmtId="164" fontId="6" fillId="6" borderId="3" xfId="2" applyNumberFormat="1" applyFont="1" applyFill="1" applyBorder="1" applyProtection="1"/>
    <xf numFmtId="164" fontId="11" fillId="6" borderId="3" xfId="2" applyNumberFormat="1" applyFont="1" applyFill="1" applyBorder="1" applyProtection="1"/>
    <xf numFmtId="164" fontId="6" fillId="12" borderId="3" xfId="2" applyNumberFormat="1" applyFont="1" applyFill="1" applyBorder="1" applyProtection="1"/>
    <xf numFmtId="0" fontId="6" fillId="9" borderId="0" xfId="0" applyFont="1" applyFill="1"/>
    <xf numFmtId="0" fontId="6" fillId="9" borderId="0" xfId="0" applyFont="1" applyFill="1" applyBorder="1" applyProtection="1">
      <protection locked="0"/>
    </xf>
    <xf numFmtId="0" fontId="6" fillId="9" borderId="0" xfId="0" applyFont="1" applyFill="1" applyBorder="1" applyAlignment="1" applyProtection="1">
      <alignment horizontal="left" indent="1"/>
      <protection locked="0"/>
    </xf>
    <xf numFmtId="0" fontId="18" fillId="9" borderId="0" xfId="0" applyFont="1" applyFill="1" applyBorder="1" applyProtection="1">
      <protection locked="0"/>
    </xf>
    <xf numFmtId="164" fontId="6" fillId="12" borderId="3" xfId="1" applyNumberFormat="1" applyFont="1" applyFill="1" applyBorder="1" applyProtection="1"/>
    <xf numFmtId="164" fontId="6" fillId="14" borderId="3" xfId="2" applyNumberFormat="1" applyFont="1" applyFill="1" applyBorder="1" applyProtection="1"/>
    <xf numFmtId="164" fontId="6" fillId="15" borderId="3" xfId="1" applyNumberFormat="1" applyFont="1" applyFill="1" applyBorder="1" applyProtection="1"/>
    <xf numFmtId="164" fontId="6" fillId="15" borderId="3" xfId="2" applyNumberFormat="1" applyFont="1" applyFill="1" applyBorder="1" applyProtection="1"/>
    <xf numFmtId="165" fontId="6" fillId="15" borderId="3" xfId="6" applyNumberFormat="1" applyFont="1" applyFill="1" applyBorder="1" applyProtection="1">
      <protection locked="0"/>
    </xf>
    <xf numFmtId="0" fontId="6" fillId="44" borderId="0" xfId="0" applyFont="1" applyFill="1" applyBorder="1" applyProtection="1">
      <protection locked="0"/>
    </xf>
    <xf numFmtId="0" fontId="34" fillId="0" borderId="0" xfId="0" applyFont="1"/>
    <xf numFmtId="0" fontId="18" fillId="44" borderId="0" xfId="0" applyFont="1" applyFill="1" applyBorder="1" applyProtection="1">
      <protection locked="0"/>
    </xf>
    <xf numFmtId="0" fontId="33" fillId="0" borderId="0" xfId="0" applyFont="1"/>
    <xf numFmtId="0" fontId="6" fillId="44" borderId="0" xfId="0" applyFont="1" applyFill="1" applyBorder="1" applyAlignment="1" applyProtection="1">
      <alignment horizontal="left" indent="1"/>
      <protection locked="0"/>
    </xf>
    <xf numFmtId="17" fontId="4" fillId="0" borderId="0" xfId="0" applyNumberFormat="1" applyFont="1" applyFill="1" applyBorder="1" applyAlignment="1" applyProtection="1">
      <alignment horizontal="center"/>
    </xf>
    <xf numFmtId="0" fontId="6" fillId="44" borderId="0" xfId="0" applyFont="1" applyFill="1"/>
    <xf numFmtId="0" fontId="4" fillId="44" borderId="0" xfId="0" applyFont="1" applyFill="1"/>
    <xf numFmtId="17" fontId="4" fillId="44" borderId="0" xfId="0" applyNumberFormat="1" applyFont="1" applyFill="1" applyBorder="1" applyAlignment="1" applyProtection="1">
      <alignment horizontal="center"/>
    </xf>
    <xf numFmtId="0" fontId="4" fillId="0" borderId="0" xfId="0" applyFont="1"/>
    <xf numFmtId="0" fontId="4" fillId="0" borderId="0" xfId="0" applyFont="1" applyFill="1"/>
    <xf numFmtId="166" fontId="4" fillId="0" borderId="12" xfId="4" applyNumberFormat="1" applyFont="1" applyBorder="1"/>
    <xf numFmtId="0" fontId="4" fillId="0" borderId="0" xfId="21150" applyFont="1"/>
    <xf numFmtId="0" fontId="33" fillId="0" borderId="0" xfId="21150" applyFont="1"/>
    <xf numFmtId="0" fontId="0" fillId="0" borderId="0" xfId="0" applyFont="1"/>
    <xf numFmtId="0" fontId="0" fillId="44" borderId="0" xfId="0" applyFont="1" applyFill="1"/>
    <xf numFmtId="0" fontId="0" fillId="0" borderId="0" xfId="21150" applyFont="1"/>
    <xf numFmtId="164" fontId="0" fillId="0" borderId="0" xfId="0" applyNumberFormat="1" applyFont="1"/>
    <xf numFmtId="0" fontId="7" fillId="6" borderId="0" xfId="0" applyFont="1" applyFill="1" applyAlignment="1">
      <alignment horizontal="center" vertical="center" textRotation="90"/>
    </xf>
    <xf numFmtId="44" fontId="0" fillId="15" borderId="0" xfId="644" applyNumberFormat="1" applyFont="1" applyFill="1"/>
    <xf numFmtId="43" fontId="0" fillId="15" borderId="0" xfId="4" applyFont="1" applyFill="1"/>
    <xf numFmtId="166" fontId="0" fillId="15" borderId="0" xfId="4" applyNumberFormat="1" applyFont="1" applyFill="1"/>
    <xf numFmtId="44" fontId="4" fillId="0" borderId="12" xfId="37697" applyFont="1" applyBorder="1"/>
    <xf numFmtId="44" fontId="0" fillId="0" borderId="0" xfId="37697" applyFont="1"/>
    <xf numFmtId="0" fontId="71" fillId="0" borderId="0" xfId="0" applyFont="1" applyFill="1"/>
    <xf numFmtId="44" fontId="0" fillId="0" borderId="0" xfId="37697" applyNumberFormat="1" applyFont="1"/>
    <xf numFmtId="0" fontId="72" fillId="0" borderId="0" xfId="0" applyFont="1"/>
    <xf numFmtId="43" fontId="0" fillId="0" borderId="0" xfId="4" applyFont="1"/>
    <xf numFmtId="8" fontId="0" fillId="15" borderId="0" xfId="644" applyNumberFormat="1" applyFont="1" applyFill="1"/>
    <xf numFmtId="0" fontId="6" fillId="70" borderId="0" xfId="0" applyFont="1" applyFill="1" applyBorder="1" applyProtection="1">
      <protection locked="0"/>
    </xf>
    <xf numFmtId="0" fontId="6" fillId="70" borderId="0" xfId="0" applyFont="1" applyFill="1" applyBorder="1" applyAlignment="1" applyProtection="1">
      <alignment horizontal="left" indent="1"/>
      <protection locked="0"/>
    </xf>
    <xf numFmtId="0" fontId="18" fillId="70" borderId="0" xfId="0" applyFont="1" applyFill="1" applyBorder="1" applyProtection="1">
      <protection locked="0"/>
    </xf>
    <xf numFmtId="0" fontId="0" fillId="0" borderId="0" xfId="0"/>
    <xf numFmtId="164" fontId="6" fillId="0" borderId="3" xfId="1" applyNumberFormat="1" applyFont="1" applyFill="1" applyBorder="1" applyProtection="1"/>
    <xf numFmtId="165" fontId="6" fillId="0" borderId="3" xfId="6" applyNumberFormat="1" applyFont="1" applyFill="1" applyBorder="1" applyProtection="1">
      <protection locked="0"/>
    </xf>
    <xf numFmtId="167" fontId="0" fillId="71" borderId="0" xfId="0" applyNumberFormat="1" applyFill="1"/>
    <xf numFmtId="43" fontId="1" fillId="14" borderId="0" xfId="4" applyNumberFormat="1" applyFont="1" applyFill="1"/>
    <xf numFmtId="43" fontId="72" fillId="0" borderId="0" xfId="4" applyFont="1"/>
    <xf numFmtId="43" fontId="72" fillId="6" borderId="0" xfId="4" applyFont="1" applyFill="1"/>
    <xf numFmtId="9" fontId="0" fillId="0" borderId="0" xfId="6" applyFont="1"/>
    <xf numFmtId="164" fontId="11" fillId="0" borderId="3" xfId="2" applyNumberFormat="1" applyFont="1" applyFill="1" applyBorder="1" applyProtection="1"/>
    <xf numFmtId="164" fontId="6" fillId="72" borderId="3" xfId="2" applyNumberFormat="1" applyFont="1" applyFill="1" applyBorder="1" applyProtection="1"/>
    <xf numFmtId="8" fontId="0" fillId="15" borderId="0" xfId="4" applyNumberFormat="1" applyFont="1" applyFill="1"/>
    <xf numFmtId="0" fontId="6" fillId="70" borderId="0" xfId="0" applyFont="1" applyFill="1" applyBorder="1" applyAlignment="1" applyProtection="1">
      <alignment horizontal="left"/>
      <protection locked="0"/>
    </xf>
    <xf numFmtId="167" fontId="75" fillId="0" borderId="0" xfId="0" applyNumberFormat="1" applyFont="1"/>
    <xf numFmtId="0" fontId="0" fillId="0" borderId="23" xfId="0" applyBorder="1"/>
    <xf numFmtId="0" fontId="0" fillId="0" borderId="24" xfId="0" applyBorder="1"/>
    <xf numFmtId="0" fontId="72" fillId="0" borderId="24" xfId="0" applyFont="1" applyBorder="1"/>
    <xf numFmtId="0" fontId="72" fillId="6" borderId="24" xfId="0" applyFont="1" applyFill="1" applyBorder="1"/>
    <xf numFmtId="0" fontId="72" fillId="6" borderId="25" xfId="0" applyFont="1" applyFill="1" applyBorder="1"/>
    <xf numFmtId="0" fontId="4" fillId="6" borderId="27" xfId="0" applyFont="1" applyFill="1" applyBorder="1" applyAlignment="1">
      <alignment horizontal="center" vertical="center" textRotation="90"/>
    </xf>
    <xf numFmtId="0" fontId="4" fillId="6" borderId="28" xfId="0" applyFont="1" applyFill="1" applyBorder="1" applyAlignment="1">
      <alignment horizontal="center" vertical="center" textRotation="90"/>
    </xf>
    <xf numFmtId="0" fontId="76" fillId="0" borderId="0" xfId="0" applyFont="1"/>
    <xf numFmtId="44" fontId="4" fillId="0" borderId="0" xfId="37697" applyFont="1" applyBorder="1"/>
    <xf numFmtId="166" fontId="75" fillId="0" borderId="0" xfId="4" applyNumberFormat="1" applyFont="1" applyFill="1"/>
    <xf numFmtId="44" fontId="0" fillId="0" borderId="0" xfId="0" applyNumberFormat="1" applyFont="1"/>
    <xf numFmtId="0" fontId="0" fillId="0" borderId="22" xfId="0" applyFont="1" applyBorder="1"/>
    <xf numFmtId="43" fontId="0" fillId="0" borderId="0" xfId="0" applyNumberFormat="1" applyFont="1"/>
    <xf numFmtId="0" fontId="5" fillId="0" borderId="0" xfId="0" applyFont="1" applyFill="1"/>
    <xf numFmtId="0" fontId="6" fillId="72" borderId="0" xfId="0" applyFont="1" applyFill="1" applyBorder="1" applyProtection="1">
      <protection locked="0"/>
    </xf>
    <xf numFmtId="0" fontId="6" fillId="72" borderId="0" xfId="0" applyFont="1" applyFill="1" applyBorder="1" applyAlignment="1" applyProtection="1">
      <alignment horizontal="left" indent="1"/>
      <protection locked="0"/>
    </xf>
    <xf numFmtId="0" fontId="18" fillId="72" borderId="0" xfId="0" applyFont="1" applyFill="1" applyBorder="1" applyProtection="1">
      <protection locked="0"/>
    </xf>
    <xf numFmtId="167" fontId="0" fillId="15" borderId="0" xfId="0" applyNumberFormat="1" applyFill="1"/>
    <xf numFmtId="43" fontId="0" fillId="0" borderId="0" xfId="0" applyNumberFormat="1"/>
    <xf numFmtId="44" fontId="6" fillId="0" borderId="0" xfId="37697" applyNumberFormat="1" applyFont="1"/>
    <xf numFmtId="44" fontId="5" fillId="0" borderId="0" xfId="37697" applyNumberFormat="1" applyFont="1"/>
    <xf numFmtId="168" fontId="75" fillId="0" borderId="0" xfId="0" applyNumberFormat="1" applyFont="1"/>
    <xf numFmtId="168" fontId="0" fillId="15" borderId="0" xfId="0" applyNumberFormat="1" applyFill="1"/>
    <xf numFmtId="0" fontId="73" fillId="0" borderId="0" xfId="0" applyFont="1" applyFill="1"/>
    <xf numFmtId="0" fontId="18" fillId="0" borderId="0" xfId="0" applyFont="1" applyFill="1" applyBorder="1" applyProtection="1">
      <protection locked="0"/>
    </xf>
    <xf numFmtId="2" fontId="4" fillId="0" borderId="0" xfId="0" applyNumberFormat="1" applyFont="1" applyFill="1" applyBorder="1" applyAlignment="1" applyProtection="1">
      <alignment horizontal="center"/>
    </xf>
    <xf numFmtId="164" fontId="6" fillId="44" borderId="3" xfId="2" applyNumberFormat="1" applyFont="1" applyFill="1" applyBorder="1" applyProtection="1"/>
    <xf numFmtId="164" fontId="6" fillId="44" borderId="3" xfId="1" applyNumberFormat="1" applyFont="1" applyFill="1" applyBorder="1" applyProtection="1"/>
    <xf numFmtId="165" fontId="6" fillId="44" borderId="3" xfId="6" applyNumberFormat="1" applyFont="1" applyFill="1" applyBorder="1" applyProtection="1">
      <protection locked="0"/>
    </xf>
    <xf numFmtId="164" fontId="6" fillId="6" borderId="29" xfId="2" applyNumberFormat="1" applyFont="1" applyFill="1" applyBorder="1" applyProtection="1"/>
    <xf numFmtId="164" fontId="6" fillId="44" borderId="30" xfId="2" applyNumberFormat="1" applyFont="1" applyFill="1" applyBorder="1" applyProtection="1"/>
    <xf numFmtId="164" fontId="6" fillId="6" borderId="0" xfId="2" applyNumberFormat="1" applyFont="1" applyFill="1" applyBorder="1" applyProtection="1"/>
    <xf numFmtId="164" fontId="6" fillId="5" borderId="30" xfId="2" applyNumberFormat="1" applyFont="1" applyFill="1" applyBorder="1" applyProtection="1"/>
    <xf numFmtId="164" fontId="6" fillId="44" borderId="31" xfId="2" applyNumberFormat="1" applyFont="1" applyFill="1" applyBorder="1" applyProtection="1"/>
    <xf numFmtId="17" fontId="5" fillId="0" borderId="0" xfId="0" applyNumberFormat="1" applyFont="1" applyFill="1" applyBorder="1" applyAlignment="1" applyProtection="1">
      <alignment horizontal="left"/>
    </xf>
    <xf numFmtId="0" fontId="77" fillId="67" borderId="0" xfId="0" applyFont="1" applyFill="1"/>
    <xf numFmtId="43" fontId="77" fillId="67" borderId="0" xfId="4" applyFont="1" applyFill="1"/>
    <xf numFmtId="43" fontId="77" fillId="67" borderId="0" xfId="0" applyNumberFormat="1" applyFont="1" applyFill="1"/>
    <xf numFmtId="43" fontId="4" fillId="0" borderId="0" xfId="4" applyFont="1" applyFill="1"/>
    <xf numFmtId="164" fontId="4" fillId="0" borderId="0" xfId="0" applyNumberFormat="1" applyFont="1" applyFill="1" applyBorder="1" applyAlignment="1" applyProtection="1">
      <alignment horizontal="center"/>
    </xf>
    <xf numFmtId="164" fontId="6" fillId="0" borderId="3" xfId="6" applyNumberFormat="1" applyFont="1" applyFill="1" applyBorder="1" applyProtection="1">
      <protection locked="0"/>
    </xf>
    <xf numFmtId="43" fontId="72" fillId="0" borderId="0" xfId="4" applyNumberFormat="1" applyFont="1"/>
    <xf numFmtId="38" fontId="0" fillId="15" borderId="0" xfId="4" applyNumberFormat="1" applyFont="1" applyFill="1"/>
    <xf numFmtId="43" fontId="0" fillId="15" borderId="0" xfId="644" applyFont="1" applyFill="1"/>
    <xf numFmtId="44" fontId="0" fillId="15" borderId="0" xfId="4" applyNumberFormat="1" applyFont="1" applyFill="1"/>
    <xf numFmtId="164" fontId="6" fillId="67" borderId="3" xfId="2" applyNumberFormat="1" applyFont="1" applyFill="1" applyBorder="1" applyProtection="1"/>
    <xf numFmtId="0" fontId="78" fillId="0" borderId="0" xfId="21150" applyFont="1"/>
    <xf numFmtId="44" fontId="0" fillId="74" borderId="0" xfId="37697" applyFont="1" applyFill="1"/>
    <xf numFmtId="44" fontId="0" fillId="74" borderId="0" xfId="37697" applyNumberFormat="1" applyFont="1" applyFill="1"/>
    <xf numFmtId="0" fontId="4" fillId="0" borderId="0" xfId="21150" applyFont="1" applyFill="1"/>
    <xf numFmtId="44" fontId="0" fillId="75" borderId="0" xfId="37697" applyFont="1" applyFill="1"/>
    <xf numFmtId="44" fontId="0" fillId="67" borderId="0" xfId="37697" applyFont="1" applyFill="1"/>
    <xf numFmtId="43" fontId="0" fillId="0" borderId="0" xfId="4" applyFont="1" applyFill="1"/>
    <xf numFmtId="0" fontId="7" fillId="69" borderId="0" xfId="0" applyFont="1" applyFill="1" applyAlignment="1">
      <alignment horizontal="center" vertical="center" textRotation="90"/>
    </xf>
    <xf numFmtId="43" fontId="1" fillId="0" borderId="0" xfId="21150" applyNumberFormat="1" applyFont="1" applyFill="1"/>
    <xf numFmtId="44" fontId="4" fillId="0" borderId="0" xfId="37697" applyFont="1" applyFill="1" applyBorder="1"/>
    <xf numFmtId="44" fontId="4" fillId="0" borderId="12" xfId="37697" applyFont="1" applyFill="1" applyBorder="1"/>
    <xf numFmtId="44" fontId="0" fillId="0" borderId="0" xfId="37697" applyFont="1" applyFill="1"/>
    <xf numFmtId="0" fontId="0" fillId="0" borderId="22" xfId="0" applyFont="1" applyFill="1" applyBorder="1"/>
    <xf numFmtId="0" fontId="0" fillId="0" borderId="0" xfId="0" applyFont="1" applyFill="1" applyBorder="1"/>
    <xf numFmtId="43" fontId="0" fillId="0" borderId="0" xfId="4" applyFont="1" applyFill="1" applyBorder="1"/>
    <xf numFmtId="44" fontId="0" fillId="0" borderId="0" xfId="37697" applyFont="1" applyFill="1" applyBorder="1"/>
    <xf numFmtId="166" fontId="0" fillId="0" borderId="0" xfId="4" applyNumberFormat="1" applyFont="1" applyFill="1" applyBorder="1"/>
    <xf numFmtId="166" fontId="4" fillId="0" borderId="0" xfId="4" applyNumberFormat="1" applyFont="1" applyFill="1" applyBorder="1"/>
    <xf numFmtId="0" fontId="4" fillId="0" borderId="0" xfId="21150" applyFont="1" applyFill="1" applyBorder="1"/>
    <xf numFmtId="43" fontId="1" fillId="0" borderId="0" xfId="21150" applyNumberFormat="1" applyFont="1" applyFill="1" applyBorder="1"/>
    <xf numFmtId="0" fontId="4" fillId="0" borderId="0" xfId="0" applyFont="1" applyFill="1" applyBorder="1"/>
    <xf numFmtId="166" fontId="75" fillId="0" borderId="0" xfId="4" applyNumberFormat="1" applyFont="1" applyFill="1" applyBorder="1"/>
    <xf numFmtId="167" fontId="75" fillId="15" borderId="0" xfId="0" applyNumberFormat="1" applyFont="1" applyFill="1"/>
    <xf numFmtId="167" fontId="75" fillId="0" borderId="0" xfId="0" applyNumberFormat="1" applyFont="1" applyFill="1"/>
    <xf numFmtId="168" fontId="75" fillId="15" borderId="0" xfId="0" applyNumberFormat="1" applyFont="1" applyFill="1"/>
    <xf numFmtId="168" fontId="75" fillId="0" borderId="0" xfId="0" applyNumberFormat="1" applyFont="1" applyFill="1"/>
    <xf numFmtId="164" fontId="77" fillId="67" borderId="0" xfId="0" applyNumberFormat="1" applyFont="1" applyFill="1"/>
    <xf numFmtId="164" fontId="6" fillId="76" borderId="3" xfId="2" applyNumberFormat="1" applyFont="1" applyFill="1" applyBorder="1" applyProtection="1"/>
    <xf numFmtId="44" fontId="79" fillId="72" borderId="32" xfId="0" applyNumberFormat="1" applyFont="1" applyFill="1" applyBorder="1" applyProtection="1">
      <protection locked="0"/>
    </xf>
    <xf numFmtId="164" fontId="6" fillId="0" borderId="0" xfId="2" applyNumberFormat="1" applyFont="1" applyFill="1" applyBorder="1" applyProtection="1"/>
    <xf numFmtId="164" fontId="6" fillId="0" borderId="29" xfId="2" applyNumberFormat="1" applyFont="1" applyFill="1" applyBorder="1" applyProtection="1"/>
    <xf numFmtId="164" fontId="11" fillId="67" borderId="3" xfId="2" applyNumberFormat="1" applyFont="1" applyFill="1" applyBorder="1" applyProtection="1"/>
    <xf numFmtId="164" fontId="6" fillId="74" borderId="3" xfId="1" applyNumberFormat="1" applyFont="1" applyFill="1" applyBorder="1" applyProtection="1"/>
    <xf numFmtId="164" fontId="6" fillId="0" borderId="0" xfId="1" applyNumberFormat="1" applyFont="1" applyFill="1" applyBorder="1" applyProtection="1"/>
    <xf numFmtId="43" fontId="0" fillId="77" borderId="0" xfId="4" applyFont="1" applyFill="1"/>
    <xf numFmtId="0" fontId="78" fillId="79" borderId="0" xfId="21150" applyFont="1" applyFill="1"/>
    <xf numFmtId="44" fontId="4" fillId="79" borderId="0" xfId="37697" applyFont="1" applyFill="1" applyBorder="1"/>
    <xf numFmtId="17" fontId="4" fillId="79" borderId="0" xfId="0" applyNumberFormat="1" applyFont="1" applyFill="1" applyBorder="1" applyAlignment="1" applyProtection="1">
      <alignment horizontal="center"/>
    </xf>
    <xf numFmtId="43" fontId="6" fillId="15" borderId="0" xfId="4" applyFont="1" applyFill="1"/>
    <xf numFmtId="43" fontId="6" fillId="79" borderId="0" xfId="4" applyFont="1" applyFill="1"/>
    <xf numFmtId="44" fontId="0" fillId="79" borderId="0" xfId="644" applyNumberFormat="1" applyFont="1" applyFill="1"/>
    <xf numFmtId="0" fontId="78" fillId="78" borderId="0" xfId="21150" applyFont="1" applyFill="1"/>
    <xf numFmtId="0" fontId="0" fillId="78" borderId="0" xfId="0" applyFont="1" applyFill="1"/>
    <xf numFmtId="166" fontId="0" fillId="78" borderId="0" xfId="4" applyNumberFormat="1" applyFont="1" applyFill="1"/>
    <xf numFmtId="44" fontId="0" fillId="0" borderId="0" xfId="644" applyNumberFormat="1" applyFont="1" applyFill="1"/>
    <xf numFmtId="44" fontId="1" fillId="74" borderId="0" xfId="37697" applyFont="1" applyFill="1"/>
    <xf numFmtId="44" fontId="1" fillId="67" borderId="0" xfId="37697" applyFont="1" applyFill="1"/>
    <xf numFmtId="44" fontId="1" fillId="75" borderId="0" xfId="37697" applyFont="1" applyFill="1"/>
    <xf numFmtId="44" fontId="0" fillId="15" borderId="0" xfId="37697" applyFont="1" applyFill="1"/>
    <xf numFmtId="44" fontId="1" fillId="76" borderId="0" xfId="37697" applyFont="1" applyFill="1" applyBorder="1" applyAlignment="1" applyProtection="1">
      <alignment horizontal="center"/>
    </xf>
    <xf numFmtId="44" fontId="1" fillId="0" borderId="0" xfId="37697" applyFont="1" applyFill="1" applyBorder="1" applyAlignment="1" applyProtection="1">
      <alignment horizontal="center"/>
    </xf>
    <xf numFmtId="0" fontId="11" fillId="6" borderId="0" xfId="0" applyFont="1" applyFill="1"/>
    <xf numFmtId="0" fontId="10" fillId="0" borderId="0" xfId="0" applyFont="1" applyFill="1" applyBorder="1"/>
    <xf numFmtId="165" fontId="6" fillId="0" borderId="0" xfId="6" applyNumberFormat="1" applyFont="1" applyFill="1" applyBorder="1" applyProtection="1">
      <protection locked="0"/>
    </xf>
    <xf numFmtId="0" fontId="6" fillId="6" borderId="0" xfId="0" applyFont="1" applyFill="1"/>
    <xf numFmtId="164" fontId="6" fillId="5" borderId="31" xfId="2" applyNumberFormat="1" applyFont="1" applyFill="1" applyBorder="1" applyProtection="1"/>
    <xf numFmtId="44" fontId="1" fillId="0" borderId="0" xfId="37697" applyFont="1" applyFill="1"/>
    <xf numFmtId="17" fontId="4" fillId="12" borderId="26" xfId="0" applyNumberFormat="1" applyFont="1" applyFill="1" applyBorder="1" applyAlignment="1" applyProtection="1">
      <alignment horizontal="center"/>
    </xf>
    <xf numFmtId="0" fontId="5" fillId="0" borderId="0" xfId="0" applyFont="1"/>
    <xf numFmtId="164" fontId="6" fillId="80" borderId="3" xfId="1" applyNumberFormat="1" applyFont="1" applyFill="1" applyBorder="1" applyProtection="1"/>
    <xf numFmtId="164" fontId="6" fillId="81" borderId="3" xfId="1" applyNumberFormat="1" applyFont="1" applyFill="1" applyBorder="1" applyProtection="1"/>
    <xf numFmtId="44" fontId="4" fillId="0" borderId="0" xfId="37697" applyFont="1" applyFill="1" applyBorder="1" applyAlignment="1" applyProtection="1">
      <alignment horizontal="center"/>
    </xf>
    <xf numFmtId="0" fontId="0" fillId="82" borderId="0" xfId="0" applyFont="1" applyFill="1"/>
    <xf numFmtId="0" fontId="5" fillId="12" borderId="0" xfId="0" applyFont="1" applyFill="1" applyBorder="1"/>
    <xf numFmtId="164" fontId="0" fillId="0" borderId="0" xfId="0" applyNumberFormat="1" applyFont="1" applyFill="1"/>
    <xf numFmtId="164" fontId="0" fillId="67" borderId="34" xfId="0" applyNumberFormat="1" applyFont="1" applyFill="1" applyBorder="1"/>
    <xf numFmtId="0" fontId="4" fillId="67" borderId="0" xfId="0" applyFont="1" applyFill="1"/>
    <xf numFmtId="0" fontId="11" fillId="82" borderId="0" xfId="0" applyFont="1" applyFill="1"/>
    <xf numFmtId="17" fontId="73" fillId="12" borderId="0" xfId="0" applyNumberFormat="1" applyFont="1" applyFill="1" applyBorder="1" applyAlignment="1" applyProtection="1">
      <alignment horizontal="center"/>
    </xf>
    <xf numFmtId="164" fontId="6" fillId="74" borderId="3" xfId="2" applyNumberFormat="1" applyFont="1" applyFill="1" applyBorder="1" applyProtection="1"/>
    <xf numFmtId="0" fontId="6" fillId="82" borderId="0" xfId="0" applyFont="1" applyFill="1"/>
    <xf numFmtId="0" fontId="7" fillId="0" borderId="0" xfId="0" applyFont="1" applyFill="1" applyBorder="1" applyAlignment="1">
      <alignment vertical="center" textRotation="90"/>
    </xf>
    <xf numFmtId="0" fontId="6" fillId="0" borderId="0" xfId="0" applyFont="1" applyFill="1" applyBorder="1" applyProtection="1">
      <protection locked="0"/>
    </xf>
    <xf numFmtId="164" fontId="5" fillId="12" borderId="0" xfId="1" applyNumberFormat="1" applyFont="1" applyFill="1" applyBorder="1" applyProtection="1"/>
    <xf numFmtId="164" fontId="5" fillId="12" borderId="0" xfId="2" applyNumberFormat="1" applyFont="1" applyFill="1" applyBorder="1" applyProtection="1"/>
    <xf numFmtId="165" fontId="5" fillId="12" borderId="0" xfId="6" applyNumberFormat="1" applyFont="1" applyFill="1" applyBorder="1" applyProtection="1">
      <protection locked="0"/>
    </xf>
    <xf numFmtId="44" fontId="10" fillId="0" borderId="0" xfId="37697" applyFont="1" applyFill="1"/>
    <xf numFmtId="164" fontId="10" fillId="67" borderId="0" xfId="0" applyNumberFormat="1" applyFont="1" applyFill="1"/>
    <xf numFmtId="17" fontId="4" fillId="12" borderId="35" xfId="0" applyNumberFormat="1" applyFont="1" applyFill="1" applyBorder="1" applyAlignment="1" applyProtection="1">
      <alignment horizontal="center"/>
    </xf>
    <xf numFmtId="164" fontId="6" fillId="6" borderId="36" xfId="2" applyNumberFormat="1" applyFont="1" applyFill="1" applyBorder="1" applyProtection="1"/>
    <xf numFmtId="164" fontId="6" fillId="6" borderId="31" xfId="2" applyNumberFormat="1" applyFont="1" applyFill="1" applyBorder="1" applyProtection="1"/>
    <xf numFmtId="164" fontId="6" fillId="6" borderId="37" xfId="2" applyNumberFormat="1" applyFont="1" applyFill="1" applyBorder="1" applyProtection="1"/>
    <xf numFmtId="0" fontId="11" fillId="0" borderId="0" xfId="0" applyFont="1" applyFill="1" applyBorder="1"/>
    <xf numFmtId="164" fontId="6" fillId="0" borderId="33" xfId="2" applyNumberFormat="1" applyFont="1" applyFill="1" applyBorder="1" applyProtection="1"/>
    <xf numFmtId="164" fontId="6" fillId="12" borderId="33" xfId="1" applyNumberFormat="1" applyFont="1" applyFill="1" applyBorder="1" applyProtection="1"/>
    <xf numFmtId="0" fontId="6" fillId="0" borderId="0" xfId="0" applyFont="1" applyFill="1" applyBorder="1"/>
    <xf numFmtId="164" fontId="6" fillId="12" borderId="33" xfId="2" applyNumberFormat="1" applyFont="1" applyFill="1" applyBorder="1" applyProtection="1"/>
    <xf numFmtId="164" fontId="6" fillId="6" borderId="33" xfId="2" applyNumberFormat="1" applyFont="1" applyFill="1" applyBorder="1" applyProtection="1"/>
    <xf numFmtId="164" fontId="6" fillId="14" borderId="33" xfId="2" applyNumberFormat="1" applyFont="1" applyFill="1" applyBorder="1" applyProtection="1"/>
    <xf numFmtId="0" fontId="77" fillId="0" borderId="0" xfId="0" applyFont="1" applyFill="1" applyBorder="1"/>
    <xf numFmtId="43" fontId="77" fillId="0" borderId="0" xfId="4" applyFont="1" applyFill="1" applyBorder="1"/>
    <xf numFmtId="164" fontId="6" fillId="6" borderId="30" xfId="2" applyNumberFormat="1" applyFont="1" applyFill="1" applyBorder="1" applyProtection="1"/>
    <xf numFmtId="0" fontId="6" fillId="0" borderId="0" xfId="0" applyFont="1" applyFill="1" applyBorder="1" applyAlignment="1" applyProtection="1">
      <alignment horizontal="left" indent="1"/>
      <protection locked="0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center" vertical="center" textRotation="90"/>
    </xf>
    <xf numFmtId="44" fontId="79" fillId="0" borderId="0" xfId="0" applyNumberFormat="1" applyFont="1" applyFill="1" applyBorder="1" applyProtection="1">
      <protection locked="0"/>
    </xf>
    <xf numFmtId="44" fontId="6" fillId="0" borderId="0" xfId="37697" applyFont="1" applyFill="1" applyBorder="1" applyProtection="1">
      <protection locked="0"/>
    </xf>
    <xf numFmtId="164" fontId="6" fillId="0" borderId="0" xfId="6" applyNumberFormat="1" applyFont="1" applyFill="1" applyBorder="1" applyProtection="1">
      <protection locked="0"/>
    </xf>
    <xf numFmtId="0" fontId="5" fillId="12" borderId="0" xfId="0" applyFont="1" applyFill="1"/>
    <xf numFmtId="44" fontId="18" fillId="0" borderId="0" xfId="37697" applyFont="1" applyFill="1" applyBorder="1" applyProtection="1">
      <protection locked="0"/>
    </xf>
    <xf numFmtId="165" fontId="18" fillId="0" borderId="0" xfId="6" applyNumberFormat="1" applyFont="1" applyFill="1" applyBorder="1" applyProtection="1">
      <protection locked="0"/>
    </xf>
    <xf numFmtId="169" fontId="0" fillId="0" borderId="0" xfId="0" applyNumberFormat="1"/>
    <xf numFmtId="169" fontId="0" fillId="0" borderId="0" xfId="0" applyNumberFormat="1" applyFill="1"/>
    <xf numFmtId="0" fontId="0" fillId="0" borderId="0" xfId="0" applyAlignment="1">
      <alignment horizontal="right"/>
    </xf>
    <xf numFmtId="44" fontId="0" fillId="0" borderId="0" xfId="0" applyNumberFormat="1" applyBorder="1"/>
    <xf numFmtId="44" fontId="0" fillId="0" borderId="0" xfId="37697" applyFont="1" applyBorder="1"/>
    <xf numFmtId="44" fontId="0" fillId="0" borderId="0" xfId="0" applyNumberFormat="1" applyFill="1"/>
    <xf numFmtId="44" fontId="0" fillId="0" borderId="0" xfId="0" applyNumberFormat="1"/>
    <xf numFmtId="44" fontId="0" fillId="0" borderId="34" xfId="0" applyNumberFormat="1" applyBorder="1"/>
    <xf numFmtId="44" fontId="0" fillId="0" borderId="34" xfId="0" applyNumberFormat="1" applyFill="1" applyBorder="1"/>
    <xf numFmtId="44" fontId="0" fillId="0" borderId="34" xfId="37697" applyNumberFormat="1" applyFont="1" applyBorder="1"/>
    <xf numFmtId="44" fontId="0" fillId="0" borderId="34" xfId="37697" applyFont="1" applyFill="1" applyBorder="1"/>
    <xf numFmtId="10" fontId="0" fillId="0" borderId="0" xfId="0" applyNumberFormat="1" applyBorder="1"/>
    <xf numFmtId="10" fontId="0" fillId="0" borderId="0" xfId="6" applyNumberFormat="1" applyFont="1" applyFill="1"/>
    <xf numFmtId="10" fontId="0" fillId="0" borderId="0" xfId="0" applyNumberFormat="1"/>
    <xf numFmtId="10" fontId="0" fillId="0" borderId="34" xfId="0" applyNumberFormat="1" applyBorder="1"/>
    <xf numFmtId="10" fontId="0" fillId="0" borderId="34" xfId="0" applyNumberFormat="1" applyFill="1" applyBorder="1"/>
    <xf numFmtId="10" fontId="0" fillId="0" borderId="38" xfId="0" applyNumberFormat="1" applyBorder="1"/>
    <xf numFmtId="0" fontId="0" fillId="12" borderId="0" xfId="0" applyFont="1" applyFill="1"/>
    <xf numFmtId="0" fontId="10" fillId="12" borderId="0" xfId="0" applyFont="1" applyFill="1"/>
    <xf numFmtId="0" fontId="11" fillId="12" borderId="0" xfId="0" applyFont="1" applyFill="1"/>
    <xf numFmtId="0" fontId="7" fillId="12" borderId="0" xfId="0" applyFont="1" applyFill="1"/>
    <xf numFmtId="0" fontId="73" fillId="0" borderId="0" xfId="0" applyFont="1" applyFill="1" applyBorder="1"/>
    <xf numFmtId="164" fontId="6" fillId="15" borderId="29" xfId="1" applyNumberFormat="1" applyFont="1" applyFill="1" applyBorder="1" applyProtection="1"/>
    <xf numFmtId="164" fontId="6" fillId="15" borderId="29" xfId="2" applyNumberFormat="1" applyFont="1" applyFill="1" applyBorder="1" applyProtection="1"/>
    <xf numFmtId="164" fontId="6" fillId="5" borderId="29" xfId="2" applyNumberFormat="1" applyFont="1" applyFill="1" applyBorder="1" applyProtection="1"/>
    <xf numFmtId="165" fontId="6" fillId="15" borderId="29" xfId="6" applyNumberFormat="1" applyFont="1" applyFill="1" applyBorder="1" applyProtection="1">
      <protection locked="0"/>
    </xf>
    <xf numFmtId="44" fontId="0" fillId="15" borderId="34" xfId="37697" applyFont="1" applyFill="1" applyBorder="1"/>
    <xf numFmtId="166" fontId="0" fillId="78" borderId="34" xfId="4" applyNumberFormat="1" applyFont="1" applyFill="1" applyBorder="1"/>
    <xf numFmtId="0" fontId="18" fillId="0" borderId="0" xfId="0" applyFont="1" applyFill="1"/>
    <xf numFmtId="44" fontId="0" fillId="79" borderId="34" xfId="644" applyNumberFormat="1" applyFont="1" applyFill="1" applyBorder="1"/>
    <xf numFmtId="43" fontId="0" fillId="0" borderId="34" xfId="4" applyFont="1" applyFill="1" applyBorder="1"/>
    <xf numFmtId="43" fontId="0" fillId="77" borderId="34" xfId="4" applyFont="1" applyFill="1" applyBorder="1"/>
    <xf numFmtId="0" fontId="0" fillId="0" borderId="0" xfId="0" applyFill="1"/>
    <xf numFmtId="44" fontId="0" fillId="76" borderId="0" xfId="0" applyNumberFormat="1" applyFont="1" applyFill="1" applyBorder="1" applyAlignment="1" applyProtection="1">
      <alignment horizontal="center"/>
    </xf>
    <xf numFmtId="164" fontId="6" fillId="67" borderId="3" xfId="1" applyNumberFormat="1" applyFont="1" applyFill="1" applyBorder="1" applyProtection="1"/>
    <xf numFmtId="165" fontId="6" fillId="67" borderId="3" xfId="6" applyNumberFormat="1" applyFont="1" applyFill="1" applyBorder="1" applyProtection="1">
      <protection locked="0"/>
    </xf>
    <xf numFmtId="164" fontId="6" fillId="67" borderId="30" xfId="1" applyNumberFormat="1" applyFont="1" applyFill="1" applyBorder="1" applyProtection="1"/>
    <xf numFmtId="0" fontId="7" fillId="13" borderId="0" xfId="0" applyFont="1" applyFill="1" applyAlignment="1">
      <alignment horizontal="center" vertical="center" textRotation="90"/>
    </xf>
    <xf numFmtId="0" fontId="7" fillId="73" borderId="0" xfId="0" applyFont="1" applyFill="1" applyAlignment="1">
      <alignment horizontal="center" vertical="center" textRotation="90"/>
    </xf>
    <xf numFmtId="0" fontId="7" fillId="69" borderId="0" xfId="0" applyFont="1" applyFill="1" applyAlignment="1">
      <alignment horizontal="center" vertical="center" textRotation="90"/>
    </xf>
    <xf numFmtId="0" fontId="7" fillId="7" borderId="0" xfId="0" applyFont="1" applyFill="1" applyAlignment="1">
      <alignment horizontal="center" vertical="center" textRotation="90"/>
    </xf>
    <xf numFmtId="0" fontId="4" fillId="68" borderId="26" xfId="0" applyFont="1" applyFill="1" applyBorder="1" applyAlignment="1">
      <alignment horizontal="center" vertical="center" textRotation="90"/>
    </xf>
    <xf numFmtId="0" fontId="4" fillId="68" borderId="27" xfId="0" applyFont="1" applyFill="1" applyBorder="1" applyAlignment="1">
      <alignment horizontal="center" vertical="center" textRotation="90"/>
    </xf>
    <xf numFmtId="0" fontId="4" fillId="0" borderId="0" xfId="0" applyFont="1" applyFill="1" applyAlignment="1">
      <alignment horizontal="center"/>
    </xf>
    <xf numFmtId="0" fontId="4" fillId="0" borderId="34" xfId="0" applyFont="1" applyFill="1" applyBorder="1" applyAlignment="1">
      <alignment horizontal="center"/>
    </xf>
  </cellXfs>
  <cellStyles count="37699">
    <cellStyle name="20% - Accent1" xfId="152" builtinId="30" customBuiltin="1"/>
    <cellStyle name="20% - Accent1 10 2" xfId="674"/>
    <cellStyle name="20% - Accent1 10 3" xfId="675"/>
    <cellStyle name="20% - Accent1 11 2" xfId="676"/>
    <cellStyle name="20% - Accent1 11 3" xfId="677"/>
    <cellStyle name="20% - Accent1 12 2" xfId="678"/>
    <cellStyle name="20% - Accent1 12 3" xfId="679"/>
    <cellStyle name="20% - Accent1 13 2" xfId="680"/>
    <cellStyle name="20% - Accent1 13 3" xfId="681"/>
    <cellStyle name="20% - Accent1 14 2" xfId="682"/>
    <cellStyle name="20% - Accent1 14 3" xfId="683"/>
    <cellStyle name="20% - Accent1 15" xfId="684"/>
    <cellStyle name="20% - Accent1 15 2" xfId="685"/>
    <cellStyle name="20% - Accent1 15 3" xfId="686"/>
    <cellStyle name="20% - Accent1 15 4" xfId="687"/>
    <cellStyle name="20% - Accent1 15 5" xfId="688"/>
    <cellStyle name="20% - Accent1 15 6" xfId="689"/>
    <cellStyle name="20% - Accent1 15 7" xfId="690"/>
    <cellStyle name="20% - Accent1 16" xfId="691"/>
    <cellStyle name="20% - Accent1 17" xfId="692"/>
    <cellStyle name="20% - Accent1 18" xfId="693"/>
    <cellStyle name="20% - Accent1 19" xfId="694"/>
    <cellStyle name="20% - Accent1 2" xfId="186"/>
    <cellStyle name="20% - Accent1 2 2" xfId="368"/>
    <cellStyle name="20% - Accent1 2 2 2" xfId="560"/>
    <cellStyle name="20% - Accent1 2 2 3" xfId="696"/>
    <cellStyle name="20% - Accent1 2 3" xfId="471"/>
    <cellStyle name="20% - Accent1 2 3 2" xfId="697"/>
    <cellStyle name="20% - Accent1 2 4" xfId="695"/>
    <cellStyle name="20% - Accent1 2 5" xfId="37607"/>
    <cellStyle name="20% - Accent1 20" xfId="698"/>
    <cellStyle name="20% - Accent1 21" xfId="699"/>
    <cellStyle name="20% - Accent1 22" xfId="700"/>
    <cellStyle name="20% - Accent1 3" xfId="334"/>
    <cellStyle name="20% - Accent1 3 2" xfId="524"/>
    <cellStyle name="20% - Accent1 3 2 2" xfId="702"/>
    <cellStyle name="20% - Accent1 3 3" xfId="703"/>
    <cellStyle name="20% - Accent1 3 4" xfId="701"/>
    <cellStyle name="20% - Accent1 4" xfId="354"/>
    <cellStyle name="20% - Accent1 4 2" xfId="544"/>
    <cellStyle name="20% - Accent1 4 2 2" xfId="705"/>
    <cellStyle name="20% - Accent1 4 3" xfId="706"/>
    <cellStyle name="20% - Accent1 4 4" xfId="704"/>
    <cellStyle name="20% - Accent1 4 5" xfId="37608"/>
    <cellStyle name="20% - Accent1 5" xfId="407"/>
    <cellStyle name="20% - Accent1 5 2" xfId="707"/>
    <cellStyle name="20% - Accent1 5 3" xfId="708"/>
    <cellStyle name="20% - Accent1 6" xfId="445"/>
    <cellStyle name="20% - Accent1 6 2" xfId="709"/>
    <cellStyle name="20% - Accent1 6 3" xfId="710"/>
    <cellStyle name="20% - Accent1 7" xfId="617"/>
    <cellStyle name="20% - Accent1 7 2" xfId="711"/>
    <cellStyle name="20% - Accent1 7 3" xfId="712"/>
    <cellStyle name="20% - Accent1 8 2" xfId="713"/>
    <cellStyle name="20% - Accent1 8 3" xfId="714"/>
    <cellStyle name="20% - Accent1 9 2" xfId="715"/>
    <cellStyle name="20% - Accent1 9 3" xfId="716"/>
    <cellStyle name="20% - Accent2" xfId="156" builtinId="34" customBuiltin="1"/>
    <cellStyle name="20% - Accent2 10 2" xfId="717"/>
    <cellStyle name="20% - Accent2 10 3" xfId="718"/>
    <cellStyle name="20% - Accent2 11 2" xfId="719"/>
    <cellStyle name="20% - Accent2 11 3" xfId="720"/>
    <cellStyle name="20% - Accent2 12 2" xfId="721"/>
    <cellStyle name="20% - Accent2 12 3" xfId="722"/>
    <cellStyle name="20% - Accent2 13 2" xfId="723"/>
    <cellStyle name="20% - Accent2 13 3" xfId="724"/>
    <cellStyle name="20% - Accent2 14 2" xfId="725"/>
    <cellStyle name="20% - Accent2 14 3" xfId="726"/>
    <cellStyle name="20% - Accent2 15" xfId="727"/>
    <cellStyle name="20% - Accent2 15 2" xfId="728"/>
    <cellStyle name="20% - Accent2 15 3" xfId="729"/>
    <cellStyle name="20% - Accent2 15 4" xfId="730"/>
    <cellStyle name="20% - Accent2 15 5" xfId="731"/>
    <cellStyle name="20% - Accent2 15 6" xfId="732"/>
    <cellStyle name="20% - Accent2 15 7" xfId="733"/>
    <cellStyle name="20% - Accent2 16" xfId="734"/>
    <cellStyle name="20% - Accent2 17" xfId="735"/>
    <cellStyle name="20% - Accent2 18" xfId="736"/>
    <cellStyle name="20% - Accent2 19" xfId="737"/>
    <cellStyle name="20% - Accent2 2" xfId="188"/>
    <cellStyle name="20% - Accent2 2 2" xfId="370"/>
    <cellStyle name="20% - Accent2 2 2 2" xfId="562"/>
    <cellStyle name="20% - Accent2 2 2 3" xfId="739"/>
    <cellStyle name="20% - Accent2 2 3" xfId="473"/>
    <cellStyle name="20% - Accent2 2 3 2" xfId="740"/>
    <cellStyle name="20% - Accent2 2 4" xfId="738"/>
    <cellStyle name="20% - Accent2 2 5" xfId="37609"/>
    <cellStyle name="20% - Accent2 20" xfId="741"/>
    <cellStyle name="20% - Accent2 21" xfId="742"/>
    <cellStyle name="20% - Accent2 22" xfId="743"/>
    <cellStyle name="20% - Accent2 3" xfId="336"/>
    <cellStyle name="20% - Accent2 3 2" xfId="526"/>
    <cellStyle name="20% - Accent2 3 2 2" xfId="745"/>
    <cellStyle name="20% - Accent2 3 3" xfId="746"/>
    <cellStyle name="20% - Accent2 3 4" xfId="744"/>
    <cellStyle name="20% - Accent2 4" xfId="356"/>
    <cellStyle name="20% - Accent2 4 2" xfId="546"/>
    <cellStyle name="20% - Accent2 4 2 2" xfId="748"/>
    <cellStyle name="20% - Accent2 4 3" xfId="749"/>
    <cellStyle name="20% - Accent2 4 4" xfId="747"/>
    <cellStyle name="20% - Accent2 4 5" xfId="37610"/>
    <cellStyle name="20% - Accent2 5" xfId="411"/>
    <cellStyle name="20% - Accent2 5 2" xfId="750"/>
    <cellStyle name="20% - Accent2 5 3" xfId="751"/>
    <cellStyle name="20% - Accent2 6" xfId="449"/>
    <cellStyle name="20% - Accent2 6 2" xfId="752"/>
    <cellStyle name="20% - Accent2 6 3" xfId="753"/>
    <cellStyle name="20% - Accent2 7" xfId="618"/>
    <cellStyle name="20% - Accent2 7 2" xfId="754"/>
    <cellStyle name="20% - Accent2 7 3" xfId="755"/>
    <cellStyle name="20% - Accent2 8 2" xfId="756"/>
    <cellStyle name="20% - Accent2 8 3" xfId="757"/>
    <cellStyle name="20% - Accent2 9 2" xfId="758"/>
    <cellStyle name="20% - Accent2 9 3" xfId="759"/>
    <cellStyle name="20% - Accent3" xfId="160" builtinId="38" customBuiltin="1"/>
    <cellStyle name="20% - Accent3 10 2" xfId="760"/>
    <cellStyle name="20% - Accent3 10 3" xfId="761"/>
    <cellStyle name="20% - Accent3 11 2" xfId="762"/>
    <cellStyle name="20% - Accent3 11 3" xfId="763"/>
    <cellStyle name="20% - Accent3 12 2" xfId="764"/>
    <cellStyle name="20% - Accent3 12 3" xfId="765"/>
    <cellStyle name="20% - Accent3 13 2" xfId="766"/>
    <cellStyle name="20% - Accent3 13 3" xfId="767"/>
    <cellStyle name="20% - Accent3 14 2" xfId="768"/>
    <cellStyle name="20% - Accent3 14 3" xfId="769"/>
    <cellStyle name="20% - Accent3 15" xfId="770"/>
    <cellStyle name="20% - Accent3 15 2" xfId="771"/>
    <cellStyle name="20% - Accent3 15 3" xfId="772"/>
    <cellStyle name="20% - Accent3 15 4" xfId="773"/>
    <cellStyle name="20% - Accent3 15 5" xfId="774"/>
    <cellStyle name="20% - Accent3 15 6" xfId="775"/>
    <cellStyle name="20% - Accent3 15 7" xfId="776"/>
    <cellStyle name="20% - Accent3 16" xfId="777"/>
    <cellStyle name="20% - Accent3 17" xfId="778"/>
    <cellStyle name="20% - Accent3 18" xfId="779"/>
    <cellStyle name="20% - Accent3 19" xfId="780"/>
    <cellStyle name="20% - Accent3 2" xfId="190"/>
    <cellStyle name="20% - Accent3 2 2" xfId="372"/>
    <cellStyle name="20% - Accent3 2 2 2" xfId="564"/>
    <cellStyle name="20% - Accent3 2 2 3" xfId="782"/>
    <cellStyle name="20% - Accent3 2 3" xfId="475"/>
    <cellStyle name="20% - Accent3 2 3 2" xfId="783"/>
    <cellStyle name="20% - Accent3 2 4" xfId="781"/>
    <cellStyle name="20% - Accent3 2 5" xfId="37611"/>
    <cellStyle name="20% - Accent3 20" xfId="784"/>
    <cellStyle name="20% - Accent3 21" xfId="785"/>
    <cellStyle name="20% - Accent3 22" xfId="786"/>
    <cellStyle name="20% - Accent3 3" xfId="338"/>
    <cellStyle name="20% - Accent3 3 2" xfId="528"/>
    <cellStyle name="20% - Accent3 3 2 2" xfId="788"/>
    <cellStyle name="20% - Accent3 3 3" xfId="789"/>
    <cellStyle name="20% - Accent3 3 4" xfId="787"/>
    <cellStyle name="20% - Accent3 4" xfId="358"/>
    <cellStyle name="20% - Accent3 4 2" xfId="548"/>
    <cellStyle name="20% - Accent3 4 2 2" xfId="791"/>
    <cellStyle name="20% - Accent3 4 3" xfId="792"/>
    <cellStyle name="20% - Accent3 4 4" xfId="790"/>
    <cellStyle name="20% - Accent3 4 5" xfId="37612"/>
    <cellStyle name="20% - Accent3 5" xfId="415"/>
    <cellStyle name="20% - Accent3 5 2" xfId="793"/>
    <cellStyle name="20% - Accent3 5 3" xfId="794"/>
    <cellStyle name="20% - Accent3 6" xfId="451"/>
    <cellStyle name="20% - Accent3 6 2" xfId="795"/>
    <cellStyle name="20% - Accent3 6 3" xfId="796"/>
    <cellStyle name="20% - Accent3 7" xfId="619"/>
    <cellStyle name="20% - Accent3 7 2" xfId="797"/>
    <cellStyle name="20% - Accent3 7 3" xfId="798"/>
    <cellStyle name="20% - Accent3 8 2" xfId="799"/>
    <cellStyle name="20% - Accent3 8 3" xfId="800"/>
    <cellStyle name="20% - Accent3 9 2" xfId="801"/>
    <cellStyle name="20% - Accent3 9 3" xfId="802"/>
    <cellStyle name="20% - Accent4" xfId="164" builtinId="42" customBuiltin="1"/>
    <cellStyle name="20% - Accent4 10 2" xfId="803"/>
    <cellStyle name="20% - Accent4 10 3" xfId="804"/>
    <cellStyle name="20% - Accent4 11 2" xfId="805"/>
    <cellStyle name="20% - Accent4 11 3" xfId="806"/>
    <cellStyle name="20% - Accent4 12 2" xfId="807"/>
    <cellStyle name="20% - Accent4 12 3" xfId="808"/>
    <cellStyle name="20% - Accent4 13 2" xfId="809"/>
    <cellStyle name="20% - Accent4 13 3" xfId="810"/>
    <cellStyle name="20% - Accent4 14 2" xfId="811"/>
    <cellStyle name="20% - Accent4 14 3" xfId="812"/>
    <cellStyle name="20% - Accent4 15" xfId="813"/>
    <cellStyle name="20% - Accent4 15 2" xfId="814"/>
    <cellStyle name="20% - Accent4 15 3" xfId="815"/>
    <cellStyle name="20% - Accent4 15 4" xfId="816"/>
    <cellStyle name="20% - Accent4 15 5" xfId="817"/>
    <cellStyle name="20% - Accent4 15 6" xfId="818"/>
    <cellStyle name="20% - Accent4 15 7" xfId="819"/>
    <cellStyle name="20% - Accent4 16" xfId="820"/>
    <cellStyle name="20% - Accent4 17" xfId="821"/>
    <cellStyle name="20% - Accent4 18" xfId="822"/>
    <cellStyle name="20% - Accent4 19" xfId="823"/>
    <cellStyle name="20% - Accent4 2" xfId="192"/>
    <cellStyle name="20% - Accent4 2 2" xfId="374"/>
    <cellStyle name="20% - Accent4 2 2 2" xfId="566"/>
    <cellStyle name="20% - Accent4 2 2 3" xfId="825"/>
    <cellStyle name="20% - Accent4 2 3" xfId="477"/>
    <cellStyle name="20% - Accent4 2 3 2" xfId="826"/>
    <cellStyle name="20% - Accent4 2 4" xfId="824"/>
    <cellStyle name="20% - Accent4 2 5" xfId="37613"/>
    <cellStyle name="20% - Accent4 20" xfId="827"/>
    <cellStyle name="20% - Accent4 21" xfId="828"/>
    <cellStyle name="20% - Accent4 22" xfId="829"/>
    <cellStyle name="20% - Accent4 3" xfId="340"/>
    <cellStyle name="20% - Accent4 3 2" xfId="530"/>
    <cellStyle name="20% - Accent4 3 2 2" xfId="831"/>
    <cellStyle name="20% - Accent4 3 3" xfId="832"/>
    <cellStyle name="20% - Accent4 3 4" xfId="830"/>
    <cellStyle name="20% - Accent4 4" xfId="360"/>
    <cellStyle name="20% - Accent4 4 2" xfId="550"/>
    <cellStyle name="20% - Accent4 4 2 2" xfId="834"/>
    <cellStyle name="20% - Accent4 4 3" xfId="835"/>
    <cellStyle name="20% - Accent4 4 4" xfId="833"/>
    <cellStyle name="20% - Accent4 4 5" xfId="37614"/>
    <cellStyle name="20% - Accent4 5" xfId="419"/>
    <cellStyle name="20% - Accent4 5 2" xfId="836"/>
    <cellStyle name="20% - Accent4 5 3" xfId="837"/>
    <cellStyle name="20% - Accent4 6" xfId="455"/>
    <cellStyle name="20% - Accent4 6 2" xfId="838"/>
    <cellStyle name="20% - Accent4 6 3" xfId="839"/>
    <cellStyle name="20% - Accent4 7" xfId="620"/>
    <cellStyle name="20% - Accent4 7 2" xfId="840"/>
    <cellStyle name="20% - Accent4 7 3" xfId="841"/>
    <cellStyle name="20% - Accent4 8 2" xfId="842"/>
    <cellStyle name="20% - Accent4 8 3" xfId="843"/>
    <cellStyle name="20% - Accent4 9 2" xfId="844"/>
    <cellStyle name="20% - Accent4 9 3" xfId="845"/>
    <cellStyle name="20% - Accent5" xfId="168" builtinId="46" customBuiltin="1"/>
    <cellStyle name="20% - Accent5 10 2" xfId="846"/>
    <cellStyle name="20% - Accent5 10 3" xfId="847"/>
    <cellStyle name="20% - Accent5 11 2" xfId="848"/>
    <cellStyle name="20% - Accent5 11 3" xfId="849"/>
    <cellStyle name="20% - Accent5 12 2" xfId="850"/>
    <cellStyle name="20% - Accent5 12 3" xfId="851"/>
    <cellStyle name="20% - Accent5 13 2" xfId="852"/>
    <cellStyle name="20% - Accent5 13 3" xfId="853"/>
    <cellStyle name="20% - Accent5 14 2" xfId="854"/>
    <cellStyle name="20% - Accent5 14 3" xfId="855"/>
    <cellStyle name="20% - Accent5 15" xfId="856"/>
    <cellStyle name="20% - Accent5 15 2" xfId="857"/>
    <cellStyle name="20% - Accent5 15 3" xfId="858"/>
    <cellStyle name="20% - Accent5 15 4" xfId="859"/>
    <cellStyle name="20% - Accent5 15 5" xfId="860"/>
    <cellStyle name="20% - Accent5 15 6" xfId="861"/>
    <cellStyle name="20% - Accent5 15 7" xfId="862"/>
    <cellStyle name="20% - Accent5 16" xfId="863"/>
    <cellStyle name="20% - Accent5 17" xfId="864"/>
    <cellStyle name="20% - Accent5 18" xfId="865"/>
    <cellStyle name="20% - Accent5 19" xfId="866"/>
    <cellStyle name="20% - Accent5 2" xfId="194"/>
    <cellStyle name="20% - Accent5 2 2" xfId="376"/>
    <cellStyle name="20% - Accent5 2 2 2" xfId="568"/>
    <cellStyle name="20% - Accent5 2 2 3" xfId="868"/>
    <cellStyle name="20% - Accent5 2 3" xfId="479"/>
    <cellStyle name="20% - Accent5 2 3 2" xfId="869"/>
    <cellStyle name="20% - Accent5 2 4" xfId="867"/>
    <cellStyle name="20% - Accent5 2 5" xfId="37615"/>
    <cellStyle name="20% - Accent5 20" xfId="870"/>
    <cellStyle name="20% - Accent5 21" xfId="871"/>
    <cellStyle name="20% - Accent5 22" xfId="872"/>
    <cellStyle name="20% - Accent5 3" xfId="342"/>
    <cellStyle name="20% - Accent5 3 2" xfId="532"/>
    <cellStyle name="20% - Accent5 3 2 2" xfId="874"/>
    <cellStyle name="20% - Accent5 3 3" xfId="875"/>
    <cellStyle name="20% - Accent5 3 4" xfId="873"/>
    <cellStyle name="20% - Accent5 4" xfId="362"/>
    <cellStyle name="20% - Accent5 4 2" xfId="552"/>
    <cellStyle name="20% - Accent5 4 2 2" xfId="877"/>
    <cellStyle name="20% - Accent5 4 3" xfId="878"/>
    <cellStyle name="20% - Accent5 4 4" xfId="876"/>
    <cellStyle name="20% - Accent5 4 5" xfId="37616"/>
    <cellStyle name="20% - Accent5 5" xfId="423"/>
    <cellStyle name="20% - Accent5 5 2" xfId="879"/>
    <cellStyle name="20% - Accent5 5 3" xfId="880"/>
    <cellStyle name="20% - Accent5 6" xfId="458"/>
    <cellStyle name="20% - Accent5 6 2" xfId="881"/>
    <cellStyle name="20% - Accent5 6 3" xfId="882"/>
    <cellStyle name="20% - Accent5 7" xfId="621"/>
    <cellStyle name="20% - Accent5 7 2" xfId="883"/>
    <cellStyle name="20% - Accent5 7 3" xfId="884"/>
    <cellStyle name="20% - Accent5 8 2" xfId="885"/>
    <cellStyle name="20% - Accent5 8 3" xfId="886"/>
    <cellStyle name="20% - Accent5 9 2" xfId="887"/>
    <cellStyle name="20% - Accent5 9 3" xfId="888"/>
    <cellStyle name="20% - Accent6" xfId="172" builtinId="50" customBuiltin="1"/>
    <cellStyle name="20% - Accent6 10 2" xfId="889"/>
    <cellStyle name="20% - Accent6 10 3" xfId="890"/>
    <cellStyle name="20% - Accent6 11 2" xfId="891"/>
    <cellStyle name="20% - Accent6 11 3" xfId="892"/>
    <cellStyle name="20% - Accent6 12 2" xfId="893"/>
    <cellStyle name="20% - Accent6 12 3" xfId="894"/>
    <cellStyle name="20% - Accent6 13 2" xfId="895"/>
    <cellStyle name="20% - Accent6 13 3" xfId="896"/>
    <cellStyle name="20% - Accent6 14 2" xfId="897"/>
    <cellStyle name="20% - Accent6 14 3" xfId="898"/>
    <cellStyle name="20% - Accent6 15" xfId="899"/>
    <cellStyle name="20% - Accent6 15 2" xfId="900"/>
    <cellStyle name="20% - Accent6 15 3" xfId="901"/>
    <cellStyle name="20% - Accent6 15 4" xfId="902"/>
    <cellStyle name="20% - Accent6 15 5" xfId="903"/>
    <cellStyle name="20% - Accent6 15 6" xfId="904"/>
    <cellStyle name="20% - Accent6 15 7" xfId="905"/>
    <cellStyle name="20% - Accent6 16" xfId="906"/>
    <cellStyle name="20% - Accent6 17" xfId="907"/>
    <cellStyle name="20% - Accent6 18" xfId="908"/>
    <cellStyle name="20% - Accent6 19" xfId="909"/>
    <cellStyle name="20% - Accent6 2" xfId="196"/>
    <cellStyle name="20% - Accent6 2 2" xfId="378"/>
    <cellStyle name="20% - Accent6 2 2 2" xfId="570"/>
    <cellStyle name="20% - Accent6 2 2 3" xfId="911"/>
    <cellStyle name="20% - Accent6 2 3" xfId="481"/>
    <cellStyle name="20% - Accent6 2 3 2" xfId="912"/>
    <cellStyle name="20% - Accent6 2 4" xfId="910"/>
    <cellStyle name="20% - Accent6 2 5" xfId="37617"/>
    <cellStyle name="20% - Accent6 20" xfId="913"/>
    <cellStyle name="20% - Accent6 21" xfId="914"/>
    <cellStyle name="20% - Accent6 22" xfId="915"/>
    <cellStyle name="20% - Accent6 3" xfId="344"/>
    <cellStyle name="20% - Accent6 3 2" xfId="534"/>
    <cellStyle name="20% - Accent6 3 2 2" xfId="917"/>
    <cellStyle name="20% - Accent6 3 3" xfId="918"/>
    <cellStyle name="20% - Accent6 3 4" xfId="916"/>
    <cellStyle name="20% - Accent6 4" xfId="364"/>
    <cellStyle name="20% - Accent6 4 2" xfId="554"/>
    <cellStyle name="20% - Accent6 4 2 2" xfId="920"/>
    <cellStyle name="20% - Accent6 4 3" xfId="921"/>
    <cellStyle name="20% - Accent6 4 4" xfId="919"/>
    <cellStyle name="20% - Accent6 4 5" xfId="37618"/>
    <cellStyle name="20% - Accent6 5" xfId="427"/>
    <cellStyle name="20% - Accent6 5 2" xfId="922"/>
    <cellStyle name="20% - Accent6 5 3" xfId="923"/>
    <cellStyle name="20% - Accent6 6" xfId="461"/>
    <cellStyle name="20% - Accent6 6 2" xfId="924"/>
    <cellStyle name="20% - Accent6 6 3" xfId="925"/>
    <cellStyle name="20% - Accent6 7" xfId="622"/>
    <cellStyle name="20% - Accent6 7 2" xfId="926"/>
    <cellStyle name="20% - Accent6 7 3" xfId="927"/>
    <cellStyle name="20% - Accent6 8 2" xfId="928"/>
    <cellStyle name="20% - Accent6 8 3" xfId="929"/>
    <cellStyle name="20% - Accent6 9 2" xfId="930"/>
    <cellStyle name="20% - Accent6 9 3" xfId="931"/>
    <cellStyle name="40% - Accent1" xfId="153" builtinId="31" customBuiltin="1"/>
    <cellStyle name="40% - Accent1 10 2" xfId="932"/>
    <cellStyle name="40% - Accent1 10 3" xfId="933"/>
    <cellStyle name="40% - Accent1 11 2" xfId="934"/>
    <cellStyle name="40% - Accent1 11 3" xfId="935"/>
    <cellStyle name="40% - Accent1 12 2" xfId="936"/>
    <cellStyle name="40% - Accent1 12 3" xfId="937"/>
    <cellStyle name="40% - Accent1 13 2" xfId="938"/>
    <cellStyle name="40% - Accent1 13 3" xfId="939"/>
    <cellStyle name="40% - Accent1 14 2" xfId="940"/>
    <cellStyle name="40% - Accent1 14 3" xfId="941"/>
    <cellStyle name="40% - Accent1 15" xfId="942"/>
    <cellStyle name="40% - Accent1 15 2" xfId="943"/>
    <cellStyle name="40% - Accent1 15 3" xfId="944"/>
    <cellStyle name="40% - Accent1 15 4" xfId="945"/>
    <cellStyle name="40% - Accent1 15 5" xfId="946"/>
    <cellStyle name="40% - Accent1 15 6" xfId="947"/>
    <cellStyle name="40% - Accent1 15 7" xfId="948"/>
    <cellStyle name="40% - Accent1 16" xfId="949"/>
    <cellStyle name="40% - Accent1 17" xfId="950"/>
    <cellStyle name="40% - Accent1 18" xfId="951"/>
    <cellStyle name="40% - Accent1 19" xfId="952"/>
    <cellStyle name="40% - Accent1 2" xfId="187"/>
    <cellStyle name="40% - Accent1 2 2" xfId="369"/>
    <cellStyle name="40% - Accent1 2 2 2" xfId="561"/>
    <cellStyle name="40% - Accent1 2 2 3" xfId="954"/>
    <cellStyle name="40% - Accent1 2 3" xfId="472"/>
    <cellStyle name="40% - Accent1 2 3 2" xfId="955"/>
    <cellStyle name="40% - Accent1 2 4" xfId="953"/>
    <cellStyle name="40% - Accent1 2 5" xfId="37619"/>
    <cellStyle name="40% - Accent1 20" xfId="956"/>
    <cellStyle name="40% - Accent1 21" xfId="957"/>
    <cellStyle name="40% - Accent1 22" xfId="958"/>
    <cellStyle name="40% - Accent1 3" xfId="335"/>
    <cellStyle name="40% - Accent1 3 2" xfId="525"/>
    <cellStyle name="40% - Accent1 3 2 2" xfId="960"/>
    <cellStyle name="40% - Accent1 3 3" xfId="961"/>
    <cellStyle name="40% - Accent1 3 4" xfId="959"/>
    <cellStyle name="40% - Accent1 4" xfId="355"/>
    <cellStyle name="40% - Accent1 4 2" xfId="545"/>
    <cellStyle name="40% - Accent1 4 2 2" xfId="963"/>
    <cellStyle name="40% - Accent1 4 3" xfId="964"/>
    <cellStyle name="40% - Accent1 4 4" xfId="962"/>
    <cellStyle name="40% - Accent1 4 5" xfId="37620"/>
    <cellStyle name="40% - Accent1 5" xfId="408"/>
    <cellStyle name="40% - Accent1 5 2" xfId="965"/>
    <cellStyle name="40% - Accent1 5 3" xfId="966"/>
    <cellStyle name="40% - Accent1 6" xfId="446"/>
    <cellStyle name="40% - Accent1 6 2" xfId="967"/>
    <cellStyle name="40% - Accent1 6 3" xfId="968"/>
    <cellStyle name="40% - Accent1 7" xfId="623"/>
    <cellStyle name="40% - Accent1 7 2" xfId="969"/>
    <cellStyle name="40% - Accent1 7 3" xfId="970"/>
    <cellStyle name="40% - Accent1 8 2" xfId="971"/>
    <cellStyle name="40% - Accent1 8 3" xfId="972"/>
    <cellStyle name="40% - Accent1 9 2" xfId="973"/>
    <cellStyle name="40% - Accent1 9 3" xfId="974"/>
    <cellStyle name="40% - Accent2" xfId="157" builtinId="35" customBuiltin="1"/>
    <cellStyle name="40% - Accent2 10 2" xfId="975"/>
    <cellStyle name="40% - Accent2 10 3" xfId="976"/>
    <cellStyle name="40% - Accent2 11 2" xfId="977"/>
    <cellStyle name="40% - Accent2 11 3" xfId="978"/>
    <cellStyle name="40% - Accent2 12 2" xfId="979"/>
    <cellStyle name="40% - Accent2 12 3" xfId="980"/>
    <cellStyle name="40% - Accent2 13 2" xfId="981"/>
    <cellStyle name="40% - Accent2 13 3" xfId="982"/>
    <cellStyle name="40% - Accent2 14 2" xfId="983"/>
    <cellStyle name="40% - Accent2 14 3" xfId="984"/>
    <cellStyle name="40% - Accent2 15" xfId="985"/>
    <cellStyle name="40% - Accent2 15 2" xfId="986"/>
    <cellStyle name="40% - Accent2 15 3" xfId="987"/>
    <cellStyle name="40% - Accent2 15 4" xfId="988"/>
    <cellStyle name="40% - Accent2 15 5" xfId="989"/>
    <cellStyle name="40% - Accent2 15 6" xfId="990"/>
    <cellStyle name="40% - Accent2 15 7" xfId="991"/>
    <cellStyle name="40% - Accent2 16" xfId="992"/>
    <cellStyle name="40% - Accent2 17" xfId="993"/>
    <cellStyle name="40% - Accent2 18" xfId="994"/>
    <cellStyle name="40% - Accent2 19" xfId="995"/>
    <cellStyle name="40% - Accent2 2" xfId="189"/>
    <cellStyle name="40% - Accent2 2 2" xfId="371"/>
    <cellStyle name="40% - Accent2 2 2 2" xfId="563"/>
    <cellStyle name="40% - Accent2 2 2 3" xfId="997"/>
    <cellStyle name="40% - Accent2 2 3" xfId="474"/>
    <cellStyle name="40% - Accent2 2 3 2" xfId="998"/>
    <cellStyle name="40% - Accent2 2 4" xfId="996"/>
    <cellStyle name="40% - Accent2 2 5" xfId="37621"/>
    <cellStyle name="40% - Accent2 20" xfId="999"/>
    <cellStyle name="40% - Accent2 21" xfId="1000"/>
    <cellStyle name="40% - Accent2 22" xfId="1001"/>
    <cellStyle name="40% - Accent2 3" xfId="337"/>
    <cellStyle name="40% - Accent2 3 2" xfId="527"/>
    <cellStyle name="40% - Accent2 3 2 2" xfId="1003"/>
    <cellStyle name="40% - Accent2 3 3" xfId="1004"/>
    <cellStyle name="40% - Accent2 3 4" xfId="1002"/>
    <cellStyle name="40% - Accent2 4" xfId="357"/>
    <cellStyle name="40% - Accent2 4 2" xfId="547"/>
    <cellStyle name="40% - Accent2 4 2 2" xfId="1006"/>
    <cellStyle name="40% - Accent2 4 3" xfId="1007"/>
    <cellStyle name="40% - Accent2 4 4" xfId="1005"/>
    <cellStyle name="40% - Accent2 4 5" xfId="37622"/>
    <cellStyle name="40% - Accent2 5" xfId="412"/>
    <cellStyle name="40% - Accent2 5 2" xfId="1008"/>
    <cellStyle name="40% - Accent2 5 3" xfId="1009"/>
    <cellStyle name="40% - Accent2 6" xfId="450"/>
    <cellStyle name="40% - Accent2 6 2" xfId="1010"/>
    <cellStyle name="40% - Accent2 6 3" xfId="1011"/>
    <cellStyle name="40% - Accent2 7" xfId="624"/>
    <cellStyle name="40% - Accent2 7 2" xfId="1012"/>
    <cellStyle name="40% - Accent2 7 3" xfId="1013"/>
    <cellStyle name="40% - Accent2 8 2" xfId="1014"/>
    <cellStyle name="40% - Accent2 8 3" xfId="1015"/>
    <cellStyle name="40% - Accent2 9 2" xfId="1016"/>
    <cellStyle name="40% - Accent2 9 3" xfId="1017"/>
    <cellStyle name="40% - Accent3" xfId="161" builtinId="39" customBuiltin="1"/>
    <cellStyle name="40% - Accent3 10 2" xfId="1018"/>
    <cellStyle name="40% - Accent3 10 3" xfId="1019"/>
    <cellStyle name="40% - Accent3 11 2" xfId="1020"/>
    <cellStyle name="40% - Accent3 11 3" xfId="1021"/>
    <cellStyle name="40% - Accent3 12 2" xfId="1022"/>
    <cellStyle name="40% - Accent3 12 3" xfId="1023"/>
    <cellStyle name="40% - Accent3 13 2" xfId="1024"/>
    <cellStyle name="40% - Accent3 13 3" xfId="1025"/>
    <cellStyle name="40% - Accent3 14 2" xfId="1026"/>
    <cellStyle name="40% - Accent3 14 3" xfId="1027"/>
    <cellStyle name="40% - Accent3 15" xfId="1028"/>
    <cellStyle name="40% - Accent3 15 2" xfId="1029"/>
    <cellStyle name="40% - Accent3 15 3" xfId="1030"/>
    <cellStyle name="40% - Accent3 15 4" xfId="1031"/>
    <cellStyle name="40% - Accent3 15 5" xfId="1032"/>
    <cellStyle name="40% - Accent3 15 6" xfId="1033"/>
    <cellStyle name="40% - Accent3 15 7" xfId="1034"/>
    <cellStyle name="40% - Accent3 16" xfId="1035"/>
    <cellStyle name="40% - Accent3 17" xfId="1036"/>
    <cellStyle name="40% - Accent3 18" xfId="1037"/>
    <cellStyle name="40% - Accent3 19" xfId="1038"/>
    <cellStyle name="40% - Accent3 2" xfId="191"/>
    <cellStyle name="40% - Accent3 2 2" xfId="373"/>
    <cellStyle name="40% - Accent3 2 2 2" xfId="565"/>
    <cellStyle name="40% - Accent3 2 2 3" xfId="1040"/>
    <cellStyle name="40% - Accent3 2 3" xfId="476"/>
    <cellStyle name="40% - Accent3 2 3 2" xfId="1041"/>
    <cellStyle name="40% - Accent3 2 4" xfId="1039"/>
    <cellStyle name="40% - Accent3 2 5" xfId="37623"/>
    <cellStyle name="40% - Accent3 20" xfId="1042"/>
    <cellStyle name="40% - Accent3 21" xfId="1043"/>
    <cellStyle name="40% - Accent3 22" xfId="1044"/>
    <cellStyle name="40% - Accent3 3" xfId="339"/>
    <cellStyle name="40% - Accent3 3 2" xfId="529"/>
    <cellStyle name="40% - Accent3 3 2 2" xfId="1046"/>
    <cellStyle name="40% - Accent3 3 3" xfId="1047"/>
    <cellStyle name="40% - Accent3 3 4" xfId="1045"/>
    <cellStyle name="40% - Accent3 4" xfId="359"/>
    <cellStyle name="40% - Accent3 4 2" xfId="549"/>
    <cellStyle name="40% - Accent3 4 2 2" xfId="1049"/>
    <cellStyle name="40% - Accent3 4 3" xfId="1050"/>
    <cellStyle name="40% - Accent3 4 4" xfId="1048"/>
    <cellStyle name="40% - Accent3 4 5" xfId="37624"/>
    <cellStyle name="40% - Accent3 5" xfId="416"/>
    <cellStyle name="40% - Accent3 5 2" xfId="1051"/>
    <cellStyle name="40% - Accent3 5 3" xfId="1052"/>
    <cellStyle name="40% - Accent3 6" xfId="452"/>
    <cellStyle name="40% - Accent3 6 2" xfId="1053"/>
    <cellStyle name="40% - Accent3 6 3" xfId="1054"/>
    <cellStyle name="40% - Accent3 7" xfId="625"/>
    <cellStyle name="40% - Accent3 7 2" xfId="1055"/>
    <cellStyle name="40% - Accent3 7 3" xfId="1056"/>
    <cellStyle name="40% - Accent3 8 2" xfId="1057"/>
    <cellStyle name="40% - Accent3 8 3" xfId="1058"/>
    <cellStyle name="40% - Accent3 9 2" xfId="1059"/>
    <cellStyle name="40% - Accent3 9 3" xfId="1060"/>
    <cellStyle name="40% - Accent4" xfId="165" builtinId="43" customBuiltin="1"/>
    <cellStyle name="40% - Accent4 10 2" xfId="1061"/>
    <cellStyle name="40% - Accent4 10 3" xfId="1062"/>
    <cellStyle name="40% - Accent4 11 2" xfId="1063"/>
    <cellStyle name="40% - Accent4 11 3" xfId="1064"/>
    <cellStyle name="40% - Accent4 12 2" xfId="1065"/>
    <cellStyle name="40% - Accent4 12 3" xfId="1066"/>
    <cellStyle name="40% - Accent4 13 2" xfId="1067"/>
    <cellStyle name="40% - Accent4 13 3" xfId="1068"/>
    <cellStyle name="40% - Accent4 14 2" xfId="1069"/>
    <cellStyle name="40% - Accent4 14 3" xfId="1070"/>
    <cellStyle name="40% - Accent4 15" xfId="1071"/>
    <cellStyle name="40% - Accent4 15 2" xfId="1072"/>
    <cellStyle name="40% - Accent4 15 3" xfId="1073"/>
    <cellStyle name="40% - Accent4 15 4" xfId="1074"/>
    <cellStyle name="40% - Accent4 15 5" xfId="1075"/>
    <cellStyle name="40% - Accent4 15 6" xfId="1076"/>
    <cellStyle name="40% - Accent4 15 7" xfId="1077"/>
    <cellStyle name="40% - Accent4 16" xfId="1078"/>
    <cellStyle name="40% - Accent4 17" xfId="1079"/>
    <cellStyle name="40% - Accent4 18" xfId="1080"/>
    <cellStyle name="40% - Accent4 19" xfId="1081"/>
    <cellStyle name="40% - Accent4 2" xfId="193"/>
    <cellStyle name="40% - Accent4 2 2" xfId="375"/>
    <cellStyle name="40% - Accent4 2 2 2" xfId="567"/>
    <cellStyle name="40% - Accent4 2 2 3" xfId="1083"/>
    <cellStyle name="40% - Accent4 2 3" xfId="478"/>
    <cellStyle name="40% - Accent4 2 3 2" xfId="1084"/>
    <cellStyle name="40% - Accent4 2 4" xfId="1082"/>
    <cellStyle name="40% - Accent4 2 5" xfId="37625"/>
    <cellStyle name="40% - Accent4 20" xfId="1085"/>
    <cellStyle name="40% - Accent4 21" xfId="1086"/>
    <cellStyle name="40% - Accent4 22" xfId="1087"/>
    <cellStyle name="40% - Accent4 3" xfId="341"/>
    <cellStyle name="40% - Accent4 3 2" xfId="531"/>
    <cellStyle name="40% - Accent4 3 2 2" xfId="1089"/>
    <cellStyle name="40% - Accent4 3 3" xfId="1090"/>
    <cellStyle name="40% - Accent4 3 4" xfId="1088"/>
    <cellStyle name="40% - Accent4 4" xfId="361"/>
    <cellStyle name="40% - Accent4 4 2" xfId="551"/>
    <cellStyle name="40% - Accent4 4 2 2" xfId="1092"/>
    <cellStyle name="40% - Accent4 4 3" xfId="1093"/>
    <cellStyle name="40% - Accent4 4 4" xfId="1091"/>
    <cellStyle name="40% - Accent4 4 5" xfId="37626"/>
    <cellStyle name="40% - Accent4 5" xfId="420"/>
    <cellStyle name="40% - Accent4 5 2" xfId="1094"/>
    <cellStyle name="40% - Accent4 5 3" xfId="1095"/>
    <cellStyle name="40% - Accent4 6" xfId="456"/>
    <cellStyle name="40% - Accent4 6 2" xfId="1096"/>
    <cellStyle name="40% - Accent4 6 3" xfId="1097"/>
    <cellStyle name="40% - Accent4 7" xfId="626"/>
    <cellStyle name="40% - Accent4 7 2" xfId="1098"/>
    <cellStyle name="40% - Accent4 7 3" xfId="1099"/>
    <cellStyle name="40% - Accent4 8 2" xfId="1100"/>
    <cellStyle name="40% - Accent4 8 3" xfId="1101"/>
    <cellStyle name="40% - Accent4 9 2" xfId="1102"/>
    <cellStyle name="40% - Accent4 9 3" xfId="1103"/>
    <cellStyle name="40% - Accent5" xfId="169" builtinId="47" customBuiltin="1"/>
    <cellStyle name="40% - Accent5 10 2" xfId="1104"/>
    <cellStyle name="40% - Accent5 10 3" xfId="1105"/>
    <cellStyle name="40% - Accent5 11 2" xfId="1106"/>
    <cellStyle name="40% - Accent5 11 3" xfId="1107"/>
    <cellStyle name="40% - Accent5 12 2" xfId="1108"/>
    <cellStyle name="40% - Accent5 12 3" xfId="1109"/>
    <cellStyle name="40% - Accent5 13 2" xfId="1110"/>
    <cellStyle name="40% - Accent5 13 3" xfId="1111"/>
    <cellStyle name="40% - Accent5 14 2" xfId="1112"/>
    <cellStyle name="40% - Accent5 14 3" xfId="1113"/>
    <cellStyle name="40% - Accent5 15" xfId="1114"/>
    <cellStyle name="40% - Accent5 15 2" xfId="1115"/>
    <cellStyle name="40% - Accent5 15 3" xfId="1116"/>
    <cellStyle name="40% - Accent5 15 4" xfId="1117"/>
    <cellStyle name="40% - Accent5 15 5" xfId="1118"/>
    <cellStyle name="40% - Accent5 15 6" xfId="1119"/>
    <cellStyle name="40% - Accent5 15 7" xfId="1120"/>
    <cellStyle name="40% - Accent5 16" xfId="1121"/>
    <cellStyle name="40% - Accent5 17" xfId="1122"/>
    <cellStyle name="40% - Accent5 18" xfId="1123"/>
    <cellStyle name="40% - Accent5 19" xfId="1124"/>
    <cellStyle name="40% - Accent5 2" xfId="195"/>
    <cellStyle name="40% - Accent5 2 2" xfId="377"/>
    <cellStyle name="40% - Accent5 2 2 2" xfId="569"/>
    <cellStyle name="40% - Accent5 2 2 3" xfId="1126"/>
    <cellStyle name="40% - Accent5 2 3" xfId="480"/>
    <cellStyle name="40% - Accent5 2 3 2" xfId="1127"/>
    <cellStyle name="40% - Accent5 2 4" xfId="1125"/>
    <cellStyle name="40% - Accent5 2 5" xfId="37627"/>
    <cellStyle name="40% - Accent5 20" xfId="1128"/>
    <cellStyle name="40% - Accent5 21" xfId="1129"/>
    <cellStyle name="40% - Accent5 22" xfId="1130"/>
    <cellStyle name="40% - Accent5 3" xfId="343"/>
    <cellStyle name="40% - Accent5 3 2" xfId="533"/>
    <cellStyle name="40% - Accent5 3 2 2" xfId="1132"/>
    <cellStyle name="40% - Accent5 3 3" xfId="1133"/>
    <cellStyle name="40% - Accent5 3 4" xfId="1131"/>
    <cellStyle name="40% - Accent5 4" xfId="363"/>
    <cellStyle name="40% - Accent5 4 2" xfId="553"/>
    <cellStyle name="40% - Accent5 4 2 2" xfId="1135"/>
    <cellStyle name="40% - Accent5 4 3" xfId="1136"/>
    <cellStyle name="40% - Accent5 4 4" xfId="1134"/>
    <cellStyle name="40% - Accent5 4 5" xfId="37628"/>
    <cellStyle name="40% - Accent5 5" xfId="424"/>
    <cellStyle name="40% - Accent5 5 2" xfId="1137"/>
    <cellStyle name="40% - Accent5 5 3" xfId="1138"/>
    <cellStyle name="40% - Accent5 6" xfId="459"/>
    <cellStyle name="40% - Accent5 6 2" xfId="1139"/>
    <cellStyle name="40% - Accent5 6 3" xfId="1140"/>
    <cellStyle name="40% - Accent5 7" xfId="627"/>
    <cellStyle name="40% - Accent5 7 2" xfId="1141"/>
    <cellStyle name="40% - Accent5 7 3" xfId="1142"/>
    <cellStyle name="40% - Accent5 8 2" xfId="1143"/>
    <cellStyle name="40% - Accent5 8 3" xfId="1144"/>
    <cellStyle name="40% - Accent5 9 2" xfId="1145"/>
    <cellStyle name="40% - Accent5 9 3" xfId="1146"/>
    <cellStyle name="40% - Accent6" xfId="173" builtinId="51" customBuiltin="1"/>
    <cellStyle name="40% - Accent6 10 2" xfId="1147"/>
    <cellStyle name="40% - Accent6 10 3" xfId="1148"/>
    <cellStyle name="40% - Accent6 11 2" xfId="1149"/>
    <cellStyle name="40% - Accent6 11 3" xfId="1150"/>
    <cellStyle name="40% - Accent6 12 2" xfId="1151"/>
    <cellStyle name="40% - Accent6 12 3" xfId="1152"/>
    <cellStyle name="40% - Accent6 13 2" xfId="1153"/>
    <cellStyle name="40% - Accent6 13 3" xfId="1154"/>
    <cellStyle name="40% - Accent6 14 2" xfId="1155"/>
    <cellStyle name="40% - Accent6 14 3" xfId="1156"/>
    <cellStyle name="40% - Accent6 15" xfId="1157"/>
    <cellStyle name="40% - Accent6 15 2" xfId="1158"/>
    <cellStyle name="40% - Accent6 15 3" xfId="1159"/>
    <cellStyle name="40% - Accent6 15 4" xfId="1160"/>
    <cellStyle name="40% - Accent6 15 5" xfId="1161"/>
    <cellStyle name="40% - Accent6 15 6" xfId="1162"/>
    <cellStyle name="40% - Accent6 15 7" xfId="1163"/>
    <cellStyle name="40% - Accent6 16" xfId="1164"/>
    <cellStyle name="40% - Accent6 17" xfId="1165"/>
    <cellStyle name="40% - Accent6 18" xfId="1166"/>
    <cellStyle name="40% - Accent6 19" xfId="1167"/>
    <cellStyle name="40% - Accent6 2" xfId="197"/>
    <cellStyle name="40% - Accent6 2 2" xfId="379"/>
    <cellStyle name="40% - Accent6 2 2 2" xfId="571"/>
    <cellStyle name="40% - Accent6 2 2 3" xfId="1169"/>
    <cellStyle name="40% - Accent6 2 3" xfId="482"/>
    <cellStyle name="40% - Accent6 2 3 2" xfId="1170"/>
    <cellStyle name="40% - Accent6 2 4" xfId="1168"/>
    <cellStyle name="40% - Accent6 2 5" xfId="37629"/>
    <cellStyle name="40% - Accent6 20" xfId="1171"/>
    <cellStyle name="40% - Accent6 21" xfId="1172"/>
    <cellStyle name="40% - Accent6 22" xfId="1173"/>
    <cellStyle name="40% - Accent6 3" xfId="345"/>
    <cellStyle name="40% - Accent6 3 2" xfId="535"/>
    <cellStyle name="40% - Accent6 3 2 2" xfId="1175"/>
    <cellStyle name="40% - Accent6 3 3" xfId="1176"/>
    <cellStyle name="40% - Accent6 3 4" xfId="1174"/>
    <cellStyle name="40% - Accent6 4" xfId="365"/>
    <cellStyle name="40% - Accent6 4 2" xfId="555"/>
    <cellStyle name="40% - Accent6 4 2 2" xfId="1178"/>
    <cellStyle name="40% - Accent6 4 3" xfId="1179"/>
    <cellStyle name="40% - Accent6 4 4" xfId="1177"/>
    <cellStyle name="40% - Accent6 4 5" xfId="37630"/>
    <cellStyle name="40% - Accent6 5" xfId="428"/>
    <cellStyle name="40% - Accent6 5 2" xfId="1180"/>
    <cellStyle name="40% - Accent6 5 3" xfId="1181"/>
    <cellStyle name="40% - Accent6 6" xfId="462"/>
    <cellStyle name="40% - Accent6 6 2" xfId="1182"/>
    <cellStyle name="40% - Accent6 6 3" xfId="1183"/>
    <cellStyle name="40% - Accent6 7" xfId="628"/>
    <cellStyle name="40% - Accent6 7 2" xfId="1184"/>
    <cellStyle name="40% - Accent6 7 3" xfId="1185"/>
    <cellStyle name="40% - Accent6 8 2" xfId="1186"/>
    <cellStyle name="40% - Accent6 8 3" xfId="1187"/>
    <cellStyle name="40% - Accent6 9 2" xfId="1188"/>
    <cellStyle name="40% - Accent6 9 3" xfId="1189"/>
    <cellStyle name="60% - Accent1" xfId="154" builtinId="32" customBuiltin="1"/>
    <cellStyle name="60% - Accent1 10 2" xfId="1190"/>
    <cellStyle name="60% - Accent1 10 3" xfId="1191"/>
    <cellStyle name="60% - Accent1 11 2" xfId="1192"/>
    <cellStyle name="60% - Accent1 11 3" xfId="1193"/>
    <cellStyle name="60% - Accent1 12 2" xfId="1194"/>
    <cellStyle name="60% - Accent1 12 3" xfId="1195"/>
    <cellStyle name="60% - Accent1 13 2" xfId="1196"/>
    <cellStyle name="60% - Accent1 13 3" xfId="1197"/>
    <cellStyle name="60% - Accent1 14 2" xfId="1198"/>
    <cellStyle name="60% - Accent1 14 3" xfId="1199"/>
    <cellStyle name="60% - Accent1 15" xfId="1200"/>
    <cellStyle name="60% - Accent1 15 2" xfId="1201"/>
    <cellStyle name="60% - Accent1 15 3" xfId="1202"/>
    <cellStyle name="60% - Accent1 15 4" xfId="1203"/>
    <cellStyle name="60% - Accent1 15 5" xfId="1204"/>
    <cellStyle name="60% - Accent1 15 6" xfId="1205"/>
    <cellStyle name="60% - Accent1 15 7" xfId="1206"/>
    <cellStyle name="60% - Accent1 16" xfId="1207"/>
    <cellStyle name="60% - Accent1 17" xfId="1208"/>
    <cellStyle name="60% - Accent1 18" xfId="1209"/>
    <cellStyle name="60% - Accent1 19" xfId="1210"/>
    <cellStyle name="60% - Accent1 2" xfId="409"/>
    <cellStyle name="60% - Accent1 2 2" xfId="506"/>
    <cellStyle name="60% - Accent1 2 2 2" xfId="1211"/>
    <cellStyle name="60% - Accent1 2 3" xfId="1212"/>
    <cellStyle name="60% - Accent1 20" xfId="1213"/>
    <cellStyle name="60% - Accent1 21" xfId="1214"/>
    <cellStyle name="60% - Accent1 22" xfId="1215"/>
    <cellStyle name="60% - Accent1 3" xfId="629"/>
    <cellStyle name="60% - Accent1 3 2" xfId="1216"/>
    <cellStyle name="60% - Accent1 3 3" xfId="1217"/>
    <cellStyle name="60% - Accent1 4 2" xfId="1218"/>
    <cellStyle name="60% - Accent1 4 3" xfId="1219"/>
    <cellStyle name="60% - Accent1 5 2" xfId="1220"/>
    <cellStyle name="60% - Accent1 5 3" xfId="1221"/>
    <cellStyle name="60% - Accent1 6 2" xfId="1222"/>
    <cellStyle name="60% - Accent1 6 3" xfId="1223"/>
    <cellStyle name="60% - Accent1 7 2" xfId="1224"/>
    <cellStyle name="60% - Accent1 7 3" xfId="1225"/>
    <cellStyle name="60% - Accent1 8 2" xfId="1226"/>
    <cellStyle name="60% - Accent1 8 3" xfId="1227"/>
    <cellStyle name="60% - Accent1 9 2" xfId="1228"/>
    <cellStyle name="60% - Accent1 9 3" xfId="1229"/>
    <cellStyle name="60% - Accent2" xfId="158" builtinId="36" customBuiltin="1"/>
    <cellStyle name="60% - Accent2 10 2" xfId="1230"/>
    <cellStyle name="60% - Accent2 10 3" xfId="1231"/>
    <cellStyle name="60% - Accent2 11 2" xfId="1232"/>
    <cellStyle name="60% - Accent2 11 3" xfId="1233"/>
    <cellStyle name="60% - Accent2 12 2" xfId="1234"/>
    <cellStyle name="60% - Accent2 12 3" xfId="1235"/>
    <cellStyle name="60% - Accent2 13 2" xfId="1236"/>
    <cellStyle name="60% - Accent2 13 3" xfId="1237"/>
    <cellStyle name="60% - Accent2 14 2" xfId="1238"/>
    <cellStyle name="60% - Accent2 14 3" xfId="1239"/>
    <cellStyle name="60% - Accent2 15" xfId="1240"/>
    <cellStyle name="60% - Accent2 15 2" xfId="1241"/>
    <cellStyle name="60% - Accent2 15 3" xfId="1242"/>
    <cellStyle name="60% - Accent2 15 4" xfId="1243"/>
    <cellStyle name="60% - Accent2 15 5" xfId="1244"/>
    <cellStyle name="60% - Accent2 15 6" xfId="1245"/>
    <cellStyle name="60% - Accent2 15 7" xfId="1246"/>
    <cellStyle name="60% - Accent2 16" xfId="1247"/>
    <cellStyle name="60% - Accent2 17" xfId="1248"/>
    <cellStyle name="60% - Accent2 18" xfId="1249"/>
    <cellStyle name="60% - Accent2 19" xfId="1250"/>
    <cellStyle name="60% - Accent2 2" xfId="413"/>
    <cellStyle name="60% - Accent2 2 2" xfId="457"/>
    <cellStyle name="60% - Accent2 2 2 2" xfId="1251"/>
    <cellStyle name="60% - Accent2 2 3" xfId="1252"/>
    <cellStyle name="60% - Accent2 20" xfId="1253"/>
    <cellStyle name="60% - Accent2 21" xfId="1254"/>
    <cellStyle name="60% - Accent2 22" xfId="1255"/>
    <cellStyle name="60% - Accent2 3" xfId="630"/>
    <cellStyle name="60% - Accent2 3 2" xfId="1256"/>
    <cellStyle name="60% - Accent2 3 3" xfId="1257"/>
    <cellStyle name="60% - Accent2 4 2" xfId="1258"/>
    <cellStyle name="60% - Accent2 4 3" xfId="1259"/>
    <cellStyle name="60% - Accent2 5 2" xfId="1260"/>
    <cellStyle name="60% - Accent2 5 3" xfId="1261"/>
    <cellStyle name="60% - Accent2 6 2" xfId="1262"/>
    <cellStyle name="60% - Accent2 6 3" xfId="1263"/>
    <cellStyle name="60% - Accent2 7 2" xfId="1264"/>
    <cellStyle name="60% - Accent2 7 3" xfId="1265"/>
    <cellStyle name="60% - Accent2 8 2" xfId="1266"/>
    <cellStyle name="60% - Accent2 8 3" xfId="1267"/>
    <cellStyle name="60% - Accent2 9 2" xfId="1268"/>
    <cellStyle name="60% - Accent2 9 3" xfId="1269"/>
    <cellStyle name="60% - Accent3" xfId="162" builtinId="40" customBuiltin="1"/>
    <cellStyle name="60% - Accent3 10 2" xfId="1270"/>
    <cellStyle name="60% - Accent3 10 3" xfId="1271"/>
    <cellStyle name="60% - Accent3 11 2" xfId="1272"/>
    <cellStyle name="60% - Accent3 11 3" xfId="1273"/>
    <cellStyle name="60% - Accent3 12 2" xfId="1274"/>
    <cellStyle name="60% - Accent3 12 3" xfId="1275"/>
    <cellStyle name="60% - Accent3 13 2" xfId="1276"/>
    <cellStyle name="60% - Accent3 13 3" xfId="1277"/>
    <cellStyle name="60% - Accent3 14 2" xfId="1278"/>
    <cellStyle name="60% - Accent3 14 3" xfId="1279"/>
    <cellStyle name="60% - Accent3 15" xfId="1280"/>
    <cellStyle name="60% - Accent3 15 2" xfId="1281"/>
    <cellStyle name="60% - Accent3 15 3" xfId="1282"/>
    <cellStyle name="60% - Accent3 15 4" xfId="1283"/>
    <cellStyle name="60% - Accent3 15 5" xfId="1284"/>
    <cellStyle name="60% - Accent3 15 6" xfId="1285"/>
    <cellStyle name="60% - Accent3 15 7" xfId="1286"/>
    <cellStyle name="60% - Accent3 16" xfId="1287"/>
    <cellStyle name="60% - Accent3 17" xfId="1288"/>
    <cellStyle name="60% - Accent3 18" xfId="1289"/>
    <cellStyle name="60% - Accent3 19" xfId="1290"/>
    <cellStyle name="60% - Accent3 2" xfId="417"/>
    <cellStyle name="60% - Accent3 2 2" xfId="515"/>
    <cellStyle name="60% - Accent3 2 2 2" xfId="1291"/>
    <cellStyle name="60% - Accent3 2 3" xfId="1292"/>
    <cellStyle name="60% - Accent3 20" xfId="1293"/>
    <cellStyle name="60% - Accent3 21" xfId="1294"/>
    <cellStyle name="60% - Accent3 22" xfId="1295"/>
    <cellStyle name="60% - Accent3 3" xfId="631"/>
    <cellStyle name="60% - Accent3 3 2" xfId="1296"/>
    <cellStyle name="60% - Accent3 3 3" xfId="1297"/>
    <cellStyle name="60% - Accent3 4 2" xfId="1298"/>
    <cellStyle name="60% - Accent3 4 3" xfId="1299"/>
    <cellStyle name="60% - Accent3 5 2" xfId="1300"/>
    <cellStyle name="60% - Accent3 5 3" xfId="1301"/>
    <cellStyle name="60% - Accent3 6 2" xfId="1302"/>
    <cellStyle name="60% - Accent3 6 3" xfId="1303"/>
    <cellStyle name="60% - Accent3 7 2" xfId="1304"/>
    <cellStyle name="60% - Accent3 7 3" xfId="1305"/>
    <cellStyle name="60% - Accent3 8 2" xfId="1306"/>
    <cellStyle name="60% - Accent3 8 3" xfId="1307"/>
    <cellStyle name="60% - Accent3 9 2" xfId="1308"/>
    <cellStyle name="60% - Accent3 9 3" xfId="1309"/>
    <cellStyle name="60% - Accent4" xfId="166" builtinId="44" customBuiltin="1"/>
    <cellStyle name="60% - Accent4 10 2" xfId="1310"/>
    <cellStyle name="60% - Accent4 10 3" xfId="1311"/>
    <cellStyle name="60% - Accent4 11 2" xfId="1312"/>
    <cellStyle name="60% - Accent4 11 3" xfId="1313"/>
    <cellStyle name="60% - Accent4 12 2" xfId="1314"/>
    <cellStyle name="60% - Accent4 12 3" xfId="1315"/>
    <cellStyle name="60% - Accent4 13 2" xfId="1316"/>
    <cellStyle name="60% - Accent4 13 3" xfId="1317"/>
    <cellStyle name="60% - Accent4 14 2" xfId="1318"/>
    <cellStyle name="60% - Accent4 14 3" xfId="1319"/>
    <cellStyle name="60% - Accent4 15" xfId="1320"/>
    <cellStyle name="60% - Accent4 15 2" xfId="1321"/>
    <cellStyle name="60% - Accent4 15 3" xfId="1322"/>
    <cellStyle name="60% - Accent4 15 4" xfId="1323"/>
    <cellStyle name="60% - Accent4 15 5" xfId="1324"/>
    <cellStyle name="60% - Accent4 15 6" xfId="1325"/>
    <cellStyle name="60% - Accent4 15 7" xfId="1326"/>
    <cellStyle name="60% - Accent4 16" xfId="1327"/>
    <cellStyle name="60% - Accent4 17" xfId="1328"/>
    <cellStyle name="60% - Accent4 18" xfId="1329"/>
    <cellStyle name="60% - Accent4 19" xfId="1330"/>
    <cellStyle name="60% - Accent4 2" xfId="421"/>
    <cellStyle name="60% - Accent4 2 2" xfId="486"/>
    <cellStyle name="60% - Accent4 2 2 2" xfId="1331"/>
    <cellStyle name="60% - Accent4 2 3" xfId="1332"/>
    <cellStyle name="60% - Accent4 20" xfId="1333"/>
    <cellStyle name="60% - Accent4 21" xfId="1334"/>
    <cellStyle name="60% - Accent4 22" xfId="1335"/>
    <cellStyle name="60% - Accent4 3" xfId="632"/>
    <cellStyle name="60% - Accent4 3 2" xfId="1336"/>
    <cellStyle name="60% - Accent4 3 3" xfId="1337"/>
    <cellStyle name="60% - Accent4 4 2" xfId="1338"/>
    <cellStyle name="60% - Accent4 4 3" xfId="1339"/>
    <cellStyle name="60% - Accent4 5 2" xfId="1340"/>
    <cellStyle name="60% - Accent4 5 3" xfId="1341"/>
    <cellStyle name="60% - Accent4 6 2" xfId="1342"/>
    <cellStyle name="60% - Accent4 6 3" xfId="1343"/>
    <cellStyle name="60% - Accent4 7 2" xfId="1344"/>
    <cellStyle name="60% - Accent4 7 3" xfId="1345"/>
    <cellStyle name="60% - Accent4 8 2" xfId="1346"/>
    <cellStyle name="60% - Accent4 8 3" xfId="1347"/>
    <cellStyle name="60% - Accent4 9 2" xfId="1348"/>
    <cellStyle name="60% - Accent4 9 3" xfId="1349"/>
    <cellStyle name="60% - Accent5" xfId="170" builtinId="48" customBuiltin="1"/>
    <cellStyle name="60% - Accent5 10 2" xfId="1350"/>
    <cellStyle name="60% - Accent5 10 3" xfId="1351"/>
    <cellStyle name="60% - Accent5 11 2" xfId="1352"/>
    <cellStyle name="60% - Accent5 11 3" xfId="1353"/>
    <cellStyle name="60% - Accent5 12 2" xfId="1354"/>
    <cellStyle name="60% - Accent5 12 3" xfId="1355"/>
    <cellStyle name="60% - Accent5 13 2" xfId="1356"/>
    <cellStyle name="60% - Accent5 13 3" xfId="1357"/>
    <cellStyle name="60% - Accent5 14 2" xfId="1358"/>
    <cellStyle name="60% - Accent5 14 3" xfId="1359"/>
    <cellStyle name="60% - Accent5 15" xfId="1360"/>
    <cellStyle name="60% - Accent5 15 2" xfId="1361"/>
    <cellStyle name="60% - Accent5 15 3" xfId="1362"/>
    <cellStyle name="60% - Accent5 15 4" xfId="1363"/>
    <cellStyle name="60% - Accent5 15 5" xfId="1364"/>
    <cellStyle name="60% - Accent5 15 6" xfId="1365"/>
    <cellStyle name="60% - Accent5 15 7" xfId="1366"/>
    <cellStyle name="60% - Accent5 16" xfId="1367"/>
    <cellStyle name="60% - Accent5 17" xfId="1368"/>
    <cellStyle name="60% - Accent5 18" xfId="1369"/>
    <cellStyle name="60% - Accent5 19" xfId="1370"/>
    <cellStyle name="60% - Accent5 2" xfId="425"/>
    <cellStyle name="60% - Accent5 2 2" xfId="507"/>
    <cellStyle name="60% - Accent5 2 2 2" xfId="1371"/>
    <cellStyle name="60% - Accent5 2 3" xfId="1372"/>
    <cellStyle name="60% - Accent5 20" xfId="1373"/>
    <cellStyle name="60% - Accent5 21" xfId="1374"/>
    <cellStyle name="60% - Accent5 22" xfId="1375"/>
    <cellStyle name="60% - Accent5 3" xfId="633"/>
    <cellStyle name="60% - Accent5 3 2" xfId="1376"/>
    <cellStyle name="60% - Accent5 3 3" xfId="1377"/>
    <cellStyle name="60% - Accent5 4 2" xfId="1378"/>
    <cellStyle name="60% - Accent5 4 3" xfId="1379"/>
    <cellStyle name="60% - Accent5 5 2" xfId="1380"/>
    <cellStyle name="60% - Accent5 5 3" xfId="1381"/>
    <cellStyle name="60% - Accent5 6 2" xfId="1382"/>
    <cellStyle name="60% - Accent5 6 3" xfId="1383"/>
    <cellStyle name="60% - Accent5 7 2" xfId="1384"/>
    <cellStyle name="60% - Accent5 7 3" xfId="1385"/>
    <cellStyle name="60% - Accent5 8 2" xfId="1386"/>
    <cellStyle name="60% - Accent5 8 3" xfId="1387"/>
    <cellStyle name="60% - Accent5 9 2" xfId="1388"/>
    <cellStyle name="60% - Accent5 9 3" xfId="1389"/>
    <cellStyle name="60% - Accent6" xfId="174" builtinId="52" customBuiltin="1"/>
    <cellStyle name="60% - Accent6 10 2" xfId="1390"/>
    <cellStyle name="60% - Accent6 10 3" xfId="1391"/>
    <cellStyle name="60% - Accent6 11 2" xfId="1392"/>
    <cellStyle name="60% - Accent6 11 3" xfId="1393"/>
    <cellStyle name="60% - Accent6 12 2" xfId="1394"/>
    <cellStyle name="60% - Accent6 12 3" xfId="1395"/>
    <cellStyle name="60% - Accent6 13 2" xfId="1396"/>
    <cellStyle name="60% - Accent6 13 3" xfId="1397"/>
    <cellStyle name="60% - Accent6 14 2" xfId="1398"/>
    <cellStyle name="60% - Accent6 14 3" xfId="1399"/>
    <cellStyle name="60% - Accent6 15" xfId="1400"/>
    <cellStyle name="60% - Accent6 15 2" xfId="1401"/>
    <cellStyle name="60% - Accent6 15 3" xfId="1402"/>
    <cellStyle name="60% - Accent6 15 4" xfId="1403"/>
    <cellStyle name="60% - Accent6 15 5" xfId="1404"/>
    <cellStyle name="60% - Accent6 15 6" xfId="1405"/>
    <cellStyle name="60% - Accent6 15 7" xfId="1406"/>
    <cellStyle name="60% - Accent6 16" xfId="1407"/>
    <cellStyle name="60% - Accent6 17" xfId="1408"/>
    <cellStyle name="60% - Accent6 18" xfId="1409"/>
    <cellStyle name="60% - Accent6 19" xfId="1410"/>
    <cellStyle name="60% - Accent6 2" xfId="429"/>
    <cellStyle name="60% - Accent6 2 2" xfId="485"/>
    <cellStyle name="60% - Accent6 2 2 2" xfId="1411"/>
    <cellStyle name="60% - Accent6 2 3" xfId="1412"/>
    <cellStyle name="60% - Accent6 20" xfId="1413"/>
    <cellStyle name="60% - Accent6 21" xfId="1414"/>
    <cellStyle name="60% - Accent6 22" xfId="1415"/>
    <cellStyle name="60% - Accent6 3" xfId="634"/>
    <cellStyle name="60% - Accent6 3 2" xfId="1416"/>
    <cellStyle name="60% - Accent6 3 3" xfId="1417"/>
    <cellStyle name="60% - Accent6 4 2" xfId="1418"/>
    <cellStyle name="60% - Accent6 4 3" xfId="1419"/>
    <cellStyle name="60% - Accent6 5 2" xfId="1420"/>
    <cellStyle name="60% - Accent6 5 3" xfId="1421"/>
    <cellStyle name="60% - Accent6 6 2" xfId="1422"/>
    <cellStyle name="60% - Accent6 6 3" xfId="1423"/>
    <cellStyle name="60% - Accent6 7 2" xfId="1424"/>
    <cellStyle name="60% - Accent6 7 3" xfId="1425"/>
    <cellStyle name="60% - Accent6 8 2" xfId="1426"/>
    <cellStyle name="60% - Accent6 8 3" xfId="1427"/>
    <cellStyle name="60% - Accent6 9 2" xfId="1428"/>
    <cellStyle name="60% - Accent6 9 3" xfId="1429"/>
    <cellStyle name="Accent1" xfId="151" builtinId="29" customBuiltin="1"/>
    <cellStyle name="Accent1 10 2" xfId="1430"/>
    <cellStyle name="Accent1 10 3" xfId="1431"/>
    <cellStyle name="Accent1 11 2" xfId="1432"/>
    <cellStyle name="Accent1 11 3" xfId="1433"/>
    <cellStyle name="Accent1 12 2" xfId="1434"/>
    <cellStyle name="Accent1 12 3" xfId="1435"/>
    <cellStyle name="Accent1 13 2" xfId="1436"/>
    <cellStyle name="Accent1 13 3" xfId="1437"/>
    <cellStyle name="Accent1 14 2" xfId="1438"/>
    <cellStyle name="Accent1 14 3" xfId="1439"/>
    <cellStyle name="Accent1 15" xfId="1440"/>
    <cellStyle name="Accent1 15 2" xfId="1441"/>
    <cellStyle name="Accent1 15 3" xfId="1442"/>
    <cellStyle name="Accent1 15 4" xfId="1443"/>
    <cellStyle name="Accent1 15 5" xfId="1444"/>
    <cellStyle name="Accent1 15 6" xfId="1445"/>
    <cellStyle name="Accent1 15 7" xfId="1446"/>
    <cellStyle name="Accent1 16" xfId="1447"/>
    <cellStyle name="Accent1 17" xfId="1448"/>
    <cellStyle name="Accent1 18" xfId="1449"/>
    <cellStyle name="Accent1 19" xfId="1450"/>
    <cellStyle name="Accent1 2" xfId="406"/>
    <cellStyle name="Accent1 2 2" xfId="493"/>
    <cellStyle name="Accent1 2 2 2" xfId="1451"/>
    <cellStyle name="Accent1 2 3" xfId="1452"/>
    <cellStyle name="Accent1 20" xfId="1453"/>
    <cellStyle name="Accent1 21" xfId="1454"/>
    <cellStyle name="Accent1 22" xfId="1455"/>
    <cellStyle name="Accent1 3" xfId="635"/>
    <cellStyle name="Accent1 3 2" xfId="1456"/>
    <cellStyle name="Accent1 3 3" xfId="1457"/>
    <cellStyle name="Accent1 4 2" xfId="1458"/>
    <cellStyle name="Accent1 4 3" xfId="1459"/>
    <cellStyle name="Accent1 5 2" xfId="1460"/>
    <cellStyle name="Accent1 5 3" xfId="1461"/>
    <cellStyle name="Accent1 6 2" xfId="1462"/>
    <cellStyle name="Accent1 6 3" xfId="1463"/>
    <cellStyle name="Accent1 7 2" xfId="1464"/>
    <cellStyle name="Accent1 7 3" xfId="1465"/>
    <cellStyle name="Accent1 8 2" xfId="1466"/>
    <cellStyle name="Accent1 8 3" xfId="1467"/>
    <cellStyle name="Accent1 9 2" xfId="1468"/>
    <cellStyle name="Accent1 9 3" xfId="1469"/>
    <cellStyle name="Accent2" xfId="155" builtinId="33" customBuiltin="1"/>
    <cellStyle name="Accent2 10 2" xfId="1470"/>
    <cellStyle name="Accent2 10 3" xfId="1471"/>
    <cellStyle name="Accent2 11 2" xfId="1472"/>
    <cellStyle name="Accent2 11 3" xfId="1473"/>
    <cellStyle name="Accent2 12 2" xfId="1474"/>
    <cellStyle name="Accent2 12 3" xfId="1475"/>
    <cellStyle name="Accent2 13 2" xfId="1476"/>
    <cellStyle name="Accent2 13 3" xfId="1477"/>
    <cellStyle name="Accent2 14 2" xfId="1478"/>
    <cellStyle name="Accent2 14 3" xfId="1479"/>
    <cellStyle name="Accent2 15" xfId="1480"/>
    <cellStyle name="Accent2 15 2" xfId="1481"/>
    <cellStyle name="Accent2 15 3" xfId="1482"/>
    <cellStyle name="Accent2 15 4" xfId="1483"/>
    <cellStyle name="Accent2 15 5" xfId="1484"/>
    <cellStyle name="Accent2 15 6" xfId="1485"/>
    <cellStyle name="Accent2 15 7" xfId="1486"/>
    <cellStyle name="Accent2 16" xfId="1487"/>
    <cellStyle name="Accent2 17" xfId="1488"/>
    <cellStyle name="Accent2 18" xfId="1489"/>
    <cellStyle name="Accent2 19" xfId="1490"/>
    <cellStyle name="Accent2 2" xfId="410"/>
    <cellStyle name="Accent2 2 2" xfId="509"/>
    <cellStyle name="Accent2 2 2 2" xfId="1491"/>
    <cellStyle name="Accent2 2 3" xfId="1492"/>
    <cellStyle name="Accent2 20" xfId="1493"/>
    <cellStyle name="Accent2 21" xfId="1494"/>
    <cellStyle name="Accent2 22" xfId="1495"/>
    <cellStyle name="Accent2 3" xfId="636"/>
    <cellStyle name="Accent2 3 2" xfId="1496"/>
    <cellStyle name="Accent2 3 3" xfId="1497"/>
    <cellStyle name="Accent2 4 2" xfId="1498"/>
    <cellStyle name="Accent2 4 3" xfId="1499"/>
    <cellStyle name="Accent2 5 2" xfId="1500"/>
    <cellStyle name="Accent2 5 3" xfId="1501"/>
    <cellStyle name="Accent2 6 2" xfId="1502"/>
    <cellStyle name="Accent2 6 3" xfId="1503"/>
    <cellStyle name="Accent2 7 2" xfId="1504"/>
    <cellStyle name="Accent2 7 3" xfId="1505"/>
    <cellStyle name="Accent2 8 2" xfId="1506"/>
    <cellStyle name="Accent2 8 3" xfId="1507"/>
    <cellStyle name="Accent2 9 2" xfId="1508"/>
    <cellStyle name="Accent2 9 3" xfId="1509"/>
    <cellStyle name="Accent3" xfId="159" builtinId="37" customBuiltin="1"/>
    <cellStyle name="Accent3 10 2" xfId="1510"/>
    <cellStyle name="Accent3 10 3" xfId="1511"/>
    <cellStyle name="Accent3 11 2" xfId="1512"/>
    <cellStyle name="Accent3 11 3" xfId="1513"/>
    <cellStyle name="Accent3 12 2" xfId="1514"/>
    <cellStyle name="Accent3 12 3" xfId="1515"/>
    <cellStyle name="Accent3 13 2" xfId="1516"/>
    <cellStyle name="Accent3 13 3" xfId="1517"/>
    <cellStyle name="Accent3 14 2" xfId="1518"/>
    <cellStyle name="Accent3 14 3" xfId="1519"/>
    <cellStyle name="Accent3 15" xfId="1520"/>
    <cellStyle name="Accent3 15 2" xfId="1521"/>
    <cellStyle name="Accent3 15 3" xfId="1522"/>
    <cellStyle name="Accent3 15 4" xfId="1523"/>
    <cellStyle name="Accent3 15 5" xfId="1524"/>
    <cellStyle name="Accent3 15 6" xfId="1525"/>
    <cellStyle name="Accent3 15 7" xfId="1526"/>
    <cellStyle name="Accent3 16" xfId="1527"/>
    <cellStyle name="Accent3 17" xfId="1528"/>
    <cellStyle name="Accent3 18" xfId="1529"/>
    <cellStyle name="Accent3 19" xfId="1530"/>
    <cellStyle name="Accent3 2" xfId="414"/>
    <cellStyle name="Accent3 2 2" xfId="447"/>
    <cellStyle name="Accent3 2 2 2" xfId="1531"/>
    <cellStyle name="Accent3 2 3" xfId="1532"/>
    <cellStyle name="Accent3 20" xfId="1533"/>
    <cellStyle name="Accent3 21" xfId="1534"/>
    <cellStyle name="Accent3 22" xfId="1535"/>
    <cellStyle name="Accent3 3" xfId="637"/>
    <cellStyle name="Accent3 3 2" xfId="1536"/>
    <cellStyle name="Accent3 3 3" xfId="1537"/>
    <cellStyle name="Accent3 4 2" xfId="1538"/>
    <cellStyle name="Accent3 4 3" xfId="1539"/>
    <cellStyle name="Accent3 5 2" xfId="1540"/>
    <cellStyle name="Accent3 5 3" xfId="1541"/>
    <cellStyle name="Accent3 6 2" xfId="1542"/>
    <cellStyle name="Accent3 6 3" xfId="1543"/>
    <cellStyle name="Accent3 7 2" xfId="1544"/>
    <cellStyle name="Accent3 7 3" xfId="1545"/>
    <cellStyle name="Accent3 8 2" xfId="1546"/>
    <cellStyle name="Accent3 8 3" xfId="1547"/>
    <cellStyle name="Accent3 9 2" xfId="1548"/>
    <cellStyle name="Accent3 9 3" xfId="1549"/>
    <cellStyle name="Accent4" xfId="163" builtinId="41" customBuiltin="1"/>
    <cellStyle name="Accent4 10 2" xfId="1550"/>
    <cellStyle name="Accent4 10 3" xfId="1551"/>
    <cellStyle name="Accent4 11 2" xfId="1552"/>
    <cellStyle name="Accent4 11 3" xfId="1553"/>
    <cellStyle name="Accent4 12 2" xfId="1554"/>
    <cellStyle name="Accent4 12 3" xfId="1555"/>
    <cellStyle name="Accent4 13 2" xfId="1556"/>
    <cellStyle name="Accent4 13 3" xfId="1557"/>
    <cellStyle name="Accent4 14 2" xfId="1558"/>
    <cellStyle name="Accent4 14 3" xfId="1559"/>
    <cellStyle name="Accent4 15" xfId="1560"/>
    <cellStyle name="Accent4 15 2" xfId="1561"/>
    <cellStyle name="Accent4 15 3" xfId="1562"/>
    <cellStyle name="Accent4 15 4" xfId="1563"/>
    <cellStyle name="Accent4 15 5" xfId="1564"/>
    <cellStyle name="Accent4 15 6" xfId="1565"/>
    <cellStyle name="Accent4 15 7" xfId="1566"/>
    <cellStyle name="Accent4 16" xfId="1567"/>
    <cellStyle name="Accent4 17" xfId="1568"/>
    <cellStyle name="Accent4 18" xfId="1569"/>
    <cellStyle name="Accent4 19" xfId="1570"/>
    <cellStyle name="Accent4 2" xfId="418"/>
    <cellStyle name="Accent4 2 2" xfId="512"/>
    <cellStyle name="Accent4 2 2 2" xfId="1571"/>
    <cellStyle name="Accent4 2 3" xfId="1572"/>
    <cellStyle name="Accent4 20" xfId="1573"/>
    <cellStyle name="Accent4 21" xfId="1574"/>
    <cellStyle name="Accent4 22" xfId="1575"/>
    <cellStyle name="Accent4 3" xfId="638"/>
    <cellStyle name="Accent4 3 2" xfId="1576"/>
    <cellStyle name="Accent4 3 3" xfId="1577"/>
    <cellStyle name="Accent4 4 2" xfId="1578"/>
    <cellStyle name="Accent4 4 3" xfId="1579"/>
    <cellStyle name="Accent4 5 2" xfId="1580"/>
    <cellStyle name="Accent4 5 3" xfId="1581"/>
    <cellStyle name="Accent4 6 2" xfId="1582"/>
    <cellStyle name="Accent4 6 3" xfId="1583"/>
    <cellStyle name="Accent4 7 2" xfId="1584"/>
    <cellStyle name="Accent4 7 3" xfId="1585"/>
    <cellStyle name="Accent4 8 2" xfId="1586"/>
    <cellStyle name="Accent4 8 3" xfId="1587"/>
    <cellStyle name="Accent4 9 2" xfId="1588"/>
    <cellStyle name="Accent4 9 3" xfId="1589"/>
    <cellStyle name="Accent5" xfId="167" builtinId="45" customBuiltin="1"/>
    <cellStyle name="Accent5 10 2" xfId="1590"/>
    <cellStyle name="Accent5 10 3" xfId="1591"/>
    <cellStyle name="Accent5 11 2" xfId="1592"/>
    <cellStyle name="Accent5 11 3" xfId="1593"/>
    <cellStyle name="Accent5 12 2" xfId="1594"/>
    <cellStyle name="Accent5 12 3" xfId="1595"/>
    <cellStyle name="Accent5 13 2" xfId="1596"/>
    <cellStyle name="Accent5 13 3" xfId="1597"/>
    <cellStyle name="Accent5 14 2" xfId="1598"/>
    <cellStyle name="Accent5 14 3" xfId="1599"/>
    <cellStyle name="Accent5 15" xfId="1600"/>
    <cellStyle name="Accent5 15 2" xfId="1601"/>
    <cellStyle name="Accent5 15 3" xfId="1602"/>
    <cellStyle name="Accent5 15 4" xfId="1603"/>
    <cellStyle name="Accent5 15 5" xfId="1604"/>
    <cellStyle name="Accent5 15 6" xfId="1605"/>
    <cellStyle name="Accent5 15 7" xfId="1606"/>
    <cellStyle name="Accent5 16" xfId="1607"/>
    <cellStyle name="Accent5 17" xfId="1608"/>
    <cellStyle name="Accent5 18" xfId="1609"/>
    <cellStyle name="Accent5 19" xfId="1610"/>
    <cellStyle name="Accent5 2" xfId="422"/>
    <cellStyle name="Accent5 2 2" xfId="503"/>
    <cellStyle name="Accent5 2 2 2" xfId="1611"/>
    <cellStyle name="Accent5 2 3" xfId="1612"/>
    <cellStyle name="Accent5 20" xfId="1613"/>
    <cellStyle name="Accent5 21" xfId="1614"/>
    <cellStyle name="Accent5 22" xfId="1615"/>
    <cellStyle name="Accent5 3" xfId="639"/>
    <cellStyle name="Accent5 3 2" xfId="1616"/>
    <cellStyle name="Accent5 3 3" xfId="1617"/>
    <cellStyle name="Accent5 4 2" xfId="1618"/>
    <cellStyle name="Accent5 4 3" xfId="1619"/>
    <cellStyle name="Accent5 5 2" xfId="1620"/>
    <cellStyle name="Accent5 5 3" xfId="1621"/>
    <cellStyle name="Accent5 6 2" xfId="1622"/>
    <cellStyle name="Accent5 6 3" xfId="1623"/>
    <cellStyle name="Accent5 7 2" xfId="1624"/>
    <cellStyle name="Accent5 7 3" xfId="1625"/>
    <cellStyle name="Accent5 8 2" xfId="1626"/>
    <cellStyle name="Accent5 8 3" xfId="1627"/>
    <cellStyle name="Accent5 9 2" xfId="1628"/>
    <cellStyle name="Accent5 9 3" xfId="1629"/>
    <cellStyle name="Accent6" xfId="171" builtinId="49" customBuiltin="1"/>
    <cellStyle name="Accent6 10 2" xfId="1630"/>
    <cellStyle name="Accent6 10 3" xfId="1631"/>
    <cellStyle name="Accent6 11 2" xfId="1632"/>
    <cellStyle name="Accent6 11 3" xfId="1633"/>
    <cellStyle name="Accent6 12 2" xfId="1634"/>
    <cellStyle name="Accent6 12 3" xfId="1635"/>
    <cellStyle name="Accent6 13 2" xfId="1636"/>
    <cellStyle name="Accent6 13 3" xfId="1637"/>
    <cellStyle name="Accent6 14 2" xfId="1638"/>
    <cellStyle name="Accent6 14 3" xfId="1639"/>
    <cellStyle name="Accent6 15" xfId="1640"/>
    <cellStyle name="Accent6 15 2" xfId="1641"/>
    <cellStyle name="Accent6 15 3" xfId="1642"/>
    <cellStyle name="Accent6 15 4" xfId="1643"/>
    <cellStyle name="Accent6 15 5" xfId="1644"/>
    <cellStyle name="Accent6 15 6" xfId="1645"/>
    <cellStyle name="Accent6 15 7" xfId="1646"/>
    <cellStyle name="Accent6 16" xfId="1647"/>
    <cellStyle name="Accent6 17" xfId="1648"/>
    <cellStyle name="Accent6 18" xfId="1649"/>
    <cellStyle name="Accent6 19" xfId="1650"/>
    <cellStyle name="Accent6 2" xfId="426"/>
    <cellStyle name="Accent6 2 2" xfId="504"/>
    <cellStyle name="Accent6 2 2 2" xfId="1651"/>
    <cellStyle name="Accent6 2 3" xfId="1652"/>
    <cellStyle name="Accent6 20" xfId="1653"/>
    <cellStyle name="Accent6 21" xfId="1654"/>
    <cellStyle name="Accent6 22" xfId="1655"/>
    <cellStyle name="Accent6 3" xfId="640"/>
    <cellStyle name="Accent6 3 2" xfId="1656"/>
    <cellStyle name="Accent6 3 3" xfId="1657"/>
    <cellStyle name="Accent6 4 2" xfId="1658"/>
    <cellStyle name="Accent6 4 3" xfId="1659"/>
    <cellStyle name="Accent6 5 2" xfId="1660"/>
    <cellStyle name="Accent6 5 3" xfId="1661"/>
    <cellStyle name="Accent6 6 2" xfId="1662"/>
    <cellStyle name="Accent6 6 3" xfId="1663"/>
    <cellStyle name="Accent6 7 2" xfId="1664"/>
    <cellStyle name="Accent6 7 3" xfId="1665"/>
    <cellStyle name="Accent6 8 2" xfId="1666"/>
    <cellStyle name="Accent6 8 3" xfId="1667"/>
    <cellStyle name="Accent6 9 2" xfId="1668"/>
    <cellStyle name="Accent6 9 3" xfId="1669"/>
    <cellStyle name="Bad" xfId="143" builtinId="27" customBuiltin="1"/>
    <cellStyle name="Bad 10 2" xfId="1670"/>
    <cellStyle name="Bad 10 3" xfId="1671"/>
    <cellStyle name="Bad 11 2" xfId="1672"/>
    <cellStyle name="Bad 11 3" xfId="1673"/>
    <cellStyle name="Bad 12 2" xfId="1674"/>
    <cellStyle name="Bad 12 3" xfId="1675"/>
    <cellStyle name="Bad 13 2" xfId="1676"/>
    <cellStyle name="Bad 13 3" xfId="1677"/>
    <cellStyle name="Bad 14 2" xfId="1678"/>
    <cellStyle name="Bad 14 3" xfId="1679"/>
    <cellStyle name="Bad 15" xfId="1680"/>
    <cellStyle name="Bad 15 2" xfId="1681"/>
    <cellStyle name="Bad 15 3" xfId="1682"/>
    <cellStyle name="Bad 15 4" xfId="1683"/>
    <cellStyle name="Bad 15 5" xfId="1684"/>
    <cellStyle name="Bad 15 6" xfId="1685"/>
    <cellStyle name="Bad 15 7" xfId="1686"/>
    <cellStyle name="Bad 16" xfId="1687"/>
    <cellStyle name="Bad 17" xfId="1688"/>
    <cellStyle name="Bad 18" xfId="1689"/>
    <cellStyle name="Bad 19" xfId="1690"/>
    <cellStyle name="Bad 2" xfId="395"/>
    <cellStyle name="Bad 2 2" xfId="582"/>
    <cellStyle name="Bad 2 2 2" xfId="1691"/>
    <cellStyle name="Bad 2 3" xfId="1692"/>
    <cellStyle name="Bad 20" xfId="1693"/>
    <cellStyle name="Bad 21" xfId="1694"/>
    <cellStyle name="Bad 22" xfId="1695"/>
    <cellStyle name="Bad 3" xfId="641"/>
    <cellStyle name="Bad 3 2" xfId="1696"/>
    <cellStyle name="Bad 3 3" xfId="1697"/>
    <cellStyle name="Bad 4 2" xfId="1698"/>
    <cellStyle name="Bad 4 3" xfId="1699"/>
    <cellStyle name="Bad 5 2" xfId="1700"/>
    <cellStyle name="Bad 5 3" xfId="1701"/>
    <cellStyle name="Bad 6 2" xfId="1702"/>
    <cellStyle name="Bad 6 3" xfId="1703"/>
    <cellStyle name="Bad 7 2" xfId="1704"/>
    <cellStyle name="Bad 7 3" xfId="1705"/>
    <cellStyle name="Bad 8 2" xfId="1706"/>
    <cellStyle name="Bad 8 3" xfId="1707"/>
    <cellStyle name="Bad 9 2" xfId="1708"/>
    <cellStyle name="Bad 9 3" xfId="1709"/>
    <cellStyle name="Calculation" xfId="2" builtinId="22" customBuiltin="1"/>
    <cellStyle name="Calculation 10 2" xfId="1710"/>
    <cellStyle name="Calculation 10 3" xfId="1711"/>
    <cellStyle name="Calculation 11 2" xfId="1712"/>
    <cellStyle name="Calculation 11 3" xfId="1713"/>
    <cellStyle name="Calculation 12 2" xfId="1714"/>
    <cellStyle name="Calculation 12 3" xfId="1715"/>
    <cellStyle name="Calculation 13 2" xfId="1716"/>
    <cellStyle name="Calculation 13 3" xfId="1717"/>
    <cellStyle name="Calculation 14 2" xfId="1718"/>
    <cellStyle name="Calculation 14 3" xfId="1719"/>
    <cellStyle name="Calculation 15" xfId="1720"/>
    <cellStyle name="Calculation 15 2" xfId="1721"/>
    <cellStyle name="Calculation 15 3" xfId="1722"/>
    <cellStyle name="Calculation 15 4" xfId="1723"/>
    <cellStyle name="Calculation 15 5" xfId="1724"/>
    <cellStyle name="Calculation 15 6" xfId="1725"/>
    <cellStyle name="Calculation 15 7" xfId="1726"/>
    <cellStyle name="Calculation 16" xfId="1727"/>
    <cellStyle name="Calculation 17" xfId="1728"/>
    <cellStyle name="Calculation 18" xfId="1729"/>
    <cellStyle name="Calculation 19" xfId="1730"/>
    <cellStyle name="Calculation 2" xfId="399"/>
    <cellStyle name="Calculation 2 2" xfId="599"/>
    <cellStyle name="Calculation 2 2 2" xfId="1731"/>
    <cellStyle name="Calculation 2 3" xfId="1732"/>
    <cellStyle name="Calculation 20" xfId="1733"/>
    <cellStyle name="Calculation 21" xfId="1734"/>
    <cellStyle name="Calculation 22" xfId="1735"/>
    <cellStyle name="Calculation 3" xfId="642"/>
    <cellStyle name="Calculation 3 2" xfId="1736"/>
    <cellStyle name="Calculation 3 3" xfId="1737"/>
    <cellStyle name="Calculation 4 2" xfId="1738"/>
    <cellStyle name="Calculation 4 3" xfId="1739"/>
    <cellStyle name="Calculation 5 2" xfId="1740"/>
    <cellStyle name="Calculation 5 3" xfId="1741"/>
    <cellStyle name="Calculation 6 2" xfId="1742"/>
    <cellStyle name="Calculation 6 3" xfId="1743"/>
    <cellStyle name="Calculation 7 2" xfId="1744"/>
    <cellStyle name="Calculation 7 3" xfId="1745"/>
    <cellStyle name="Calculation 8 2" xfId="1746"/>
    <cellStyle name="Calculation 8 3" xfId="1747"/>
    <cellStyle name="Calculation 9 2" xfId="1748"/>
    <cellStyle name="Calculation 9 3" xfId="1749"/>
    <cellStyle name="Check Cell" xfId="147" builtinId="23" customBuiltin="1"/>
    <cellStyle name="Check Cell 10 2" xfId="1750"/>
    <cellStyle name="Check Cell 10 3" xfId="1751"/>
    <cellStyle name="Check Cell 11 2" xfId="1752"/>
    <cellStyle name="Check Cell 11 3" xfId="1753"/>
    <cellStyle name="Check Cell 12 2" xfId="1754"/>
    <cellStyle name="Check Cell 12 3" xfId="1755"/>
    <cellStyle name="Check Cell 13 2" xfId="1756"/>
    <cellStyle name="Check Cell 13 3" xfId="1757"/>
    <cellStyle name="Check Cell 14 2" xfId="1758"/>
    <cellStyle name="Check Cell 14 3" xfId="1759"/>
    <cellStyle name="Check Cell 15" xfId="1760"/>
    <cellStyle name="Check Cell 15 2" xfId="1761"/>
    <cellStyle name="Check Cell 15 3" xfId="1762"/>
    <cellStyle name="Check Cell 15 4" xfId="1763"/>
    <cellStyle name="Check Cell 15 5" xfId="1764"/>
    <cellStyle name="Check Cell 15 6" xfId="1765"/>
    <cellStyle name="Check Cell 15 7" xfId="1766"/>
    <cellStyle name="Check Cell 16" xfId="1767"/>
    <cellStyle name="Check Cell 17" xfId="1768"/>
    <cellStyle name="Check Cell 18" xfId="1769"/>
    <cellStyle name="Check Cell 19" xfId="1770"/>
    <cellStyle name="Check Cell 2" xfId="401"/>
    <cellStyle name="Check Cell 2 2" xfId="584"/>
    <cellStyle name="Check Cell 2 2 2" xfId="1771"/>
    <cellStyle name="Check Cell 2 3" xfId="1772"/>
    <cellStyle name="Check Cell 20" xfId="1773"/>
    <cellStyle name="Check Cell 21" xfId="1774"/>
    <cellStyle name="Check Cell 22" xfId="1775"/>
    <cellStyle name="Check Cell 3" xfId="643"/>
    <cellStyle name="Check Cell 3 2" xfId="1776"/>
    <cellStyle name="Check Cell 3 3" xfId="1777"/>
    <cellStyle name="Check Cell 4 2" xfId="1778"/>
    <cellStyle name="Check Cell 4 3" xfId="1779"/>
    <cellStyle name="Check Cell 5 2" xfId="1780"/>
    <cellStyle name="Check Cell 5 3" xfId="1781"/>
    <cellStyle name="Check Cell 6 2" xfId="1782"/>
    <cellStyle name="Check Cell 6 3" xfId="1783"/>
    <cellStyle name="Check Cell 7 2" xfId="1784"/>
    <cellStyle name="Check Cell 7 3" xfId="1785"/>
    <cellStyle name="Check Cell 8 2" xfId="1786"/>
    <cellStyle name="Check Cell 8 3" xfId="1787"/>
    <cellStyle name="Check Cell 9 2" xfId="1788"/>
    <cellStyle name="Check Cell 9 3" xfId="1789"/>
    <cellStyle name="Comma" xfId="4" builtinId="3"/>
    <cellStyle name="Comma 10" xfId="436"/>
    <cellStyle name="Comma 10 10" xfId="1791"/>
    <cellStyle name="Comma 10 10 2" xfId="602"/>
    <cellStyle name="Comma 10 11" xfId="1792"/>
    <cellStyle name="Comma 10 12" xfId="1793"/>
    <cellStyle name="Comma 10 13" xfId="1794"/>
    <cellStyle name="Comma 10 14" xfId="1795"/>
    <cellStyle name="Comma 10 15" xfId="1796"/>
    <cellStyle name="Comma 10 16" xfId="1797"/>
    <cellStyle name="Comma 10 17" xfId="1798"/>
    <cellStyle name="Comma 10 18" xfId="1790"/>
    <cellStyle name="Comma 10 19" xfId="37631"/>
    <cellStyle name="Comma 10 2" xfId="594"/>
    <cellStyle name="Comma 10 2 2" xfId="1800"/>
    <cellStyle name="Comma 10 2 3" xfId="1799"/>
    <cellStyle name="Comma 10 3" xfId="1801"/>
    <cellStyle name="Comma 10 3 2" xfId="1802"/>
    <cellStyle name="Comma 10 4" xfId="1803"/>
    <cellStyle name="Comma 10 4 2" xfId="1804"/>
    <cellStyle name="Comma 10 5" xfId="1805"/>
    <cellStyle name="Comma 10 5 2" xfId="1806"/>
    <cellStyle name="Comma 10 6" xfId="1807"/>
    <cellStyle name="Comma 10 7" xfId="1808"/>
    <cellStyle name="Comma 10 8" xfId="1809"/>
    <cellStyle name="Comma 10 9" xfId="1810"/>
    <cellStyle name="Comma 11" xfId="440"/>
    <cellStyle name="Comma 11 2" xfId="1812"/>
    <cellStyle name="Comma 11 2 10" xfId="1813"/>
    <cellStyle name="Comma 11 2 2" xfId="1814"/>
    <cellStyle name="Comma 11 2 3" xfId="1815"/>
    <cellStyle name="Comma 11 2 4" xfId="1816"/>
    <cellStyle name="Comma 11 2 5" xfId="1817"/>
    <cellStyle name="Comma 11 2 6" xfId="1818"/>
    <cellStyle name="Comma 11 2 7" xfId="1819"/>
    <cellStyle name="Comma 11 2 8" xfId="1820"/>
    <cellStyle name="Comma 11 2 9" xfId="1821"/>
    <cellStyle name="Comma 11 3" xfId="1822"/>
    <cellStyle name="Comma 11 3 10" xfId="1823"/>
    <cellStyle name="Comma 11 3 2" xfId="1824"/>
    <cellStyle name="Comma 11 3 3" xfId="1825"/>
    <cellStyle name="Comma 11 3 4" xfId="1826"/>
    <cellStyle name="Comma 11 3 5" xfId="1827"/>
    <cellStyle name="Comma 11 3 6" xfId="1828"/>
    <cellStyle name="Comma 11 3 7" xfId="1829"/>
    <cellStyle name="Comma 11 3 8" xfId="1830"/>
    <cellStyle name="Comma 11 3 9" xfId="1831"/>
    <cellStyle name="Comma 11 4" xfId="1832"/>
    <cellStyle name="Comma 11 4 10" xfId="1833"/>
    <cellStyle name="Comma 11 4 2" xfId="1834"/>
    <cellStyle name="Comma 11 4 3" xfId="1835"/>
    <cellStyle name="Comma 11 4 4" xfId="1836"/>
    <cellStyle name="Comma 11 4 5" xfId="1837"/>
    <cellStyle name="Comma 11 4 6" xfId="1838"/>
    <cellStyle name="Comma 11 4 7" xfId="1839"/>
    <cellStyle name="Comma 11 4 8" xfId="1840"/>
    <cellStyle name="Comma 11 4 9" xfId="1841"/>
    <cellStyle name="Comma 11 5" xfId="1842"/>
    <cellStyle name="Comma 11 5 10" xfId="1843"/>
    <cellStyle name="Comma 11 5 2" xfId="1844"/>
    <cellStyle name="Comma 11 5 3" xfId="1845"/>
    <cellStyle name="Comma 11 5 4" xfId="1846"/>
    <cellStyle name="Comma 11 5 5" xfId="1847"/>
    <cellStyle name="Comma 11 5 6" xfId="1848"/>
    <cellStyle name="Comma 11 5 7" xfId="1849"/>
    <cellStyle name="Comma 11 5 8" xfId="1850"/>
    <cellStyle name="Comma 11 5 9" xfId="1851"/>
    <cellStyle name="Comma 11 6" xfId="1852"/>
    <cellStyle name="Comma 11 6 10" xfId="1853"/>
    <cellStyle name="Comma 11 6 2" xfId="1854"/>
    <cellStyle name="Comma 11 6 3" xfId="1855"/>
    <cellStyle name="Comma 11 6 4" xfId="1856"/>
    <cellStyle name="Comma 11 6 5" xfId="1857"/>
    <cellStyle name="Comma 11 6 6" xfId="1858"/>
    <cellStyle name="Comma 11 6 7" xfId="1859"/>
    <cellStyle name="Comma 11 6 8" xfId="1860"/>
    <cellStyle name="Comma 11 6 9" xfId="1861"/>
    <cellStyle name="Comma 11 7" xfId="1862"/>
    <cellStyle name="Comma 11 7 10" xfId="1863"/>
    <cellStyle name="Comma 11 7 2" xfId="1864"/>
    <cellStyle name="Comma 11 7 3" xfId="1865"/>
    <cellStyle name="Comma 11 7 4" xfId="1866"/>
    <cellStyle name="Comma 11 7 5" xfId="1867"/>
    <cellStyle name="Comma 11 7 6" xfId="1868"/>
    <cellStyle name="Comma 11 7 7" xfId="1869"/>
    <cellStyle name="Comma 11 7 8" xfId="1870"/>
    <cellStyle name="Comma 11 7 9" xfId="1871"/>
    <cellStyle name="Comma 11 8" xfId="1872"/>
    <cellStyle name="Comma 11 9" xfId="1811"/>
    <cellStyle name="Comma 12" xfId="644"/>
    <cellStyle name="Comma 12 2" xfId="1874"/>
    <cellStyle name="Comma 12 3" xfId="1873"/>
    <cellStyle name="Comma 13" xfId="663"/>
    <cellStyle name="Comma 13 2" xfId="1876"/>
    <cellStyle name="Comma 13 3" xfId="1875"/>
    <cellStyle name="Comma 14" xfId="669"/>
    <cellStyle name="Comma 14 2" xfId="1878"/>
    <cellStyle name="Comma 14 3" xfId="1877"/>
    <cellStyle name="Comma 15" xfId="1879"/>
    <cellStyle name="Comma 15 2" xfId="1880"/>
    <cellStyle name="Comma 16" xfId="1881"/>
    <cellStyle name="Comma 16 2" xfId="1882"/>
    <cellStyle name="Comma 17" xfId="1883"/>
    <cellStyle name="Comma 17 2" xfId="1884"/>
    <cellStyle name="Comma 18" xfId="1885"/>
    <cellStyle name="Comma 18 2" xfId="1886"/>
    <cellStyle name="Comma 19" xfId="1887"/>
    <cellStyle name="Comma 19 2" xfId="1888"/>
    <cellStyle name="Comma 2" xfId="8"/>
    <cellStyle name="Comma 2 10" xfId="1890"/>
    <cellStyle name="Comma 2 11" xfId="1891"/>
    <cellStyle name="Comma 2 12" xfId="1892"/>
    <cellStyle name="Comma 2 13" xfId="1893"/>
    <cellStyle name="Comma 2 14" xfId="1894"/>
    <cellStyle name="Comma 2 15" xfId="1895"/>
    <cellStyle name="Comma 2 16" xfId="1896"/>
    <cellStyle name="Comma 2 17" xfId="1897"/>
    <cellStyle name="Comma 2 18" xfId="1898"/>
    <cellStyle name="Comma 2 19" xfId="1899"/>
    <cellStyle name="Comma 2 2" xfId="286"/>
    <cellStyle name="Comma 2 2 10" xfId="1901"/>
    <cellStyle name="Comma 2 2 11" xfId="1902"/>
    <cellStyle name="Comma 2 2 12" xfId="1903"/>
    <cellStyle name="Comma 2 2 13" xfId="1904"/>
    <cellStyle name="Comma 2 2 14" xfId="1905"/>
    <cellStyle name="Comma 2 2 15" xfId="1906"/>
    <cellStyle name="Comma 2 2 16" xfId="1907"/>
    <cellStyle name="Comma 2 2 17" xfId="1908"/>
    <cellStyle name="Comma 2 2 18" xfId="1909"/>
    <cellStyle name="Comma 2 2 19" xfId="1910"/>
    <cellStyle name="Comma 2 2 2" xfId="178"/>
    <cellStyle name="Comma 2 2 2 2" xfId="1912"/>
    <cellStyle name="Comma 2 2 2 3" xfId="1913"/>
    <cellStyle name="Comma 2 2 2 4" xfId="1914"/>
    <cellStyle name="Comma 2 2 2 5" xfId="1911"/>
    <cellStyle name="Comma 2 2 2 6" xfId="605"/>
    <cellStyle name="Comma 2 2 20" xfId="1915"/>
    <cellStyle name="Comma 2 2 21" xfId="1916"/>
    <cellStyle name="Comma 2 2 22" xfId="1917"/>
    <cellStyle name="Comma 2 2 23" xfId="1918"/>
    <cellStyle name="Comma 2 2 24" xfId="1919"/>
    <cellStyle name="Comma 2 2 25" xfId="1920"/>
    <cellStyle name="Comma 2 2 26" xfId="1921"/>
    <cellStyle name="Comma 2 2 27" xfId="1922"/>
    <cellStyle name="Comma 2 2 28" xfId="1923"/>
    <cellStyle name="Comma 2 2 29" xfId="1924"/>
    <cellStyle name="Comma 2 2 3" xfId="1925"/>
    <cellStyle name="Comma 2 2 30" xfId="1926"/>
    <cellStyle name="Comma 2 2 31" xfId="1927"/>
    <cellStyle name="Comma 2 2 32" xfId="1900"/>
    <cellStyle name="Comma 2 2 4" xfId="1928"/>
    <cellStyle name="Comma 2 2 5" xfId="1929"/>
    <cellStyle name="Comma 2 2 6" xfId="1930"/>
    <cellStyle name="Comma 2 2 7" xfId="1931"/>
    <cellStyle name="Comma 2 2 8" xfId="1932"/>
    <cellStyle name="Comma 2 2 9" xfId="1933"/>
    <cellStyle name="Comma 2 20" xfId="1934"/>
    <cellStyle name="Comma 2 21" xfId="1935"/>
    <cellStyle name="Comma 2 22" xfId="1936"/>
    <cellStyle name="Comma 2 23" xfId="1937"/>
    <cellStyle name="Comma 2 24" xfId="1938"/>
    <cellStyle name="Comma 2 25" xfId="1939"/>
    <cellStyle name="Comma 2 26" xfId="1940"/>
    <cellStyle name="Comma 2 27" xfId="1941"/>
    <cellStyle name="Comma 2 28" xfId="1942"/>
    <cellStyle name="Comma 2 29" xfId="1943"/>
    <cellStyle name="Comma 2 3" xfId="326"/>
    <cellStyle name="Comma 2 3 10" xfId="1944"/>
    <cellStyle name="Comma 2 3 11" xfId="1945"/>
    <cellStyle name="Comma 2 3 12" xfId="1946"/>
    <cellStyle name="Comma 2 3 13" xfId="380"/>
    <cellStyle name="Comma 2 3 2" xfId="572"/>
    <cellStyle name="Comma 2 3 2 2" xfId="1948"/>
    <cellStyle name="Comma 2 3 2 3" xfId="1949"/>
    <cellStyle name="Comma 2 3 2 4" xfId="1950"/>
    <cellStyle name="Comma 2 3 2 5" xfId="1947"/>
    <cellStyle name="Comma 2 3 3" xfId="453"/>
    <cellStyle name="Comma 2 3 3 2" xfId="597"/>
    <cellStyle name="Comma 2 3 4" xfId="1951"/>
    <cellStyle name="Comma 2 3 5" xfId="1952"/>
    <cellStyle name="Comma 2 3 6" xfId="1953"/>
    <cellStyle name="Comma 2 3 7" xfId="1954"/>
    <cellStyle name="Comma 2 3 8" xfId="1955"/>
    <cellStyle name="Comma 2 3 9" xfId="1956"/>
    <cellStyle name="Comma 2 30" xfId="1957"/>
    <cellStyle name="Comma 2 31" xfId="1958"/>
    <cellStyle name="Comma 2 32" xfId="1959"/>
    <cellStyle name="Comma 2 33" xfId="1960"/>
    <cellStyle name="Comma 2 34" xfId="1961"/>
    <cellStyle name="Comma 2 35" xfId="1962"/>
    <cellStyle name="Comma 2 36" xfId="1963"/>
    <cellStyle name="Comma 2 37" xfId="1964"/>
    <cellStyle name="Comma 2 38" xfId="1965"/>
    <cellStyle name="Comma 2 39" xfId="1966"/>
    <cellStyle name="Comma 2 4" xfId="483"/>
    <cellStyle name="Comma 2 4 2" xfId="1967"/>
    <cellStyle name="Comma 2 40" xfId="1968"/>
    <cellStyle name="Comma 2 41" xfId="1969"/>
    <cellStyle name="Comma 2 42" xfId="1970"/>
    <cellStyle name="Comma 2 43" xfId="1971"/>
    <cellStyle name="Comma 2 43 2" xfId="21159"/>
    <cellStyle name="Comma 2 44" xfId="1972"/>
    <cellStyle name="Comma 2 44 2" xfId="21160"/>
    <cellStyle name="Comma 2 45" xfId="1973"/>
    <cellStyle name="Comma 2 45 2" xfId="21161"/>
    <cellStyle name="Comma 2 46" xfId="1974"/>
    <cellStyle name="Comma 2 46 2" xfId="21162"/>
    <cellStyle name="Comma 2 47" xfId="1975"/>
    <cellStyle name="Comma 2 47 2" xfId="21163"/>
    <cellStyle name="Comma 2 48" xfId="1976"/>
    <cellStyle name="Comma 2 48 2" xfId="21164"/>
    <cellStyle name="Comma 2 49" xfId="1977"/>
    <cellStyle name="Comma 2 49 2" xfId="21165"/>
    <cellStyle name="Comma 2 5" xfId="1978"/>
    <cellStyle name="Comma 2 50" xfId="1979"/>
    <cellStyle name="Comma 2 50 2" xfId="21166"/>
    <cellStyle name="Comma 2 51" xfId="1980"/>
    <cellStyle name="Comma 2 51 2" xfId="21167"/>
    <cellStyle name="Comma 2 52" xfId="1981"/>
    <cellStyle name="Comma 2 52 2" xfId="21168"/>
    <cellStyle name="Comma 2 53" xfId="1982"/>
    <cellStyle name="Comma 2 53 2" xfId="21169"/>
    <cellStyle name="Comma 2 54" xfId="1983"/>
    <cellStyle name="Comma 2 54 2" xfId="21170"/>
    <cellStyle name="Comma 2 55" xfId="1984"/>
    <cellStyle name="Comma 2 55 2" xfId="21171"/>
    <cellStyle name="Comma 2 56" xfId="1889"/>
    <cellStyle name="Comma 2 56 2" xfId="37632"/>
    <cellStyle name="Comma 2 57" xfId="21158"/>
    <cellStyle name="Comma 2 6" xfId="1985"/>
    <cellStyle name="Comma 2 7" xfId="1986"/>
    <cellStyle name="Comma 2 8" xfId="1987"/>
    <cellStyle name="Comma 2 9" xfId="1988"/>
    <cellStyle name="Comma 20" xfId="1989"/>
    <cellStyle name="Comma 20 2" xfId="1990"/>
    <cellStyle name="Comma 21" xfId="1991"/>
    <cellStyle name="Comma 21 2" xfId="1992"/>
    <cellStyle name="Comma 22" xfId="1993"/>
    <cellStyle name="Comma 22 2" xfId="1994"/>
    <cellStyle name="Comma 23" xfId="1995"/>
    <cellStyle name="Comma 24" xfId="1996"/>
    <cellStyle name="Comma 25" xfId="1997"/>
    <cellStyle name="Comma 26" xfId="1998"/>
    <cellStyle name="Comma 27" xfId="1999"/>
    <cellStyle name="Comma 28" xfId="2000"/>
    <cellStyle name="Comma 29" xfId="2001"/>
    <cellStyle name="Comma 3" xfId="9"/>
    <cellStyle name="Comma 3 10" xfId="2002"/>
    <cellStyle name="Comma 3 11" xfId="2003"/>
    <cellStyle name="Comma 3 12" xfId="2004"/>
    <cellStyle name="Comma 3 13" xfId="2005"/>
    <cellStyle name="Comma 3 14" xfId="2006"/>
    <cellStyle name="Comma 3 15" xfId="2007"/>
    <cellStyle name="Comma 3 16" xfId="2008"/>
    <cellStyle name="Comma 3 17" xfId="2009"/>
    <cellStyle name="Comma 3 18" xfId="2010"/>
    <cellStyle name="Comma 3 19" xfId="2011"/>
    <cellStyle name="Comma 3 2" xfId="175"/>
    <cellStyle name="Comma 3 20" xfId="2012"/>
    <cellStyle name="Comma 3 21" xfId="2013"/>
    <cellStyle name="Comma 3 22" xfId="2014"/>
    <cellStyle name="Comma 3 23" xfId="2015"/>
    <cellStyle name="Comma 3 24" xfId="2016"/>
    <cellStyle name="Comma 3 25" xfId="2017"/>
    <cellStyle name="Comma 3 26" xfId="2018"/>
    <cellStyle name="Comma 3 27" xfId="2019"/>
    <cellStyle name="Comma 3 28" xfId="2020"/>
    <cellStyle name="Comma 3 29" xfId="2021"/>
    <cellStyle name="Comma 3 3" xfId="323"/>
    <cellStyle name="Comma 3 3 2" xfId="2022"/>
    <cellStyle name="Comma 3 30" xfId="2023"/>
    <cellStyle name="Comma 3 30 2" xfId="21173"/>
    <cellStyle name="Comma 3 31" xfId="2024"/>
    <cellStyle name="Comma 3 31 2" xfId="21174"/>
    <cellStyle name="Comma 3 32" xfId="2025"/>
    <cellStyle name="Comma 3 32 2" xfId="21175"/>
    <cellStyle name="Comma 3 33" xfId="2026"/>
    <cellStyle name="Comma 3 33 2" xfId="21176"/>
    <cellStyle name="Comma 3 34" xfId="2027"/>
    <cellStyle name="Comma 3 34 2" xfId="21177"/>
    <cellStyle name="Comma 3 35" xfId="2028"/>
    <cellStyle name="Comma 3 35 2" xfId="21178"/>
    <cellStyle name="Comma 3 36" xfId="2029"/>
    <cellStyle name="Comma 3 36 2" xfId="21179"/>
    <cellStyle name="Comma 3 37" xfId="2030"/>
    <cellStyle name="Comma 3 37 2" xfId="21180"/>
    <cellStyle name="Comma 3 38" xfId="2031"/>
    <cellStyle name="Comma 3 38 2" xfId="21181"/>
    <cellStyle name="Comma 3 39" xfId="2032"/>
    <cellStyle name="Comma 3 39 2" xfId="21182"/>
    <cellStyle name="Comma 3 4" xfId="2033"/>
    <cellStyle name="Comma 3 40" xfId="2034"/>
    <cellStyle name="Comma 3 40 2" xfId="21183"/>
    <cellStyle name="Comma 3 41" xfId="2035"/>
    <cellStyle name="Comma 3 41 2" xfId="21184"/>
    <cellStyle name="Comma 3 42" xfId="2036"/>
    <cellStyle name="Comma 3 42 2" xfId="21185"/>
    <cellStyle name="Comma 3 43" xfId="37633"/>
    <cellStyle name="Comma 3 44" xfId="21172"/>
    <cellStyle name="Comma 3 5" xfId="2037"/>
    <cellStyle name="Comma 3 6" xfId="2038"/>
    <cellStyle name="Comma 3 7" xfId="2039"/>
    <cellStyle name="Comma 3 8" xfId="2040"/>
    <cellStyle name="Comma 3 9" xfId="2041"/>
    <cellStyle name="Comma 30" xfId="2042"/>
    <cellStyle name="Comma 31" xfId="2043"/>
    <cellStyle name="Comma 31 2" xfId="2044"/>
    <cellStyle name="Comma 31 3" xfId="2045"/>
    <cellStyle name="Comma 31 4" xfId="2046"/>
    <cellStyle name="Comma 31 5" xfId="2047"/>
    <cellStyle name="Comma 31 6" xfId="2048"/>
    <cellStyle name="Comma 31 7" xfId="2049"/>
    <cellStyle name="Comma 32" xfId="2050"/>
    <cellStyle name="Comma 33" xfId="2051"/>
    <cellStyle name="Comma 34" xfId="2052"/>
    <cellStyle name="Comma 35" xfId="2053"/>
    <cellStyle name="Comma 36" xfId="2054"/>
    <cellStyle name="Comma 37" xfId="2055"/>
    <cellStyle name="Comma 38" xfId="2056"/>
    <cellStyle name="Comma 39" xfId="2057"/>
    <cellStyle name="Comma 39 2" xfId="2058"/>
    <cellStyle name="Comma 4" xfId="10"/>
    <cellStyle name="Comma 4 2" xfId="322"/>
    <cellStyle name="Comma 4 2 2" xfId="2059"/>
    <cellStyle name="Comma 4 3" xfId="309"/>
    <cellStyle name="Comma 4 4" xfId="2060"/>
    <cellStyle name="Comma 4 5" xfId="2061"/>
    <cellStyle name="Comma 4 6" xfId="21147"/>
    <cellStyle name="Comma 4 7" xfId="37601"/>
    <cellStyle name="Comma 40" xfId="2062"/>
    <cellStyle name="Comma 40 2" xfId="2063"/>
    <cellStyle name="Comma 41" xfId="2064"/>
    <cellStyle name="Comma 41 2" xfId="2065"/>
    <cellStyle name="Comma 42" xfId="2066"/>
    <cellStyle name="Comma 42 2" xfId="2067"/>
    <cellStyle name="Comma 43" xfId="2068"/>
    <cellStyle name="Comma 43 10" xfId="2069"/>
    <cellStyle name="Comma 43 2" xfId="2070"/>
    <cellStyle name="Comma 43 3" xfId="2071"/>
    <cellStyle name="Comma 43 4" xfId="2072"/>
    <cellStyle name="Comma 43 5" xfId="2073"/>
    <cellStyle name="Comma 43 6" xfId="2074"/>
    <cellStyle name="Comma 43 7" xfId="2075"/>
    <cellStyle name="Comma 43 8" xfId="2076"/>
    <cellStyle name="Comma 43 9" xfId="2077"/>
    <cellStyle name="Comma 44" xfId="2078"/>
    <cellStyle name="Comma 44 10" xfId="2079"/>
    <cellStyle name="Comma 44 2" xfId="2080"/>
    <cellStyle name="Comma 44 3" xfId="2081"/>
    <cellStyle name="Comma 44 4" xfId="2082"/>
    <cellStyle name="Comma 44 5" xfId="2083"/>
    <cellStyle name="Comma 44 6" xfId="2084"/>
    <cellStyle name="Comma 44 7" xfId="2085"/>
    <cellStyle name="Comma 44 8" xfId="2086"/>
    <cellStyle name="Comma 44 9" xfId="2087"/>
    <cellStyle name="Comma 45" xfId="2088"/>
    <cellStyle name="Comma 45 10" xfId="2089"/>
    <cellStyle name="Comma 45 2" xfId="2090"/>
    <cellStyle name="Comma 45 3" xfId="2091"/>
    <cellStyle name="Comma 45 4" xfId="2092"/>
    <cellStyle name="Comma 45 5" xfId="2093"/>
    <cellStyle name="Comma 45 6" xfId="2094"/>
    <cellStyle name="Comma 45 7" xfId="2095"/>
    <cellStyle name="Comma 45 8" xfId="2096"/>
    <cellStyle name="Comma 45 9" xfId="2097"/>
    <cellStyle name="Comma 46" xfId="2098"/>
    <cellStyle name="Comma 46 10" xfId="2099"/>
    <cellStyle name="Comma 46 2" xfId="2100"/>
    <cellStyle name="Comma 46 3" xfId="2101"/>
    <cellStyle name="Comma 46 4" xfId="2102"/>
    <cellStyle name="Comma 46 5" xfId="2103"/>
    <cellStyle name="Comma 46 6" xfId="2104"/>
    <cellStyle name="Comma 46 7" xfId="2105"/>
    <cellStyle name="Comma 46 8" xfId="2106"/>
    <cellStyle name="Comma 46 9" xfId="2107"/>
    <cellStyle name="Comma 47" xfId="2108"/>
    <cellStyle name="Comma 47 10" xfId="2109"/>
    <cellStyle name="Comma 47 2" xfId="2110"/>
    <cellStyle name="Comma 47 3" xfId="2111"/>
    <cellStyle name="Comma 47 4" xfId="2112"/>
    <cellStyle name="Comma 47 5" xfId="2113"/>
    <cellStyle name="Comma 47 6" xfId="2114"/>
    <cellStyle name="Comma 47 7" xfId="2115"/>
    <cellStyle name="Comma 47 8" xfId="2116"/>
    <cellStyle name="Comma 47 9" xfId="2117"/>
    <cellStyle name="Comma 48" xfId="2118"/>
    <cellStyle name="Comma 48 10" xfId="2119"/>
    <cellStyle name="Comma 48 2" xfId="2120"/>
    <cellStyle name="Comma 48 3" xfId="2121"/>
    <cellStyle name="Comma 48 4" xfId="2122"/>
    <cellStyle name="Comma 48 5" xfId="2123"/>
    <cellStyle name="Comma 48 6" xfId="2124"/>
    <cellStyle name="Comma 48 7" xfId="2125"/>
    <cellStyle name="Comma 48 8" xfId="2126"/>
    <cellStyle name="Comma 48 9" xfId="2127"/>
    <cellStyle name="Comma 49" xfId="671"/>
    <cellStyle name="Comma 49 2" xfId="2128"/>
    <cellStyle name="Comma 5" xfId="184"/>
    <cellStyle name="Comma 5 10" xfId="2130"/>
    <cellStyle name="Comma 5 10 2" xfId="2131"/>
    <cellStyle name="Comma 5 11" xfId="2132"/>
    <cellStyle name="Comma 5 11 2" xfId="2133"/>
    <cellStyle name="Comma 5 12" xfId="2134"/>
    <cellStyle name="Comma 5 12 2" xfId="2135"/>
    <cellStyle name="Comma 5 13" xfId="2136"/>
    <cellStyle name="Comma 5 13 2" xfId="2137"/>
    <cellStyle name="Comma 5 14" xfId="2138"/>
    <cellStyle name="Comma 5 14 2" xfId="2139"/>
    <cellStyle name="Comma 5 15" xfId="2140"/>
    <cellStyle name="Comma 5 15 2" xfId="2141"/>
    <cellStyle name="Comma 5 16" xfId="2142"/>
    <cellStyle name="Comma 5 16 2" xfId="2143"/>
    <cellStyle name="Comma 5 17" xfId="2144"/>
    <cellStyle name="Comma 5 17 2" xfId="2145"/>
    <cellStyle name="Comma 5 18" xfId="2146"/>
    <cellStyle name="Comma 5 19" xfId="2147"/>
    <cellStyle name="Comma 5 2" xfId="308"/>
    <cellStyle name="Comma 5 2 2" xfId="558"/>
    <cellStyle name="Comma 5 2 2 2" xfId="2149"/>
    <cellStyle name="Comma 5 2 3" xfId="2148"/>
    <cellStyle name="Comma 5 2 4" xfId="366"/>
    <cellStyle name="Comma 5 20" xfId="2150"/>
    <cellStyle name="Comma 5 21" xfId="2151"/>
    <cellStyle name="Comma 5 22" xfId="2152"/>
    <cellStyle name="Comma 5 23" xfId="2153"/>
    <cellStyle name="Comma 5 24" xfId="2129"/>
    <cellStyle name="Comma 5 3" xfId="469"/>
    <cellStyle name="Comma 5 3 2" xfId="2155"/>
    <cellStyle name="Comma 5 3 3" xfId="2154"/>
    <cellStyle name="Comma 5 4" xfId="2156"/>
    <cellStyle name="Comma 5 4 2" xfId="2157"/>
    <cellStyle name="Comma 5 5" xfId="2158"/>
    <cellStyle name="Comma 5 5 2" xfId="2159"/>
    <cellStyle name="Comma 5 6" xfId="2160"/>
    <cellStyle name="Comma 5 6 2" xfId="2161"/>
    <cellStyle name="Comma 5 7" xfId="2162"/>
    <cellStyle name="Comma 5 7 2" xfId="2163"/>
    <cellStyle name="Comma 5 8" xfId="2164"/>
    <cellStyle name="Comma 5 8 2" xfId="2165"/>
    <cellStyle name="Comma 5 9" xfId="2166"/>
    <cellStyle name="Comma 5 9 2" xfId="2167"/>
    <cellStyle name="Comma 50" xfId="21151"/>
    <cellStyle name="Comma 50 2" xfId="2168"/>
    <cellStyle name="Comma 51" xfId="21152"/>
    <cellStyle name="Comma 51 2" xfId="21154"/>
    <cellStyle name="Comma 52" xfId="2169"/>
    <cellStyle name="Comma 53" xfId="2170"/>
    <cellStyle name="Comma 59 2" xfId="2171"/>
    <cellStyle name="Comma 59 3" xfId="2172"/>
    <cellStyle name="Comma 6" xfId="313"/>
    <cellStyle name="Comma 6 10" xfId="2174"/>
    <cellStyle name="Comma 6 11" xfId="2175"/>
    <cellStyle name="Comma 6 12" xfId="2173"/>
    <cellStyle name="Comma 6 12 2" xfId="37634"/>
    <cellStyle name="Comma 6 13" xfId="330"/>
    <cellStyle name="Comma 6 2" xfId="464"/>
    <cellStyle name="Comma 6 2 2" xfId="2177"/>
    <cellStyle name="Comma 6 2 3" xfId="2176"/>
    <cellStyle name="Comma 6 3" xfId="2178"/>
    <cellStyle name="Comma 6 3 2" xfId="2179"/>
    <cellStyle name="Comma 6 4" xfId="2180"/>
    <cellStyle name="Comma 6 4 2" xfId="2181"/>
    <cellStyle name="Comma 6 5" xfId="2182"/>
    <cellStyle name="Comma 6 5 2" xfId="2183"/>
    <cellStyle name="Comma 6 6" xfId="2184"/>
    <cellStyle name="Comma 6 7" xfId="2185"/>
    <cellStyle name="Comma 6 8" xfId="2186"/>
    <cellStyle name="Comma 6 9" xfId="2187"/>
    <cellStyle name="Comma 60 2" xfId="2188"/>
    <cellStyle name="Comma 60 3" xfId="2189"/>
    <cellStyle name="Comma 7" xfId="319"/>
    <cellStyle name="Comma 7 10" xfId="2191"/>
    <cellStyle name="Comma 7 11" xfId="2192"/>
    <cellStyle name="Comma 7 12" xfId="2190"/>
    <cellStyle name="Comma 7 13" xfId="346"/>
    <cellStyle name="Comma 7 2" xfId="536"/>
    <cellStyle name="Comma 7 2 2" xfId="2194"/>
    <cellStyle name="Comma 7 2 3" xfId="2193"/>
    <cellStyle name="Comma 7 3" xfId="2195"/>
    <cellStyle name="Comma 7 3 2" xfId="2196"/>
    <cellStyle name="Comma 7 4" xfId="2197"/>
    <cellStyle name="Comma 7 4 2" xfId="2198"/>
    <cellStyle name="Comma 7 5" xfId="2199"/>
    <cellStyle name="Comma 7 5 2" xfId="2200"/>
    <cellStyle name="Comma 7 6" xfId="2201"/>
    <cellStyle name="Comma 7 7" xfId="2202"/>
    <cellStyle name="Comma 7 8" xfId="2203"/>
    <cellStyle name="Comma 7 9" xfId="2204"/>
    <cellStyle name="Comma 8" xfId="307"/>
    <cellStyle name="Comma 8 10" xfId="2206"/>
    <cellStyle name="Comma 8 11" xfId="2207"/>
    <cellStyle name="Comma 8 12" xfId="2205"/>
    <cellStyle name="Comma 8 13" xfId="349"/>
    <cellStyle name="Comma 8 2" xfId="539"/>
    <cellStyle name="Comma 8 2 2" xfId="2209"/>
    <cellStyle name="Comma 8 2 3" xfId="2208"/>
    <cellStyle name="Comma 8 3" xfId="2210"/>
    <cellStyle name="Comma 8 3 2" xfId="2211"/>
    <cellStyle name="Comma 8 4" xfId="2212"/>
    <cellStyle name="Comma 8 4 2" xfId="2213"/>
    <cellStyle name="Comma 8 5" xfId="2214"/>
    <cellStyle name="Comma 8 5 2" xfId="2215"/>
    <cellStyle name="Comma 8 6" xfId="2216"/>
    <cellStyle name="Comma 8 7" xfId="2217"/>
    <cellStyle name="Comma 8 8" xfId="2218"/>
    <cellStyle name="Comma 8 9" xfId="2219"/>
    <cellStyle name="Comma 9" xfId="312"/>
    <cellStyle name="Comma 9 2" xfId="589"/>
    <cellStyle name="Comma 9 2 2" xfId="2221"/>
    <cellStyle name="Comma 9 3" xfId="2222"/>
    <cellStyle name="Comma 9 4" xfId="2223"/>
    <cellStyle name="Comma 9 5" xfId="2224"/>
    <cellStyle name="Comma 9 6" xfId="2220"/>
    <cellStyle name="Comma 9 7" xfId="37635"/>
    <cellStyle name="Currency" xfId="37697" builtinId="4"/>
    <cellStyle name="Currency [0] 2" xfId="11"/>
    <cellStyle name="Currency [0] 2 2" xfId="207"/>
    <cellStyle name="Currency 10" xfId="12"/>
    <cellStyle name="Currency 11" xfId="199"/>
    <cellStyle name="Currency 11 2" xfId="384"/>
    <cellStyle name="Currency 11 2 2" xfId="576"/>
    <cellStyle name="Currency 11 2 3" xfId="2226"/>
    <cellStyle name="Currency 11 2 4" xfId="37637"/>
    <cellStyle name="Currency 11 3" xfId="491"/>
    <cellStyle name="Currency 11 3 2" xfId="2227"/>
    <cellStyle name="Currency 11 3 3" xfId="37638"/>
    <cellStyle name="Currency 11 4" xfId="2225"/>
    <cellStyle name="Currency 11 5" xfId="37636"/>
    <cellStyle name="Currency 12" xfId="201"/>
    <cellStyle name="Currency 12 2" xfId="386"/>
    <cellStyle name="Currency 12 2 2" xfId="578"/>
    <cellStyle name="Currency 12 2 3" xfId="2229"/>
    <cellStyle name="Currency 12 2 4" xfId="37640"/>
    <cellStyle name="Currency 12 3" xfId="505"/>
    <cellStyle name="Currency 12 3 2" xfId="2230"/>
    <cellStyle name="Currency 12 3 3" xfId="37641"/>
    <cellStyle name="Currency 12 4" xfId="2228"/>
    <cellStyle name="Currency 12 5" xfId="37639"/>
    <cellStyle name="Currency 13" xfId="182"/>
    <cellStyle name="Currency 13 2" xfId="292"/>
    <cellStyle name="Currency 14" xfId="289"/>
    <cellStyle name="Currency 15" xfId="293"/>
    <cellStyle name="Currency 16" xfId="295"/>
    <cellStyle name="Currency 17" xfId="296"/>
    <cellStyle name="Currency 18" xfId="297"/>
    <cellStyle name="Currency 19" xfId="298"/>
    <cellStyle name="Currency 2" xfId="13"/>
    <cellStyle name="Currency 2 10" xfId="2232"/>
    <cellStyle name="Currency 2 10 2" xfId="2233"/>
    <cellStyle name="Currency 2 10 2 2" xfId="2234"/>
    <cellStyle name="Currency 2 10 2 2 2" xfId="2235"/>
    <cellStyle name="Currency 2 10 2 2 3" xfId="2236"/>
    <cellStyle name="Currency 2 10 2 2 4" xfId="2237"/>
    <cellStyle name="Currency 2 10 2 3" xfId="2238"/>
    <cellStyle name="Currency 2 10 2 4" xfId="2239"/>
    <cellStyle name="Currency 2 10 2 5" xfId="2240"/>
    <cellStyle name="Currency 2 10 3" xfId="2241"/>
    <cellStyle name="Currency 2 10 3 2" xfId="2242"/>
    <cellStyle name="Currency 2 10 3 3" xfId="2243"/>
    <cellStyle name="Currency 2 10 3 4" xfId="2244"/>
    <cellStyle name="Currency 2 10 4" xfId="2245"/>
    <cellStyle name="Currency 2 10 5" xfId="2246"/>
    <cellStyle name="Currency 2 10 6" xfId="2247"/>
    <cellStyle name="Currency 2 11" xfId="2248"/>
    <cellStyle name="Currency 2 11 2" xfId="2249"/>
    <cellStyle name="Currency 2 11 2 2" xfId="2250"/>
    <cellStyle name="Currency 2 11 2 2 2" xfId="2251"/>
    <cellStyle name="Currency 2 11 2 2 3" xfId="2252"/>
    <cellStyle name="Currency 2 11 2 2 4" xfId="2253"/>
    <cellStyle name="Currency 2 11 2 3" xfId="2254"/>
    <cellStyle name="Currency 2 11 2 4" xfId="2255"/>
    <cellStyle name="Currency 2 11 2 5" xfId="2256"/>
    <cellStyle name="Currency 2 11 3" xfId="2257"/>
    <cellStyle name="Currency 2 11 3 2" xfId="2258"/>
    <cellStyle name="Currency 2 11 3 3" xfId="2259"/>
    <cellStyle name="Currency 2 11 3 4" xfId="2260"/>
    <cellStyle name="Currency 2 11 4" xfId="2261"/>
    <cellStyle name="Currency 2 11 5" xfId="2262"/>
    <cellStyle name="Currency 2 11 6" xfId="2263"/>
    <cellStyle name="Currency 2 12" xfId="2264"/>
    <cellStyle name="Currency 2 12 2" xfId="2265"/>
    <cellStyle name="Currency 2 12 2 2" xfId="2266"/>
    <cellStyle name="Currency 2 12 2 2 2" xfId="2267"/>
    <cellStyle name="Currency 2 12 2 2 3" xfId="2268"/>
    <cellStyle name="Currency 2 12 2 2 4" xfId="2269"/>
    <cellStyle name="Currency 2 12 2 3" xfId="2270"/>
    <cellStyle name="Currency 2 12 2 4" xfId="2271"/>
    <cellStyle name="Currency 2 12 2 5" xfId="2272"/>
    <cellStyle name="Currency 2 12 3" xfId="2273"/>
    <cellStyle name="Currency 2 12 3 2" xfId="2274"/>
    <cellStyle name="Currency 2 12 3 3" xfId="2275"/>
    <cellStyle name="Currency 2 12 3 4" xfId="2276"/>
    <cellStyle name="Currency 2 12 4" xfId="2277"/>
    <cellStyle name="Currency 2 12 5" xfId="2278"/>
    <cellStyle name="Currency 2 12 6" xfId="2279"/>
    <cellStyle name="Currency 2 13" xfId="2280"/>
    <cellStyle name="Currency 2 14" xfId="2281"/>
    <cellStyle name="Currency 2 15" xfId="2282"/>
    <cellStyle name="Currency 2 16" xfId="2283"/>
    <cellStyle name="Currency 2 17" xfId="2284"/>
    <cellStyle name="Currency 2 18" xfId="2285"/>
    <cellStyle name="Currency 2 19" xfId="2286"/>
    <cellStyle name="Currency 2 2" xfId="14"/>
    <cellStyle name="Currency 2 2 10" xfId="2287"/>
    <cellStyle name="Currency 2 2 11" xfId="2288"/>
    <cellStyle name="Currency 2 2 12" xfId="2289"/>
    <cellStyle name="Currency 2 2 13" xfId="2290"/>
    <cellStyle name="Currency 2 2 14" xfId="2291"/>
    <cellStyle name="Currency 2 2 15" xfId="2292"/>
    <cellStyle name="Currency 2 2 16" xfId="2293"/>
    <cellStyle name="Currency 2 2 17" xfId="2294"/>
    <cellStyle name="Currency 2 2 18" xfId="2295"/>
    <cellStyle name="Currency 2 2 19" xfId="2296"/>
    <cellStyle name="Currency 2 2 2" xfId="206"/>
    <cellStyle name="Currency 2 2 2 2" xfId="2298"/>
    <cellStyle name="Currency 2 2 2 3" xfId="2299"/>
    <cellStyle name="Currency 2 2 2 4" xfId="2300"/>
    <cellStyle name="Currency 2 2 2 5" xfId="2297"/>
    <cellStyle name="Currency 2 2 20" xfId="2301"/>
    <cellStyle name="Currency 2 2 21" xfId="2302"/>
    <cellStyle name="Currency 2 2 22" xfId="2303"/>
    <cellStyle name="Currency 2 2 23" xfId="2304"/>
    <cellStyle name="Currency 2 2 24" xfId="2305"/>
    <cellStyle name="Currency 2 2 25" xfId="2306"/>
    <cellStyle name="Currency 2 2 26" xfId="2307"/>
    <cellStyle name="Currency 2 2 27" xfId="2308"/>
    <cellStyle name="Currency 2 2 28" xfId="2309"/>
    <cellStyle name="Currency 2 2 29" xfId="2310"/>
    <cellStyle name="Currency 2 2 3" xfId="2311"/>
    <cellStyle name="Currency 2 2 30" xfId="2312"/>
    <cellStyle name="Currency 2 2 31" xfId="2313"/>
    <cellStyle name="Currency 2 2 4" xfId="2314"/>
    <cellStyle name="Currency 2 2 5" xfId="2315"/>
    <cellStyle name="Currency 2 2 6" xfId="2316"/>
    <cellStyle name="Currency 2 2 7" xfId="2317"/>
    <cellStyle name="Currency 2 2 8" xfId="2318"/>
    <cellStyle name="Currency 2 2 9" xfId="2319"/>
    <cellStyle name="Currency 2 20" xfId="2320"/>
    <cellStyle name="Currency 2 21" xfId="2321"/>
    <cellStyle name="Currency 2 22" xfId="2322"/>
    <cellStyle name="Currency 2 23" xfId="2323"/>
    <cellStyle name="Currency 2 24" xfId="2324"/>
    <cellStyle name="Currency 2 25" xfId="2325"/>
    <cellStyle name="Currency 2 26" xfId="2326"/>
    <cellStyle name="Currency 2 27" xfId="2327"/>
    <cellStyle name="Currency 2 28" xfId="2328"/>
    <cellStyle name="Currency 2 29" xfId="2329"/>
    <cellStyle name="Currency 2 3" xfId="284"/>
    <cellStyle name="Currency 2 3 10" xfId="2331"/>
    <cellStyle name="Currency 2 3 11" xfId="2332"/>
    <cellStyle name="Currency 2 3 12" xfId="2333"/>
    <cellStyle name="Currency 2 3 13" xfId="2334"/>
    <cellStyle name="Currency 2 3 14" xfId="2335"/>
    <cellStyle name="Currency 2 3 15" xfId="2336"/>
    <cellStyle name="Currency 2 3 16" xfId="2337"/>
    <cellStyle name="Currency 2 3 17" xfId="2338"/>
    <cellStyle name="Currency 2 3 18" xfId="2339"/>
    <cellStyle name="Currency 2 3 19" xfId="2340"/>
    <cellStyle name="Currency 2 3 2" xfId="2341"/>
    <cellStyle name="Currency 2 3 2 2" xfId="2342"/>
    <cellStyle name="Currency 2 3 2 3" xfId="2343"/>
    <cellStyle name="Currency 2 3 2 4" xfId="2344"/>
    <cellStyle name="Currency 2 3 20" xfId="2345"/>
    <cellStyle name="Currency 2 3 21" xfId="2346"/>
    <cellStyle name="Currency 2 3 22" xfId="2347"/>
    <cellStyle name="Currency 2 3 23" xfId="2348"/>
    <cellStyle name="Currency 2 3 24" xfId="2349"/>
    <cellStyle name="Currency 2 3 25" xfId="2350"/>
    <cellStyle name="Currency 2 3 26" xfId="2351"/>
    <cellStyle name="Currency 2 3 27" xfId="2352"/>
    <cellStyle name="Currency 2 3 28" xfId="2353"/>
    <cellStyle name="Currency 2 3 29" xfId="2354"/>
    <cellStyle name="Currency 2 3 3" xfId="2355"/>
    <cellStyle name="Currency 2 3 30" xfId="2356"/>
    <cellStyle name="Currency 2 3 31" xfId="2357"/>
    <cellStyle name="Currency 2 3 32" xfId="2330"/>
    <cellStyle name="Currency 2 3 4" xfId="2358"/>
    <cellStyle name="Currency 2 3 5" xfId="2359"/>
    <cellStyle name="Currency 2 3 6" xfId="2360"/>
    <cellStyle name="Currency 2 3 7" xfId="2361"/>
    <cellStyle name="Currency 2 3 8" xfId="2362"/>
    <cellStyle name="Currency 2 3 9" xfId="2363"/>
    <cellStyle name="Currency 2 30" xfId="2364"/>
    <cellStyle name="Currency 2 31" xfId="2365"/>
    <cellStyle name="Currency 2 32" xfId="2366"/>
    <cellStyle name="Currency 2 33" xfId="2367"/>
    <cellStyle name="Currency 2 34" xfId="2368"/>
    <cellStyle name="Currency 2 35" xfId="2369"/>
    <cellStyle name="Currency 2 36" xfId="2370"/>
    <cellStyle name="Currency 2 37" xfId="21148"/>
    <cellStyle name="Currency 2 37 2" xfId="37606"/>
    <cellStyle name="Currency 2 38" xfId="2231"/>
    <cellStyle name="Currency 2 4" xfId="381"/>
    <cellStyle name="Currency 2 4 2" xfId="573"/>
    <cellStyle name="Currency 2 4 3" xfId="2371"/>
    <cellStyle name="Currency 2 5" xfId="484"/>
    <cellStyle name="Currency 2 5 2" xfId="2372"/>
    <cellStyle name="Currency 2 6" xfId="2373"/>
    <cellStyle name="Currency 2 7" xfId="2374"/>
    <cellStyle name="Currency 2 8" xfId="2375"/>
    <cellStyle name="Currency 2 9" xfId="2376"/>
    <cellStyle name="Currency 20" xfId="299"/>
    <cellStyle name="Currency 21" xfId="300"/>
    <cellStyle name="Currency 22" xfId="301"/>
    <cellStyle name="Currency 23" xfId="321"/>
    <cellStyle name="Currency 23 2" xfId="537"/>
    <cellStyle name="Currency 23 2 2" xfId="2378"/>
    <cellStyle name="Currency 23 3" xfId="2377"/>
    <cellStyle name="Currency 23 4" xfId="347"/>
    <cellStyle name="Currency 24" xfId="352"/>
    <cellStyle name="Currency 24 2" xfId="542"/>
    <cellStyle name="Currency 24 3" xfId="2379"/>
    <cellStyle name="Currency 25" xfId="432"/>
    <cellStyle name="Currency 25 2" xfId="590"/>
    <cellStyle name="Currency 25 3" xfId="2380"/>
    <cellStyle name="Currency 26" xfId="437"/>
    <cellStyle name="Currency 26 2" xfId="595"/>
    <cellStyle name="Currency 26 3" xfId="2381"/>
    <cellStyle name="Currency 27" xfId="662"/>
    <cellStyle name="Currency 27 2" xfId="2382"/>
    <cellStyle name="Currency 28" xfId="668"/>
    <cellStyle name="Currency 28 2" xfId="2383"/>
    <cellStyle name="Currency 29" xfId="2384"/>
    <cellStyle name="Currency 29 2" xfId="37642"/>
    <cellStyle name="Currency 3" xfId="15"/>
    <cellStyle name="Currency 3 10" xfId="2385"/>
    <cellStyle name="Currency 3 11" xfId="2386"/>
    <cellStyle name="Currency 3 12" xfId="2387"/>
    <cellStyle name="Currency 3 13" xfId="2388"/>
    <cellStyle name="Currency 3 14" xfId="2389"/>
    <cellStyle name="Currency 3 15" xfId="2390"/>
    <cellStyle name="Currency 3 16" xfId="2391"/>
    <cellStyle name="Currency 3 17" xfId="2392"/>
    <cellStyle name="Currency 3 18" xfId="2393"/>
    <cellStyle name="Currency 3 19" xfId="2394"/>
    <cellStyle name="Currency 3 2" xfId="283"/>
    <cellStyle name="Currency 3 2 2" xfId="2395"/>
    <cellStyle name="Currency 3 2 3" xfId="2396"/>
    <cellStyle name="Currency 3 2 4" xfId="2397"/>
    <cellStyle name="Currency 3 3" xfId="317"/>
    <cellStyle name="Currency 3 3 2" xfId="2398"/>
    <cellStyle name="Currency 3 4" xfId="2399"/>
    <cellStyle name="Currency 3 5" xfId="2400"/>
    <cellStyle name="Currency 3 6" xfId="2401"/>
    <cellStyle name="Currency 3 7" xfId="2402"/>
    <cellStyle name="Currency 3 8" xfId="2403"/>
    <cellStyle name="Currency 3 9" xfId="2404"/>
    <cellStyle name="Currency 30" xfId="2405"/>
    <cellStyle name="Currency 30 2" xfId="37643"/>
    <cellStyle name="Currency 31" xfId="2406"/>
    <cellStyle name="Currency 31 2" xfId="37644"/>
    <cellStyle name="Currency 32" xfId="2407"/>
    <cellStyle name="Currency 32 2" xfId="37645"/>
    <cellStyle name="Currency 33" xfId="2408"/>
    <cellStyle name="Currency 33 2" xfId="37646"/>
    <cellStyle name="Currency 34" xfId="2409"/>
    <cellStyle name="Currency 34 2" xfId="37647"/>
    <cellStyle name="Currency 35" xfId="2410"/>
    <cellStyle name="Currency 35 2" xfId="37648"/>
    <cellStyle name="Currency 36" xfId="2411"/>
    <cellStyle name="Currency 36 2" xfId="37649"/>
    <cellStyle name="Currency 37" xfId="672"/>
    <cellStyle name="Currency 38" xfId="20741"/>
    <cellStyle name="Currency 39" xfId="37604"/>
    <cellStyle name="Currency 4" xfId="16"/>
    <cellStyle name="Currency 4 2" xfId="208"/>
    <cellStyle name="Currency 4 2 2" xfId="176"/>
    <cellStyle name="Currency 4 3" xfId="285"/>
    <cellStyle name="Currency 4 4" xfId="37650"/>
    <cellStyle name="Currency 40" xfId="37695"/>
    <cellStyle name="Currency 41" xfId="37696"/>
    <cellStyle name="Currency 42" xfId="37694"/>
    <cellStyle name="Currency 43" xfId="37596"/>
    <cellStyle name="Currency 44" xfId="37693"/>
    <cellStyle name="Currency 45" xfId="37595"/>
    <cellStyle name="Currency 46" xfId="37692"/>
    <cellStyle name="Currency 47" xfId="37600"/>
    <cellStyle name="Currency 48" xfId="37691"/>
    <cellStyle name="Currency 5" xfId="17"/>
    <cellStyle name="Currency 5 10" xfId="2412"/>
    <cellStyle name="Currency 5 11" xfId="37651"/>
    <cellStyle name="Currency 5 2" xfId="209"/>
    <cellStyle name="Currency 5 2 2" xfId="2414"/>
    <cellStyle name="Currency 5 2 3" xfId="2415"/>
    <cellStyle name="Currency 5 2 4" xfId="2416"/>
    <cellStyle name="Currency 5 2 5" xfId="2413"/>
    <cellStyle name="Currency 5 3" xfId="2417"/>
    <cellStyle name="Currency 5 4" xfId="2418"/>
    <cellStyle name="Currency 5 5" xfId="2419"/>
    <cellStyle name="Currency 5 6" xfId="2420"/>
    <cellStyle name="Currency 5 7" xfId="2421"/>
    <cellStyle name="Currency 5 8" xfId="2422"/>
    <cellStyle name="Currency 5 9" xfId="2423"/>
    <cellStyle name="Currency 6" xfId="18"/>
    <cellStyle name="Currency 6 2" xfId="210"/>
    <cellStyle name="Currency 7" xfId="19"/>
    <cellStyle name="Currency 7 2" xfId="211"/>
    <cellStyle name="Currency 8" xfId="20"/>
    <cellStyle name="Currency 8 2" xfId="316"/>
    <cellStyle name="Currency 9" xfId="21"/>
    <cellStyle name="Currency 9 2" xfId="314"/>
    <cellStyle name="Data Field" xfId="22"/>
    <cellStyle name="Data Field 2" xfId="212"/>
    <cellStyle name="Data Name" xfId="23"/>
    <cellStyle name="Data Name 2" xfId="213"/>
    <cellStyle name="Explanatory Text" xfId="149" builtinId="53" customBuiltin="1"/>
    <cellStyle name="Explanatory Text 10 2" xfId="2424"/>
    <cellStyle name="Explanatory Text 10 3" xfId="2425"/>
    <cellStyle name="Explanatory Text 11 2" xfId="2426"/>
    <cellStyle name="Explanatory Text 11 3" xfId="2427"/>
    <cellStyle name="Explanatory Text 12 2" xfId="2428"/>
    <cellStyle name="Explanatory Text 12 3" xfId="2429"/>
    <cellStyle name="Explanatory Text 13 2" xfId="2430"/>
    <cellStyle name="Explanatory Text 13 3" xfId="2431"/>
    <cellStyle name="Explanatory Text 14 2" xfId="2432"/>
    <cellStyle name="Explanatory Text 14 3" xfId="2433"/>
    <cellStyle name="Explanatory Text 15" xfId="2434"/>
    <cellStyle name="Explanatory Text 15 2" xfId="2435"/>
    <cellStyle name="Explanatory Text 15 3" xfId="2436"/>
    <cellStyle name="Explanatory Text 15 4" xfId="2437"/>
    <cellStyle name="Explanatory Text 15 5" xfId="2438"/>
    <cellStyle name="Explanatory Text 15 6" xfId="2439"/>
    <cellStyle name="Explanatory Text 15 7" xfId="2440"/>
    <cellStyle name="Explanatory Text 16" xfId="2441"/>
    <cellStyle name="Explanatory Text 17" xfId="2442"/>
    <cellStyle name="Explanatory Text 18" xfId="2443"/>
    <cellStyle name="Explanatory Text 19" xfId="2444"/>
    <cellStyle name="Explanatory Text 2" xfId="404"/>
    <cellStyle name="Explanatory Text 2 2" xfId="603"/>
    <cellStyle name="Explanatory Text 2 2 2" xfId="2445"/>
    <cellStyle name="Explanatory Text 2 3" xfId="2446"/>
    <cellStyle name="Explanatory Text 20" xfId="2447"/>
    <cellStyle name="Explanatory Text 21" xfId="2448"/>
    <cellStyle name="Explanatory Text 22" xfId="2449"/>
    <cellStyle name="Explanatory Text 3" xfId="645"/>
    <cellStyle name="Explanatory Text 3 2" xfId="2450"/>
    <cellStyle name="Explanatory Text 3 3" xfId="2451"/>
    <cellStyle name="Explanatory Text 4 2" xfId="2452"/>
    <cellStyle name="Explanatory Text 4 3" xfId="2453"/>
    <cellStyle name="Explanatory Text 5 2" xfId="2454"/>
    <cellStyle name="Explanatory Text 5 3" xfId="2455"/>
    <cellStyle name="Explanatory Text 6 2" xfId="2456"/>
    <cellStyle name="Explanatory Text 6 3" xfId="2457"/>
    <cellStyle name="Explanatory Text 7 2" xfId="2458"/>
    <cellStyle name="Explanatory Text 7 3" xfId="2459"/>
    <cellStyle name="Explanatory Text 8 2" xfId="2460"/>
    <cellStyle name="Explanatory Text 8 3" xfId="2461"/>
    <cellStyle name="Explanatory Text 9 2" xfId="2462"/>
    <cellStyle name="Explanatory Text 9 3" xfId="2463"/>
    <cellStyle name="Followed Hyperlink" xfId="291" builtinId="9" customBuiltin="1"/>
    <cellStyle name="Followed Hyperlink 2" xfId="646"/>
    <cellStyle name="Good" xfId="142" builtinId="26" customBuiltin="1"/>
    <cellStyle name="Good 10 2" xfId="2464"/>
    <cellStyle name="Good 10 3" xfId="2465"/>
    <cellStyle name="Good 11 2" xfId="2466"/>
    <cellStyle name="Good 11 3" xfId="2467"/>
    <cellStyle name="Good 12 2" xfId="2468"/>
    <cellStyle name="Good 12 3" xfId="2469"/>
    <cellStyle name="Good 13 2" xfId="2470"/>
    <cellStyle name="Good 13 3" xfId="2471"/>
    <cellStyle name="Good 14 2" xfId="2472"/>
    <cellStyle name="Good 14 3" xfId="2473"/>
    <cellStyle name="Good 15" xfId="2474"/>
    <cellStyle name="Good 15 2" xfId="2475"/>
    <cellStyle name="Good 15 3" xfId="2476"/>
    <cellStyle name="Good 15 4" xfId="2477"/>
    <cellStyle name="Good 15 5" xfId="2478"/>
    <cellStyle name="Good 15 6" xfId="2479"/>
    <cellStyle name="Good 15 7" xfId="2480"/>
    <cellStyle name="Good 16" xfId="2481"/>
    <cellStyle name="Good 17" xfId="2482"/>
    <cellStyle name="Good 18" xfId="2483"/>
    <cellStyle name="Good 19" xfId="2484"/>
    <cellStyle name="Good 2" xfId="394"/>
    <cellStyle name="Good 2 2" xfId="517"/>
    <cellStyle name="Good 2 2 2" xfId="2485"/>
    <cellStyle name="Good 2 3" xfId="2486"/>
    <cellStyle name="Good 20" xfId="2487"/>
    <cellStyle name="Good 21" xfId="2488"/>
    <cellStyle name="Good 22" xfId="2489"/>
    <cellStyle name="Good 3" xfId="647"/>
    <cellStyle name="Good 3 2" xfId="2490"/>
    <cellStyle name="Good 3 3" xfId="2491"/>
    <cellStyle name="Good 4 2" xfId="2492"/>
    <cellStyle name="Good 4 3" xfId="2493"/>
    <cellStyle name="Good 5 2" xfId="2494"/>
    <cellStyle name="Good 5 3" xfId="2495"/>
    <cellStyle name="Good 6 2" xfId="2496"/>
    <cellStyle name="Good 6 3" xfId="2497"/>
    <cellStyle name="Good 7 2" xfId="2498"/>
    <cellStyle name="Good 7 3" xfId="2499"/>
    <cellStyle name="Good 8 2" xfId="2500"/>
    <cellStyle name="Good 8 3" xfId="2501"/>
    <cellStyle name="Good 9 2" xfId="2502"/>
    <cellStyle name="Good 9 3" xfId="2503"/>
    <cellStyle name="Heading 1" xfId="138" builtinId="16" customBuiltin="1"/>
    <cellStyle name="Heading 1 10 2" xfId="2504"/>
    <cellStyle name="Heading 1 10 3" xfId="2505"/>
    <cellStyle name="Heading 1 11 2" xfId="2506"/>
    <cellStyle name="Heading 1 11 3" xfId="2507"/>
    <cellStyle name="Heading 1 12 2" xfId="2508"/>
    <cellStyle name="Heading 1 12 3" xfId="2509"/>
    <cellStyle name="Heading 1 13 2" xfId="2510"/>
    <cellStyle name="Heading 1 13 3" xfId="2511"/>
    <cellStyle name="Heading 1 14 2" xfId="2512"/>
    <cellStyle name="Heading 1 14 3" xfId="2513"/>
    <cellStyle name="Heading 1 15" xfId="2514"/>
    <cellStyle name="Heading 1 15 2" xfId="2515"/>
    <cellStyle name="Heading 1 15 3" xfId="2516"/>
    <cellStyle name="Heading 1 15 4" xfId="2517"/>
    <cellStyle name="Heading 1 15 5" xfId="2518"/>
    <cellStyle name="Heading 1 15 6" xfId="2519"/>
    <cellStyle name="Heading 1 15 7" xfId="2520"/>
    <cellStyle name="Heading 1 16" xfId="2521"/>
    <cellStyle name="Heading 1 17" xfId="2522"/>
    <cellStyle name="Heading 1 18" xfId="2523"/>
    <cellStyle name="Heading 1 19" xfId="2524"/>
    <cellStyle name="Heading 1 2" xfId="390"/>
    <cellStyle name="Heading 1 2 2" xfId="494"/>
    <cellStyle name="Heading 1 2 2 2" xfId="2525"/>
    <cellStyle name="Heading 1 2 3" xfId="2526"/>
    <cellStyle name="Heading 1 20" xfId="2527"/>
    <cellStyle name="Heading 1 21" xfId="2528"/>
    <cellStyle name="Heading 1 22" xfId="2529"/>
    <cellStyle name="Heading 1 3" xfId="648"/>
    <cellStyle name="Heading 1 3 2" xfId="2530"/>
    <cellStyle name="Heading 1 3 3" xfId="2531"/>
    <cellStyle name="Heading 1 4 2" xfId="2532"/>
    <cellStyle name="Heading 1 4 3" xfId="2533"/>
    <cellStyle name="Heading 1 5 2" xfId="2534"/>
    <cellStyle name="Heading 1 5 3" xfId="2535"/>
    <cellStyle name="Heading 1 6 2" xfId="2536"/>
    <cellStyle name="Heading 1 6 3" xfId="2537"/>
    <cellStyle name="Heading 1 7 2" xfId="2538"/>
    <cellStyle name="Heading 1 7 3" xfId="2539"/>
    <cellStyle name="Heading 1 8 2" xfId="2540"/>
    <cellStyle name="Heading 1 8 3" xfId="2541"/>
    <cellStyle name="Heading 1 9 2" xfId="2542"/>
    <cellStyle name="Heading 1 9 3" xfId="2543"/>
    <cellStyle name="Heading 2" xfId="139" builtinId="17" customBuiltin="1"/>
    <cellStyle name="Heading 2 10 2" xfId="2544"/>
    <cellStyle name="Heading 2 10 3" xfId="2545"/>
    <cellStyle name="Heading 2 11 2" xfId="2546"/>
    <cellStyle name="Heading 2 11 3" xfId="2547"/>
    <cellStyle name="Heading 2 12 2" xfId="2548"/>
    <cellStyle name="Heading 2 12 3" xfId="2549"/>
    <cellStyle name="Heading 2 13 2" xfId="2550"/>
    <cellStyle name="Heading 2 13 3" xfId="2551"/>
    <cellStyle name="Heading 2 14 2" xfId="2552"/>
    <cellStyle name="Heading 2 14 3" xfId="2553"/>
    <cellStyle name="Heading 2 15" xfId="2554"/>
    <cellStyle name="Heading 2 15 2" xfId="2555"/>
    <cellStyle name="Heading 2 15 3" xfId="2556"/>
    <cellStyle name="Heading 2 15 4" xfId="2557"/>
    <cellStyle name="Heading 2 15 5" xfId="2558"/>
    <cellStyle name="Heading 2 15 6" xfId="2559"/>
    <cellStyle name="Heading 2 15 7" xfId="2560"/>
    <cellStyle name="Heading 2 16" xfId="2561"/>
    <cellStyle name="Heading 2 17" xfId="2562"/>
    <cellStyle name="Heading 2 18" xfId="2563"/>
    <cellStyle name="Heading 2 19" xfId="2564"/>
    <cellStyle name="Heading 2 2" xfId="391"/>
    <cellStyle name="Heading 2 2 10" xfId="2565"/>
    <cellStyle name="Heading 2 2 2" xfId="497"/>
    <cellStyle name="Heading 2 2 2 2" xfId="2566"/>
    <cellStyle name="Heading 2 2 3" xfId="2567"/>
    <cellStyle name="Heading 2 2 4" xfId="2568"/>
    <cellStyle name="Heading 2 2 5" xfId="2569"/>
    <cellStyle name="Heading 2 2 6" xfId="2570"/>
    <cellStyle name="Heading 2 2 7" xfId="2571"/>
    <cellStyle name="Heading 2 2 8" xfId="2572"/>
    <cellStyle name="Heading 2 2 9" xfId="2573"/>
    <cellStyle name="Heading 2 20" xfId="2574"/>
    <cellStyle name="Heading 2 21" xfId="2575"/>
    <cellStyle name="Heading 2 22" xfId="2576"/>
    <cellStyle name="Heading 2 3" xfId="649"/>
    <cellStyle name="Heading 2 3 2" xfId="2577"/>
    <cellStyle name="Heading 2 3 3" xfId="2578"/>
    <cellStyle name="Heading 2 4 2" xfId="2579"/>
    <cellStyle name="Heading 2 4 3" xfId="2580"/>
    <cellStyle name="Heading 2 5 2" xfId="2581"/>
    <cellStyle name="Heading 2 5 3" xfId="2582"/>
    <cellStyle name="Heading 2 6 2" xfId="2583"/>
    <cellStyle name="Heading 2 6 3" xfId="2584"/>
    <cellStyle name="Heading 2 7 2" xfId="2585"/>
    <cellStyle name="Heading 2 7 3" xfId="2586"/>
    <cellStyle name="Heading 2 8 2" xfId="2587"/>
    <cellStyle name="Heading 2 8 3" xfId="2588"/>
    <cellStyle name="Heading 2 9 2" xfId="2589"/>
    <cellStyle name="Heading 2 9 3" xfId="2590"/>
    <cellStyle name="Heading 3" xfId="140" builtinId="18" customBuiltin="1"/>
    <cellStyle name="Heading 3 10 2" xfId="2591"/>
    <cellStyle name="Heading 3 10 3" xfId="2592"/>
    <cellStyle name="Heading 3 11 2" xfId="2593"/>
    <cellStyle name="Heading 3 11 3" xfId="2594"/>
    <cellStyle name="Heading 3 12 2" xfId="2595"/>
    <cellStyle name="Heading 3 12 3" xfId="2596"/>
    <cellStyle name="Heading 3 13 2" xfId="2597"/>
    <cellStyle name="Heading 3 13 3" xfId="2598"/>
    <cellStyle name="Heading 3 14 2" xfId="2599"/>
    <cellStyle name="Heading 3 14 3" xfId="2600"/>
    <cellStyle name="Heading 3 15" xfId="2601"/>
    <cellStyle name="Heading 3 15 2" xfId="2602"/>
    <cellStyle name="Heading 3 15 3" xfId="2603"/>
    <cellStyle name="Heading 3 15 4" xfId="2604"/>
    <cellStyle name="Heading 3 15 5" xfId="2605"/>
    <cellStyle name="Heading 3 15 6" xfId="2606"/>
    <cellStyle name="Heading 3 15 7" xfId="2607"/>
    <cellStyle name="Heading 3 16" xfId="2608"/>
    <cellStyle name="Heading 3 17" xfId="2609"/>
    <cellStyle name="Heading 3 18" xfId="2610"/>
    <cellStyle name="Heading 3 19" xfId="2611"/>
    <cellStyle name="Heading 3 2" xfId="392"/>
    <cellStyle name="Heading 3 2 2" xfId="448"/>
    <cellStyle name="Heading 3 2 2 2" xfId="2612"/>
    <cellStyle name="Heading 3 2 3" xfId="2613"/>
    <cellStyle name="Heading 3 20" xfId="2614"/>
    <cellStyle name="Heading 3 21" xfId="2615"/>
    <cellStyle name="Heading 3 22" xfId="2616"/>
    <cellStyle name="Heading 3 3" xfId="650"/>
    <cellStyle name="Heading 3 3 2" xfId="2617"/>
    <cellStyle name="Heading 3 3 3" xfId="2618"/>
    <cellStyle name="Heading 3 4 2" xfId="2619"/>
    <cellStyle name="Heading 3 4 3" xfId="2620"/>
    <cellStyle name="Heading 3 5 2" xfId="2621"/>
    <cellStyle name="Heading 3 5 3" xfId="2622"/>
    <cellStyle name="Heading 3 6 2" xfId="2623"/>
    <cellStyle name="Heading 3 6 3" xfId="2624"/>
    <cellStyle name="Heading 3 7 2" xfId="2625"/>
    <cellStyle name="Heading 3 7 3" xfId="2626"/>
    <cellStyle name="Heading 3 8 2" xfId="2627"/>
    <cellStyle name="Heading 3 8 3" xfId="2628"/>
    <cellStyle name="Heading 3 9 2" xfId="2629"/>
    <cellStyle name="Heading 3 9 3" xfId="2630"/>
    <cellStyle name="Heading 4" xfId="141" builtinId="19" customBuiltin="1"/>
    <cellStyle name="Heading 4 10 2" xfId="2631"/>
    <cellStyle name="Heading 4 10 3" xfId="2632"/>
    <cellStyle name="Heading 4 11 2" xfId="2633"/>
    <cellStyle name="Heading 4 11 3" xfId="2634"/>
    <cellStyle name="Heading 4 12 2" xfId="2635"/>
    <cellStyle name="Heading 4 12 3" xfId="2636"/>
    <cellStyle name="Heading 4 13 2" xfId="2637"/>
    <cellStyle name="Heading 4 13 3" xfId="2638"/>
    <cellStyle name="Heading 4 14 2" xfId="2639"/>
    <cellStyle name="Heading 4 14 3" xfId="2640"/>
    <cellStyle name="Heading 4 15" xfId="2641"/>
    <cellStyle name="Heading 4 15 2" xfId="2642"/>
    <cellStyle name="Heading 4 15 3" xfId="2643"/>
    <cellStyle name="Heading 4 15 4" xfId="2644"/>
    <cellStyle name="Heading 4 15 5" xfId="2645"/>
    <cellStyle name="Heading 4 15 6" xfId="2646"/>
    <cellStyle name="Heading 4 15 7" xfId="2647"/>
    <cellStyle name="Heading 4 16" xfId="2648"/>
    <cellStyle name="Heading 4 17" xfId="2649"/>
    <cellStyle name="Heading 4 18" xfId="2650"/>
    <cellStyle name="Heading 4 19" xfId="2651"/>
    <cellStyle name="Heading 4 2" xfId="393"/>
    <cellStyle name="Heading 4 2 2" xfId="604"/>
    <cellStyle name="Heading 4 2 2 2" xfId="2652"/>
    <cellStyle name="Heading 4 2 3" xfId="2653"/>
    <cellStyle name="Heading 4 20" xfId="2654"/>
    <cellStyle name="Heading 4 21" xfId="2655"/>
    <cellStyle name="Heading 4 22" xfId="2656"/>
    <cellStyle name="Heading 4 3" xfId="651"/>
    <cellStyle name="Heading 4 3 2" xfId="2657"/>
    <cellStyle name="Heading 4 3 3" xfId="2658"/>
    <cellStyle name="Heading 4 4 2" xfId="2659"/>
    <cellStyle name="Heading 4 4 3" xfId="2660"/>
    <cellStyle name="Heading 4 5 2" xfId="2661"/>
    <cellStyle name="Heading 4 5 3" xfId="2662"/>
    <cellStyle name="Heading 4 6 2" xfId="2663"/>
    <cellStyle name="Heading 4 6 3" xfId="2664"/>
    <cellStyle name="Heading 4 7 2" xfId="2665"/>
    <cellStyle name="Heading 4 7 3" xfId="2666"/>
    <cellStyle name="Heading 4 8 2" xfId="2667"/>
    <cellStyle name="Heading 4 8 3" xfId="2668"/>
    <cellStyle name="Heading 4 9 2" xfId="2669"/>
    <cellStyle name="Heading 4 9 3" xfId="2670"/>
    <cellStyle name="Hyperlink" xfId="290" builtinId="8" customBuiltin="1"/>
    <cellStyle name="Hyperlink 2" xfId="24"/>
    <cellStyle name="Hyperlink 3" xfId="25"/>
    <cellStyle name="Hyperlink 4" xfId="304"/>
    <cellStyle name="Hyperlink 5" xfId="302"/>
    <cellStyle name="Hyperlink 6" xfId="652"/>
    <cellStyle name="Hyperlink 6 2" xfId="2671"/>
    <cellStyle name="Input" xfId="1" builtinId="20" customBuiltin="1"/>
    <cellStyle name="Input 10 2" xfId="2672"/>
    <cellStyle name="Input 10 3" xfId="2673"/>
    <cellStyle name="Input 11 2" xfId="2674"/>
    <cellStyle name="Input 11 3" xfId="2675"/>
    <cellStyle name="Input 12 2" xfId="2676"/>
    <cellStyle name="Input 12 3" xfId="2677"/>
    <cellStyle name="Input 13 2" xfId="2678"/>
    <cellStyle name="Input 13 3" xfId="2679"/>
    <cellStyle name="Input 14 2" xfId="2680"/>
    <cellStyle name="Input 14 3" xfId="2681"/>
    <cellStyle name="Input 15" xfId="2682"/>
    <cellStyle name="Input 15 2" xfId="2683"/>
    <cellStyle name="Input 15 3" xfId="2684"/>
    <cellStyle name="Input 15 4" xfId="2685"/>
    <cellStyle name="Input 15 5" xfId="2686"/>
    <cellStyle name="Input 15 6" xfId="2687"/>
    <cellStyle name="Input 15 7" xfId="2688"/>
    <cellStyle name="Input 16" xfId="2689"/>
    <cellStyle name="Input 17" xfId="2690"/>
    <cellStyle name="Input 18" xfId="2691"/>
    <cellStyle name="Input 19" xfId="2692"/>
    <cellStyle name="Input 2" xfId="397"/>
    <cellStyle name="Input 2 2" xfId="600"/>
    <cellStyle name="Input 2 2 2" xfId="2693"/>
    <cellStyle name="Input 2 3" xfId="2694"/>
    <cellStyle name="Input 20" xfId="2695"/>
    <cellStyle name="Input 21" xfId="2696"/>
    <cellStyle name="Input 22" xfId="2697"/>
    <cellStyle name="Input 3" xfId="653"/>
    <cellStyle name="Input 3 2" xfId="2698"/>
    <cellStyle name="Input 3 3" xfId="2699"/>
    <cellStyle name="Input 4 2" xfId="2700"/>
    <cellStyle name="Input 4 3" xfId="2701"/>
    <cellStyle name="Input 5 2" xfId="2702"/>
    <cellStyle name="Input 5 3" xfId="2703"/>
    <cellStyle name="Input 6 2" xfId="2704"/>
    <cellStyle name="Input 6 3" xfId="2705"/>
    <cellStyle name="Input 7 2" xfId="2706"/>
    <cellStyle name="Input 7 3" xfId="2707"/>
    <cellStyle name="Input 8 2" xfId="2708"/>
    <cellStyle name="Input 8 3" xfId="2709"/>
    <cellStyle name="Input 9 2" xfId="2710"/>
    <cellStyle name="Input 9 3" xfId="2711"/>
    <cellStyle name="Linked Cell" xfId="146" builtinId="24" customBuiltin="1"/>
    <cellStyle name="Linked Cell 10 2" xfId="2712"/>
    <cellStyle name="Linked Cell 10 3" xfId="2713"/>
    <cellStyle name="Linked Cell 11 2" xfId="2714"/>
    <cellStyle name="Linked Cell 11 3" xfId="2715"/>
    <cellStyle name="Linked Cell 12 2" xfId="2716"/>
    <cellStyle name="Linked Cell 12 3" xfId="2717"/>
    <cellStyle name="Linked Cell 13 2" xfId="2718"/>
    <cellStyle name="Linked Cell 13 3" xfId="2719"/>
    <cellStyle name="Linked Cell 14 2" xfId="2720"/>
    <cellStyle name="Linked Cell 14 3" xfId="2721"/>
    <cellStyle name="Linked Cell 15" xfId="2722"/>
    <cellStyle name="Linked Cell 15 2" xfId="2723"/>
    <cellStyle name="Linked Cell 15 3" xfId="2724"/>
    <cellStyle name="Linked Cell 15 4" xfId="2725"/>
    <cellStyle name="Linked Cell 15 5" xfId="2726"/>
    <cellStyle name="Linked Cell 15 6" xfId="2727"/>
    <cellStyle name="Linked Cell 15 7" xfId="2728"/>
    <cellStyle name="Linked Cell 16" xfId="2729"/>
    <cellStyle name="Linked Cell 17" xfId="2730"/>
    <cellStyle name="Linked Cell 18" xfId="2731"/>
    <cellStyle name="Linked Cell 19" xfId="2732"/>
    <cellStyle name="Linked Cell 2" xfId="400"/>
    <cellStyle name="Linked Cell 2 2" xfId="495"/>
    <cellStyle name="Linked Cell 2 2 2" xfId="2733"/>
    <cellStyle name="Linked Cell 2 3" xfId="2734"/>
    <cellStyle name="Linked Cell 20" xfId="2735"/>
    <cellStyle name="Linked Cell 21" xfId="2736"/>
    <cellStyle name="Linked Cell 22" xfId="2737"/>
    <cellStyle name="Linked Cell 3" xfId="654"/>
    <cellStyle name="Linked Cell 3 2" xfId="2738"/>
    <cellStyle name="Linked Cell 3 3" xfId="2739"/>
    <cellStyle name="Linked Cell 4 2" xfId="2740"/>
    <cellStyle name="Linked Cell 4 3" xfId="2741"/>
    <cellStyle name="Linked Cell 5 2" xfId="2742"/>
    <cellStyle name="Linked Cell 5 3" xfId="2743"/>
    <cellStyle name="Linked Cell 6 2" xfId="2744"/>
    <cellStyle name="Linked Cell 6 3" xfId="2745"/>
    <cellStyle name="Linked Cell 7 2" xfId="2746"/>
    <cellStyle name="Linked Cell 7 3" xfId="2747"/>
    <cellStyle name="Linked Cell 8 2" xfId="2748"/>
    <cellStyle name="Linked Cell 8 3" xfId="2749"/>
    <cellStyle name="Linked Cell 9 2" xfId="2750"/>
    <cellStyle name="Linked Cell 9 3" xfId="2751"/>
    <cellStyle name="Neutral" xfId="144" builtinId="28" customBuiltin="1"/>
    <cellStyle name="Neutral 10 2" xfId="2752"/>
    <cellStyle name="Neutral 10 3" xfId="2753"/>
    <cellStyle name="Neutral 11 2" xfId="2754"/>
    <cellStyle name="Neutral 11 3" xfId="2755"/>
    <cellStyle name="Neutral 12 2" xfId="2756"/>
    <cellStyle name="Neutral 12 3" xfId="2757"/>
    <cellStyle name="Neutral 13 2" xfId="2758"/>
    <cellStyle name="Neutral 13 3" xfId="2759"/>
    <cellStyle name="Neutral 14 2" xfId="2760"/>
    <cellStyle name="Neutral 14 3" xfId="2761"/>
    <cellStyle name="Neutral 15" xfId="2762"/>
    <cellStyle name="Neutral 15 2" xfId="2763"/>
    <cellStyle name="Neutral 15 3" xfId="2764"/>
    <cellStyle name="Neutral 15 4" xfId="2765"/>
    <cellStyle name="Neutral 15 5" xfId="2766"/>
    <cellStyle name="Neutral 15 6" xfId="2767"/>
    <cellStyle name="Neutral 15 7" xfId="2768"/>
    <cellStyle name="Neutral 16" xfId="2769"/>
    <cellStyle name="Neutral 17" xfId="2770"/>
    <cellStyle name="Neutral 18" xfId="2771"/>
    <cellStyle name="Neutral 19" xfId="2772"/>
    <cellStyle name="Neutral 2" xfId="396"/>
    <cellStyle name="Neutral 2 2" xfId="519"/>
    <cellStyle name="Neutral 2 2 2" xfId="2773"/>
    <cellStyle name="Neutral 2 3" xfId="2774"/>
    <cellStyle name="Neutral 20" xfId="2775"/>
    <cellStyle name="Neutral 21" xfId="2776"/>
    <cellStyle name="Neutral 22" xfId="2777"/>
    <cellStyle name="Neutral 3" xfId="655"/>
    <cellStyle name="Neutral 3 2" xfId="2778"/>
    <cellStyle name="Neutral 3 3" xfId="2779"/>
    <cellStyle name="Neutral 4 2" xfId="2780"/>
    <cellStyle name="Neutral 4 3" xfId="2781"/>
    <cellStyle name="Neutral 5 2" xfId="2782"/>
    <cellStyle name="Neutral 5 3" xfId="2783"/>
    <cellStyle name="Neutral 6 2" xfId="2784"/>
    <cellStyle name="Neutral 6 3" xfId="2785"/>
    <cellStyle name="Neutral 7 2" xfId="2786"/>
    <cellStyle name="Neutral 7 3" xfId="2787"/>
    <cellStyle name="Neutral 8 2" xfId="2788"/>
    <cellStyle name="Neutral 8 3" xfId="2789"/>
    <cellStyle name="Neutral 9 2" xfId="2790"/>
    <cellStyle name="Neutral 9 3" xfId="2791"/>
    <cellStyle name="Normal" xfId="0" builtinId="0"/>
    <cellStyle name="Normal 10" xfId="26"/>
    <cellStyle name="Normal 10 10" xfId="2792"/>
    <cellStyle name="Normal 10 11" xfId="2793"/>
    <cellStyle name="Normal 10 12" xfId="2794"/>
    <cellStyle name="Normal 10 2" xfId="27"/>
    <cellStyle name="Normal 10 2 2" xfId="215"/>
    <cellStyle name="Normal 10 2 3" xfId="37652"/>
    <cellStyle name="Normal 10 2 4" xfId="21186"/>
    <cellStyle name="Normal 10 3" xfId="214"/>
    <cellStyle name="Normal 10 3 2" xfId="2795"/>
    <cellStyle name="Normal 10 4" xfId="2796"/>
    <cellStyle name="Normal 10 5" xfId="2797"/>
    <cellStyle name="Normal 10 6" xfId="2798"/>
    <cellStyle name="Normal 10 7" xfId="2799"/>
    <cellStyle name="Normal 10 8" xfId="2800"/>
    <cellStyle name="Normal 10 9" xfId="2801"/>
    <cellStyle name="Normal 100" xfId="2802"/>
    <cellStyle name="Normal 101" xfId="327"/>
    <cellStyle name="Normal 101 2" xfId="21153"/>
    <cellStyle name="Normal 102" xfId="2803"/>
    <cellStyle name="Normal 103" xfId="2804"/>
    <cellStyle name="Normal 104" xfId="37698"/>
    <cellStyle name="Normal 11" xfId="28"/>
    <cellStyle name="Normal 11 2" xfId="216"/>
    <cellStyle name="Normal 11 2 2" xfId="2805"/>
    <cellStyle name="Normal 11 3" xfId="2806"/>
    <cellStyle name="Normal 11 4" xfId="2807"/>
    <cellStyle name="Normal 11 5" xfId="2808"/>
    <cellStyle name="Normal 11 6" xfId="2809"/>
    <cellStyle name="Normal 11 7" xfId="2810"/>
    <cellStyle name="Normal 11 8" xfId="2811"/>
    <cellStyle name="Normal 11 9" xfId="2812"/>
    <cellStyle name="Normal 12" xfId="29"/>
    <cellStyle name="Normal 12 2" xfId="217"/>
    <cellStyle name="Normal 12 2 2" xfId="2813"/>
    <cellStyle name="Normal 12 3" xfId="2814"/>
    <cellStyle name="Normal 12 4" xfId="2815"/>
    <cellStyle name="Normal 12 5" xfId="2816"/>
    <cellStyle name="Normal 12 6" xfId="2817"/>
    <cellStyle name="Normal 12 7" xfId="2818"/>
    <cellStyle name="Normal 12 8" xfId="37653"/>
    <cellStyle name="Normal 13" xfId="30"/>
    <cellStyle name="Normal 13 2" xfId="218"/>
    <cellStyle name="Normal 13 2 2" xfId="2819"/>
    <cellStyle name="Normal 13 3" xfId="2820"/>
    <cellStyle name="Normal 13 4" xfId="2821"/>
    <cellStyle name="Normal 13 5" xfId="2822"/>
    <cellStyle name="Normal 13 6" xfId="2823"/>
    <cellStyle name="Normal 13 7" xfId="2824"/>
    <cellStyle name="Normal 13 8" xfId="2825"/>
    <cellStyle name="Normal 13 9" xfId="2826"/>
    <cellStyle name="Normal 14" xfId="31"/>
    <cellStyle name="Normal 14 2" xfId="219"/>
    <cellStyle name="Normal 14 2 2" xfId="2827"/>
    <cellStyle name="Normal 14 3" xfId="2828"/>
    <cellStyle name="Normal 14 4" xfId="2829"/>
    <cellStyle name="Normal 14 5" xfId="2830"/>
    <cellStyle name="Normal 14 6" xfId="2831"/>
    <cellStyle name="Normal 14 7" xfId="2832"/>
    <cellStyle name="Normal 14 8" xfId="2833"/>
    <cellStyle name="Normal 14 9" xfId="2834"/>
    <cellStyle name="Normal 15" xfId="32"/>
    <cellStyle name="Normal 15 2" xfId="2835"/>
    <cellStyle name="Normal 15 3" xfId="2836"/>
    <cellStyle name="Normal 15 4" xfId="2837"/>
    <cellStyle name="Normal 15 5" xfId="2838"/>
    <cellStyle name="Normal 15 6" xfId="2839"/>
    <cellStyle name="Normal 15 7" xfId="2840"/>
    <cellStyle name="Normal 15 8" xfId="37654"/>
    <cellStyle name="Normal 16" xfId="33"/>
    <cellStyle name="Normal 16 2" xfId="220"/>
    <cellStyle name="Normal 16 3" xfId="2841"/>
    <cellStyle name="Normal 16 4" xfId="21187"/>
    <cellStyle name="Normal 17" xfId="180"/>
    <cellStyle name="Normal 17 2" xfId="2843"/>
    <cellStyle name="Normal 17 3" xfId="2844"/>
    <cellStyle name="Normal 17 4" xfId="2842"/>
    <cellStyle name="Normal 18" xfId="34"/>
    <cellStyle name="Normal 18 2" xfId="221"/>
    <cellStyle name="Normal 18 2 2" xfId="2845"/>
    <cellStyle name="Normal 18 3" xfId="2846"/>
    <cellStyle name="Normal 18 4" xfId="2847"/>
    <cellStyle name="Normal 18 5" xfId="2848"/>
    <cellStyle name="Normal 18 6" xfId="2849"/>
    <cellStyle name="Normal 18 7" xfId="2850"/>
    <cellStyle name="Normal 18 8" xfId="2851"/>
    <cellStyle name="Normal 18 9" xfId="2852"/>
    <cellStyle name="Normal 19" xfId="35"/>
    <cellStyle name="Normal 19 2" xfId="222"/>
    <cellStyle name="Normal 19 3" xfId="2853"/>
    <cellStyle name="Normal 19 4" xfId="21188"/>
    <cellStyle name="Normal 2" xfId="7"/>
    <cellStyle name="Normal 2 10" xfId="2854"/>
    <cellStyle name="Normal 2 10 2" xfId="2855"/>
    <cellStyle name="Normal 2 10 2 2" xfId="2856"/>
    <cellStyle name="Normal 2 10 3" xfId="2857"/>
    <cellStyle name="Normal 2 10 3 2" xfId="2858"/>
    <cellStyle name="Normal 2 10 4" xfId="2859"/>
    <cellStyle name="Normal 2 10 4 2" xfId="2860"/>
    <cellStyle name="Normal 2 10 5" xfId="2861"/>
    <cellStyle name="Normal 2 10 5 2" xfId="2862"/>
    <cellStyle name="Normal 2 10 6" xfId="2863"/>
    <cellStyle name="Normal 2 10 6 2" xfId="2864"/>
    <cellStyle name="Normal 2 10 7" xfId="2865"/>
    <cellStyle name="Normal 2 10 7 2" xfId="2866"/>
    <cellStyle name="Normal 2 10 8" xfId="2867"/>
    <cellStyle name="Normal 2 11" xfId="2868"/>
    <cellStyle name="Normal 2 11 2" xfId="2869"/>
    <cellStyle name="Normal 2 11 2 2" xfId="2870"/>
    <cellStyle name="Normal 2 11 3" xfId="2871"/>
    <cellStyle name="Normal 2 11 3 2" xfId="2872"/>
    <cellStyle name="Normal 2 11 4" xfId="2873"/>
    <cellStyle name="Normal 2 11 4 2" xfId="2874"/>
    <cellStyle name="Normal 2 11 5" xfId="2875"/>
    <cellStyle name="Normal 2 11 5 2" xfId="2876"/>
    <cellStyle name="Normal 2 11 6" xfId="2877"/>
    <cellStyle name="Normal 2 11 6 2" xfId="2878"/>
    <cellStyle name="Normal 2 11 7" xfId="2879"/>
    <cellStyle name="Normal 2 11 7 2" xfId="2880"/>
    <cellStyle name="Normal 2 11 8" xfId="2881"/>
    <cellStyle name="Normal 2 12" xfId="2882"/>
    <cellStyle name="Normal 2 12 2" xfId="2883"/>
    <cellStyle name="Normal 2 12 2 2" xfId="2884"/>
    <cellStyle name="Normal 2 12 3" xfId="2885"/>
    <cellStyle name="Normal 2 12 3 2" xfId="2886"/>
    <cellStyle name="Normal 2 12 4" xfId="2887"/>
    <cellStyle name="Normal 2 12 4 2" xfId="2888"/>
    <cellStyle name="Normal 2 12 5" xfId="2889"/>
    <cellStyle name="Normal 2 12 5 2" xfId="2890"/>
    <cellStyle name="Normal 2 12 6" xfId="2891"/>
    <cellStyle name="Normal 2 12 6 2" xfId="2892"/>
    <cellStyle name="Normal 2 12 7" xfId="2893"/>
    <cellStyle name="Normal 2 12 7 2" xfId="2894"/>
    <cellStyle name="Normal 2 12 8" xfId="2895"/>
    <cellStyle name="Normal 2 13" xfId="2896"/>
    <cellStyle name="Normal 2 13 2" xfId="2897"/>
    <cellStyle name="Normal 2 13 2 2" xfId="2898"/>
    <cellStyle name="Normal 2 13 3" xfId="2899"/>
    <cellStyle name="Normal 2 13 3 2" xfId="2900"/>
    <cellStyle name="Normal 2 13 4" xfId="2901"/>
    <cellStyle name="Normal 2 13 4 2" xfId="2902"/>
    <cellStyle name="Normal 2 13 5" xfId="2903"/>
    <cellStyle name="Normal 2 13 5 2" xfId="2904"/>
    <cellStyle name="Normal 2 13 6" xfId="2905"/>
    <cellStyle name="Normal 2 13 6 2" xfId="2906"/>
    <cellStyle name="Normal 2 13 7" xfId="2907"/>
    <cellStyle name="Normal 2 13 7 2" xfId="2908"/>
    <cellStyle name="Normal 2 13 8" xfId="2909"/>
    <cellStyle name="Normal 2 14" xfId="2910"/>
    <cellStyle name="Normal 2 14 2" xfId="2911"/>
    <cellStyle name="Normal 2 15" xfId="2912"/>
    <cellStyle name="Normal 2 15 2" xfId="2913"/>
    <cellStyle name="Normal 2 16" xfId="2914"/>
    <cellStyle name="Normal 2 16 2" xfId="2915"/>
    <cellStyle name="Normal 2 17" xfId="2916"/>
    <cellStyle name="Normal 2 17 2" xfId="2917"/>
    <cellStyle name="Normal 2 18" xfId="2918"/>
    <cellStyle name="Normal 2 18 2" xfId="2919"/>
    <cellStyle name="Normal 2 18 2 2" xfId="2920"/>
    <cellStyle name="Normal 2 18 2 3" xfId="2921"/>
    <cellStyle name="Normal 2 18 2 4" xfId="2922"/>
    <cellStyle name="Normal 2 18 3" xfId="2923"/>
    <cellStyle name="Normal 2 18 4" xfId="2924"/>
    <cellStyle name="Normal 2 18 5" xfId="2925"/>
    <cellStyle name="Normal 2 18 6" xfId="2926"/>
    <cellStyle name="Normal 2 18 7" xfId="2927"/>
    <cellStyle name="Normal 2 18 8" xfId="2928"/>
    <cellStyle name="Normal 2 18 9" xfId="2929"/>
    <cellStyle name="Normal 2 19" xfId="2930"/>
    <cellStyle name="Normal 2 19 2" xfId="2931"/>
    <cellStyle name="Normal 2 19 2 2" xfId="2932"/>
    <cellStyle name="Normal 2 19 2 3" xfId="2933"/>
    <cellStyle name="Normal 2 19 2 4" xfId="2934"/>
    <cellStyle name="Normal 2 19 3" xfId="2935"/>
    <cellStyle name="Normal 2 19 4" xfId="2936"/>
    <cellStyle name="Normal 2 19 5" xfId="2937"/>
    <cellStyle name="Normal 2 19 6" xfId="2938"/>
    <cellStyle name="Normal 2 19 7" xfId="2939"/>
    <cellStyle name="Normal 2 19 8" xfId="2940"/>
    <cellStyle name="Normal 2 19 9" xfId="2941"/>
    <cellStyle name="Normal 2 2" xfId="36"/>
    <cellStyle name="Normal 2 2 10" xfId="318"/>
    <cellStyle name="Normal 2 2 11" xfId="2942"/>
    <cellStyle name="Normal 2 2 12" xfId="2943"/>
    <cellStyle name="Normal 2 2 13" xfId="2944"/>
    <cellStyle name="Normal 2 2 14" xfId="2945"/>
    <cellStyle name="Normal 2 2 15" xfId="2946"/>
    <cellStyle name="Normal 2 2 16" xfId="2947"/>
    <cellStyle name="Normal 2 2 17" xfId="2948"/>
    <cellStyle name="Normal 2 2 18" xfId="2949"/>
    <cellStyle name="Normal 2 2 19" xfId="2950"/>
    <cellStyle name="Normal 2 2 2" xfId="37"/>
    <cellStyle name="Normal 2 2 2 10" xfId="2951"/>
    <cellStyle name="Normal 2 2 2 11" xfId="2952"/>
    <cellStyle name="Normal 2 2 2 12" xfId="2953"/>
    <cellStyle name="Normal 2 2 2 13" xfId="2954"/>
    <cellStyle name="Normal 2 2 2 14" xfId="2955"/>
    <cellStyle name="Normal 2 2 2 15" xfId="2956"/>
    <cellStyle name="Normal 2 2 2 16" xfId="2957"/>
    <cellStyle name="Normal 2 2 2 17" xfId="2958"/>
    <cellStyle name="Normal 2 2 2 18" xfId="2959"/>
    <cellStyle name="Normal 2 2 2 19" xfId="2960"/>
    <cellStyle name="Normal 2 2 2 2" xfId="460"/>
    <cellStyle name="Normal 2 2 2 2 10" xfId="2961"/>
    <cellStyle name="Normal 2 2 2 2 11" xfId="2962"/>
    <cellStyle name="Normal 2 2 2 2 12" xfId="2963"/>
    <cellStyle name="Normal 2 2 2 2 13" xfId="2964"/>
    <cellStyle name="Normal 2 2 2 2 14" xfId="2965"/>
    <cellStyle name="Normal 2 2 2 2 15" xfId="2966"/>
    <cellStyle name="Normal 2 2 2 2 15 2" xfId="2967"/>
    <cellStyle name="Normal 2 2 2 2 15 3" xfId="2968"/>
    <cellStyle name="Normal 2 2 2 2 16" xfId="2969"/>
    <cellStyle name="Normal 2 2 2 2 17" xfId="2970"/>
    <cellStyle name="Normal 2 2 2 2 18" xfId="2971"/>
    <cellStyle name="Normal 2 2 2 2 18 2" xfId="2972"/>
    <cellStyle name="Normal 2 2 2 2 18 3" xfId="2973"/>
    <cellStyle name="Normal 2 2 2 2 19" xfId="2974"/>
    <cellStyle name="Normal 2 2 2 2 19 2" xfId="2975"/>
    <cellStyle name="Normal 2 2 2 2 19 3" xfId="2976"/>
    <cellStyle name="Normal 2 2 2 2 2" xfId="2977"/>
    <cellStyle name="Normal 2 2 2 2 2 10" xfId="2978"/>
    <cellStyle name="Normal 2 2 2 2 2 11" xfId="2979"/>
    <cellStyle name="Normal 2 2 2 2 2 12" xfId="2980"/>
    <cellStyle name="Normal 2 2 2 2 2 13" xfId="2981"/>
    <cellStyle name="Normal 2 2 2 2 2 14" xfId="2982"/>
    <cellStyle name="Normal 2 2 2 2 2 15" xfId="2983"/>
    <cellStyle name="Normal 2 2 2 2 2 16" xfId="2984"/>
    <cellStyle name="Normal 2 2 2 2 2 17" xfId="2985"/>
    <cellStyle name="Normal 2 2 2 2 2 18" xfId="2986"/>
    <cellStyle name="Normal 2 2 2 2 2 19" xfId="2987"/>
    <cellStyle name="Normal 2 2 2 2 2 2" xfId="2988"/>
    <cellStyle name="Normal 2 2 2 2 2 2 10" xfId="2989"/>
    <cellStyle name="Normal 2 2 2 2 2 2 11" xfId="2990"/>
    <cellStyle name="Normal 2 2 2 2 2 2 12" xfId="2991"/>
    <cellStyle name="Normal 2 2 2 2 2 2 13" xfId="2992"/>
    <cellStyle name="Normal 2 2 2 2 2 2 14" xfId="2993"/>
    <cellStyle name="Normal 2 2 2 2 2 2 15" xfId="2994"/>
    <cellStyle name="Normal 2 2 2 2 2 2 16" xfId="2995"/>
    <cellStyle name="Normal 2 2 2 2 2 2 17" xfId="2996"/>
    <cellStyle name="Normal 2 2 2 2 2 2 2" xfId="2997"/>
    <cellStyle name="Normal 2 2 2 2 2 2 2 10" xfId="2998"/>
    <cellStyle name="Normal 2 2 2 2 2 2 2 2" xfId="2999"/>
    <cellStyle name="Normal 2 2 2 2 2 2 2 2 2" xfId="3000"/>
    <cellStyle name="Normal 2 2 2 2 2 2 2 2 2 10" xfId="3001"/>
    <cellStyle name="Normal 2 2 2 2 2 2 2 2 2 10 2" xfId="21190"/>
    <cellStyle name="Normal 2 2 2 2 2 2 2 2 2 11" xfId="3002"/>
    <cellStyle name="Normal 2 2 2 2 2 2 2 2 2 11 2" xfId="21191"/>
    <cellStyle name="Normal 2 2 2 2 2 2 2 2 2 12" xfId="3003"/>
    <cellStyle name="Normal 2 2 2 2 2 2 2 2 2 12 2" xfId="21192"/>
    <cellStyle name="Normal 2 2 2 2 2 2 2 2 2 13" xfId="3004"/>
    <cellStyle name="Normal 2 2 2 2 2 2 2 2 2 13 2" xfId="21193"/>
    <cellStyle name="Normal 2 2 2 2 2 2 2 2 2 14" xfId="3005"/>
    <cellStyle name="Normal 2 2 2 2 2 2 2 2 2 14 2" xfId="21194"/>
    <cellStyle name="Normal 2 2 2 2 2 2 2 2 2 15" xfId="21189"/>
    <cellStyle name="Normal 2 2 2 2 2 2 2 2 2 2" xfId="3006"/>
    <cellStyle name="Normal 2 2 2 2 2 2 2 2 2 2 2" xfId="21195"/>
    <cellStyle name="Normal 2 2 2 2 2 2 2 2 2 3" xfId="3007"/>
    <cellStyle name="Normal 2 2 2 2 2 2 2 2 2 3 2" xfId="21196"/>
    <cellStyle name="Normal 2 2 2 2 2 2 2 2 2 4" xfId="3008"/>
    <cellStyle name="Normal 2 2 2 2 2 2 2 2 2 4 2" xfId="21197"/>
    <cellStyle name="Normal 2 2 2 2 2 2 2 2 2 5" xfId="3009"/>
    <cellStyle name="Normal 2 2 2 2 2 2 2 2 2 5 2" xfId="21198"/>
    <cellStyle name="Normal 2 2 2 2 2 2 2 2 2 6" xfId="3010"/>
    <cellStyle name="Normal 2 2 2 2 2 2 2 2 2 6 2" xfId="21199"/>
    <cellStyle name="Normal 2 2 2 2 2 2 2 2 2 7" xfId="3011"/>
    <cellStyle name="Normal 2 2 2 2 2 2 2 2 2 7 2" xfId="21200"/>
    <cellStyle name="Normal 2 2 2 2 2 2 2 2 2 8" xfId="3012"/>
    <cellStyle name="Normal 2 2 2 2 2 2 2 2 2 8 2" xfId="21201"/>
    <cellStyle name="Normal 2 2 2 2 2 2 2 2 2 9" xfId="3013"/>
    <cellStyle name="Normal 2 2 2 2 2 2 2 2 2 9 2" xfId="21202"/>
    <cellStyle name="Normal 2 2 2 2 2 2 2 3" xfId="3014"/>
    <cellStyle name="Normal 2 2 2 2 2 2 2 4" xfId="3015"/>
    <cellStyle name="Normal 2 2 2 2 2 2 2 5" xfId="3016"/>
    <cellStyle name="Normal 2 2 2 2 2 2 2 6" xfId="3017"/>
    <cellStyle name="Normal 2 2 2 2 2 2 2 7" xfId="3018"/>
    <cellStyle name="Normal 2 2 2 2 2 2 2 8" xfId="3019"/>
    <cellStyle name="Normal 2 2 2 2 2 2 2 9" xfId="3020"/>
    <cellStyle name="Normal 2 2 2 2 2 2 3" xfId="3021"/>
    <cellStyle name="Normal 2 2 2 2 2 2 4" xfId="3022"/>
    <cellStyle name="Normal 2 2 2 2 2 2 5" xfId="3023"/>
    <cellStyle name="Normal 2 2 2 2 2 2 6" xfId="3024"/>
    <cellStyle name="Normal 2 2 2 2 2 2 7" xfId="3025"/>
    <cellStyle name="Normal 2 2 2 2 2 2 8" xfId="3026"/>
    <cellStyle name="Normal 2 2 2 2 2 2 9" xfId="3027"/>
    <cellStyle name="Normal 2 2 2 2 2 3" xfId="3028"/>
    <cellStyle name="Normal 2 2 2 2 2 4" xfId="3029"/>
    <cellStyle name="Normal 2 2 2 2 2 5" xfId="3030"/>
    <cellStyle name="Normal 2 2 2 2 2 5 2" xfId="3031"/>
    <cellStyle name="Normal 2 2 2 2 2 5 3" xfId="3032"/>
    <cellStyle name="Normal 2 2 2 2 2 6" xfId="3033"/>
    <cellStyle name="Normal 2 2 2 2 2 6 2" xfId="3034"/>
    <cellStyle name="Normal 2 2 2 2 2 6 3" xfId="3035"/>
    <cellStyle name="Normal 2 2 2 2 2 7" xfId="3036"/>
    <cellStyle name="Normal 2 2 2 2 2 7 2" xfId="3037"/>
    <cellStyle name="Normal 2 2 2 2 2 7 3" xfId="3038"/>
    <cellStyle name="Normal 2 2 2 2 2 8" xfId="3039"/>
    <cellStyle name="Normal 2 2 2 2 2 8 2" xfId="3040"/>
    <cellStyle name="Normal 2 2 2 2 2 8 3" xfId="3041"/>
    <cellStyle name="Normal 2 2 2 2 2 9" xfId="3042"/>
    <cellStyle name="Normal 2 2 2 2 2 9 2" xfId="3043"/>
    <cellStyle name="Normal 2 2 2 2 2 9 3" xfId="3044"/>
    <cellStyle name="Normal 2 2 2 2 20" xfId="3045"/>
    <cellStyle name="Normal 2 2 2 2 20 2" xfId="3046"/>
    <cellStyle name="Normal 2 2 2 2 20 3" xfId="3047"/>
    <cellStyle name="Normal 2 2 2 2 21" xfId="3048"/>
    <cellStyle name="Normal 2 2 2 2 21 2" xfId="3049"/>
    <cellStyle name="Normal 2 2 2 2 21 3" xfId="3050"/>
    <cellStyle name="Normal 2 2 2 2 22" xfId="3051"/>
    <cellStyle name="Normal 2 2 2 2 23" xfId="3052"/>
    <cellStyle name="Normal 2 2 2 2 24" xfId="3053"/>
    <cellStyle name="Normal 2 2 2 2 25" xfId="3054"/>
    <cellStyle name="Normal 2 2 2 2 26" xfId="3055"/>
    <cellStyle name="Normal 2 2 2 2 27" xfId="3056"/>
    <cellStyle name="Normal 2 2 2 2 28" xfId="3057"/>
    <cellStyle name="Normal 2 2 2 2 29" xfId="3058"/>
    <cellStyle name="Normal 2 2 2 2 3" xfId="3059"/>
    <cellStyle name="Normal 2 2 2 2 30" xfId="3060"/>
    <cellStyle name="Normal 2 2 2 2 31" xfId="3061"/>
    <cellStyle name="Normal 2 2 2 2 32" xfId="3062"/>
    <cellStyle name="Normal 2 2 2 2 4" xfId="3063"/>
    <cellStyle name="Normal 2 2 2 2 5" xfId="3064"/>
    <cellStyle name="Normal 2 2 2 2 6" xfId="3065"/>
    <cellStyle name="Normal 2 2 2 2 7" xfId="3066"/>
    <cellStyle name="Normal 2 2 2 2 8" xfId="3067"/>
    <cellStyle name="Normal 2 2 2 2 9" xfId="3068"/>
    <cellStyle name="Normal 2 2 2 20" xfId="3069"/>
    <cellStyle name="Normal 2 2 2 20 2" xfId="3070"/>
    <cellStyle name="Normal 2 2 2 20 3" xfId="3071"/>
    <cellStyle name="Normal 2 2 2 21" xfId="3072"/>
    <cellStyle name="Normal 2 2 2 22" xfId="3073"/>
    <cellStyle name="Normal 2 2 2 23" xfId="3074"/>
    <cellStyle name="Normal 2 2 2 23 2" xfId="3075"/>
    <cellStyle name="Normal 2 2 2 23 3" xfId="3076"/>
    <cellStyle name="Normal 2 2 2 24" xfId="3077"/>
    <cellStyle name="Normal 2 2 2 24 2" xfId="3078"/>
    <cellStyle name="Normal 2 2 2 24 3" xfId="3079"/>
    <cellStyle name="Normal 2 2 2 25" xfId="3080"/>
    <cellStyle name="Normal 2 2 2 25 2" xfId="3081"/>
    <cellStyle name="Normal 2 2 2 25 3" xfId="3082"/>
    <cellStyle name="Normal 2 2 2 26" xfId="3083"/>
    <cellStyle name="Normal 2 2 2 26 2" xfId="3084"/>
    <cellStyle name="Normal 2 2 2 26 3" xfId="3085"/>
    <cellStyle name="Normal 2 2 2 27" xfId="3086"/>
    <cellStyle name="Normal 2 2 2 28" xfId="3087"/>
    <cellStyle name="Normal 2 2 2 29" xfId="3088"/>
    <cellStyle name="Normal 2 2 2 3" xfId="601"/>
    <cellStyle name="Normal 2 2 2 3 2" xfId="3089"/>
    <cellStyle name="Normal 2 2 2 30" xfId="3090"/>
    <cellStyle name="Normal 2 2 2 31" xfId="3091"/>
    <cellStyle name="Normal 2 2 2 32" xfId="3092"/>
    <cellStyle name="Normal 2 2 2 33" xfId="3093"/>
    <cellStyle name="Normal 2 2 2 34" xfId="3094"/>
    <cellStyle name="Normal 2 2 2 35" xfId="3095"/>
    <cellStyle name="Normal 2 2 2 36" xfId="3096"/>
    <cellStyle name="Normal 2 2 2 37" xfId="3097"/>
    <cellStyle name="Normal 2 2 2 38" xfId="37655"/>
    <cellStyle name="Normal 2 2 2 4" xfId="3098"/>
    <cellStyle name="Normal 2 2 2 4 2" xfId="3099"/>
    <cellStyle name="Normal 2 2 2 5" xfId="3100"/>
    <cellStyle name="Normal 2 2 2 5 2" xfId="3101"/>
    <cellStyle name="Normal 2 2 2 6" xfId="3102"/>
    <cellStyle name="Normal 2 2 2 6 2" xfId="3103"/>
    <cellStyle name="Normal 2 2 2 7" xfId="3104"/>
    <cellStyle name="Normal 2 2 2 7 2" xfId="3105"/>
    <cellStyle name="Normal 2 2 2 8" xfId="3106"/>
    <cellStyle name="Normal 2 2 2 8 10" xfId="3107"/>
    <cellStyle name="Normal 2 2 2 8 11" xfId="3108"/>
    <cellStyle name="Normal 2 2 2 8 2" xfId="3109"/>
    <cellStyle name="Normal 2 2 2 8 2 2" xfId="3110"/>
    <cellStyle name="Normal 2 2 2 8 2 3" xfId="3111"/>
    <cellStyle name="Normal 2 2 2 8 2 4" xfId="3112"/>
    <cellStyle name="Normal 2 2 2 8 2 5" xfId="3113"/>
    <cellStyle name="Normal 2 2 2 8 2 6" xfId="3114"/>
    <cellStyle name="Normal 2 2 2 8 2 7" xfId="3115"/>
    <cellStyle name="Normal 2 2 2 8 2 8" xfId="3116"/>
    <cellStyle name="Normal 2 2 2 8 2 9" xfId="3117"/>
    <cellStyle name="Normal 2 2 2 8 3" xfId="3118"/>
    <cellStyle name="Normal 2 2 2 8 4" xfId="3119"/>
    <cellStyle name="Normal 2 2 2 8 5" xfId="3120"/>
    <cellStyle name="Normal 2 2 2 8 5 2" xfId="3121"/>
    <cellStyle name="Normal 2 2 2 8 5 3" xfId="3122"/>
    <cellStyle name="Normal 2 2 2 8 6" xfId="3123"/>
    <cellStyle name="Normal 2 2 2 8 6 2" xfId="3124"/>
    <cellStyle name="Normal 2 2 2 8 6 3" xfId="3125"/>
    <cellStyle name="Normal 2 2 2 8 7" xfId="3126"/>
    <cellStyle name="Normal 2 2 2 8 7 2" xfId="3127"/>
    <cellStyle name="Normal 2 2 2 8 7 3" xfId="3128"/>
    <cellStyle name="Normal 2 2 2 8 8" xfId="3129"/>
    <cellStyle name="Normal 2 2 2 8 8 2" xfId="3130"/>
    <cellStyle name="Normal 2 2 2 8 8 3" xfId="3131"/>
    <cellStyle name="Normal 2 2 2 8 9" xfId="3132"/>
    <cellStyle name="Normal 2 2 2 8 9 2" xfId="3133"/>
    <cellStyle name="Normal 2 2 2 8 9 3" xfId="3134"/>
    <cellStyle name="Normal 2 2 2 9" xfId="3135"/>
    <cellStyle name="Normal 2 2 20" xfId="3136"/>
    <cellStyle name="Normal 2 2 20 2" xfId="3137"/>
    <cellStyle name="Normal 2 2 20 3" xfId="3138"/>
    <cellStyle name="Normal 2 2 21" xfId="3139"/>
    <cellStyle name="Normal 2 2 22" xfId="3140"/>
    <cellStyle name="Normal 2 2 23" xfId="3141"/>
    <cellStyle name="Normal 2 2 23 2" xfId="3142"/>
    <cellStyle name="Normal 2 2 23 3" xfId="3143"/>
    <cellStyle name="Normal 2 2 24" xfId="3144"/>
    <cellStyle name="Normal 2 2 24 2" xfId="3145"/>
    <cellStyle name="Normal 2 2 24 3" xfId="3146"/>
    <cellStyle name="Normal 2 2 25" xfId="3147"/>
    <cellStyle name="Normal 2 2 25 2" xfId="3148"/>
    <cellStyle name="Normal 2 2 25 3" xfId="3149"/>
    <cellStyle name="Normal 2 2 26" xfId="3150"/>
    <cellStyle name="Normal 2 2 26 2" xfId="3151"/>
    <cellStyle name="Normal 2 2 26 3" xfId="3152"/>
    <cellStyle name="Normal 2 2 27" xfId="3153"/>
    <cellStyle name="Normal 2 2 28" xfId="3154"/>
    <cellStyle name="Normal 2 2 29" xfId="3155"/>
    <cellStyle name="Normal 2 2 3" xfId="38"/>
    <cellStyle name="Normal 2 2 3 2" xfId="37656"/>
    <cellStyle name="Normal 2 2 3 3" xfId="21203"/>
    <cellStyle name="Normal 2 2 30" xfId="3156"/>
    <cellStyle name="Normal 2 2 31" xfId="3157"/>
    <cellStyle name="Normal 2 2 32" xfId="3158"/>
    <cellStyle name="Normal 2 2 33" xfId="3159"/>
    <cellStyle name="Normal 2 2 34" xfId="3160"/>
    <cellStyle name="Normal 2 2 35" xfId="3161"/>
    <cellStyle name="Normal 2 2 36" xfId="3162"/>
    <cellStyle name="Normal 2 2 37" xfId="3163"/>
    <cellStyle name="Normal 2 2 38" xfId="21146"/>
    <cellStyle name="Normal 2 2 4" xfId="39"/>
    <cellStyle name="Normal 2 2 4 2" xfId="37657"/>
    <cellStyle name="Normal 2 2 4 3" xfId="21204"/>
    <cellStyle name="Normal 2 2 5" xfId="40"/>
    <cellStyle name="Normal 2 2 5 2" xfId="37658"/>
    <cellStyle name="Normal 2 2 5 3" xfId="21205"/>
    <cellStyle name="Normal 2 2 6" xfId="41"/>
    <cellStyle name="Normal 2 2 6 2" xfId="37659"/>
    <cellStyle name="Normal 2 2 6 3" xfId="21206"/>
    <cellStyle name="Normal 2 2 7" xfId="42"/>
    <cellStyle name="Normal 2 2 7 2" xfId="37660"/>
    <cellStyle name="Normal 2 2 7 3" xfId="21207"/>
    <cellStyle name="Normal 2 2 8" xfId="43"/>
    <cellStyle name="Normal 2 2 8 10" xfId="3164"/>
    <cellStyle name="Normal 2 2 8 11" xfId="3165"/>
    <cellStyle name="Normal 2 2 8 12" xfId="37661"/>
    <cellStyle name="Normal 2 2 8 2" xfId="3166"/>
    <cellStyle name="Normal 2 2 8 2 2" xfId="3167"/>
    <cellStyle name="Normal 2 2 8 2 3" xfId="3168"/>
    <cellStyle name="Normal 2 2 8 2 4" xfId="3169"/>
    <cellStyle name="Normal 2 2 8 2 5" xfId="3170"/>
    <cellStyle name="Normal 2 2 8 2 6" xfId="3171"/>
    <cellStyle name="Normal 2 2 8 2 7" xfId="3172"/>
    <cellStyle name="Normal 2 2 8 2 8" xfId="3173"/>
    <cellStyle name="Normal 2 2 8 2 9" xfId="3174"/>
    <cellStyle name="Normal 2 2 8 3" xfId="3175"/>
    <cellStyle name="Normal 2 2 8 4" xfId="3176"/>
    <cellStyle name="Normal 2 2 8 5" xfId="3177"/>
    <cellStyle name="Normal 2 2 8 5 2" xfId="3178"/>
    <cellStyle name="Normal 2 2 8 5 3" xfId="3179"/>
    <cellStyle name="Normal 2 2 8 6" xfId="3180"/>
    <cellStyle name="Normal 2 2 8 6 2" xfId="3181"/>
    <cellStyle name="Normal 2 2 8 6 3" xfId="3182"/>
    <cellStyle name="Normal 2 2 8 7" xfId="3183"/>
    <cellStyle name="Normal 2 2 8 7 2" xfId="3184"/>
    <cellStyle name="Normal 2 2 8 7 3" xfId="3185"/>
    <cellStyle name="Normal 2 2 8 8" xfId="3186"/>
    <cellStyle name="Normal 2 2 8 8 2" xfId="3187"/>
    <cellStyle name="Normal 2 2 8 8 3" xfId="3188"/>
    <cellStyle name="Normal 2 2 8 9" xfId="3189"/>
    <cellStyle name="Normal 2 2 8 9 2" xfId="3190"/>
    <cellStyle name="Normal 2 2 8 9 3" xfId="3191"/>
    <cellStyle name="Normal 2 2 9" xfId="44"/>
    <cellStyle name="Normal 2 2 9 2" xfId="37662"/>
    <cellStyle name="Normal 2 2 9 3" xfId="21208"/>
    <cellStyle name="Normal 2 2_Residential Inputs Inland" xfId="3192"/>
    <cellStyle name="Normal 2 20" xfId="3193"/>
    <cellStyle name="Normal 2 20 2" xfId="3194"/>
    <cellStyle name="Normal 2 20 2 2" xfId="3195"/>
    <cellStyle name="Normal 2 20 2 3" xfId="3196"/>
    <cellStyle name="Normal 2 20 2 4" xfId="3197"/>
    <cellStyle name="Normal 2 20 3" xfId="3198"/>
    <cellStyle name="Normal 2 20 4" xfId="3199"/>
    <cellStyle name="Normal 2 20 5" xfId="3200"/>
    <cellStyle name="Normal 2 20 6" xfId="3201"/>
    <cellStyle name="Normal 2 20 7" xfId="3202"/>
    <cellStyle name="Normal 2 20 8" xfId="3203"/>
    <cellStyle name="Normal 2 20 9" xfId="3204"/>
    <cellStyle name="Normal 2 21" xfId="3205"/>
    <cellStyle name="Normal 2 21 2" xfId="3206"/>
    <cellStyle name="Normal 2 21 2 2" xfId="3207"/>
    <cellStyle name="Normal 2 21 2 3" xfId="3208"/>
    <cellStyle name="Normal 2 21 2 4" xfId="3209"/>
    <cellStyle name="Normal 2 21 3" xfId="3210"/>
    <cellStyle name="Normal 2 21 4" xfId="3211"/>
    <cellStyle name="Normal 2 21 5" xfId="3212"/>
    <cellStyle name="Normal 2 21 6" xfId="3213"/>
    <cellStyle name="Normal 2 21 7" xfId="3214"/>
    <cellStyle name="Normal 2 21 8" xfId="3215"/>
    <cellStyle name="Normal 2 21 9" xfId="3216"/>
    <cellStyle name="Normal 2 22" xfId="3217"/>
    <cellStyle name="Normal 2 22 2" xfId="3218"/>
    <cellStyle name="Normal 2 22 2 2" xfId="3219"/>
    <cellStyle name="Normal 2 22 2 3" xfId="3220"/>
    <cellStyle name="Normal 2 22 2 4" xfId="3221"/>
    <cellStyle name="Normal 2 22 3" xfId="3222"/>
    <cellStyle name="Normal 2 22 4" xfId="3223"/>
    <cellStyle name="Normal 2 22 5" xfId="3224"/>
    <cellStyle name="Normal 2 22 6" xfId="3225"/>
    <cellStyle name="Normal 2 22 7" xfId="3226"/>
    <cellStyle name="Normal 2 22 8" xfId="3227"/>
    <cellStyle name="Normal 2 22 9" xfId="3228"/>
    <cellStyle name="Normal 2 23" xfId="3229"/>
    <cellStyle name="Normal 2 23 2" xfId="3230"/>
    <cellStyle name="Normal 2 23 2 2" xfId="3231"/>
    <cellStyle name="Normal 2 23 2 3" xfId="3232"/>
    <cellStyle name="Normal 2 23 2 4" xfId="3233"/>
    <cellStyle name="Normal 2 23 3" xfId="3234"/>
    <cellStyle name="Normal 2 23 4" xfId="3235"/>
    <cellStyle name="Normal 2 23 5" xfId="3236"/>
    <cellStyle name="Normal 2 23 6" xfId="3237"/>
    <cellStyle name="Normal 2 23 7" xfId="3238"/>
    <cellStyle name="Normal 2 23 8" xfId="3239"/>
    <cellStyle name="Normal 2 23 9" xfId="3240"/>
    <cellStyle name="Normal 2 24" xfId="3241"/>
    <cellStyle name="Normal 2 24 2" xfId="3242"/>
    <cellStyle name="Normal 2 24 2 2" xfId="3243"/>
    <cellStyle name="Normal 2 24 2 3" xfId="3244"/>
    <cellStyle name="Normal 2 24 2 4" xfId="3245"/>
    <cellStyle name="Normal 2 24 3" xfId="3246"/>
    <cellStyle name="Normal 2 24 4" xfId="3247"/>
    <cellStyle name="Normal 2 24 5" xfId="3248"/>
    <cellStyle name="Normal 2 24 6" xfId="3249"/>
    <cellStyle name="Normal 2 24 7" xfId="3250"/>
    <cellStyle name="Normal 2 24 8" xfId="3251"/>
    <cellStyle name="Normal 2 24 9" xfId="3252"/>
    <cellStyle name="Normal 2 25" xfId="3253"/>
    <cellStyle name="Normal 2 25 2" xfId="3254"/>
    <cellStyle name="Normal 2 25 2 2" xfId="3255"/>
    <cellStyle name="Normal 2 25 2 3" xfId="3256"/>
    <cellStyle name="Normal 2 25 2 4" xfId="3257"/>
    <cellStyle name="Normal 2 25 3" xfId="3258"/>
    <cellStyle name="Normal 2 25 4" xfId="3259"/>
    <cellStyle name="Normal 2 25 5" xfId="3260"/>
    <cellStyle name="Normal 2 25 6" xfId="3261"/>
    <cellStyle name="Normal 2 25 7" xfId="3262"/>
    <cellStyle name="Normal 2 25 8" xfId="3263"/>
    <cellStyle name="Normal 2 25 9" xfId="3264"/>
    <cellStyle name="Normal 2 26" xfId="3265"/>
    <cellStyle name="Normal 2 26 2" xfId="3266"/>
    <cellStyle name="Normal 2 26 2 2" xfId="3267"/>
    <cellStyle name="Normal 2 26 2 3" xfId="3268"/>
    <cellStyle name="Normal 2 26 2 4" xfId="3269"/>
    <cellStyle name="Normal 2 26 3" xfId="3270"/>
    <cellStyle name="Normal 2 26 4" xfId="3271"/>
    <cellStyle name="Normal 2 26 5" xfId="3272"/>
    <cellStyle name="Normal 2 26 6" xfId="3273"/>
    <cellStyle name="Normal 2 26 7" xfId="3274"/>
    <cellStyle name="Normal 2 26 8" xfId="3275"/>
    <cellStyle name="Normal 2 26 9" xfId="3276"/>
    <cellStyle name="Normal 2 27" xfId="3277"/>
    <cellStyle name="Normal 2 28" xfId="3278"/>
    <cellStyle name="Normal 2 29" xfId="3279"/>
    <cellStyle name="Normal 2 3" xfId="45"/>
    <cellStyle name="Normal 2 3 2" xfId="325"/>
    <cellStyle name="Normal 2 3 2 2" xfId="3281"/>
    <cellStyle name="Normal 2 3 2 2 2" xfId="3282"/>
    <cellStyle name="Normal 2 3 2 3" xfId="3283"/>
    <cellStyle name="Normal 2 3 2 3 2" xfId="3284"/>
    <cellStyle name="Normal 2 3 2 4" xfId="3285"/>
    <cellStyle name="Normal 2 3 2 4 2" xfId="3286"/>
    <cellStyle name="Normal 2 3 2 5" xfId="3287"/>
    <cellStyle name="Normal 2 3 2 5 2" xfId="3288"/>
    <cellStyle name="Normal 2 3 2 6" xfId="3289"/>
    <cellStyle name="Normal 2 3 2 6 2" xfId="3290"/>
    <cellStyle name="Normal 2 3 2 7" xfId="3291"/>
    <cellStyle name="Normal 2 3 2 7 2" xfId="3292"/>
    <cellStyle name="Normal 2 3 2 8" xfId="3280"/>
    <cellStyle name="Normal 2 3 3" xfId="3293"/>
    <cellStyle name="Normal 2 3 4" xfId="3294"/>
    <cellStyle name="Normal 2 3 5" xfId="3295"/>
    <cellStyle name="Normal 2 3 6" xfId="3296"/>
    <cellStyle name="Normal 2 3 7" xfId="3297"/>
    <cellStyle name="Normal 2 3 8" xfId="3298"/>
    <cellStyle name="Normal 2 3 9" xfId="37663"/>
    <cellStyle name="Normal 2 30" xfId="3299"/>
    <cellStyle name="Normal 2 30 2" xfId="3300"/>
    <cellStyle name="Normal 2 30 3" xfId="3301"/>
    <cellStyle name="Normal 2 31" xfId="3302"/>
    <cellStyle name="Normal 2 32" xfId="3303"/>
    <cellStyle name="Normal 2 33" xfId="3304"/>
    <cellStyle name="Normal 2 34" xfId="3305"/>
    <cellStyle name="Normal 2 35" xfId="3306"/>
    <cellStyle name="Normal 2 36" xfId="3307"/>
    <cellStyle name="Normal 2 37" xfId="3308"/>
    <cellStyle name="Normal 2 38" xfId="3309"/>
    <cellStyle name="Normal 2 39" xfId="3310"/>
    <cellStyle name="Normal 2 4" xfId="46"/>
    <cellStyle name="Normal 2 4 10" xfId="3311"/>
    <cellStyle name="Normal 2 4 11" xfId="3312"/>
    <cellStyle name="Normal 2 4 12" xfId="3313"/>
    <cellStyle name="Normal 2 4 13" xfId="3314"/>
    <cellStyle name="Normal 2 4 14" xfId="3315"/>
    <cellStyle name="Normal 2 4 15" xfId="3316"/>
    <cellStyle name="Normal 2 4 16" xfId="3317"/>
    <cellStyle name="Normal 2 4 17" xfId="3318"/>
    <cellStyle name="Normal 2 4 17 10" xfId="3319"/>
    <cellStyle name="Normal 2 4 17 10 10" xfId="3320"/>
    <cellStyle name="Normal 2 4 17 10 10 2" xfId="21211"/>
    <cellStyle name="Normal 2 4 17 10 11" xfId="3321"/>
    <cellStyle name="Normal 2 4 17 10 11 2" xfId="21212"/>
    <cellStyle name="Normal 2 4 17 10 12" xfId="3322"/>
    <cellStyle name="Normal 2 4 17 10 12 2" xfId="21213"/>
    <cellStyle name="Normal 2 4 17 10 13" xfId="3323"/>
    <cellStyle name="Normal 2 4 17 10 13 2" xfId="21214"/>
    <cellStyle name="Normal 2 4 17 10 14" xfId="3324"/>
    <cellStyle name="Normal 2 4 17 10 14 2" xfId="21215"/>
    <cellStyle name="Normal 2 4 17 10 15" xfId="21210"/>
    <cellStyle name="Normal 2 4 17 10 2" xfId="3325"/>
    <cellStyle name="Normal 2 4 17 10 2 2" xfId="21216"/>
    <cellStyle name="Normal 2 4 17 10 3" xfId="3326"/>
    <cellStyle name="Normal 2 4 17 10 3 2" xfId="21217"/>
    <cellStyle name="Normal 2 4 17 10 4" xfId="3327"/>
    <cellStyle name="Normal 2 4 17 10 4 2" xfId="21218"/>
    <cellStyle name="Normal 2 4 17 10 5" xfId="3328"/>
    <cellStyle name="Normal 2 4 17 10 5 2" xfId="21219"/>
    <cellStyle name="Normal 2 4 17 10 6" xfId="3329"/>
    <cellStyle name="Normal 2 4 17 10 6 2" xfId="21220"/>
    <cellStyle name="Normal 2 4 17 10 7" xfId="3330"/>
    <cellStyle name="Normal 2 4 17 10 7 2" xfId="21221"/>
    <cellStyle name="Normal 2 4 17 10 8" xfId="3331"/>
    <cellStyle name="Normal 2 4 17 10 8 2" xfId="21222"/>
    <cellStyle name="Normal 2 4 17 10 9" xfId="3332"/>
    <cellStyle name="Normal 2 4 17 10 9 2" xfId="21223"/>
    <cellStyle name="Normal 2 4 17 11" xfId="3333"/>
    <cellStyle name="Normal 2 4 17 11 2" xfId="21224"/>
    <cellStyle name="Normal 2 4 17 12" xfId="3334"/>
    <cellStyle name="Normal 2 4 17 12 2" xfId="21225"/>
    <cellStyle name="Normal 2 4 17 13" xfId="3335"/>
    <cellStyle name="Normal 2 4 17 13 2" xfId="21226"/>
    <cellStyle name="Normal 2 4 17 14" xfId="3336"/>
    <cellStyle name="Normal 2 4 17 14 2" xfId="21227"/>
    <cellStyle name="Normal 2 4 17 15" xfId="3337"/>
    <cellStyle name="Normal 2 4 17 15 2" xfId="21228"/>
    <cellStyle name="Normal 2 4 17 16" xfId="3338"/>
    <cellStyle name="Normal 2 4 17 16 2" xfId="21229"/>
    <cellStyle name="Normal 2 4 17 17" xfId="3339"/>
    <cellStyle name="Normal 2 4 17 17 2" xfId="21230"/>
    <cellStyle name="Normal 2 4 17 18" xfId="3340"/>
    <cellStyle name="Normal 2 4 17 18 2" xfId="21231"/>
    <cellStyle name="Normal 2 4 17 19" xfId="3341"/>
    <cellStyle name="Normal 2 4 17 19 2" xfId="21232"/>
    <cellStyle name="Normal 2 4 17 2" xfId="3342"/>
    <cellStyle name="Normal 2 4 17 2 10" xfId="3343"/>
    <cellStyle name="Normal 2 4 17 2 10 2" xfId="21234"/>
    <cellStyle name="Normal 2 4 17 2 11" xfId="3344"/>
    <cellStyle name="Normal 2 4 17 2 11 2" xfId="21235"/>
    <cellStyle name="Normal 2 4 17 2 12" xfId="3345"/>
    <cellStyle name="Normal 2 4 17 2 12 2" xfId="21236"/>
    <cellStyle name="Normal 2 4 17 2 13" xfId="3346"/>
    <cellStyle name="Normal 2 4 17 2 13 2" xfId="21237"/>
    <cellStyle name="Normal 2 4 17 2 14" xfId="3347"/>
    <cellStyle name="Normal 2 4 17 2 14 2" xfId="21238"/>
    <cellStyle name="Normal 2 4 17 2 15" xfId="3348"/>
    <cellStyle name="Normal 2 4 17 2 15 2" xfId="21239"/>
    <cellStyle name="Normal 2 4 17 2 16" xfId="21233"/>
    <cellStyle name="Normal 2 4 17 2 2" xfId="3349"/>
    <cellStyle name="Normal 2 4 17 2 2 10" xfId="3350"/>
    <cellStyle name="Normal 2 4 17 2 2 10 2" xfId="21241"/>
    <cellStyle name="Normal 2 4 17 2 2 11" xfId="3351"/>
    <cellStyle name="Normal 2 4 17 2 2 11 2" xfId="21242"/>
    <cellStyle name="Normal 2 4 17 2 2 12" xfId="3352"/>
    <cellStyle name="Normal 2 4 17 2 2 12 2" xfId="21243"/>
    <cellStyle name="Normal 2 4 17 2 2 13" xfId="3353"/>
    <cellStyle name="Normal 2 4 17 2 2 13 2" xfId="21244"/>
    <cellStyle name="Normal 2 4 17 2 2 14" xfId="3354"/>
    <cellStyle name="Normal 2 4 17 2 2 14 2" xfId="21245"/>
    <cellStyle name="Normal 2 4 17 2 2 15" xfId="21240"/>
    <cellStyle name="Normal 2 4 17 2 2 2" xfId="3355"/>
    <cellStyle name="Normal 2 4 17 2 2 2 2" xfId="21246"/>
    <cellStyle name="Normal 2 4 17 2 2 3" xfId="3356"/>
    <cellStyle name="Normal 2 4 17 2 2 3 2" xfId="21247"/>
    <cellStyle name="Normal 2 4 17 2 2 4" xfId="3357"/>
    <cellStyle name="Normal 2 4 17 2 2 4 2" xfId="21248"/>
    <cellStyle name="Normal 2 4 17 2 2 5" xfId="3358"/>
    <cellStyle name="Normal 2 4 17 2 2 5 2" xfId="21249"/>
    <cellStyle name="Normal 2 4 17 2 2 6" xfId="3359"/>
    <cellStyle name="Normal 2 4 17 2 2 6 2" xfId="21250"/>
    <cellStyle name="Normal 2 4 17 2 2 7" xfId="3360"/>
    <cellStyle name="Normal 2 4 17 2 2 7 2" xfId="21251"/>
    <cellStyle name="Normal 2 4 17 2 2 8" xfId="3361"/>
    <cellStyle name="Normal 2 4 17 2 2 8 2" xfId="21252"/>
    <cellStyle name="Normal 2 4 17 2 2 9" xfId="3362"/>
    <cellStyle name="Normal 2 4 17 2 2 9 2" xfId="21253"/>
    <cellStyle name="Normal 2 4 17 2 3" xfId="3363"/>
    <cellStyle name="Normal 2 4 17 2 3 2" xfId="21254"/>
    <cellStyle name="Normal 2 4 17 2 4" xfId="3364"/>
    <cellStyle name="Normal 2 4 17 2 4 2" xfId="21255"/>
    <cellStyle name="Normal 2 4 17 2 5" xfId="3365"/>
    <cellStyle name="Normal 2 4 17 2 5 2" xfId="21256"/>
    <cellStyle name="Normal 2 4 17 2 6" xfId="3366"/>
    <cellStyle name="Normal 2 4 17 2 6 2" xfId="21257"/>
    <cellStyle name="Normal 2 4 17 2 7" xfId="3367"/>
    <cellStyle name="Normal 2 4 17 2 7 2" xfId="21258"/>
    <cellStyle name="Normal 2 4 17 2 8" xfId="3368"/>
    <cellStyle name="Normal 2 4 17 2 8 2" xfId="21259"/>
    <cellStyle name="Normal 2 4 17 2 9" xfId="3369"/>
    <cellStyle name="Normal 2 4 17 2 9 2" xfId="21260"/>
    <cellStyle name="Normal 2 4 17 20" xfId="3370"/>
    <cellStyle name="Normal 2 4 17 20 2" xfId="21261"/>
    <cellStyle name="Normal 2 4 17 21" xfId="3371"/>
    <cellStyle name="Normal 2 4 17 21 2" xfId="21262"/>
    <cellStyle name="Normal 2 4 17 22" xfId="3372"/>
    <cellStyle name="Normal 2 4 17 22 2" xfId="21263"/>
    <cellStyle name="Normal 2 4 17 23" xfId="3373"/>
    <cellStyle name="Normal 2 4 17 23 2" xfId="21264"/>
    <cellStyle name="Normal 2 4 17 24" xfId="21209"/>
    <cellStyle name="Normal 2 4 17 3" xfId="3374"/>
    <cellStyle name="Normal 2 4 17 3 10" xfId="3375"/>
    <cellStyle name="Normal 2 4 17 3 10 2" xfId="21266"/>
    <cellStyle name="Normal 2 4 17 3 11" xfId="3376"/>
    <cellStyle name="Normal 2 4 17 3 11 2" xfId="21267"/>
    <cellStyle name="Normal 2 4 17 3 12" xfId="3377"/>
    <cellStyle name="Normal 2 4 17 3 12 2" xfId="21268"/>
    <cellStyle name="Normal 2 4 17 3 13" xfId="3378"/>
    <cellStyle name="Normal 2 4 17 3 13 2" xfId="21269"/>
    <cellStyle name="Normal 2 4 17 3 14" xfId="3379"/>
    <cellStyle name="Normal 2 4 17 3 14 2" xfId="21270"/>
    <cellStyle name="Normal 2 4 17 3 15" xfId="3380"/>
    <cellStyle name="Normal 2 4 17 3 15 2" xfId="21271"/>
    <cellStyle name="Normal 2 4 17 3 16" xfId="21265"/>
    <cellStyle name="Normal 2 4 17 3 2" xfId="3381"/>
    <cellStyle name="Normal 2 4 17 3 2 10" xfId="3382"/>
    <cellStyle name="Normal 2 4 17 3 2 10 2" xfId="21273"/>
    <cellStyle name="Normal 2 4 17 3 2 11" xfId="3383"/>
    <cellStyle name="Normal 2 4 17 3 2 11 2" xfId="21274"/>
    <cellStyle name="Normal 2 4 17 3 2 12" xfId="3384"/>
    <cellStyle name="Normal 2 4 17 3 2 12 2" xfId="21275"/>
    <cellStyle name="Normal 2 4 17 3 2 13" xfId="3385"/>
    <cellStyle name="Normal 2 4 17 3 2 13 2" xfId="21276"/>
    <cellStyle name="Normal 2 4 17 3 2 14" xfId="3386"/>
    <cellStyle name="Normal 2 4 17 3 2 14 2" xfId="21277"/>
    <cellStyle name="Normal 2 4 17 3 2 15" xfId="21272"/>
    <cellStyle name="Normal 2 4 17 3 2 2" xfId="3387"/>
    <cellStyle name="Normal 2 4 17 3 2 2 2" xfId="21278"/>
    <cellStyle name="Normal 2 4 17 3 2 3" xfId="3388"/>
    <cellStyle name="Normal 2 4 17 3 2 3 2" xfId="21279"/>
    <cellStyle name="Normal 2 4 17 3 2 4" xfId="3389"/>
    <cellStyle name="Normal 2 4 17 3 2 4 2" xfId="21280"/>
    <cellStyle name="Normal 2 4 17 3 2 5" xfId="3390"/>
    <cellStyle name="Normal 2 4 17 3 2 5 2" xfId="21281"/>
    <cellStyle name="Normal 2 4 17 3 2 6" xfId="3391"/>
    <cellStyle name="Normal 2 4 17 3 2 6 2" xfId="21282"/>
    <cellStyle name="Normal 2 4 17 3 2 7" xfId="3392"/>
    <cellStyle name="Normal 2 4 17 3 2 7 2" xfId="21283"/>
    <cellStyle name="Normal 2 4 17 3 2 8" xfId="3393"/>
    <cellStyle name="Normal 2 4 17 3 2 8 2" xfId="21284"/>
    <cellStyle name="Normal 2 4 17 3 2 9" xfId="3394"/>
    <cellStyle name="Normal 2 4 17 3 2 9 2" xfId="21285"/>
    <cellStyle name="Normal 2 4 17 3 3" xfId="3395"/>
    <cellStyle name="Normal 2 4 17 3 3 2" xfId="21286"/>
    <cellStyle name="Normal 2 4 17 3 4" xfId="3396"/>
    <cellStyle name="Normal 2 4 17 3 4 2" xfId="21287"/>
    <cellStyle name="Normal 2 4 17 3 5" xfId="3397"/>
    <cellStyle name="Normal 2 4 17 3 5 2" xfId="21288"/>
    <cellStyle name="Normal 2 4 17 3 6" xfId="3398"/>
    <cellStyle name="Normal 2 4 17 3 6 2" xfId="21289"/>
    <cellStyle name="Normal 2 4 17 3 7" xfId="3399"/>
    <cellStyle name="Normal 2 4 17 3 7 2" xfId="21290"/>
    <cellStyle name="Normal 2 4 17 3 8" xfId="3400"/>
    <cellStyle name="Normal 2 4 17 3 8 2" xfId="21291"/>
    <cellStyle name="Normal 2 4 17 3 9" xfId="3401"/>
    <cellStyle name="Normal 2 4 17 3 9 2" xfId="21292"/>
    <cellStyle name="Normal 2 4 17 4" xfId="3402"/>
    <cellStyle name="Normal 2 4 17 4 10" xfId="3403"/>
    <cellStyle name="Normal 2 4 17 4 10 2" xfId="21294"/>
    <cellStyle name="Normal 2 4 17 4 11" xfId="3404"/>
    <cellStyle name="Normal 2 4 17 4 11 2" xfId="21295"/>
    <cellStyle name="Normal 2 4 17 4 12" xfId="3405"/>
    <cellStyle name="Normal 2 4 17 4 12 2" xfId="21296"/>
    <cellStyle name="Normal 2 4 17 4 13" xfId="3406"/>
    <cellStyle name="Normal 2 4 17 4 13 2" xfId="21297"/>
    <cellStyle name="Normal 2 4 17 4 14" xfId="3407"/>
    <cellStyle name="Normal 2 4 17 4 14 2" xfId="21298"/>
    <cellStyle name="Normal 2 4 17 4 15" xfId="3408"/>
    <cellStyle name="Normal 2 4 17 4 15 2" xfId="21299"/>
    <cellStyle name="Normal 2 4 17 4 16" xfId="21293"/>
    <cellStyle name="Normal 2 4 17 4 2" xfId="3409"/>
    <cellStyle name="Normal 2 4 17 4 2 10" xfId="3410"/>
    <cellStyle name="Normal 2 4 17 4 2 10 2" xfId="21301"/>
    <cellStyle name="Normal 2 4 17 4 2 11" xfId="3411"/>
    <cellStyle name="Normal 2 4 17 4 2 11 2" xfId="21302"/>
    <cellStyle name="Normal 2 4 17 4 2 12" xfId="3412"/>
    <cellStyle name="Normal 2 4 17 4 2 12 2" xfId="21303"/>
    <cellStyle name="Normal 2 4 17 4 2 13" xfId="3413"/>
    <cellStyle name="Normal 2 4 17 4 2 13 2" xfId="21304"/>
    <cellStyle name="Normal 2 4 17 4 2 14" xfId="3414"/>
    <cellStyle name="Normal 2 4 17 4 2 14 2" xfId="21305"/>
    <cellStyle name="Normal 2 4 17 4 2 15" xfId="21300"/>
    <cellStyle name="Normal 2 4 17 4 2 2" xfId="3415"/>
    <cellStyle name="Normal 2 4 17 4 2 2 2" xfId="21306"/>
    <cellStyle name="Normal 2 4 17 4 2 3" xfId="3416"/>
    <cellStyle name="Normal 2 4 17 4 2 3 2" xfId="21307"/>
    <cellStyle name="Normal 2 4 17 4 2 4" xfId="3417"/>
    <cellStyle name="Normal 2 4 17 4 2 4 2" xfId="21308"/>
    <cellStyle name="Normal 2 4 17 4 2 5" xfId="3418"/>
    <cellStyle name="Normal 2 4 17 4 2 5 2" xfId="21309"/>
    <cellStyle name="Normal 2 4 17 4 2 6" xfId="3419"/>
    <cellStyle name="Normal 2 4 17 4 2 6 2" xfId="21310"/>
    <cellStyle name="Normal 2 4 17 4 2 7" xfId="3420"/>
    <cellStyle name="Normal 2 4 17 4 2 7 2" xfId="21311"/>
    <cellStyle name="Normal 2 4 17 4 2 8" xfId="3421"/>
    <cellStyle name="Normal 2 4 17 4 2 8 2" xfId="21312"/>
    <cellStyle name="Normal 2 4 17 4 2 9" xfId="3422"/>
    <cellStyle name="Normal 2 4 17 4 2 9 2" xfId="21313"/>
    <cellStyle name="Normal 2 4 17 4 3" xfId="3423"/>
    <cellStyle name="Normal 2 4 17 4 3 2" xfId="21314"/>
    <cellStyle name="Normal 2 4 17 4 4" xfId="3424"/>
    <cellStyle name="Normal 2 4 17 4 4 2" xfId="21315"/>
    <cellStyle name="Normal 2 4 17 4 5" xfId="3425"/>
    <cellStyle name="Normal 2 4 17 4 5 2" xfId="21316"/>
    <cellStyle name="Normal 2 4 17 4 6" xfId="3426"/>
    <cellStyle name="Normal 2 4 17 4 6 2" xfId="21317"/>
    <cellStyle name="Normal 2 4 17 4 7" xfId="3427"/>
    <cellStyle name="Normal 2 4 17 4 7 2" xfId="21318"/>
    <cellStyle name="Normal 2 4 17 4 8" xfId="3428"/>
    <cellStyle name="Normal 2 4 17 4 8 2" xfId="21319"/>
    <cellStyle name="Normal 2 4 17 4 9" xfId="3429"/>
    <cellStyle name="Normal 2 4 17 4 9 2" xfId="21320"/>
    <cellStyle name="Normal 2 4 17 5" xfId="3430"/>
    <cellStyle name="Normal 2 4 17 5 10" xfId="3431"/>
    <cellStyle name="Normal 2 4 17 5 10 2" xfId="21322"/>
    <cellStyle name="Normal 2 4 17 5 11" xfId="3432"/>
    <cellStyle name="Normal 2 4 17 5 11 2" xfId="21323"/>
    <cellStyle name="Normal 2 4 17 5 12" xfId="3433"/>
    <cellStyle name="Normal 2 4 17 5 12 2" xfId="21324"/>
    <cellStyle name="Normal 2 4 17 5 13" xfId="3434"/>
    <cellStyle name="Normal 2 4 17 5 13 2" xfId="21325"/>
    <cellStyle name="Normal 2 4 17 5 14" xfId="3435"/>
    <cellStyle name="Normal 2 4 17 5 14 2" xfId="21326"/>
    <cellStyle name="Normal 2 4 17 5 15" xfId="21321"/>
    <cellStyle name="Normal 2 4 17 5 2" xfId="3436"/>
    <cellStyle name="Normal 2 4 17 5 2 2" xfId="21327"/>
    <cellStyle name="Normal 2 4 17 5 3" xfId="3437"/>
    <cellStyle name="Normal 2 4 17 5 3 2" xfId="21328"/>
    <cellStyle name="Normal 2 4 17 5 4" xfId="3438"/>
    <cellStyle name="Normal 2 4 17 5 4 2" xfId="21329"/>
    <cellStyle name="Normal 2 4 17 5 5" xfId="3439"/>
    <cellStyle name="Normal 2 4 17 5 5 2" xfId="21330"/>
    <cellStyle name="Normal 2 4 17 5 6" xfId="3440"/>
    <cellStyle name="Normal 2 4 17 5 6 2" xfId="21331"/>
    <cellStyle name="Normal 2 4 17 5 7" xfId="3441"/>
    <cellStyle name="Normal 2 4 17 5 7 2" xfId="21332"/>
    <cellStyle name="Normal 2 4 17 5 8" xfId="3442"/>
    <cellStyle name="Normal 2 4 17 5 8 2" xfId="21333"/>
    <cellStyle name="Normal 2 4 17 5 9" xfId="3443"/>
    <cellStyle name="Normal 2 4 17 5 9 2" xfId="21334"/>
    <cellStyle name="Normal 2 4 17 6" xfId="3444"/>
    <cellStyle name="Normal 2 4 17 6 10" xfId="3445"/>
    <cellStyle name="Normal 2 4 17 6 10 2" xfId="21336"/>
    <cellStyle name="Normal 2 4 17 6 11" xfId="3446"/>
    <cellStyle name="Normal 2 4 17 6 11 2" xfId="21337"/>
    <cellStyle name="Normal 2 4 17 6 12" xfId="3447"/>
    <cellStyle name="Normal 2 4 17 6 12 2" xfId="21338"/>
    <cellStyle name="Normal 2 4 17 6 13" xfId="3448"/>
    <cellStyle name="Normal 2 4 17 6 13 2" xfId="21339"/>
    <cellStyle name="Normal 2 4 17 6 14" xfId="3449"/>
    <cellStyle name="Normal 2 4 17 6 14 2" xfId="21340"/>
    <cellStyle name="Normal 2 4 17 6 15" xfId="21335"/>
    <cellStyle name="Normal 2 4 17 6 2" xfId="3450"/>
    <cellStyle name="Normal 2 4 17 6 2 2" xfId="21341"/>
    <cellStyle name="Normal 2 4 17 6 3" xfId="3451"/>
    <cellStyle name="Normal 2 4 17 6 3 2" xfId="21342"/>
    <cellStyle name="Normal 2 4 17 6 4" xfId="3452"/>
    <cellStyle name="Normal 2 4 17 6 4 2" xfId="21343"/>
    <cellStyle name="Normal 2 4 17 6 5" xfId="3453"/>
    <cellStyle name="Normal 2 4 17 6 5 2" xfId="21344"/>
    <cellStyle name="Normal 2 4 17 6 6" xfId="3454"/>
    <cellStyle name="Normal 2 4 17 6 6 2" xfId="21345"/>
    <cellStyle name="Normal 2 4 17 6 7" xfId="3455"/>
    <cellStyle name="Normal 2 4 17 6 7 2" xfId="21346"/>
    <cellStyle name="Normal 2 4 17 6 8" xfId="3456"/>
    <cellStyle name="Normal 2 4 17 6 8 2" xfId="21347"/>
    <cellStyle name="Normal 2 4 17 6 9" xfId="3457"/>
    <cellStyle name="Normal 2 4 17 6 9 2" xfId="21348"/>
    <cellStyle name="Normal 2 4 17 7" xfId="3458"/>
    <cellStyle name="Normal 2 4 17 7 10" xfId="3459"/>
    <cellStyle name="Normal 2 4 17 7 10 2" xfId="21350"/>
    <cellStyle name="Normal 2 4 17 7 11" xfId="3460"/>
    <cellStyle name="Normal 2 4 17 7 11 2" xfId="21351"/>
    <cellStyle name="Normal 2 4 17 7 12" xfId="3461"/>
    <cellStyle name="Normal 2 4 17 7 12 2" xfId="21352"/>
    <cellStyle name="Normal 2 4 17 7 13" xfId="3462"/>
    <cellStyle name="Normal 2 4 17 7 13 2" xfId="21353"/>
    <cellStyle name="Normal 2 4 17 7 14" xfId="3463"/>
    <cellStyle name="Normal 2 4 17 7 14 2" xfId="21354"/>
    <cellStyle name="Normal 2 4 17 7 15" xfId="21349"/>
    <cellStyle name="Normal 2 4 17 7 2" xfId="3464"/>
    <cellStyle name="Normal 2 4 17 7 2 2" xfId="21355"/>
    <cellStyle name="Normal 2 4 17 7 3" xfId="3465"/>
    <cellStyle name="Normal 2 4 17 7 3 2" xfId="21356"/>
    <cellStyle name="Normal 2 4 17 7 4" xfId="3466"/>
    <cellStyle name="Normal 2 4 17 7 4 2" xfId="21357"/>
    <cellStyle name="Normal 2 4 17 7 5" xfId="3467"/>
    <cellStyle name="Normal 2 4 17 7 5 2" xfId="21358"/>
    <cellStyle name="Normal 2 4 17 7 6" xfId="3468"/>
    <cellStyle name="Normal 2 4 17 7 6 2" xfId="21359"/>
    <cellStyle name="Normal 2 4 17 7 7" xfId="3469"/>
    <cellStyle name="Normal 2 4 17 7 7 2" xfId="21360"/>
    <cellStyle name="Normal 2 4 17 7 8" xfId="3470"/>
    <cellStyle name="Normal 2 4 17 7 8 2" xfId="21361"/>
    <cellStyle name="Normal 2 4 17 7 9" xfId="3471"/>
    <cellStyle name="Normal 2 4 17 7 9 2" xfId="21362"/>
    <cellStyle name="Normal 2 4 17 8" xfId="3472"/>
    <cellStyle name="Normal 2 4 17 8 10" xfId="3473"/>
    <cellStyle name="Normal 2 4 17 8 10 2" xfId="21364"/>
    <cellStyle name="Normal 2 4 17 8 11" xfId="3474"/>
    <cellStyle name="Normal 2 4 17 8 11 2" xfId="21365"/>
    <cellStyle name="Normal 2 4 17 8 12" xfId="3475"/>
    <cellStyle name="Normal 2 4 17 8 12 2" xfId="21366"/>
    <cellStyle name="Normal 2 4 17 8 13" xfId="3476"/>
    <cellStyle name="Normal 2 4 17 8 13 2" xfId="21367"/>
    <cellStyle name="Normal 2 4 17 8 14" xfId="3477"/>
    <cellStyle name="Normal 2 4 17 8 14 2" xfId="21368"/>
    <cellStyle name="Normal 2 4 17 8 15" xfId="21363"/>
    <cellStyle name="Normal 2 4 17 8 2" xfId="3478"/>
    <cellStyle name="Normal 2 4 17 8 2 2" xfId="21369"/>
    <cellStyle name="Normal 2 4 17 8 3" xfId="3479"/>
    <cellStyle name="Normal 2 4 17 8 3 2" xfId="21370"/>
    <cellStyle name="Normal 2 4 17 8 4" xfId="3480"/>
    <cellStyle name="Normal 2 4 17 8 4 2" xfId="21371"/>
    <cellStyle name="Normal 2 4 17 8 5" xfId="3481"/>
    <cellStyle name="Normal 2 4 17 8 5 2" xfId="21372"/>
    <cellStyle name="Normal 2 4 17 8 6" xfId="3482"/>
    <cellStyle name="Normal 2 4 17 8 6 2" xfId="21373"/>
    <cellStyle name="Normal 2 4 17 8 7" xfId="3483"/>
    <cellStyle name="Normal 2 4 17 8 7 2" xfId="21374"/>
    <cellStyle name="Normal 2 4 17 8 8" xfId="3484"/>
    <cellStyle name="Normal 2 4 17 8 8 2" xfId="21375"/>
    <cellStyle name="Normal 2 4 17 8 9" xfId="3485"/>
    <cellStyle name="Normal 2 4 17 8 9 2" xfId="21376"/>
    <cellStyle name="Normal 2 4 17 9" xfId="3486"/>
    <cellStyle name="Normal 2 4 17 9 10" xfId="3487"/>
    <cellStyle name="Normal 2 4 17 9 10 2" xfId="21378"/>
    <cellStyle name="Normal 2 4 17 9 11" xfId="3488"/>
    <cellStyle name="Normal 2 4 17 9 11 2" xfId="21379"/>
    <cellStyle name="Normal 2 4 17 9 12" xfId="3489"/>
    <cellStyle name="Normal 2 4 17 9 12 2" xfId="21380"/>
    <cellStyle name="Normal 2 4 17 9 13" xfId="3490"/>
    <cellStyle name="Normal 2 4 17 9 13 2" xfId="21381"/>
    <cellStyle name="Normal 2 4 17 9 14" xfId="3491"/>
    <cellStyle name="Normal 2 4 17 9 14 2" xfId="21382"/>
    <cellStyle name="Normal 2 4 17 9 15" xfId="21377"/>
    <cellStyle name="Normal 2 4 17 9 2" xfId="3492"/>
    <cellStyle name="Normal 2 4 17 9 2 2" xfId="21383"/>
    <cellStyle name="Normal 2 4 17 9 3" xfId="3493"/>
    <cellStyle name="Normal 2 4 17 9 3 2" xfId="21384"/>
    <cellStyle name="Normal 2 4 17 9 4" xfId="3494"/>
    <cellStyle name="Normal 2 4 17 9 4 2" xfId="21385"/>
    <cellStyle name="Normal 2 4 17 9 5" xfId="3495"/>
    <cellStyle name="Normal 2 4 17 9 5 2" xfId="21386"/>
    <cellStyle name="Normal 2 4 17 9 6" xfId="3496"/>
    <cellStyle name="Normal 2 4 17 9 6 2" xfId="21387"/>
    <cellStyle name="Normal 2 4 17 9 7" xfId="3497"/>
    <cellStyle name="Normal 2 4 17 9 7 2" xfId="21388"/>
    <cellStyle name="Normal 2 4 17 9 8" xfId="3498"/>
    <cellStyle name="Normal 2 4 17 9 8 2" xfId="21389"/>
    <cellStyle name="Normal 2 4 17 9 9" xfId="3499"/>
    <cellStyle name="Normal 2 4 17 9 9 2" xfId="21390"/>
    <cellStyle name="Normal 2 4 18" xfId="3500"/>
    <cellStyle name="Normal 2 4 18 10" xfId="3501"/>
    <cellStyle name="Normal 2 4 18 10 10" xfId="3502"/>
    <cellStyle name="Normal 2 4 18 10 10 2" xfId="21393"/>
    <cellStyle name="Normal 2 4 18 10 11" xfId="3503"/>
    <cellStyle name="Normal 2 4 18 10 11 2" xfId="21394"/>
    <cellStyle name="Normal 2 4 18 10 12" xfId="3504"/>
    <cellStyle name="Normal 2 4 18 10 12 2" xfId="21395"/>
    <cellStyle name="Normal 2 4 18 10 13" xfId="3505"/>
    <cellStyle name="Normal 2 4 18 10 13 2" xfId="21396"/>
    <cellStyle name="Normal 2 4 18 10 14" xfId="3506"/>
    <cellStyle name="Normal 2 4 18 10 14 2" xfId="21397"/>
    <cellStyle name="Normal 2 4 18 10 15" xfId="21392"/>
    <cellStyle name="Normal 2 4 18 10 2" xfId="3507"/>
    <cellStyle name="Normal 2 4 18 10 2 2" xfId="21398"/>
    <cellStyle name="Normal 2 4 18 10 3" xfId="3508"/>
    <cellStyle name="Normal 2 4 18 10 3 2" xfId="21399"/>
    <cellStyle name="Normal 2 4 18 10 4" xfId="3509"/>
    <cellStyle name="Normal 2 4 18 10 4 2" xfId="21400"/>
    <cellStyle name="Normal 2 4 18 10 5" xfId="3510"/>
    <cellStyle name="Normal 2 4 18 10 5 2" xfId="21401"/>
    <cellStyle name="Normal 2 4 18 10 6" xfId="3511"/>
    <cellStyle name="Normal 2 4 18 10 6 2" xfId="21402"/>
    <cellStyle name="Normal 2 4 18 10 7" xfId="3512"/>
    <cellStyle name="Normal 2 4 18 10 7 2" xfId="21403"/>
    <cellStyle name="Normal 2 4 18 10 8" xfId="3513"/>
    <cellStyle name="Normal 2 4 18 10 8 2" xfId="21404"/>
    <cellStyle name="Normal 2 4 18 10 9" xfId="3514"/>
    <cellStyle name="Normal 2 4 18 10 9 2" xfId="21405"/>
    <cellStyle name="Normal 2 4 18 11" xfId="3515"/>
    <cellStyle name="Normal 2 4 18 11 2" xfId="21406"/>
    <cellStyle name="Normal 2 4 18 12" xfId="3516"/>
    <cellStyle name="Normal 2 4 18 12 2" xfId="21407"/>
    <cellStyle name="Normal 2 4 18 13" xfId="3517"/>
    <cellStyle name="Normal 2 4 18 13 2" xfId="21408"/>
    <cellStyle name="Normal 2 4 18 14" xfId="3518"/>
    <cellStyle name="Normal 2 4 18 14 2" xfId="21409"/>
    <cellStyle name="Normal 2 4 18 15" xfId="3519"/>
    <cellStyle name="Normal 2 4 18 15 2" xfId="21410"/>
    <cellStyle name="Normal 2 4 18 16" xfId="3520"/>
    <cellStyle name="Normal 2 4 18 16 2" xfId="21411"/>
    <cellStyle name="Normal 2 4 18 17" xfId="3521"/>
    <cellStyle name="Normal 2 4 18 17 2" xfId="21412"/>
    <cellStyle name="Normal 2 4 18 18" xfId="3522"/>
    <cellStyle name="Normal 2 4 18 18 2" xfId="21413"/>
    <cellStyle name="Normal 2 4 18 19" xfId="3523"/>
    <cellStyle name="Normal 2 4 18 19 2" xfId="21414"/>
    <cellStyle name="Normal 2 4 18 2" xfId="3524"/>
    <cellStyle name="Normal 2 4 18 2 10" xfId="3525"/>
    <cellStyle name="Normal 2 4 18 2 10 2" xfId="21416"/>
    <cellStyle name="Normal 2 4 18 2 11" xfId="3526"/>
    <cellStyle name="Normal 2 4 18 2 11 2" xfId="21417"/>
    <cellStyle name="Normal 2 4 18 2 12" xfId="3527"/>
    <cellStyle name="Normal 2 4 18 2 12 2" xfId="21418"/>
    <cellStyle name="Normal 2 4 18 2 13" xfId="3528"/>
    <cellStyle name="Normal 2 4 18 2 13 2" xfId="21419"/>
    <cellStyle name="Normal 2 4 18 2 14" xfId="3529"/>
    <cellStyle name="Normal 2 4 18 2 14 2" xfId="21420"/>
    <cellStyle name="Normal 2 4 18 2 15" xfId="3530"/>
    <cellStyle name="Normal 2 4 18 2 15 2" xfId="21421"/>
    <cellStyle name="Normal 2 4 18 2 16" xfId="21415"/>
    <cellStyle name="Normal 2 4 18 2 2" xfId="3531"/>
    <cellStyle name="Normal 2 4 18 2 2 10" xfId="3532"/>
    <cellStyle name="Normal 2 4 18 2 2 10 2" xfId="21423"/>
    <cellStyle name="Normal 2 4 18 2 2 11" xfId="3533"/>
    <cellStyle name="Normal 2 4 18 2 2 11 2" xfId="21424"/>
    <cellStyle name="Normal 2 4 18 2 2 12" xfId="3534"/>
    <cellStyle name="Normal 2 4 18 2 2 12 2" xfId="21425"/>
    <cellStyle name="Normal 2 4 18 2 2 13" xfId="3535"/>
    <cellStyle name="Normal 2 4 18 2 2 13 2" xfId="21426"/>
    <cellStyle name="Normal 2 4 18 2 2 14" xfId="3536"/>
    <cellStyle name="Normal 2 4 18 2 2 14 2" xfId="21427"/>
    <cellStyle name="Normal 2 4 18 2 2 15" xfId="21422"/>
    <cellStyle name="Normal 2 4 18 2 2 2" xfId="3537"/>
    <cellStyle name="Normal 2 4 18 2 2 2 2" xfId="21428"/>
    <cellStyle name="Normal 2 4 18 2 2 3" xfId="3538"/>
    <cellStyle name="Normal 2 4 18 2 2 3 2" xfId="21429"/>
    <cellStyle name="Normal 2 4 18 2 2 4" xfId="3539"/>
    <cellStyle name="Normal 2 4 18 2 2 4 2" xfId="21430"/>
    <cellStyle name="Normal 2 4 18 2 2 5" xfId="3540"/>
    <cellStyle name="Normal 2 4 18 2 2 5 2" xfId="21431"/>
    <cellStyle name="Normal 2 4 18 2 2 6" xfId="3541"/>
    <cellStyle name="Normal 2 4 18 2 2 6 2" xfId="21432"/>
    <cellStyle name="Normal 2 4 18 2 2 7" xfId="3542"/>
    <cellStyle name="Normal 2 4 18 2 2 7 2" xfId="21433"/>
    <cellStyle name="Normal 2 4 18 2 2 8" xfId="3543"/>
    <cellStyle name="Normal 2 4 18 2 2 8 2" xfId="21434"/>
    <cellStyle name="Normal 2 4 18 2 2 9" xfId="3544"/>
    <cellStyle name="Normal 2 4 18 2 2 9 2" xfId="21435"/>
    <cellStyle name="Normal 2 4 18 2 3" xfId="3545"/>
    <cellStyle name="Normal 2 4 18 2 3 2" xfId="21436"/>
    <cellStyle name="Normal 2 4 18 2 4" xfId="3546"/>
    <cellStyle name="Normal 2 4 18 2 4 2" xfId="21437"/>
    <cellStyle name="Normal 2 4 18 2 5" xfId="3547"/>
    <cellStyle name="Normal 2 4 18 2 5 2" xfId="21438"/>
    <cellStyle name="Normal 2 4 18 2 6" xfId="3548"/>
    <cellStyle name="Normal 2 4 18 2 6 2" xfId="21439"/>
    <cellStyle name="Normal 2 4 18 2 7" xfId="3549"/>
    <cellStyle name="Normal 2 4 18 2 7 2" xfId="21440"/>
    <cellStyle name="Normal 2 4 18 2 8" xfId="3550"/>
    <cellStyle name="Normal 2 4 18 2 8 2" xfId="21441"/>
    <cellStyle name="Normal 2 4 18 2 9" xfId="3551"/>
    <cellStyle name="Normal 2 4 18 2 9 2" xfId="21442"/>
    <cellStyle name="Normal 2 4 18 20" xfId="3552"/>
    <cellStyle name="Normal 2 4 18 20 2" xfId="21443"/>
    <cellStyle name="Normal 2 4 18 21" xfId="3553"/>
    <cellStyle name="Normal 2 4 18 21 2" xfId="21444"/>
    <cellStyle name="Normal 2 4 18 22" xfId="3554"/>
    <cellStyle name="Normal 2 4 18 22 2" xfId="21445"/>
    <cellStyle name="Normal 2 4 18 23" xfId="3555"/>
    <cellStyle name="Normal 2 4 18 23 2" xfId="21446"/>
    <cellStyle name="Normal 2 4 18 24" xfId="21391"/>
    <cellStyle name="Normal 2 4 18 3" xfId="3556"/>
    <cellStyle name="Normal 2 4 18 3 10" xfId="3557"/>
    <cellStyle name="Normal 2 4 18 3 10 2" xfId="21448"/>
    <cellStyle name="Normal 2 4 18 3 11" xfId="3558"/>
    <cellStyle name="Normal 2 4 18 3 11 2" xfId="21449"/>
    <cellStyle name="Normal 2 4 18 3 12" xfId="3559"/>
    <cellStyle name="Normal 2 4 18 3 12 2" xfId="21450"/>
    <cellStyle name="Normal 2 4 18 3 13" xfId="3560"/>
    <cellStyle name="Normal 2 4 18 3 13 2" xfId="21451"/>
    <cellStyle name="Normal 2 4 18 3 14" xfId="3561"/>
    <cellStyle name="Normal 2 4 18 3 14 2" xfId="21452"/>
    <cellStyle name="Normal 2 4 18 3 15" xfId="3562"/>
    <cellStyle name="Normal 2 4 18 3 15 2" xfId="21453"/>
    <cellStyle name="Normal 2 4 18 3 16" xfId="21447"/>
    <cellStyle name="Normal 2 4 18 3 2" xfId="3563"/>
    <cellStyle name="Normal 2 4 18 3 2 10" xfId="3564"/>
    <cellStyle name="Normal 2 4 18 3 2 10 2" xfId="21455"/>
    <cellStyle name="Normal 2 4 18 3 2 11" xfId="3565"/>
    <cellStyle name="Normal 2 4 18 3 2 11 2" xfId="21456"/>
    <cellStyle name="Normal 2 4 18 3 2 12" xfId="3566"/>
    <cellStyle name="Normal 2 4 18 3 2 12 2" xfId="21457"/>
    <cellStyle name="Normal 2 4 18 3 2 13" xfId="3567"/>
    <cellStyle name="Normal 2 4 18 3 2 13 2" xfId="21458"/>
    <cellStyle name="Normal 2 4 18 3 2 14" xfId="3568"/>
    <cellStyle name="Normal 2 4 18 3 2 14 2" xfId="21459"/>
    <cellStyle name="Normal 2 4 18 3 2 15" xfId="21454"/>
    <cellStyle name="Normal 2 4 18 3 2 2" xfId="3569"/>
    <cellStyle name="Normal 2 4 18 3 2 2 2" xfId="21460"/>
    <cellStyle name="Normal 2 4 18 3 2 3" xfId="3570"/>
    <cellStyle name="Normal 2 4 18 3 2 3 2" xfId="21461"/>
    <cellStyle name="Normal 2 4 18 3 2 4" xfId="3571"/>
    <cellStyle name="Normal 2 4 18 3 2 4 2" xfId="21462"/>
    <cellStyle name="Normal 2 4 18 3 2 5" xfId="3572"/>
    <cellStyle name="Normal 2 4 18 3 2 5 2" xfId="21463"/>
    <cellStyle name="Normal 2 4 18 3 2 6" xfId="3573"/>
    <cellStyle name="Normal 2 4 18 3 2 6 2" xfId="21464"/>
    <cellStyle name="Normal 2 4 18 3 2 7" xfId="3574"/>
    <cellStyle name="Normal 2 4 18 3 2 7 2" xfId="21465"/>
    <cellStyle name="Normal 2 4 18 3 2 8" xfId="3575"/>
    <cellStyle name="Normal 2 4 18 3 2 8 2" xfId="21466"/>
    <cellStyle name="Normal 2 4 18 3 2 9" xfId="3576"/>
    <cellStyle name="Normal 2 4 18 3 2 9 2" xfId="21467"/>
    <cellStyle name="Normal 2 4 18 3 3" xfId="3577"/>
    <cellStyle name="Normal 2 4 18 3 3 2" xfId="21468"/>
    <cellStyle name="Normal 2 4 18 3 4" xfId="3578"/>
    <cellStyle name="Normal 2 4 18 3 4 2" xfId="21469"/>
    <cellStyle name="Normal 2 4 18 3 5" xfId="3579"/>
    <cellStyle name="Normal 2 4 18 3 5 2" xfId="21470"/>
    <cellStyle name="Normal 2 4 18 3 6" xfId="3580"/>
    <cellStyle name="Normal 2 4 18 3 6 2" xfId="21471"/>
    <cellStyle name="Normal 2 4 18 3 7" xfId="3581"/>
    <cellStyle name="Normal 2 4 18 3 7 2" xfId="21472"/>
    <cellStyle name="Normal 2 4 18 3 8" xfId="3582"/>
    <cellStyle name="Normal 2 4 18 3 8 2" xfId="21473"/>
    <cellStyle name="Normal 2 4 18 3 9" xfId="3583"/>
    <cellStyle name="Normal 2 4 18 3 9 2" xfId="21474"/>
    <cellStyle name="Normal 2 4 18 4" xfId="3584"/>
    <cellStyle name="Normal 2 4 18 4 10" xfId="3585"/>
    <cellStyle name="Normal 2 4 18 4 10 2" xfId="21476"/>
    <cellStyle name="Normal 2 4 18 4 11" xfId="3586"/>
    <cellStyle name="Normal 2 4 18 4 11 2" xfId="21477"/>
    <cellStyle name="Normal 2 4 18 4 12" xfId="3587"/>
    <cellStyle name="Normal 2 4 18 4 12 2" xfId="21478"/>
    <cellStyle name="Normal 2 4 18 4 13" xfId="3588"/>
    <cellStyle name="Normal 2 4 18 4 13 2" xfId="21479"/>
    <cellStyle name="Normal 2 4 18 4 14" xfId="3589"/>
    <cellStyle name="Normal 2 4 18 4 14 2" xfId="21480"/>
    <cellStyle name="Normal 2 4 18 4 15" xfId="3590"/>
    <cellStyle name="Normal 2 4 18 4 15 2" xfId="21481"/>
    <cellStyle name="Normal 2 4 18 4 16" xfId="21475"/>
    <cellStyle name="Normal 2 4 18 4 2" xfId="3591"/>
    <cellStyle name="Normal 2 4 18 4 2 10" xfId="3592"/>
    <cellStyle name="Normal 2 4 18 4 2 10 2" xfId="21483"/>
    <cellStyle name="Normal 2 4 18 4 2 11" xfId="3593"/>
    <cellStyle name="Normal 2 4 18 4 2 11 2" xfId="21484"/>
    <cellStyle name="Normal 2 4 18 4 2 12" xfId="3594"/>
    <cellStyle name="Normal 2 4 18 4 2 12 2" xfId="21485"/>
    <cellStyle name="Normal 2 4 18 4 2 13" xfId="3595"/>
    <cellStyle name="Normal 2 4 18 4 2 13 2" xfId="21486"/>
    <cellStyle name="Normal 2 4 18 4 2 14" xfId="3596"/>
    <cellStyle name="Normal 2 4 18 4 2 14 2" xfId="21487"/>
    <cellStyle name="Normal 2 4 18 4 2 15" xfId="21482"/>
    <cellStyle name="Normal 2 4 18 4 2 2" xfId="3597"/>
    <cellStyle name="Normal 2 4 18 4 2 2 2" xfId="21488"/>
    <cellStyle name="Normal 2 4 18 4 2 3" xfId="3598"/>
    <cellStyle name="Normal 2 4 18 4 2 3 2" xfId="21489"/>
    <cellStyle name="Normal 2 4 18 4 2 4" xfId="3599"/>
    <cellStyle name="Normal 2 4 18 4 2 4 2" xfId="21490"/>
    <cellStyle name="Normal 2 4 18 4 2 5" xfId="3600"/>
    <cellStyle name="Normal 2 4 18 4 2 5 2" xfId="21491"/>
    <cellStyle name="Normal 2 4 18 4 2 6" xfId="3601"/>
    <cellStyle name="Normal 2 4 18 4 2 6 2" xfId="21492"/>
    <cellStyle name="Normal 2 4 18 4 2 7" xfId="3602"/>
    <cellStyle name="Normal 2 4 18 4 2 7 2" xfId="21493"/>
    <cellStyle name="Normal 2 4 18 4 2 8" xfId="3603"/>
    <cellStyle name="Normal 2 4 18 4 2 8 2" xfId="21494"/>
    <cellStyle name="Normal 2 4 18 4 2 9" xfId="3604"/>
    <cellStyle name="Normal 2 4 18 4 2 9 2" xfId="21495"/>
    <cellStyle name="Normal 2 4 18 4 3" xfId="3605"/>
    <cellStyle name="Normal 2 4 18 4 3 2" xfId="21496"/>
    <cellStyle name="Normal 2 4 18 4 4" xfId="3606"/>
    <cellStyle name="Normal 2 4 18 4 4 2" xfId="21497"/>
    <cellStyle name="Normal 2 4 18 4 5" xfId="3607"/>
    <cellStyle name="Normal 2 4 18 4 5 2" xfId="21498"/>
    <cellStyle name="Normal 2 4 18 4 6" xfId="3608"/>
    <cellStyle name="Normal 2 4 18 4 6 2" xfId="21499"/>
    <cellStyle name="Normal 2 4 18 4 7" xfId="3609"/>
    <cellStyle name="Normal 2 4 18 4 7 2" xfId="21500"/>
    <cellStyle name="Normal 2 4 18 4 8" xfId="3610"/>
    <cellStyle name="Normal 2 4 18 4 8 2" xfId="21501"/>
    <cellStyle name="Normal 2 4 18 4 9" xfId="3611"/>
    <cellStyle name="Normal 2 4 18 4 9 2" xfId="21502"/>
    <cellStyle name="Normal 2 4 18 5" xfId="3612"/>
    <cellStyle name="Normal 2 4 18 5 10" xfId="3613"/>
    <cellStyle name="Normal 2 4 18 5 10 2" xfId="21504"/>
    <cellStyle name="Normal 2 4 18 5 11" xfId="3614"/>
    <cellStyle name="Normal 2 4 18 5 11 2" xfId="21505"/>
    <cellStyle name="Normal 2 4 18 5 12" xfId="3615"/>
    <cellStyle name="Normal 2 4 18 5 12 2" xfId="21506"/>
    <cellStyle name="Normal 2 4 18 5 13" xfId="3616"/>
    <cellStyle name="Normal 2 4 18 5 13 2" xfId="21507"/>
    <cellStyle name="Normal 2 4 18 5 14" xfId="3617"/>
    <cellStyle name="Normal 2 4 18 5 14 2" xfId="21508"/>
    <cellStyle name="Normal 2 4 18 5 15" xfId="21503"/>
    <cellStyle name="Normal 2 4 18 5 2" xfId="3618"/>
    <cellStyle name="Normal 2 4 18 5 2 2" xfId="21509"/>
    <cellStyle name="Normal 2 4 18 5 3" xfId="3619"/>
    <cellStyle name="Normal 2 4 18 5 3 2" xfId="21510"/>
    <cellStyle name="Normal 2 4 18 5 4" xfId="3620"/>
    <cellStyle name="Normal 2 4 18 5 4 2" xfId="21511"/>
    <cellStyle name="Normal 2 4 18 5 5" xfId="3621"/>
    <cellStyle name="Normal 2 4 18 5 5 2" xfId="21512"/>
    <cellStyle name="Normal 2 4 18 5 6" xfId="3622"/>
    <cellStyle name="Normal 2 4 18 5 6 2" xfId="21513"/>
    <cellStyle name="Normal 2 4 18 5 7" xfId="3623"/>
    <cellStyle name="Normal 2 4 18 5 7 2" xfId="21514"/>
    <cellStyle name="Normal 2 4 18 5 8" xfId="3624"/>
    <cellStyle name="Normal 2 4 18 5 8 2" xfId="21515"/>
    <cellStyle name="Normal 2 4 18 5 9" xfId="3625"/>
    <cellStyle name="Normal 2 4 18 5 9 2" xfId="21516"/>
    <cellStyle name="Normal 2 4 18 6" xfId="3626"/>
    <cellStyle name="Normal 2 4 18 6 10" xfId="3627"/>
    <cellStyle name="Normal 2 4 18 6 10 2" xfId="21518"/>
    <cellStyle name="Normal 2 4 18 6 11" xfId="3628"/>
    <cellStyle name="Normal 2 4 18 6 11 2" xfId="21519"/>
    <cellStyle name="Normal 2 4 18 6 12" xfId="3629"/>
    <cellStyle name="Normal 2 4 18 6 12 2" xfId="21520"/>
    <cellStyle name="Normal 2 4 18 6 13" xfId="3630"/>
    <cellStyle name="Normal 2 4 18 6 13 2" xfId="21521"/>
    <cellStyle name="Normal 2 4 18 6 14" xfId="3631"/>
    <cellStyle name="Normal 2 4 18 6 14 2" xfId="21522"/>
    <cellStyle name="Normal 2 4 18 6 15" xfId="21517"/>
    <cellStyle name="Normal 2 4 18 6 2" xfId="3632"/>
    <cellStyle name="Normal 2 4 18 6 2 2" xfId="21523"/>
    <cellStyle name="Normal 2 4 18 6 3" xfId="3633"/>
    <cellStyle name="Normal 2 4 18 6 3 2" xfId="21524"/>
    <cellStyle name="Normal 2 4 18 6 4" xfId="3634"/>
    <cellStyle name="Normal 2 4 18 6 4 2" xfId="21525"/>
    <cellStyle name="Normal 2 4 18 6 5" xfId="3635"/>
    <cellStyle name="Normal 2 4 18 6 5 2" xfId="21526"/>
    <cellStyle name="Normal 2 4 18 6 6" xfId="3636"/>
    <cellStyle name="Normal 2 4 18 6 6 2" xfId="21527"/>
    <cellStyle name="Normal 2 4 18 6 7" xfId="3637"/>
    <cellStyle name="Normal 2 4 18 6 7 2" xfId="21528"/>
    <cellStyle name="Normal 2 4 18 6 8" xfId="3638"/>
    <cellStyle name="Normal 2 4 18 6 8 2" xfId="21529"/>
    <cellStyle name="Normal 2 4 18 6 9" xfId="3639"/>
    <cellStyle name="Normal 2 4 18 6 9 2" xfId="21530"/>
    <cellStyle name="Normal 2 4 18 7" xfId="3640"/>
    <cellStyle name="Normal 2 4 18 7 10" xfId="3641"/>
    <cellStyle name="Normal 2 4 18 7 10 2" xfId="21532"/>
    <cellStyle name="Normal 2 4 18 7 11" xfId="3642"/>
    <cellStyle name="Normal 2 4 18 7 11 2" xfId="21533"/>
    <cellStyle name="Normal 2 4 18 7 12" xfId="3643"/>
    <cellStyle name="Normal 2 4 18 7 12 2" xfId="21534"/>
    <cellStyle name="Normal 2 4 18 7 13" xfId="3644"/>
    <cellStyle name="Normal 2 4 18 7 13 2" xfId="21535"/>
    <cellStyle name="Normal 2 4 18 7 14" xfId="3645"/>
    <cellStyle name="Normal 2 4 18 7 14 2" xfId="21536"/>
    <cellStyle name="Normal 2 4 18 7 15" xfId="21531"/>
    <cellStyle name="Normal 2 4 18 7 2" xfId="3646"/>
    <cellStyle name="Normal 2 4 18 7 2 2" xfId="21537"/>
    <cellStyle name="Normal 2 4 18 7 3" xfId="3647"/>
    <cellStyle name="Normal 2 4 18 7 3 2" xfId="21538"/>
    <cellStyle name="Normal 2 4 18 7 4" xfId="3648"/>
    <cellStyle name="Normal 2 4 18 7 4 2" xfId="21539"/>
    <cellStyle name="Normal 2 4 18 7 5" xfId="3649"/>
    <cellStyle name="Normal 2 4 18 7 5 2" xfId="21540"/>
    <cellStyle name="Normal 2 4 18 7 6" xfId="3650"/>
    <cellStyle name="Normal 2 4 18 7 6 2" xfId="21541"/>
    <cellStyle name="Normal 2 4 18 7 7" xfId="3651"/>
    <cellStyle name="Normal 2 4 18 7 7 2" xfId="21542"/>
    <cellStyle name="Normal 2 4 18 7 8" xfId="3652"/>
    <cellStyle name="Normal 2 4 18 7 8 2" xfId="21543"/>
    <cellStyle name="Normal 2 4 18 7 9" xfId="3653"/>
    <cellStyle name="Normal 2 4 18 7 9 2" xfId="21544"/>
    <cellStyle name="Normal 2 4 18 8" xfId="3654"/>
    <cellStyle name="Normal 2 4 18 8 10" xfId="3655"/>
    <cellStyle name="Normal 2 4 18 8 10 2" xfId="21546"/>
    <cellStyle name="Normal 2 4 18 8 11" xfId="3656"/>
    <cellStyle name="Normal 2 4 18 8 11 2" xfId="21547"/>
    <cellStyle name="Normal 2 4 18 8 12" xfId="3657"/>
    <cellStyle name="Normal 2 4 18 8 12 2" xfId="21548"/>
    <cellStyle name="Normal 2 4 18 8 13" xfId="3658"/>
    <cellStyle name="Normal 2 4 18 8 13 2" xfId="21549"/>
    <cellStyle name="Normal 2 4 18 8 14" xfId="3659"/>
    <cellStyle name="Normal 2 4 18 8 14 2" xfId="21550"/>
    <cellStyle name="Normal 2 4 18 8 15" xfId="21545"/>
    <cellStyle name="Normal 2 4 18 8 2" xfId="3660"/>
    <cellStyle name="Normal 2 4 18 8 2 2" xfId="21551"/>
    <cellStyle name="Normal 2 4 18 8 3" xfId="3661"/>
    <cellStyle name="Normal 2 4 18 8 3 2" xfId="21552"/>
    <cellStyle name="Normal 2 4 18 8 4" xfId="3662"/>
    <cellStyle name="Normal 2 4 18 8 4 2" xfId="21553"/>
    <cellStyle name="Normal 2 4 18 8 5" xfId="3663"/>
    <cellStyle name="Normal 2 4 18 8 5 2" xfId="21554"/>
    <cellStyle name="Normal 2 4 18 8 6" xfId="3664"/>
    <cellStyle name="Normal 2 4 18 8 6 2" xfId="21555"/>
    <cellStyle name="Normal 2 4 18 8 7" xfId="3665"/>
    <cellStyle name="Normal 2 4 18 8 7 2" xfId="21556"/>
    <cellStyle name="Normal 2 4 18 8 8" xfId="3666"/>
    <cellStyle name="Normal 2 4 18 8 8 2" xfId="21557"/>
    <cellStyle name="Normal 2 4 18 8 9" xfId="3667"/>
    <cellStyle name="Normal 2 4 18 8 9 2" xfId="21558"/>
    <cellStyle name="Normal 2 4 18 9" xfId="3668"/>
    <cellStyle name="Normal 2 4 18 9 10" xfId="3669"/>
    <cellStyle name="Normal 2 4 18 9 10 2" xfId="21560"/>
    <cellStyle name="Normal 2 4 18 9 11" xfId="3670"/>
    <cellStyle name="Normal 2 4 18 9 11 2" xfId="21561"/>
    <cellStyle name="Normal 2 4 18 9 12" xfId="3671"/>
    <cellStyle name="Normal 2 4 18 9 12 2" xfId="21562"/>
    <cellStyle name="Normal 2 4 18 9 13" xfId="3672"/>
    <cellStyle name="Normal 2 4 18 9 13 2" xfId="21563"/>
    <cellStyle name="Normal 2 4 18 9 14" xfId="3673"/>
    <cellStyle name="Normal 2 4 18 9 14 2" xfId="21564"/>
    <cellStyle name="Normal 2 4 18 9 15" xfId="21559"/>
    <cellStyle name="Normal 2 4 18 9 2" xfId="3674"/>
    <cellStyle name="Normal 2 4 18 9 2 2" xfId="21565"/>
    <cellStyle name="Normal 2 4 18 9 3" xfId="3675"/>
    <cellStyle name="Normal 2 4 18 9 3 2" xfId="21566"/>
    <cellStyle name="Normal 2 4 18 9 4" xfId="3676"/>
    <cellStyle name="Normal 2 4 18 9 4 2" xfId="21567"/>
    <cellStyle name="Normal 2 4 18 9 5" xfId="3677"/>
    <cellStyle name="Normal 2 4 18 9 5 2" xfId="21568"/>
    <cellStyle name="Normal 2 4 18 9 6" xfId="3678"/>
    <cellStyle name="Normal 2 4 18 9 6 2" xfId="21569"/>
    <cellStyle name="Normal 2 4 18 9 7" xfId="3679"/>
    <cellStyle name="Normal 2 4 18 9 7 2" xfId="21570"/>
    <cellStyle name="Normal 2 4 18 9 8" xfId="3680"/>
    <cellStyle name="Normal 2 4 18 9 8 2" xfId="21571"/>
    <cellStyle name="Normal 2 4 18 9 9" xfId="3681"/>
    <cellStyle name="Normal 2 4 18 9 9 2" xfId="21572"/>
    <cellStyle name="Normal 2 4 19" xfId="3682"/>
    <cellStyle name="Normal 2 4 19 10" xfId="3683"/>
    <cellStyle name="Normal 2 4 19 10 10" xfId="3684"/>
    <cellStyle name="Normal 2 4 19 10 10 2" xfId="21575"/>
    <cellStyle name="Normal 2 4 19 10 11" xfId="3685"/>
    <cellStyle name="Normal 2 4 19 10 11 2" xfId="21576"/>
    <cellStyle name="Normal 2 4 19 10 12" xfId="3686"/>
    <cellStyle name="Normal 2 4 19 10 12 2" xfId="21577"/>
    <cellStyle name="Normal 2 4 19 10 13" xfId="3687"/>
    <cellStyle name="Normal 2 4 19 10 13 2" xfId="21578"/>
    <cellStyle name="Normal 2 4 19 10 14" xfId="3688"/>
    <cellStyle name="Normal 2 4 19 10 14 2" xfId="21579"/>
    <cellStyle name="Normal 2 4 19 10 15" xfId="21574"/>
    <cellStyle name="Normal 2 4 19 10 2" xfId="3689"/>
    <cellStyle name="Normal 2 4 19 10 2 2" xfId="21580"/>
    <cellStyle name="Normal 2 4 19 10 3" xfId="3690"/>
    <cellStyle name="Normal 2 4 19 10 3 2" xfId="21581"/>
    <cellStyle name="Normal 2 4 19 10 4" xfId="3691"/>
    <cellStyle name="Normal 2 4 19 10 4 2" xfId="21582"/>
    <cellStyle name="Normal 2 4 19 10 5" xfId="3692"/>
    <cellStyle name="Normal 2 4 19 10 5 2" xfId="21583"/>
    <cellStyle name="Normal 2 4 19 10 6" xfId="3693"/>
    <cellStyle name="Normal 2 4 19 10 6 2" xfId="21584"/>
    <cellStyle name="Normal 2 4 19 10 7" xfId="3694"/>
    <cellStyle name="Normal 2 4 19 10 7 2" xfId="21585"/>
    <cellStyle name="Normal 2 4 19 10 8" xfId="3695"/>
    <cellStyle name="Normal 2 4 19 10 8 2" xfId="21586"/>
    <cellStyle name="Normal 2 4 19 10 9" xfId="3696"/>
    <cellStyle name="Normal 2 4 19 10 9 2" xfId="21587"/>
    <cellStyle name="Normal 2 4 19 11" xfId="3697"/>
    <cellStyle name="Normal 2 4 19 11 2" xfId="21588"/>
    <cellStyle name="Normal 2 4 19 12" xfId="3698"/>
    <cellStyle name="Normal 2 4 19 12 2" xfId="21589"/>
    <cellStyle name="Normal 2 4 19 13" xfId="3699"/>
    <cellStyle name="Normal 2 4 19 13 2" xfId="21590"/>
    <cellStyle name="Normal 2 4 19 14" xfId="3700"/>
    <cellStyle name="Normal 2 4 19 14 2" xfId="21591"/>
    <cellStyle name="Normal 2 4 19 15" xfId="3701"/>
    <cellStyle name="Normal 2 4 19 15 2" xfId="21592"/>
    <cellStyle name="Normal 2 4 19 16" xfId="3702"/>
    <cellStyle name="Normal 2 4 19 16 2" xfId="21593"/>
    <cellStyle name="Normal 2 4 19 17" xfId="3703"/>
    <cellStyle name="Normal 2 4 19 17 2" xfId="21594"/>
    <cellStyle name="Normal 2 4 19 18" xfId="3704"/>
    <cellStyle name="Normal 2 4 19 18 2" xfId="21595"/>
    <cellStyle name="Normal 2 4 19 19" xfId="3705"/>
    <cellStyle name="Normal 2 4 19 19 2" xfId="21596"/>
    <cellStyle name="Normal 2 4 19 2" xfId="3706"/>
    <cellStyle name="Normal 2 4 19 2 10" xfId="3707"/>
    <cellStyle name="Normal 2 4 19 2 10 2" xfId="21598"/>
    <cellStyle name="Normal 2 4 19 2 11" xfId="3708"/>
    <cellStyle name="Normal 2 4 19 2 11 2" xfId="21599"/>
    <cellStyle name="Normal 2 4 19 2 12" xfId="3709"/>
    <cellStyle name="Normal 2 4 19 2 12 2" xfId="21600"/>
    <cellStyle name="Normal 2 4 19 2 13" xfId="3710"/>
    <cellStyle name="Normal 2 4 19 2 13 2" xfId="21601"/>
    <cellStyle name="Normal 2 4 19 2 14" xfId="3711"/>
    <cellStyle name="Normal 2 4 19 2 14 2" xfId="21602"/>
    <cellStyle name="Normal 2 4 19 2 15" xfId="3712"/>
    <cellStyle name="Normal 2 4 19 2 15 2" xfId="21603"/>
    <cellStyle name="Normal 2 4 19 2 16" xfId="21597"/>
    <cellStyle name="Normal 2 4 19 2 2" xfId="3713"/>
    <cellStyle name="Normal 2 4 19 2 2 10" xfId="3714"/>
    <cellStyle name="Normal 2 4 19 2 2 10 2" xfId="21605"/>
    <cellStyle name="Normal 2 4 19 2 2 11" xfId="3715"/>
    <cellStyle name="Normal 2 4 19 2 2 11 2" xfId="21606"/>
    <cellStyle name="Normal 2 4 19 2 2 12" xfId="3716"/>
    <cellStyle name="Normal 2 4 19 2 2 12 2" xfId="21607"/>
    <cellStyle name="Normal 2 4 19 2 2 13" xfId="3717"/>
    <cellStyle name="Normal 2 4 19 2 2 13 2" xfId="21608"/>
    <cellStyle name="Normal 2 4 19 2 2 14" xfId="3718"/>
    <cellStyle name="Normal 2 4 19 2 2 14 2" xfId="21609"/>
    <cellStyle name="Normal 2 4 19 2 2 15" xfId="21604"/>
    <cellStyle name="Normal 2 4 19 2 2 2" xfId="3719"/>
    <cellStyle name="Normal 2 4 19 2 2 2 2" xfId="21610"/>
    <cellStyle name="Normal 2 4 19 2 2 3" xfId="3720"/>
    <cellStyle name="Normal 2 4 19 2 2 3 2" xfId="21611"/>
    <cellStyle name="Normal 2 4 19 2 2 4" xfId="3721"/>
    <cellStyle name="Normal 2 4 19 2 2 4 2" xfId="21612"/>
    <cellStyle name="Normal 2 4 19 2 2 5" xfId="3722"/>
    <cellStyle name="Normal 2 4 19 2 2 5 2" xfId="21613"/>
    <cellStyle name="Normal 2 4 19 2 2 6" xfId="3723"/>
    <cellStyle name="Normal 2 4 19 2 2 6 2" xfId="21614"/>
    <cellStyle name="Normal 2 4 19 2 2 7" xfId="3724"/>
    <cellStyle name="Normal 2 4 19 2 2 7 2" xfId="21615"/>
    <cellStyle name="Normal 2 4 19 2 2 8" xfId="3725"/>
    <cellStyle name="Normal 2 4 19 2 2 8 2" xfId="21616"/>
    <cellStyle name="Normal 2 4 19 2 2 9" xfId="3726"/>
    <cellStyle name="Normal 2 4 19 2 2 9 2" xfId="21617"/>
    <cellStyle name="Normal 2 4 19 2 3" xfId="3727"/>
    <cellStyle name="Normal 2 4 19 2 3 2" xfId="21618"/>
    <cellStyle name="Normal 2 4 19 2 4" xfId="3728"/>
    <cellStyle name="Normal 2 4 19 2 4 2" xfId="21619"/>
    <cellStyle name="Normal 2 4 19 2 5" xfId="3729"/>
    <cellStyle name="Normal 2 4 19 2 5 2" xfId="21620"/>
    <cellStyle name="Normal 2 4 19 2 6" xfId="3730"/>
    <cellStyle name="Normal 2 4 19 2 6 2" xfId="21621"/>
    <cellStyle name="Normal 2 4 19 2 7" xfId="3731"/>
    <cellStyle name="Normal 2 4 19 2 7 2" xfId="21622"/>
    <cellStyle name="Normal 2 4 19 2 8" xfId="3732"/>
    <cellStyle name="Normal 2 4 19 2 8 2" xfId="21623"/>
    <cellStyle name="Normal 2 4 19 2 9" xfId="3733"/>
    <cellStyle name="Normal 2 4 19 2 9 2" xfId="21624"/>
    <cellStyle name="Normal 2 4 19 20" xfId="3734"/>
    <cellStyle name="Normal 2 4 19 20 2" xfId="21625"/>
    <cellStyle name="Normal 2 4 19 21" xfId="3735"/>
    <cellStyle name="Normal 2 4 19 21 2" xfId="21626"/>
    <cellStyle name="Normal 2 4 19 22" xfId="3736"/>
    <cellStyle name="Normal 2 4 19 22 2" xfId="21627"/>
    <cellStyle name="Normal 2 4 19 23" xfId="3737"/>
    <cellStyle name="Normal 2 4 19 23 2" xfId="21628"/>
    <cellStyle name="Normal 2 4 19 24" xfId="21573"/>
    <cellStyle name="Normal 2 4 19 3" xfId="3738"/>
    <cellStyle name="Normal 2 4 19 3 10" xfId="3739"/>
    <cellStyle name="Normal 2 4 19 3 10 2" xfId="21630"/>
    <cellStyle name="Normal 2 4 19 3 11" xfId="3740"/>
    <cellStyle name="Normal 2 4 19 3 11 2" xfId="21631"/>
    <cellStyle name="Normal 2 4 19 3 12" xfId="3741"/>
    <cellStyle name="Normal 2 4 19 3 12 2" xfId="21632"/>
    <cellStyle name="Normal 2 4 19 3 13" xfId="3742"/>
    <cellStyle name="Normal 2 4 19 3 13 2" xfId="21633"/>
    <cellStyle name="Normal 2 4 19 3 14" xfId="3743"/>
    <cellStyle name="Normal 2 4 19 3 14 2" xfId="21634"/>
    <cellStyle name="Normal 2 4 19 3 15" xfId="3744"/>
    <cellStyle name="Normal 2 4 19 3 15 2" xfId="21635"/>
    <cellStyle name="Normal 2 4 19 3 16" xfId="21629"/>
    <cellStyle name="Normal 2 4 19 3 2" xfId="3745"/>
    <cellStyle name="Normal 2 4 19 3 2 10" xfId="3746"/>
    <cellStyle name="Normal 2 4 19 3 2 10 2" xfId="21637"/>
    <cellStyle name="Normal 2 4 19 3 2 11" xfId="3747"/>
    <cellStyle name="Normal 2 4 19 3 2 11 2" xfId="21638"/>
    <cellStyle name="Normal 2 4 19 3 2 12" xfId="3748"/>
    <cellStyle name="Normal 2 4 19 3 2 12 2" xfId="21639"/>
    <cellStyle name="Normal 2 4 19 3 2 13" xfId="3749"/>
    <cellStyle name="Normal 2 4 19 3 2 13 2" xfId="21640"/>
    <cellStyle name="Normal 2 4 19 3 2 14" xfId="3750"/>
    <cellStyle name="Normal 2 4 19 3 2 14 2" xfId="21641"/>
    <cellStyle name="Normal 2 4 19 3 2 15" xfId="21636"/>
    <cellStyle name="Normal 2 4 19 3 2 2" xfId="3751"/>
    <cellStyle name="Normal 2 4 19 3 2 2 2" xfId="21642"/>
    <cellStyle name="Normal 2 4 19 3 2 3" xfId="3752"/>
    <cellStyle name="Normal 2 4 19 3 2 3 2" xfId="21643"/>
    <cellStyle name="Normal 2 4 19 3 2 4" xfId="3753"/>
    <cellStyle name="Normal 2 4 19 3 2 4 2" xfId="21644"/>
    <cellStyle name="Normal 2 4 19 3 2 5" xfId="3754"/>
    <cellStyle name="Normal 2 4 19 3 2 5 2" xfId="21645"/>
    <cellStyle name="Normal 2 4 19 3 2 6" xfId="3755"/>
    <cellStyle name="Normal 2 4 19 3 2 6 2" xfId="21646"/>
    <cellStyle name="Normal 2 4 19 3 2 7" xfId="3756"/>
    <cellStyle name="Normal 2 4 19 3 2 7 2" xfId="21647"/>
    <cellStyle name="Normal 2 4 19 3 2 8" xfId="3757"/>
    <cellStyle name="Normal 2 4 19 3 2 8 2" xfId="21648"/>
    <cellStyle name="Normal 2 4 19 3 2 9" xfId="3758"/>
    <cellStyle name="Normal 2 4 19 3 2 9 2" xfId="21649"/>
    <cellStyle name="Normal 2 4 19 3 3" xfId="3759"/>
    <cellStyle name="Normal 2 4 19 3 3 2" xfId="21650"/>
    <cellStyle name="Normal 2 4 19 3 4" xfId="3760"/>
    <cellStyle name="Normal 2 4 19 3 4 2" xfId="21651"/>
    <cellStyle name="Normal 2 4 19 3 5" xfId="3761"/>
    <cellStyle name="Normal 2 4 19 3 5 2" xfId="21652"/>
    <cellStyle name="Normal 2 4 19 3 6" xfId="3762"/>
    <cellStyle name="Normal 2 4 19 3 6 2" xfId="21653"/>
    <cellStyle name="Normal 2 4 19 3 7" xfId="3763"/>
    <cellStyle name="Normal 2 4 19 3 7 2" xfId="21654"/>
    <cellStyle name="Normal 2 4 19 3 8" xfId="3764"/>
    <cellStyle name="Normal 2 4 19 3 8 2" xfId="21655"/>
    <cellStyle name="Normal 2 4 19 3 9" xfId="3765"/>
    <cellStyle name="Normal 2 4 19 3 9 2" xfId="21656"/>
    <cellStyle name="Normal 2 4 19 4" xfId="3766"/>
    <cellStyle name="Normal 2 4 19 4 10" xfId="3767"/>
    <cellStyle name="Normal 2 4 19 4 10 2" xfId="21658"/>
    <cellStyle name="Normal 2 4 19 4 11" xfId="3768"/>
    <cellStyle name="Normal 2 4 19 4 11 2" xfId="21659"/>
    <cellStyle name="Normal 2 4 19 4 12" xfId="3769"/>
    <cellStyle name="Normal 2 4 19 4 12 2" xfId="21660"/>
    <cellStyle name="Normal 2 4 19 4 13" xfId="3770"/>
    <cellStyle name="Normal 2 4 19 4 13 2" xfId="21661"/>
    <cellStyle name="Normal 2 4 19 4 14" xfId="3771"/>
    <cellStyle name="Normal 2 4 19 4 14 2" xfId="21662"/>
    <cellStyle name="Normal 2 4 19 4 15" xfId="3772"/>
    <cellStyle name="Normal 2 4 19 4 15 2" xfId="21663"/>
    <cellStyle name="Normal 2 4 19 4 16" xfId="21657"/>
    <cellStyle name="Normal 2 4 19 4 2" xfId="3773"/>
    <cellStyle name="Normal 2 4 19 4 2 10" xfId="3774"/>
    <cellStyle name="Normal 2 4 19 4 2 10 2" xfId="21665"/>
    <cellStyle name="Normal 2 4 19 4 2 11" xfId="3775"/>
    <cellStyle name="Normal 2 4 19 4 2 11 2" xfId="21666"/>
    <cellStyle name="Normal 2 4 19 4 2 12" xfId="3776"/>
    <cellStyle name="Normal 2 4 19 4 2 12 2" xfId="21667"/>
    <cellStyle name="Normal 2 4 19 4 2 13" xfId="3777"/>
    <cellStyle name="Normal 2 4 19 4 2 13 2" xfId="21668"/>
    <cellStyle name="Normal 2 4 19 4 2 14" xfId="3778"/>
    <cellStyle name="Normal 2 4 19 4 2 14 2" xfId="21669"/>
    <cellStyle name="Normal 2 4 19 4 2 15" xfId="21664"/>
    <cellStyle name="Normal 2 4 19 4 2 2" xfId="3779"/>
    <cellStyle name="Normal 2 4 19 4 2 2 2" xfId="21670"/>
    <cellStyle name="Normal 2 4 19 4 2 3" xfId="3780"/>
    <cellStyle name="Normal 2 4 19 4 2 3 2" xfId="21671"/>
    <cellStyle name="Normal 2 4 19 4 2 4" xfId="3781"/>
    <cellStyle name="Normal 2 4 19 4 2 4 2" xfId="21672"/>
    <cellStyle name="Normal 2 4 19 4 2 5" xfId="3782"/>
    <cellStyle name="Normal 2 4 19 4 2 5 2" xfId="21673"/>
    <cellStyle name="Normal 2 4 19 4 2 6" xfId="3783"/>
    <cellStyle name="Normal 2 4 19 4 2 6 2" xfId="21674"/>
    <cellStyle name="Normal 2 4 19 4 2 7" xfId="3784"/>
    <cellStyle name="Normal 2 4 19 4 2 7 2" xfId="21675"/>
    <cellStyle name="Normal 2 4 19 4 2 8" xfId="3785"/>
    <cellStyle name="Normal 2 4 19 4 2 8 2" xfId="21676"/>
    <cellStyle name="Normal 2 4 19 4 2 9" xfId="3786"/>
    <cellStyle name="Normal 2 4 19 4 2 9 2" xfId="21677"/>
    <cellStyle name="Normal 2 4 19 4 3" xfId="3787"/>
    <cellStyle name="Normal 2 4 19 4 3 2" xfId="21678"/>
    <cellStyle name="Normal 2 4 19 4 4" xfId="3788"/>
    <cellStyle name="Normal 2 4 19 4 4 2" xfId="21679"/>
    <cellStyle name="Normal 2 4 19 4 5" xfId="3789"/>
    <cellStyle name="Normal 2 4 19 4 5 2" xfId="21680"/>
    <cellStyle name="Normal 2 4 19 4 6" xfId="3790"/>
    <cellStyle name="Normal 2 4 19 4 6 2" xfId="21681"/>
    <cellStyle name="Normal 2 4 19 4 7" xfId="3791"/>
    <cellStyle name="Normal 2 4 19 4 7 2" xfId="21682"/>
    <cellStyle name="Normal 2 4 19 4 8" xfId="3792"/>
    <cellStyle name="Normal 2 4 19 4 8 2" xfId="21683"/>
    <cellStyle name="Normal 2 4 19 4 9" xfId="3793"/>
    <cellStyle name="Normal 2 4 19 4 9 2" xfId="21684"/>
    <cellStyle name="Normal 2 4 19 5" xfId="3794"/>
    <cellStyle name="Normal 2 4 19 5 10" xfId="3795"/>
    <cellStyle name="Normal 2 4 19 5 10 2" xfId="21686"/>
    <cellStyle name="Normal 2 4 19 5 11" xfId="3796"/>
    <cellStyle name="Normal 2 4 19 5 11 2" xfId="21687"/>
    <cellStyle name="Normal 2 4 19 5 12" xfId="3797"/>
    <cellStyle name="Normal 2 4 19 5 12 2" xfId="21688"/>
    <cellStyle name="Normal 2 4 19 5 13" xfId="3798"/>
    <cellStyle name="Normal 2 4 19 5 13 2" xfId="21689"/>
    <cellStyle name="Normal 2 4 19 5 14" xfId="3799"/>
    <cellStyle name="Normal 2 4 19 5 14 2" xfId="21690"/>
    <cellStyle name="Normal 2 4 19 5 15" xfId="21685"/>
    <cellStyle name="Normal 2 4 19 5 2" xfId="3800"/>
    <cellStyle name="Normal 2 4 19 5 2 2" xfId="21691"/>
    <cellStyle name="Normal 2 4 19 5 3" xfId="3801"/>
    <cellStyle name="Normal 2 4 19 5 3 2" xfId="21692"/>
    <cellStyle name="Normal 2 4 19 5 4" xfId="3802"/>
    <cellStyle name="Normal 2 4 19 5 4 2" xfId="21693"/>
    <cellStyle name="Normal 2 4 19 5 5" xfId="3803"/>
    <cellStyle name="Normal 2 4 19 5 5 2" xfId="21694"/>
    <cellStyle name="Normal 2 4 19 5 6" xfId="3804"/>
    <cellStyle name="Normal 2 4 19 5 6 2" xfId="21695"/>
    <cellStyle name="Normal 2 4 19 5 7" xfId="3805"/>
    <cellStyle name="Normal 2 4 19 5 7 2" xfId="21696"/>
    <cellStyle name="Normal 2 4 19 5 8" xfId="3806"/>
    <cellStyle name="Normal 2 4 19 5 8 2" xfId="21697"/>
    <cellStyle name="Normal 2 4 19 5 9" xfId="3807"/>
    <cellStyle name="Normal 2 4 19 5 9 2" xfId="21698"/>
    <cellStyle name="Normal 2 4 19 6" xfId="3808"/>
    <cellStyle name="Normal 2 4 19 6 10" xfId="3809"/>
    <cellStyle name="Normal 2 4 19 6 10 2" xfId="21700"/>
    <cellStyle name="Normal 2 4 19 6 11" xfId="3810"/>
    <cellStyle name="Normal 2 4 19 6 11 2" xfId="21701"/>
    <cellStyle name="Normal 2 4 19 6 12" xfId="3811"/>
    <cellStyle name="Normal 2 4 19 6 12 2" xfId="21702"/>
    <cellStyle name="Normal 2 4 19 6 13" xfId="3812"/>
    <cellStyle name="Normal 2 4 19 6 13 2" xfId="21703"/>
    <cellStyle name="Normal 2 4 19 6 14" xfId="3813"/>
    <cellStyle name="Normal 2 4 19 6 14 2" xfId="21704"/>
    <cellStyle name="Normal 2 4 19 6 15" xfId="21699"/>
    <cellStyle name="Normal 2 4 19 6 2" xfId="3814"/>
    <cellStyle name="Normal 2 4 19 6 2 2" xfId="21705"/>
    <cellStyle name="Normal 2 4 19 6 3" xfId="3815"/>
    <cellStyle name="Normal 2 4 19 6 3 2" xfId="21706"/>
    <cellStyle name="Normal 2 4 19 6 4" xfId="3816"/>
    <cellStyle name="Normal 2 4 19 6 4 2" xfId="21707"/>
    <cellStyle name="Normal 2 4 19 6 5" xfId="3817"/>
    <cellStyle name="Normal 2 4 19 6 5 2" xfId="21708"/>
    <cellStyle name="Normal 2 4 19 6 6" xfId="3818"/>
    <cellStyle name="Normal 2 4 19 6 6 2" xfId="21709"/>
    <cellStyle name="Normal 2 4 19 6 7" xfId="3819"/>
    <cellStyle name="Normal 2 4 19 6 7 2" xfId="21710"/>
    <cellStyle name="Normal 2 4 19 6 8" xfId="3820"/>
    <cellStyle name="Normal 2 4 19 6 8 2" xfId="21711"/>
    <cellStyle name="Normal 2 4 19 6 9" xfId="3821"/>
    <cellStyle name="Normal 2 4 19 6 9 2" xfId="21712"/>
    <cellStyle name="Normal 2 4 19 7" xfId="3822"/>
    <cellStyle name="Normal 2 4 19 7 10" xfId="3823"/>
    <cellStyle name="Normal 2 4 19 7 10 2" xfId="21714"/>
    <cellStyle name="Normal 2 4 19 7 11" xfId="3824"/>
    <cellStyle name="Normal 2 4 19 7 11 2" xfId="21715"/>
    <cellStyle name="Normal 2 4 19 7 12" xfId="3825"/>
    <cellStyle name="Normal 2 4 19 7 12 2" xfId="21716"/>
    <cellStyle name="Normal 2 4 19 7 13" xfId="3826"/>
    <cellStyle name="Normal 2 4 19 7 13 2" xfId="21717"/>
    <cellStyle name="Normal 2 4 19 7 14" xfId="3827"/>
    <cellStyle name="Normal 2 4 19 7 14 2" xfId="21718"/>
    <cellStyle name="Normal 2 4 19 7 15" xfId="21713"/>
    <cellStyle name="Normal 2 4 19 7 2" xfId="3828"/>
    <cellStyle name="Normal 2 4 19 7 2 2" xfId="21719"/>
    <cellStyle name="Normal 2 4 19 7 3" xfId="3829"/>
    <cellStyle name="Normal 2 4 19 7 3 2" xfId="21720"/>
    <cellStyle name="Normal 2 4 19 7 4" xfId="3830"/>
    <cellStyle name="Normal 2 4 19 7 4 2" xfId="21721"/>
    <cellStyle name="Normal 2 4 19 7 5" xfId="3831"/>
    <cellStyle name="Normal 2 4 19 7 5 2" xfId="21722"/>
    <cellStyle name="Normal 2 4 19 7 6" xfId="3832"/>
    <cellStyle name="Normal 2 4 19 7 6 2" xfId="21723"/>
    <cellStyle name="Normal 2 4 19 7 7" xfId="3833"/>
    <cellStyle name="Normal 2 4 19 7 7 2" xfId="21724"/>
    <cellStyle name="Normal 2 4 19 7 8" xfId="3834"/>
    <cellStyle name="Normal 2 4 19 7 8 2" xfId="21725"/>
    <cellStyle name="Normal 2 4 19 7 9" xfId="3835"/>
    <cellStyle name="Normal 2 4 19 7 9 2" xfId="21726"/>
    <cellStyle name="Normal 2 4 19 8" xfId="3836"/>
    <cellStyle name="Normal 2 4 19 8 10" xfId="3837"/>
    <cellStyle name="Normal 2 4 19 8 10 2" xfId="21728"/>
    <cellStyle name="Normal 2 4 19 8 11" xfId="3838"/>
    <cellStyle name="Normal 2 4 19 8 11 2" xfId="21729"/>
    <cellStyle name="Normal 2 4 19 8 12" xfId="3839"/>
    <cellStyle name="Normal 2 4 19 8 12 2" xfId="21730"/>
    <cellStyle name="Normal 2 4 19 8 13" xfId="3840"/>
    <cellStyle name="Normal 2 4 19 8 13 2" xfId="21731"/>
    <cellStyle name="Normal 2 4 19 8 14" xfId="3841"/>
    <cellStyle name="Normal 2 4 19 8 14 2" xfId="21732"/>
    <cellStyle name="Normal 2 4 19 8 15" xfId="21727"/>
    <cellStyle name="Normal 2 4 19 8 2" xfId="3842"/>
    <cellStyle name="Normal 2 4 19 8 2 2" xfId="21733"/>
    <cellStyle name="Normal 2 4 19 8 3" xfId="3843"/>
    <cellStyle name="Normal 2 4 19 8 3 2" xfId="21734"/>
    <cellStyle name="Normal 2 4 19 8 4" xfId="3844"/>
    <cellStyle name="Normal 2 4 19 8 4 2" xfId="21735"/>
    <cellStyle name="Normal 2 4 19 8 5" xfId="3845"/>
    <cellStyle name="Normal 2 4 19 8 5 2" xfId="21736"/>
    <cellStyle name="Normal 2 4 19 8 6" xfId="3846"/>
    <cellStyle name="Normal 2 4 19 8 6 2" xfId="21737"/>
    <cellStyle name="Normal 2 4 19 8 7" xfId="3847"/>
    <cellStyle name="Normal 2 4 19 8 7 2" xfId="21738"/>
    <cellStyle name="Normal 2 4 19 8 8" xfId="3848"/>
    <cellStyle name="Normal 2 4 19 8 8 2" xfId="21739"/>
    <cellStyle name="Normal 2 4 19 8 9" xfId="3849"/>
    <cellStyle name="Normal 2 4 19 8 9 2" xfId="21740"/>
    <cellStyle name="Normal 2 4 19 9" xfId="3850"/>
    <cellStyle name="Normal 2 4 19 9 10" xfId="3851"/>
    <cellStyle name="Normal 2 4 19 9 10 2" xfId="21742"/>
    <cellStyle name="Normal 2 4 19 9 11" xfId="3852"/>
    <cellStyle name="Normal 2 4 19 9 11 2" xfId="21743"/>
    <cellStyle name="Normal 2 4 19 9 12" xfId="3853"/>
    <cellStyle name="Normal 2 4 19 9 12 2" xfId="21744"/>
    <cellStyle name="Normal 2 4 19 9 13" xfId="3854"/>
    <cellStyle name="Normal 2 4 19 9 13 2" xfId="21745"/>
    <cellStyle name="Normal 2 4 19 9 14" xfId="3855"/>
    <cellStyle name="Normal 2 4 19 9 14 2" xfId="21746"/>
    <cellStyle name="Normal 2 4 19 9 15" xfId="21741"/>
    <cellStyle name="Normal 2 4 19 9 2" xfId="3856"/>
    <cellStyle name="Normal 2 4 19 9 2 2" xfId="21747"/>
    <cellStyle name="Normal 2 4 19 9 3" xfId="3857"/>
    <cellStyle name="Normal 2 4 19 9 3 2" xfId="21748"/>
    <cellStyle name="Normal 2 4 19 9 4" xfId="3858"/>
    <cellStyle name="Normal 2 4 19 9 4 2" xfId="21749"/>
    <cellStyle name="Normal 2 4 19 9 5" xfId="3859"/>
    <cellStyle name="Normal 2 4 19 9 5 2" xfId="21750"/>
    <cellStyle name="Normal 2 4 19 9 6" xfId="3860"/>
    <cellStyle name="Normal 2 4 19 9 6 2" xfId="21751"/>
    <cellStyle name="Normal 2 4 19 9 7" xfId="3861"/>
    <cellStyle name="Normal 2 4 19 9 7 2" xfId="21752"/>
    <cellStyle name="Normal 2 4 19 9 8" xfId="3862"/>
    <cellStyle name="Normal 2 4 19 9 8 2" xfId="21753"/>
    <cellStyle name="Normal 2 4 19 9 9" xfId="3863"/>
    <cellStyle name="Normal 2 4 19 9 9 2" xfId="21754"/>
    <cellStyle name="Normal 2 4 2" xfId="47"/>
    <cellStyle name="Normal 2 4 2 10" xfId="3864"/>
    <cellStyle name="Normal 2 4 2 11" xfId="3865"/>
    <cellStyle name="Normal 2 4 2 12" xfId="3866"/>
    <cellStyle name="Normal 2 4 2 13" xfId="3867"/>
    <cellStyle name="Normal 2 4 2 14" xfId="3868"/>
    <cellStyle name="Normal 2 4 2 15" xfId="3869"/>
    <cellStyle name="Normal 2 4 2 16" xfId="3870"/>
    <cellStyle name="Normal 2 4 2 16 10" xfId="3871"/>
    <cellStyle name="Normal 2 4 2 16 10 2" xfId="21757"/>
    <cellStyle name="Normal 2 4 2 16 11" xfId="3872"/>
    <cellStyle name="Normal 2 4 2 16 11 2" xfId="21758"/>
    <cellStyle name="Normal 2 4 2 16 12" xfId="3873"/>
    <cellStyle name="Normal 2 4 2 16 12 2" xfId="21759"/>
    <cellStyle name="Normal 2 4 2 16 13" xfId="3874"/>
    <cellStyle name="Normal 2 4 2 16 13 2" xfId="21760"/>
    <cellStyle name="Normal 2 4 2 16 14" xfId="3875"/>
    <cellStyle name="Normal 2 4 2 16 14 2" xfId="21761"/>
    <cellStyle name="Normal 2 4 2 16 15" xfId="3876"/>
    <cellStyle name="Normal 2 4 2 16 15 2" xfId="21762"/>
    <cellStyle name="Normal 2 4 2 16 16" xfId="3877"/>
    <cellStyle name="Normal 2 4 2 16 16 2" xfId="21763"/>
    <cellStyle name="Normal 2 4 2 16 17" xfId="3878"/>
    <cellStyle name="Normal 2 4 2 16 17 2" xfId="21764"/>
    <cellStyle name="Normal 2 4 2 16 18" xfId="21756"/>
    <cellStyle name="Normal 2 4 2 16 2" xfId="3879"/>
    <cellStyle name="Normal 2 4 2 16 3" xfId="3880"/>
    <cellStyle name="Normal 2 4 2 16 4" xfId="3881"/>
    <cellStyle name="Normal 2 4 2 16 5" xfId="3882"/>
    <cellStyle name="Normal 2 4 2 16 5 2" xfId="21765"/>
    <cellStyle name="Normal 2 4 2 16 6" xfId="3883"/>
    <cellStyle name="Normal 2 4 2 16 6 2" xfId="21766"/>
    <cellStyle name="Normal 2 4 2 16 7" xfId="3884"/>
    <cellStyle name="Normal 2 4 2 16 7 2" xfId="21767"/>
    <cellStyle name="Normal 2 4 2 16 8" xfId="3885"/>
    <cellStyle name="Normal 2 4 2 16 8 2" xfId="21768"/>
    <cellStyle name="Normal 2 4 2 16 9" xfId="3886"/>
    <cellStyle name="Normal 2 4 2 16 9 2" xfId="21769"/>
    <cellStyle name="Normal 2 4 2 17" xfId="3887"/>
    <cellStyle name="Normal 2 4 2 18" xfId="3888"/>
    <cellStyle name="Normal 2 4 2 19" xfId="3889"/>
    <cellStyle name="Normal 2 4 2 19 10" xfId="3890"/>
    <cellStyle name="Normal 2 4 2 19 10 2" xfId="21771"/>
    <cellStyle name="Normal 2 4 2 19 11" xfId="3891"/>
    <cellStyle name="Normal 2 4 2 19 11 2" xfId="21772"/>
    <cellStyle name="Normal 2 4 2 19 12" xfId="3892"/>
    <cellStyle name="Normal 2 4 2 19 12 2" xfId="21773"/>
    <cellStyle name="Normal 2 4 2 19 13" xfId="3893"/>
    <cellStyle name="Normal 2 4 2 19 13 2" xfId="21774"/>
    <cellStyle name="Normal 2 4 2 19 14" xfId="3894"/>
    <cellStyle name="Normal 2 4 2 19 14 2" xfId="21775"/>
    <cellStyle name="Normal 2 4 2 19 15" xfId="3895"/>
    <cellStyle name="Normal 2 4 2 19 15 2" xfId="21776"/>
    <cellStyle name="Normal 2 4 2 19 16" xfId="21770"/>
    <cellStyle name="Normal 2 4 2 19 2" xfId="3896"/>
    <cellStyle name="Normal 2 4 2 19 2 10" xfId="3897"/>
    <cellStyle name="Normal 2 4 2 19 2 10 2" xfId="21778"/>
    <cellStyle name="Normal 2 4 2 19 2 11" xfId="3898"/>
    <cellStyle name="Normal 2 4 2 19 2 11 2" xfId="21779"/>
    <cellStyle name="Normal 2 4 2 19 2 12" xfId="3899"/>
    <cellStyle name="Normal 2 4 2 19 2 12 2" xfId="21780"/>
    <cellStyle name="Normal 2 4 2 19 2 13" xfId="3900"/>
    <cellStyle name="Normal 2 4 2 19 2 13 2" xfId="21781"/>
    <cellStyle name="Normal 2 4 2 19 2 14" xfId="3901"/>
    <cellStyle name="Normal 2 4 2 19 2 14 2" xfId="21782"/>
    <cellStyle name="Normal 2 4 2 19 2 15" xfId="21777"/>
    <cellStyle name="Normal 2 4 2 19 2 2" xfId="3902"/>
    <cellStyle name="Normal 2 4 2 19 2 2 2" xfId="21783"/>
    <cellStyle name="Normal 2 4 2 19 2 3" xfId="3903"/>
    <cellStyle name="Normal 2 4 2 19 2 3 2" xfId="21784"/>
    <cellStyle name="Normal 2 4 2 19 2 4" xfId="3904"/>
    <cellStyle name="Normal 2 4 2 19 2 4 2" xfId="21785"/>
    <cellStyle name="Normal 2 4 2 19 2 5" xfId="3905"/>
    <cellStyle name="Normal 2 4 2 19 2 5 2" xfId="21786"/>
    <cellStyle name="Normal 2 4 2 19 2 6" xfId="3906"/>
    <cellStyle name="Normal 2 4 2 19 2 6 2" xfId="21787"/>
    <cellStyle name="Normal 2 4 2 19 2 7" xfId="3907"/>
    <cellStyle name="Normal 2 4 2 19 2 7 2" xfId="21788"/>
    <cellStyle name="Normal 2 4 2 19 2 8" xfId="3908"/>
    <cellStyle name="Normal 2 4 2 19 2 8 2" xfId="21789"/>
    <cellStyle name="Normal 2 4 2 19 2 9" xfId="3909"/>
    <cellStyle name="Normal 2 4 2 19 2 9 2" xfId="21790"/>
    <cellStyle name="Normal 2 4 2 19 3" xfId="3910"/>
    <cellStyle name="Normal 2 4 2 19 3 2" xfId="21791"/>
    <cellStyle name="Normal 2 4 2 19 4" xfId="3911"/>
    <cellStyle name="Normal 2 4 2 19 4 2" xfId="21792"/>
    <cellStyle name="Normal 2 4 2 19 5" xfId="3912"/>
    <cellStyle name="Normal 2 4 2 19 5 2" xfId="21793"/>
    <cellStyle name="Normal 2 4 2 19 6" xfId="3913"/>
    <cellStyle name="Normal 2 4 2 19 6 2" xfId="21794"/>
    <cellStyle name="Normal 2 4 2 19 7" xfId="3914"/>
    <cellStyle name="Normal 2 4 2 19 7 2" xfId="21795"/>
    <cellStyle name="Normal 2 4 2 19 8" xfId="3915"/>
    <cellStyle name="Normal 2 4 2 19 8 2" xfId="21796"/>
    <cellStyle name="Normal 2 4 2 19 9" xfId="3916"/>
    <cellStyle name="Normal 2 4 2 19 9 2" xfId="21797"/>
    <cellStyle name="Normal 2 4 2 2" xfId="3917"/>
    <cellStyle name="Normal 2 4 2 2 10" xfId="3918"/>
    <cellStyle name="Normal 2 4 2 2 11" xfId="3919"/>
    <cellStyle name="Normal 2 4 2 2 12" xfId="3920"/>
    <cellStyle name="Normal 2 4 2 2 13" xfId="3921"/>
    <cellStyle name="Normal 2 4 2 2 14" xfId="3922"/>
    <cellStyle name="Normal 2 4 2 2 2" xfId="3923"/>
    <cellStyle name="Normal 2 4 2 2 2 2" xfId="3924"/>
    <cellStyle name="Normal 2 4 2 2 2 3" xfId="3925"/>
    <cellStyle name="Normal 2 4 2 2 2 4" xfId="3926"/>
    <cellStyle name="Normal 2 4 2 2 2 5" xfId="3927"/>
    <cellStyle name="Normal 2 4 2 2 2 6" xfId="3928"/>
    <cellStyle name="Normal 2 4 2 2 3" xfId="3929"/>
    <cellStyle name="Normal 2 4 2 2 4" xfId="3930"/>
    <cellStyle name="Normal 2 4 2 2 5" xfId="3931"/>
    <cellStyle name="Normal 2 4 2 2 6" xfId="3932"/>
    <cellStyle name="Normal 2 4 2 2 7" xfId="3933"/>
    <cellStyle name="Normal 2 4 2 2 8" xfId="3934"/>
    <cellStyle name="Normal 2 4 2 2 9" xfId="3935"/>
    <cellStyle name="Normal 2 4 2 20" xfId="3936"/>
    <cellStyle name="Normal 2 4 2 20 10" xfId="3937"/>
    <cellStyle name="Normal 2 4 2 20 10 2" xfId="21799"/>
    <cellStyle name="Normal 2 4 2 20 11" xfId="3938"/>
    <cellStyle name="Normal 2 4 2 20 11 2" xfId="21800"/>
    <cellStyle name="Normal 2 4 2 20 12" xfId="3939"/>
    <cellStyle name="Normal 2 4 2 20 12 2" xfId="21801"/>
    <cellStyle name="Normal 2 4 2 20 13" xfId="3940"/>
    <cellStyle name="Normal 2 4 2 20 13 2" xfId="21802"/>
    <cellStyle name="Normal 2 4 2 20 14" xfId="3941"/>
    <cellStyle name="Normal 2 4 2 20 14 2" xfId="21803"/>
    <cellStyle name="Normal 2 4 2 20 15" xfId="3942"/>
    <cellStyle name="Normal 2 4 2 20 15 2" xfId="21804"/>
    <cellStyle name="Normal 2 4 2 20 16" xfId="21798"/>
    <cellStyle name="Normal 2 4 2 20 2" xfId="3943"/>
    <cellStyle name="Normal 2 4 2 20 2 10" xfId="3944"/>
    <cellStyle name="Normal 2 4 2 20 2 10 2" xfId="21806"/>
    <cellStyle name="Normal 2 4 2 20 2 11" xfId="3945"/>
    <cellStyle name="Normal 2 4 2 20 2 11 2" xfId="21807"/>
    <cellStyle name="Normal 2 4 2 20 2 12" xfId="3946"/>
    <cellStyle name="Normal 2 4 2 20 2 12 2" xfId="21808"/>
    <cellStyle name="Normal 2 4 2 20 2 13" xfId="3947"/>
    <cellStyle name="Normal 2 4 2 20 2 13 2" xfId="21809"/>
    <cellStyle name="Normal 2 4 2 20 2 14" xfId="3948"/>
    <cellStyle name="Normal 2 4 2 20 2 14 2" xfId="21810"/>
    <cellStyle name="Normal 2 4 2 20 2 15" xfId="21805"/>
    <cellStyle name="Normal 2 4 2 20 2 2" xfId="3949"/>
    <cellStyle name="Normal 2 4 2 20 2 2 2" xfId="21811"/>
    <cellStyle name="Normal 2 4 2 20 2 3" xfId="3950"/>
    <cellStyle name="Normal 2 4 2 20 2 3 2" xfId="21812"/>
    <cellStyle name="Normal 2 4 2 20 2 4" xfId="3951"/>
    <cellStyle name="Normal 2 4 2 20 2 4 2" xfId="21813"/>
    <cellStyle name="Normal 2 4 2 20 2 5" xfId="3952"/>
    <cellStyle name="Normal 2 4 2 20 2 5 2" xfId="21814"/>
    <cellStyle name="Normal 2 4 2 20 2 6" xfId="3953"/>
    <cellStyle name="Normal 2 4 2 20 2 6 2" xfId="21815"/>
    <cellStyle name="Normal 2 4 2 20 2 7" xfId="3954"/>
    <cellStyle name="Normal 2 4 2 20 2 7 2" xfId="21816"/>
    <cellStyle name="Normal 2 4 2 20 2 8" xfId="3955"/>
    <cellStyle name="Normal 2 4 2 20 2 8 2" xfId="21817"/>
    <cellStyle name="Normal 2 4 2 20 2 9" xfId="3956"/>
    <cellStyle name="Normal 2 4 2 20 2 9 2" xfId="21818"/>
    <cellStyle name="Normal 2 4 2 20 3" xfId="3957"/>
    <cellStyle name="Normal 2 4 2 20 3 2" xfId="21819"/>
    <cellStyle name="Normal 2 4 2 20 4" xfId="3958"/>
    <cellStyle name="Normal 2 4 2 20 4 2" xfId="21820"/>
    <cellStyle name="Normal 2 4 2 20 5" xfId="3959"/>
    <cellStyle name="Normal 2 4 2 20 5 2" xfId="21821"/>
    <cellStyle name="Normal 2 4 2 20 6" xfId="3960"/>
    <cellStyle name="Normal 2 4 2 20 6 2" xfId="21822"/>
    <cellStyle name="Normal 2 4 2 20 7" xfId="3961"/>
    <cellStyle name="Normal 2 4 2 20 7 2" xfId="21823"/>
    <cellStyle name="Normal 2 4 2 20 8" xfId="3962"/>
    <cellStyle name="Normal 2 4 2 20 8 2" xfId="21824"/>
    <cellStyle name="Normal 2 4 2 20 9" xfId="3963"/>
    <cellStyle name="Normal 2 4 2 20 9 2" xfId="21825"/>
    <cellStyle name="Normal 2 4 2 21" xfId="3964"/>
    <cellStyle name="Normal 2 4 2 21 10" xfId="3965"/>
    <cellStyle name="Normal 2 4 2 21 10 2" xfId="21827"/>
    <cellStyle name="Normal 2 4 2 21 11" xfId="3966"/>
    <cellStyle name="Normal 2 4 2 21 11 2" xfId="21828"/>
    <cellStyle name="Normal 2 4 2 21 12" xfId="3967"/>
    <cellStyle name="Normal 2 4 2 21 12 2" xfId="21829"/>
    <cellStyle name="Normal 2 4 2 21 13" xfId="3968"/>
    <cellStyle name="Normal 2 4 2 21 13 2" xfId="21830"/>
    <cellStyle name="Normal 2 4 2 21 14" xfId="3969"/>
    <cellStyle name="Normal 2 4 2 21 14 2" xfId="21831"/>
    <cellStyle name="Normal 2 4 2 21 15" xfId="3970"/>
    <cellStyle name="Normal 2 4 2 21 15 2" xfId="21832"/>
    <cellStyle name="Normal 2 4 2 21 16" xfId="21826"/>
    <cellStyle name="Normal 2 4 2 21 2" xfId="3971"/>
    <cellStyle name="Normal 2 4 2 21 2 10" xfId="3972"/>
    <cellStyle name="Normal 2 4 2 21 2 10 2" xfId="21834"/>
    <cellStyle name="Normal 2 4 2 21 2 11" xfId="3973"/>
    <cellStyle name="Normal 2 4 2 21 2 11 2" xfId="21835"/>
    <cellStyle name="Normal 2 4 2 21 2 12" xfId="3974"/>
    <cellStyle name="Normal 2 4 2 21 2 12 2" xfId="21836"/>
    <cellStyle name="Normal 2 4 2 21 2 13" xfId="3975"/>
    <cellStyle name="Normal 2 4 2 21 2 13 2" xfId="21837"/>
    <cellStyle name="Normal 2 4 2 21 2 14" xfId="3976"/>
    <cellStyle name="Normal 2 4 2 21 2 14 2" xfId="21838"/>
    <cellStyle name="Normal 2 4 2 21 2 15" xfId="21833"/>
    <cellStyle name="Normal 2 4 2 21 2 2" xfId="3977"/>
    <cellStyle name="Normal 2 4 2 21 2 2 2" xfId="21839"/>
    <cellStyle name="Normal 2 4 2 21 2 3" xfId="3978"/>
    <cellStyle name="Normal 2 4 2 21 2 3 2" xfId="21840"/>
    <cellStyle name="Normal 2 4 2 21 2 4" xfId="3979"/>
    <cellStyle name="Normal 2 4 2 21 2 4 2" xfId="21841"/>
    <cellStyle name="Normal 2 4 2 21 2 5" xfId="3980"/>
    <cellStyle name="Normal 2 4 2 21 2 5 2" xfId="21842"/>
    <cellStyle name="Normal 2 4 2 21 2 6" xfId="3981"/>
    <cellStyle name="Normal 2 4 2 21 2 6 2" xfId="21843"/>
    <cellStyle name="Normal 2 4 2 21 2 7" xfId="3982"/>
    <cellStyle name="Normal 2 4 2 21 2 7 2" xfId="21844"/>
    <cellStyle name="Normal 2 4 2 21 2 8" xfId="3983"/>
    <cellStyle name="Normal 2 4 2 21 2 8 2" xfId="21845"/>
    <cellStyle name="Normal 2 4 2 21 2 9" xfId="3984"/>
    <cellStyle name="Normal 2 4 2 21 2 9 2" xfId="21846"/>
    <cellStyle name="Normal 2 4 2 21 3" xfId="3985"/>
    <cellStyle name="Normal 2 4 2 21 3 2" xfId="21847"/>
    <cellStyle name="Normal 2 4 2 21 4" xfId="3986"/>
    <cellStyle name="Normal 2 4 2 21 4 2" xfId="21848"/>
    <cellStyle name="Normal 2 4 2 21 5" xfId="3987"/>
    <cellStyle name="Normal 2 4 2 21 5 2" xfId="21849"/>
    <cellStyle name="Normal 2 4 2 21 6" xfId="3988"/>
    <cellStyle name="Normal 2 4 2 21 6 2" xfId="21850"/>
    <cellStyle name="Normal 2 4 2 21 7" xfId="3989"/>
    <cellStyle name="Normal 2 4 2 21 7 2" xfId="21851"/>
    <cellStyle name="Normal 2 4 2 21 8" xfId="3990"/>
    <cellStyle name="Normal 2 4 2 21 8 2" xfId="21852"/>
    <cellStyle name="Normal 2 4 2 21 9" xfId="3991"/>
    <cellStyle name="Normal 2 4 2 21 9 2" xfId="21853"/>
    <cellStyle name="Normal 2 4 2 22" xfId="3992"/>
    <cellStyle name="Normal 2 4 2 22 10" xfId="3993"/>
    <cellStyle name="Normal 2 4 2 22 10 2" xfId="21855"/>
    <cellStyle name="Normal 2 4 2 22 11" xfId="3994"/>
    <cellStyle name="Normal 2 4 2 22 11 2" xfId="21856"/>
    <cellStyle name="Normal 2 4 2 22 12" xfId="3995"/>
    <cellStyle name="Normal 2 4 2 22 12 2" xfId="21857"/>
    <cellStyle name="Normal 2 4 2 22 13" xfId="3996"/>
    <cellStyle name="Normal 2 4 2 22 13 2" xfId="21858"/>
    <cellStyle name="Normal 2 4 2 22 14" xfId="3997"/>
    <cellStyle name="Normal 2 4 2 22 14 2" xfId="21859"/>
    <cellStyle name="Normal 2 4 2 22 15" xfId="21854"/>
    <cellStyle name="Normal 2 4 2 22 2" xfId="3998"/>
    <cellStyle name="Normal 2 4 2 22 2 2" xfId="21860"/>
    <cellStyle name="Normal 2 4 2 22 3" xfId="3999"/>
    <cellStyle name="Normal 2 4 2 22 3 2" xfId="21861"/>
    <cellStyle name="Normal 2 4 2 22 4" xfId="4000"/>
    <cellStyle name="Normal 2 4 2 22 4 2" xfId="21862"/>
    <cellStyle name="Normal 2 4 2 22 5" xfId="4001"/>
    <cellStyle name="Normal 2 4 2 22 5 2" xfId="21863"/>
    <cellStyle name="Normal 2 4 2 22 6" xfId="4002"/>
    <cellStyle name="Normal 2 4 2 22 6 2" xfId="21864"/>
    <cellStyle name="Normal 2 4 2 22 7" xfId="4003"/>
    <cellStyle name="Normal 2 4 2 22 7 2" xfId="21865"/>
    <cellStyle name="Normal 2 4 2 22 8" xfId="4004"/>
    <cellStyle name="Normal 2 4 2 22 8 2" xfId="21866"/>
    <cellStyle name="Normal 2 4 2 22 9" xfId="4005"/>
    <cellStyle name="Normal 2 4 2 22 9 2" xfId="21867"/>
    <cellStyle name="Normal 2 4 2 23" xfId="4006"/>
    <cellStyle name="Normal 2 4 2 23 10" xfId="4007"/>
    <cellStyle name="Normal 2 4 2 23 10 2" xfId="21869"/>
    <cellStyle name="Normal 2 4 2 23 11" xfId="4008"/>
    <cellStyle name="Normal 2 4 2 23 11 2" xfId="21870"/>
    <cellStyle name="Normal 2 4 2 23 12" xfId="4009"/>
    <cellStyle name="Normal 2 4 2 23 12 2" xfId="21871"/>
    <cellStyle name="Normal 2 4 2 23 13" xfId="4010"/>
    <cellStyle name="Normal 2 4 2 23 13 2" xfId="21872"/>
    <cellStyle name="Normal 2 4 2 23 14" xfId="4011"/>
    <cellStyle name="Normal 2 4 2 23 14 2" xfId="21873"/>
    <cellStyle name="Normal 2 4 2 23 15" xfId="21868"/>
    <cellStyle name="Normal 2 4 2 23 2" xfId="4012"/>
    <cellStyle name="Normal 2 4 2 23 2 2" xfId="21874"/>
    <cellStyle name="Normal 2 4 2 23 3" xfId="4013"/>
    <cellStyle name="Normal 2 4 2 23 3 2" xfId="21875"/>
    <cellStyle name="Normal 2 4 2 23 4" xfId="4014"/>
    <cellStyle name="Normal 2 4 2 23 4 2" xfId="21876"/>
    <cellStyle name="Normal 2 4 2 23 5" xfId="4015"/>
    <cellStyle name="Normal 2 4 2 23 5 2" xfId="21877"/>
    <cellStyle name="Normal 2 4 2 23 6" xfId="4016"/>
    <cellStyle name="Normal 2 4 2 23 6 2" xfId="21878"/>
    <cellStyle name="Normal 2 4 2 23 7" xfId="4017"/>
    <cellStyle name="Normal 2 4 2 23 7 2" xfId="21879"/>
    <cellStyle name="Normal 2 4 2 23 8" xfId="4018"/>
    <cellStyle name="Normal 2 4 2 23 8 2" xfId="21880"/>
    <cellStyle name="Normal 2 4 2 23 9" xfId="4019"/>
    <cellStyle name="Normal 2 4 2 23 9 2" xfId="21881"/>
    <cellStyle name="Normal 2 4 2 24" xfId="4020"/>
    <cellStyle name="Normal 2 4 2 24 10" xfId="4021"/>
    <cellStyle name="Normal 2 4 2 24 10 2" xfId="21883"/>
    <cellStyle name="Normal 2 4 2 24 11" xfId="4022"/>
    <cellStyle name="Normal 2 4 2 24 11 2" xfId="21884"/>
    <cellStyle name="Normal 2 4 2 24 12" xfId="4023"/>
    <cellStyle name="Normal 2 4 2 24 12 2" xfId="21885"/>
    <cellStyle name="Normal 2 4 2 24 13" xfId="4024"/>
    <cellStyle name="Normal 2 4 2 24 13 2" xfId="21886"/>
    <cellStyle name="Normal 2 4 2 24 14" xfId="4025"/>
    <cellStyle name="Normal 2 4 2 24 14 2" xfId="21887"/>
    <cellStyle name="Normal 2 4 2 24 15" xfId="21882"/>
    <cellStyle name="Normal 2 4 2 24 2" xfId="4026"/>
    <cellStyle name="Normal 2 4 2 24 2 2" xfId="21888"/>
    <cellStyle name="Normal 2 4 2 24 3" xfId="4027"/>
    <cellStyle name="Normal 2 4 2 24 3 2" xfId="21889"/>
    <cellStyle name="Normal 2 4 2 24 4" xfId="4028"/>
    <cellStyle name="Normal 2 4 2 24 4 2" xfId="21890"/>
    <cellStyle name="Normal 2 4 2 24 5" xfId="4029"/>
    <cellStyle name="Normal 2 4 2 24 5 2" xfId="21891"/>
    <cellStyle name="Normal 2 4 2 24 6" xfId="4030"/>
    <cellStyle name="Normal 2 4 2 24 6 2" xfId="21892"/>
    <cellStyle name="Normal 2 4 2 24 7" xfId="4031"/>
    <cellStyle name="Normal 2 4 2 24 7 2" xfId="21893"/>
    <cellStyle name="Normal 2 4 2 24 8" xfId="4032"/>
    <cellStyle name="Normal 2 4 2 24 8 2" xfId="21894"/>
    <cellStyle name="Normal 2 4 2 24 9" xfId="4033"/>
    <cellStyle name="Normal 2 4 2 24 9 2" xfId="21895"/>
    <cellStyle name="Normal 2 4 2 25" xfId="4034"/>
    <cellStyle name="Normal 2 4 2 25 10" xfId="4035"/>
    <cellStyle name="Normal 2 4 2 25 10 2" xfId="21897"/>
    <cellStyle name="Normal 2 4 2 25 11" xfId="4036"/>
    <cellStyle name="Normal 2 4 2 25 11 2" xfId="21898"/>
    <cellStyle name="Normal 2 4 2 25 12" xfId="4037"/>
    <cellStyle name="Normal 2 4 2 25 12 2" xfId="21899"/>
    <cellStyle name="Normal 2 4 2 25 13" xfId="4038"/>
    <cellStyle name="Normal 2 4 2 25 13 2" xfId="21900"/>
    <cellStyle name="Normal 2 4 2 25 14" xfId="4039"/>
    <cellStyle name="Normal 2 4 2 25 14 2" xfId="21901"/>
    <cellStyle name="Normal 2 4 2 25 15" xfId="21896"/>
    <cellStyle name="Normal 2 4 2 25 2" xfId="4040"/>
    <cellStyle name="Normal 2 4 2 25 2 2" xfId="21902"/>
    <cellStyle name="Normal 2 4 2 25 3" xfId="4041"/>
    <cellStyle name="Normal 2 4 2 25 3 2" xfId="21903"/>
    <cellStyle name="Normal 2 4 2 25 4" xfId="4042"/>
    <cellStyle name="Normal 2 4 2 25 4 2" xfId="21904"/>
    <cellStyle name="Normal 2 4 2 25 5" xfId="4043"/>
    <cellStyle name="Normal 2 4 2 25 5 2" xfId="21905"/>
    <cellStyle name="Normal 2 4 2 25 6" xfId="4044"/>
    <cellStyle name="Normal 2 4 2 25 6 2" xfId="21906"/>
    <cellStyle name="Normal 2 4 2 25 7" xfId="4045"/>
    <cellStyle name="Normal 2 4 2 25 7 2" xfId="21907"/>
    <cellStyle name="Normal 2 4 2 25 8" xfId="4046"/>
    <cellStyle name="Normal 2 4 2 25 8 2" xfId="21908"/>
    <cellStyle name="Normal 2 4 2 25 9" xfId="4047"/>
    <cellStyle name="Normal 2 4 2 25 9 2" xfId="21909"/>
    <cellStyle name="Normal 2 4 2 26" xfId="4048"/>
    <cellStyle name="Normal 2 4 2 26 10" xfId="4049"/>
    <cellStyle name="Normal 2 4 2 26 10 2" xfId="21911"/>
    <cellStyle name="Normal 2 4 2 26 11" xfId="4050"/>
    <cellStyle name="Normal 2 4 2 26 11 2" xfId="21912"/>
    <cellStyle name="Normal 2 4 2 26 12" xfId="4051"/>
    <cellStyle name="Normal 2 4 2 26 12 2" xfId="21913"/>
    <cellStyle name="Normal 2 4 2 26 13" xfId="4052"/>
    <cellStyle name="Normal 2 4 2 26 13 2" xfId="21914"/>
    <cellStyle name="Normal 2 4 2 26 14" xfId="4053"/>
    <cellStyle name="Normal 2 4 2 26 14 2" xfId="21915"/>
    <cellStyle name="Normal 2 4 2 26 15" xfId="21910"/>
    <cellStyle name="Normal 2 4 2 26 2" xfId="4054"/>
    <cellStyle name="Normal 2 4 2 26 2 2" xfId="21916"/>
    <cellStyle name="Normal 2 4 2 26 3" xfId="4055"/>
    <cellStyle name="Normal 2 4 2 26 3 2" xfId="21917"/>
    <cellStyle name="Normal 2 4 2 26 4" xfId="4056"/>
    <cellStyle name="Normal 2 4 2 26 4 2" xfId="21918"/>
    <cellStyle name="Normal 2 4 2 26 5" xfId="4057"/>
    <cellStyle name="Normal 2 4 2 26 5 2" xfId="21919"/>
    <cellStyle name="Normal 2 4 2 26 6" xfId="4058"/>
    <cellStyle name="Normal 2 4 2 26 6 2" xfId="21920"/>
    <cellStyle name="Normal 2 4 2 26 7" xfId="4059"/>
    <cellStyle name="Normal 2 4 2 26 7 2" xfId="21921"/>
    <cellStyle name="Normal 2 4 2 26 8" xfId="4060"/>
    <cellStyle name="Normal 2 4 2 26 8 2" xfId="21922"/>
    <cellStyle name="Normal 2 4 2 26 9" xfId="4061"/>
    <cellStyle name="Normal 2 4 2 26 9 2" xfId="21923"/>
    <cellStyle name="Normal 2 4 2 27" xfId="4062"/>
    <cellStyle name="Normal 2 4 2 27 10" xfId="4063"/>
    <cellStyle name="Normal 2 4 2 27 10 2" xfId="21925"/>
    <cellStyle name="Normal 2 4 2 27 11" xfId="4064"/>
    <cellStyle name="Normal 2 4 2 27 11 2" xfId="21926"/>
    <cellStyle name="Normal 2 4 2 27 12" xfId="4065"/>
    <cellStyle name="Normal 2 4 2 27 12 2" xfId="21927"/>
    <cellStyle name="Normal 2 4 2 27 13" xfId="4066"/>
    <cellStyle name="Normal 2 4 2 27 13 2" xfId="21928"/>
    <cellStyle name="Normal 2 4 2 27 14" xfId="4067"/>
    <cellStyle name="Normal 2 4 2 27 14 2" xfId="21929"/>
    <cellStyle name="Normal 2 4 2 27 15" xfId="21924"/>
    <cellStyle name="Normal 2 4 2 27 2" xfId="4068"/>
    <cellStyle name="Normal 2 4 2 27 2 2" xfId="21930"/>
    <cellStyle name="Normal 2 4 2 27 3" xfId="4069"/>
    <cellStyle name="Normal 2 4 2 27 3 2" xfId="21931"/>
    <cellStyle name="Normal 2 4 2 27 4" xfId="4070"/>
    <cellStyle name="Normal 2 4 2 27 4 2" xfId="21932"/>
    <cellStyle name="Normal 2 4 2 27 5" xfId="4071"/>
    <cellStyle name="Normal 2 4 2 27 5 2" xfId="21933"/>
    <cellStyle name="Normal 2 4 2 27 6" xfId="4072"/>
    <cellStyle name="Normal 2 4 2 27 6 2" xfId="21934"/>
    <cellStyle name="Normal 2 4 2 27 7" xfId="4073"/>
    <cellStyle name="Normal 2 4 2 27 7 2" xfId="21935"/>
    <cellStyle name="Normal 2 4 2 27 8" xfId="4074"/>
    <cellStyle name="Normal 2 4 2 27 8 2" xfId="21936"/>
    <cellStyle name="Normal 2 4 2 27 9" xfId="4075"/>
    <cellStyle name="Normal 2 4 2 27 9 2" xfId="21937"/>
    <cellStyle name="Normal 2 4 2 28" xfId="4076"/>
    <cellStyle name="Normal 2 4 2 28 10" xfId="4077"/>
    <cellStyle name="Normal 2 4 2 28 10 2" xfId="21939"/>
    <cellStyle name="Normal 2 4 2 28 11" xfId="4078"/>
    <cellStyle name="Normal 2 4 2 28 11 2" xfId="21940"/>
    <cellStyle name="Normal 2 4 2 28 12" xfId="4079"/>
    <cellStyle name="Normal 2 4 2 28 12 2" xfId="21941"/>
    <cellStyle name="Normal 2 4 2 28 13" xfId="4080"/>
    <cellStyle name="Normal 2 4 2 28 13 2" xfId="21942"/>
    <cellStyle name="Normal 2 4 2 28 14" xfId="4081"/>
    <cellStyle name="Normal 2 4 2 28 14 2" xfId="21943"/>
    <cellStyle name="Normal 2 4 2 28 15" xfId="21938"/>
    <cellStyle name="Normal 2 4 2 28 2" xfId="4082"/>
    <cellStyle name="Normal 2 4 2 28 2 2" xfId="21944"/>
    <cellStyle name="Normal 2 4 2 28 3" xfId="4083"/>
    <cellStyle name="Normal 2 4 2 28 3 2" xfId="21945"/>
    <cellStyle name="Normal 2 4 2 28 4" xfId="4084"/>
    <cellStyle name="Normal 2 4 2 28 4 2" xfId="21946"/>
    <cellStyle name="Normal 2 4 2 28 5" xfId="4085"/>
    <cellStyle name="Normal 2 4 2 28 5 2" xfId="21947"/>
    <cellStyle name="Normal 2 4 2 28 6" xfId="4086"/>
    <cellStyle name="Normal 2 4 2 28 6 2" xfId="21948"/>
    <cellStyle name="Normal 2 4 2 28 7" xfId="4087"/>
    <cellStyle name="Normal 2 4 2 28 7 2" xfId="21949"/>
    <cellStyle name="Normal 2 4 2 28 8" xfId="4088"/>
    <cellStyle name="Normal 2 4 2 28 8 2" xfId="21950"/>
    <cellStyle name="Normal 2 4 2 28 9" xfId="4089"/>
    <cellStyle name="Normal 2 4 2 28 9 2" xfId="21951"/>
    <cellStyle name="Normal 2 4 2 29" xfId="4090"/>
    <cellStyle name="Normal 2 4 2 29 10" xfId="4091"/>
    <cellStyle name="Normal 2 4 2 29 10 2" xfId="21953"/>
    <cellStyle name="Normal 2 4 2 29 11" xfId="4092"/>
    <cellStyle name="Normal 2 4 2 29 11 2" xfId="21954"/>
    <cellStyle name="Normal 2 4 2 29 12" xfId="4093"/>
    <cellStyle name="Normal 2 4 2 29 12 2" xfId="21955"/>
    <cellStyle name="Normal 2 4 2 29 13" xfId="4094"/>
    <cellStyle name="Normal 2 4 2 29 13 2" xfId="21956"/>
    <cellStyle name="Normal 2 4 2 29 14" xfId="4095"/>
    <cellStyle name="Normal 2 4 2 29 14 2" xfId="21957"/>
    <cellStyle name="Normal 2 4 2 29 15" xfId="21952"/>
    <cellStyle name="Normal 2 4 2 29 2" xfId="4096"/>
    <cellStyle name="Normal 2 4 2 29 2 2" xfId="21958"/>
    <cellStyle name="Normal 2 4 2 29 3" xfId="4097"/>
    <cellStyle name="Normal 2 4 2 29 3 2" xfId="21959"/>
    <cellStyle name="Normal 2 4 2 29 4" xfId="4098"/>
    <cellStyle name="Normal 2 4 2 29 4 2" xfId="21960"/>
    <cellStyle name="Normal 2 4 2 29 5" xfId="4099"/>
    <cellStyle name="Normal 2 4 2 29 5 2" xfId="21961"/>
    <cellStyle name="Normal 2 4 2 29 6" xfId="4100"/>
    <cellStyle name="Normal 2 4 2 29 6 2" xfId="21962"/>
    <cellStyle name="Normal 2 4 2 29 7" xfId="4101"/>
    <cellStyle name="Normal 2 4 2 29 7 2" xfId="21963"/>
    <cellStyle name="Normal 2 4 2 29 8" xfId="4102"/>
    <cellStyle name="Normal 2 4 2 29 8 2" xfId="21964"/>
    <cellStyle name="Normal 2 4 2 29 9" xfId="4103"/>
    <cellStyle name="Normal 2 4 2 29 9 2" xfId="21965"/>
    <cellStyle name="Normal 2 4 2 3" xfId="4104"/>
    <cellStyle name="Normal 2 4 2 3 2" xfId="4105"/>
    <cellStyle name="Normal 2 4 2 30" xfId="4106"/>
    <cellStyle name="Normal 2 4 2 30 10" xfId="4107"/>
    <cellStyle name="Normal 2 4 2 30 10 2" xfId="21967"/>
    <cellStyle name="Normal 2 4 2 30 11" xfId="4108"/>
    <cellStyle name="Normal 2 4 2 30 11 2" xfId="21968"/>
    <cellStyle name="Normal 2 4 2 30 12" xfId="4109"/>
    <cellStyle name="Normal 2 4 2 30 12 2" xfId="21969"/>
    <cellStyle name="Normal 2 4 2 30 13" xfId="4110"/>
    <cellStyle name="Normal 2 4 2 30 13 2" xfId="21970"/>
    <cellStyle name="Normal 2 4 2 30 14" xfId="4111"/>
    <cellStyle name="Normal 2 4 2 30 14 2" xfId="21971"/>
    <cellStyle name="Normal 2 4 2 30 15" xfId="21966"/>
    <cellStyle name="Normal 2 4 2 30 2" xfId="4112"/>
    <cellStyle name="Normal 2 4 2 30 2 2" xfId="21972"/>
    <cellStyle name="Normal 2 4 2 30 3" xfId="4113"/>
    <cellStyle name="Normal 2 4 2 30 3 2" xfId="21973"/>
    <cellStyle name="Normal 2 4 2 30 4" xfId="4114"/>
    <cellStyle name="Normal 2 4 2 30 4 2" xfId="21974"/>
    <cellStyle name="Normal 2 4 2 30 5" xfId="4115"/>
    <cellStyle name="Normal 2 4 2 30 5 2" xfId="21975"/>
    <cellStyle name="Normal 2 4 2 30 6" xfId="4116"/>
    <cellStyle name="Normal 2 4 2 30 6 2" xfId="21976"/>
    <cellStyle name="Normal 2 4 2 30 7" xfId="4117"/>
    <cellStyle name="Normal 2 4 2 30 7 2" xfId="21977"/>
    <cellStyle name="Normal 2 4 2 30 8" xfId="4118"/>
    <cellStyle name="Normal 2 4 2 30 8 2" xfId="21978"/>
    <cellStyle name="Normal 2 4 2 30 9" xfId="4119"/>
    <cellStyle name="Normal 2 4 2 30 9 2" xfId="21979"/>
    <cellStyle name="Normal 2 4 2 31" xfId="4120"/>
    <cellStyle name="Normal 2 4 2 31 10" xfId="4121"/>
    <cellStyle name="Normal 2 4 2 31 10 2" xfId="21981"/>
    <cellStyle name="Normal 2 4 2 31 11" xfId="4122"/>
    <cellStyle name="Normal 2 4 2 31 11 2" xfId="21982"/>
    <cellStyle name="Normal 2 4 2 31 12" xfId="4123"/>
    <cellStyle name="Normal 2 4 2 31 12 2" xfId="21983"/>
    <cellStyle name="Normal 2 4 2 31 13" xfId="4124"/>
    <cellStyle name="Normal 2 4 2 31 13 2" xfId="21984"/>
    <cellStyle name="Normal 2 4 2 31 14" xfId="4125"/>
    <cellStyle name="Normal 2 4 2 31 14 2" xfId="21985"/>
    <cellStyle name="Normal 2 4 2 31 15" xfId="21980"/>
    <cellStyle name="Normal 2 4 2 31 2" xfId="4126"/>
    <cellStyle name="Normal 2 4 2 31 2 2" xfId="21986"/>
    <cellStyle name="Normal 2 4 2 31 3" xfId="4127"/>
    <cellStyle name="Normal 2 4 2 31 3 2" xfId="21987"/>
    <cellStyle name="Normal 2 4 2 31 4" xfId="4128"/>
    <cellStyle name="Normal 2 4 2 31 4 2" xfId="21988"/>
    <cellStyle name="Normal 2 4 2 31 5" xfId="4129"/>
    <cellStyle name="Normal 2 4 2 31 5 2" xfId="21989"/>
    <cellStyle name="Normal 2 4 2 31 6" xfId="4130"/>
    <cellStyle name="Normal 2 4 2 31 6 2" xfId="21990"/>
    <cellStyle name="Normal 2 4 2 31 7" xfId="4131"/>
    <cellStyle name="Normal 2 4 2 31 7 2" xfId="21991"/>
    <cellStyle name="Normal 2 4 2 31 8" xfId="4132"/>
    <cellStyle name="Normal 2 4 2 31 8 2" xfId="21992"/>
    <cellStyle name="Normal 2 4 2 31 9" xfId="4133"/>
    <cellStyle name="Normal 2 4 2 31 9 2" xfId="21993"/>
    <cellStyle name="Normal 2 4 2 32" xfId="4134"/>
    <cellStyle name="Normal 2 4 2 33" xfId="4135"/>
    <cellStyle name="Normal 2 4 2 33 2" xfId="21994"/>
    <cellStyle name="Normal 2 4 2 34" xfId="4136"/>
    <cellStyle name="Normal 2 4 2 34 2" xfId="21995"/>
    <cellStyle name="Normal 2 4 2 35" xfId="4137"/>
    <cellStyle name="Normal 2 4 2 35 2" xfId="21996"/>
    <cellStyle name="Normal 2 4 2 36" xfId="4138"/>
    <cellStyle name="Normal 2 4 2 36 2" xfId="21997"/>
    <cellStyle name="Normal 2 4 2 37" xfId="4139"/>
    <cellStyle name="Normal 2 4 2 37 2" xfId="21998"/>
    <cellStyle name="Normal 2 4 2 38" xfId="4140"/>
    <cellStyle name="Normal 2 4 2 38 2" xfId="21999"/>
    <cellStyle name="Normal 2 4 2 39" xfId="4141"/>
    <cellStyle name="Normal 2 4 2 39 2" xfId="22000"/>
    <cellStyle name="Normal 2 4 2 4" xfId="4142"/>
    <cellStyle name="Normal 2 4 2 4 2" xfId="4143"/>
    <cellStyle name="Normal 2 4 2 40" xfId="4144"/>
    <cellStyle name="Normal 2 4 2 40 2" xfId="22001"/>
    <cellStyle name="Normal 2 4 2 41" xfId="4145"/>
    <cellStyle name="Normal 2 4 2 41 2" xfId="22002"/>
    <cellStyle name="Normal 2 4 2 42" xfId="4146"/>
    <cellStyle name="Normal 2 4 2 42 2" xfId="22003"/>
    <cellStyle name="Normal 2 4 2 43" xfId="4147"/>
    <cellStyle name="Normal 2 4 2 43 2" xfId="22004"/>
    <cellStyle name="Normal 2 4 2 44" xfId="4148"/>
    <cellStyle name="Normal 2 4 2 44 2" xfId="22005"/>
    <cellStyle name="Normal 2 4 2 45" xfId="4149"/>
    <cellStyle name="Normal 2 4 2 45 2" xfId="22006"/>
    <cellStyle name="Normal 2 4 2 46" xfId="37665"/>
    <cellStyle name="Normal 2 4 2 47" xfId="21755"/>
    <cellStyle name="Normal 2 4 2 5" xfId="4150"/>
    <cellStyle name="Normal 2 4 2 5 2" xfId="4151"/>
    <cellStyle name="Normal 2 4 2 6" xfId="4152"/>
    <cellStyle name="Normal 2 4 2 6 2" xfId="4153"/>
    <cellStyle name="Normal 2 4 2 7" xfId="4154"/>
    <cellStyle name="Normal 2 4 2 7 2" xfId="4155"/>
    <cellStyle name="Normal 2 4 2 8" xfId="4156"/>
    <cellStyle name="Normal 2 4 2 9" xfId="4157"/>
    <cellStyle name="Normal 2 4 20" xfId="4158"/>
    <cellStyle name="Normal 2 4 20 10" xfId="4159"/>
    <cellStyle name="Normal 2 4 20 10 2" xfId="22008"/>
    <cellStyle name="Normal 2 4 20 11" xfId="4160"/>
    <cellStyle name="Normal 2 4 20 11 2" xfId="22009"/>
    <cellStyle name="Normal 2 4 20 12" xfId="4161"/>
    <cellStyle name="Normal 2 4 20 12 2" xfId="22010"/>
    <cellStyle name="Normal 2 4 20 13" xfId="4162"/>
    <cellStyle name="Normal 2 4 20 13 2" xfId="22011"/>
    <cellStyle name="Normal 2 4 20 14" xfId="4163"/>
    <cellStyle name="Normal 2 4 20 14 2" xfId="22012"/>
    <cellStyle name="Normal 2 4 20 15" xfId="22007"/>
    <cellStyle name="Normal 2 4 20 2" xfId="4164"/>
    <cellStyle name="Normal 2 4 20 2 2" xfId="22013"/>
    <cellStyle name="Normal 2 4 20 3" xfId="4165"/>
    <cellStyle name="Normal 2 4 20 3 2" xfId="22014"/>
    <cellStyle name="Normal 2 4 20 4" xfId="4166"/>
    <cellStyle name="Normal 2 4 20 4 2" xfId="22015"/>
    <cellStyle name="Normal 2 4 20 5" xfId="4167"/>
    <cellStyle name="Normal 2 4 20 5 2" xfId="22016"/>
    <cellStyle name="Normal 2 4 20 6" xfId="4168"/>
    <cellStyle name="Normal 2 4 20 6 2" xfId="22017"/>
    <cellStyle name="Normal 2 4 20 7" xfId="4169"/>
    <cellStyle name="Normal 2 4 20 7 2" xfId="22018"/>
    <cellStyle name="Normal 2 4 20 8" xfId="4170"/>
    <cellStyle name="Normal 2 4 20 8 2" xfId="22019"/>
    <cellStyle name="Normal 2 4 20 9" xfId="4171"/>
    <cellStyle name="Normal 2 4 20 9 2" xfId="22020"/>
    <cellStyle name="Normal 2 4 21" xfId="37664"/>
    <cellStyle name="Normal 2 4 3" xfId="4172"/>
    <cellStyle name="Normal 2 4 3 10" xfId="4173"/>
    <cellStyle name="Normal 2 4 3 11" xfId="4174"/>
    <cellStyle name="Normal 2 4 3 11 2" xfId="4175"/>
    <cellStyle name="Normal 2 4 3 11 2 10" xfId="4176"/>
    <cellStyle name="Normal 2 4 3 11 2 10 2" xfId="22023"/>
    <cellStyle name="Normal 2 4 3 11 2 11" xfId="4177"/>
    <cellStyle name="Normal 2 4 3 11 2 11 2" xfId="22024"/>
    <cellStyle name="Normal 2 4 3 11 2 12" xfId="4178"/>
    <cellStyle name="Normal 2 4 3 11 2 12 2" xfId="22025"/>
    <cellStyle name="Normal 2 4 3 11 2 13" xfId="4179"/>
    <cellStyle name="Normal 2 4 3 11 2 13 2" xfId="22026"/>
    <cellStyle name="Normal 2 4 3 11 2 14" xfId="4180"/>
    <cellStyle name="Normal 2 4 3 11 2 14 2" xfId="22027"/>
    <cellStyle name="Normal 2 4 3 11 2 15" xfId="22022"/>
    <cellStyle name="Normal 2 4 3 11 2 2" xfId="4181"/>
    <cellStyle name="Normal 2 4 3 11 2 2 2" xfId="22028"/>
    <cellStyle name="Normal 2 4 3 11 2 3" xfId="4182"/>
    <cellStyle name="Normal 2 4 3 11 2 3 2" xfId="22029"/>
    <cellStyle name="Normal 2 4 3 11 2 4" xfId="4183"/>
    <cellStyle name="Normal 2 4 3 11 2 4 2" xfId="22030"/>
    <cellStyle name="Normal 2 4 3 11 2 5" xfId="4184"/>
    <cellStyle name="Normal 2 4 3 11 2 5 2" xfId="22031"/>
    <cellStyle name="Normal 2 4 3 11 2 6" xfId="4185"/>
    <cellStyle name="Normal 2 4 3 11 2 6 2" xfId="22032"/>
    <cellStyle name="Normal 2 4 3 11 2 7" xfId="4186"/>
    <cellStyle name="Normal 2 4 3 11 2 7 2" xfId="22033"/>
    <cellStyle name="Normal 2 4 3 11 2 8" xfId="4187"/>
    <cellStyle name="Normal 2 4 3 11 2 8 2" xfId="22034"/>
    <cellStyle name="Normal 2 4 3 11 2 9" xfId="4188"/>
    <cellStyle name="Normal 2 4 3 11 2 9 2" xfId="22035"/>
    <cellStyle name="Normal 2 4 3 11 3" xfId="4189"/>
    <cellStyle name="Normal 2 4 3 11 3 10" xfId="4190"/>
    <cellStyle name="Normal 2 4 3 11 3 10 2" xfId="22037"/>
    <cellStyle name="Normal 2 4 3 11 3 11" xfId="4191"/>
    <cellStyle name="Normal 2 4 3 11 3 11 2" xfId="22038"/>
    <cellStyle name="Normal 2 4 3 11 3 12" xfId="4192"/>
    <cellStyle name="Normal 2 4 3 11 3 12 2" xfId="22039"/>
    <cellStyle name="Normal 2 4 3 11 3 13" xfId="4193"/>
    <cellStyle name="Normal 2 4 3 11 3 13 2" xfId="22040"/>
    <cellStyle name="Normal 2 4 3 11 3 14" xfId="4194"/>
    <cellStyle name="Normal 2 4 3 11 3 14 2" xfId="22041"/>
    <cellStyle name="Normal 2 4 3 11 3 15" xfId="22036"/>
    <cellStyle name="Normal 2 4 3 11 3 2" xfId="4195"/>
    <cellStyle name="Normal 2 4 3 11 3 2 2" xfId="22042"/>
    <cellStyle name="Normal 2 4 3 11 3 3" xfId="4196"/>
    <cellStyle name="Normal 2 4 3 11 3 3 2" xfId="22043"/>
    <cellStyle name="Normal 2 4 3 11 3 4" xfId="4197"/>
    <cellStyle name="Normal 2 4 3 11 3 4 2" xfId="22044"/>
    <cellStyle name="Normal 2 4 3 11 3 5" xfId="4198"/>
    <cellStyle name="Normal 2 4 3 11 3 5 2" xfId="22045"/>
    <cellStyle name="Normal 2 4 3 11 3 6" xfId="4199"/>
    <cellStyle name="Normal 2 4 3 11 3 6 2" xfId="22046"/>
    <cellStyle name="Normal 2 4 3 11 3 7" xfId="4200"/>
    <cellStyle name="Normal 2 4 3 11 3 7 2" xfId="22047"/>
    <cellStyle name="Normal 2 4 3 11 3 8" xfId="4201"/>
    <cellStyle name="Normal 2 4 3 11 3 8 2" xfId="22048"/>
    <cellStyle name="Normal 2 4 3 11 3 9" xfId="4202"/>
    <cellStyle name="Normal 2 4 3 11 3 9 2" xfId="22049"/>
    <cellStyle name="Normal 2 4 3 11 4" xfId="4203"/>
    <cellStyle name="Normal 2 4 3 11 4 10" xfId="4204"/>
    <cellStyle name="Normal 2 4 3 11 4 10 2" xfId="22051"/>
    <cellStyle name="Normal 2 4 3 11 4 11" xfId="4205"/>
    <cellStyle name="Normal 2 4 3 11 4 11 2" xfId="22052"/>
    <cellStyle name="Normal 2 4 3 11 4 12" xfId="4206"/>
    <cellStyle name="Normal 2 4 3 11 4 12 2" xfId="22053"/>
    <cellStyle name="Normal 2 4 3 11 4 13" xfId="4207"/>
    <cellStyle name="Normal 2 4 3 11 4 13 2" xfId="22054"/>
    <cellStyle name="Normal 2 4 3 11 4 14" xfId="4208"/>
    <cellStyle name="Normal 2 4 3 11 4 14 2" xfId="22055"/>
    <cellStyle name="Normal 2 4 3 11 4 15" xfId="22050"/>
    <cellStyle name="Normal 2 4 3 11 4 2" xfId="4209"/>
    <cellStyle name="Normal 2 4 3 11 4 2 2" xfId="22056"/>
    <cellStyle name="Normal 2 4 3 11 4 3" xfId="4210"/>
    <cellStyle name="Normal 2 4 3 11 4 3 2" xfId="22057"/>
    <cellStyle name="Normal 2 4 3 11 4 4" xfId="4211"/>
    <cellStyle name="Normal 2 4 3 11 4 4 2" xfId="22058"/>
    <cellStyle name="Normal 2 4 3 11 4 5" xfId="4212"/>
    <cellStyle name="Normal 2 4 3 11 4 5 2" xfId="22059"/>
    <cellStyle name="Normal 2 4 3 11 4 6" xfId="4213"/>
    <cellStyle name="Normal 2 4 3 11 4 6 2" xfId="22060"/>
    <cellStyle name="Normal 2 4 3 11 4 7" xfId="4214"/>
    <cellStyle name="Normal 2 4 3 11 4 7 2" xfId="22061"/>
    <cellStyle name="Normal 2 4 3 11 4 8" xfId="4215"/>
    <cellStyle name="Normal 2 4 3 11 4 8 2" xfId="22062"/>
    <cellStyle name="Normal 2 4 3 11 4 9" xfId="4216"/>
    <cellStyle name="Normal 2 4 3 11 4 9 2" xfId="22063"/>
    <cellStyle name="Normal 2 4 3 12" xfId="4217"/>
    <cellStyle name="Normal 2 4 3 12 10" xfId="4218"/>
    <cellStyle name="Normal 2 4 3 12 10 2" xfId="22065"/>
    <cellStyle name="Normal 2 4 3 12 11" xfId="4219"/>
    <cellStyle name="Normal 2 4 3 12 11 2" xfId="22066"/>
    <cellStyle name="Normal 2 4 3 12 12" xfId="4220"/>
    <cellStyle name="Normal 2 4 3 12 12 2" xfId="22067"/>
    <cellStyle name="Normal 2 4 3 12 13" xfId="4221"/>
    <cellStyle name="Normal 2 4 3 12 13 2" xfId="22068"/>
    <cellStyle name="Normal 2 4 3 12 14" xfId="4222"/>
    <cellStyle name="Normal 2 4 3 12 14 2" xfId="22069"/>
    <cellStyle name="Normal 2 4 3 12 15" xfId="22064"/>
    <cellStyle name="Normal 2 4 3 12 2" xfId="4223"/>
    <cellStyle name="Normal 2 4 3 12 2 2" xfId="22070"/>
    <cellStyle name="Normal 2 4 3 12 3" xfId="4224"/>
    <cellStyle name="Normal 2 4 3 12 3 2" xfId="22071"/>
    <cellStyle name="Normal 2 4 3 12 4" xfId="4225"/>
    <cellStyle name="Normal 2 4 3 12 4 2" xfId="22072"/>
    <cellStyle name="Normal 2 4 3 12 5" xfId="4226"/>
    <cellStyle name="Normal 2 4 3 12 5 2" xfId="22073"/>
    <cellStyle name="Normal 2 4 3 12 6" xfId="4227"/>
    <cellStyle name="Normal 2 4 3 12 6 2" xfId="22074"/>
    <cellStyle name="Normal 2 4 3 12 7" xfId="4228"/>
    <cellStyle name="Normal 2 4 3 12 7 2" xfId="22075"/>
    <cellStyle name="Normal 2 4 3 12 8" xfId="4229"/>
    <cellStyle name="Normal 2 4 3 12 8 2" xfId="22076"/>
    <cellStyle name="Normal 2 4 3 12 9" xfId="4230"/>
    <cellStyle name="Normal 2 4 3 12 9 2" xfId="22077"/>
    <cellStyle name="Normal 2 4 3 13" xfId="4231"/>
    <cellStyle name="Normal 2 4 3 14" xfId="4232"/>
    <cellStyle name="Normal 2 4 3 15" xfId="4233"/>
    <cellStyle name="Normal 2 4 3 16" xfId="4234"/>
    <cellStyle name="Normal 2 4 3 16 2" xfId="22078"/>
    <cellStyle name="Normal 2 4 3 17" xfId="4235"/>
    <cellStyle name="Normal 2 4 3 17 2" xfId="22079"/>
    <cellStyle name="Normal 2 4 3 18" xfId="4236"/>
    <cellStyle name="Normal 2 4 3 18 2" xfId="22080"/>
    <cellStyle name="Normal 2 4 3 19" xfId="4237"/>
    <cellStyle name="Normal 2 4 3 19 2" xfId="22081"/>
    <cellStyle name="Normal 2 4 3 2" xfId="4238"/>
    <cellStyle name="Normal 2 4 3 2 2" xfId="4239"/>
    <cellStyle name="Normal 2 4 3 2 2 2" xfId="4240"/>
    <cellStyle name="Normal 2 4 3 2 2 2 2" xfId="4241"/>
    <cellStyle name="Normal 2 4 3 2 2 2 3" xfId="4242"/>
    <cellStyle name="Normal 2 4 3 2 2 2 4" xfId="4243"/>
    <cellStyle name="Normal 2 4 3 2 2 3" xfId="4244"/>
    <cellStyle name="Normal 2 4 3 2 2 4" xfId="4245"/>
    <cellStyle name="Normal 2 4 3 2 2 5" xfId="4246"/>
    <cellStyle name="Normal 2 4 3 2 3" xfId="4247"/>
    <cellStyle name="Normal 2 4 3 2 3 2" xfId="4248"/>
    <cellStyle name="Normal 2 4 3 2 3 3" xfId="4249"/>
    <cellStyle name="Normal 2 4 3 2 3 4" xfId="4250"/>
    <cellStyle name="Normal 2 4 3 2 4" xfId="4251"/>
    <cellStyle name="Normal 2 4 3 2 5" xfId="4252"/>
    <cellStyle name="Normal 2 4 3 2 6" xfId="4253"/>
    <cellStyle name="Normal 2 4 3 20" xfId="4254"/>
    <cellStyle name="Normal 2 4 3 20 2" xfId="22082"/>
    <cellStyle name="Normal 2 4 3 21" xfId="4255"/>
    <cellStyle name="Normal 2 4 3 21 2" xfId="22083"/>
    <cellStyle name="Normal 2 4 3 22" xfId="4256"/>
    <cellStyle name="Normal 2 4 3 22 2" xfId="22084"/>
    <cellStyle name="Normal 2 4 3 23" xfId="4257"/>
    <cellStyle name="Normal 2 4 3 23 2" xfId="22085"/>
    <cellStyle name="Normal 2 4 3 24" xfId="4258"/>
    <cellStyle name="Normal 2 4 3 24 2" xfId="22086"/>
    <cellStyle name="Normal 2 4 3 25" xfId="4259"/>
    <cellStyle name="Normal 2 4 3 25 2" xfId="22087"/>
    <cellStyle name="Normal 2 4 3 26" xfId="4260"/>
    <cellStyle name="Normal 2 4 3 26 2" xfId="22088"/>
    <cellStyle name="Normal 2 4 3 27" xfId="4261"/>
    <cellStyle name="Normal 2 4 3 27 2" xfId="22089"/>
    <cellStyle name="Normal 2 4 3 28" xfId="4262"/>
    <cellStyle name="Normal 2 4 3 28 2" xfId="22090"/>
    <cellStyle name="Normal 2 4 3 29" xfId="22021"/>
    <cellStyle name="Normal 2 4 3 3" xfId="4263"/>
    <cellStyle name="Normal 2 4 3 4" xfId="4264"/>
    <cellStyle name="Normal 2 4 3 5" xfId="4265"/>
    <cellStyle name="Normal 2 4 3 6" xfId="4266"/>
    <cellStyle name="Normal 2 4 3 7" xfId="4267"/>
    <cellStyle name="Normal 2 4 3 8" xfId="4268"/>
    <cellStyle name="Normal 2 4 3 9" xfId="4269"/>
    <cellStyle name="Normal 2 4 4" xfId="4270"/>
    <cellStyle name="Normal 2 4 4 10" xfId="4271"/>
    <cellStyle name="Normal 2 4 4 10 2" xfId="22092"/>
    <cellStyle name="Normal 2 4 4 11" xfId="4272"/>
    <cellStyle name="Normal 2 4 4 11 2" xfId="22093"/>
    <cellStyle name="Normal 2 4 4 12" xfId="4273"/>
    <cellStyle name="Normal 2 4 4 12 2" xfId="22094"/>
    <cellStyle name="Normal 2 4 4 13" xfId="4274"/>
    <cellStyle name="Normal 2 4 4 13 2" xfId="22095"/>
    <cellStyle name="Normal 2 4 4 14" xfId="4275"/>
    <cellStyle name="Normal 2 4 4 14 2" xfId="22096"/>
    <cellStyle name="Normal 2 4 4 15" xfId="4276"/>
    <cellStyle name="Normal 2 4 4 15 2" xfId="22097"/>
    <cellStyle name="Normal 2 4 4 16" xfId="4277"/>
    <cellStyle name="Normal 2 4 4 16 2" xfId="22098"/>
    <cellStyle name="Normal 2 4 4 17" xfId="4278"/>
    <cellStyle name="Normal 2 4 4 17 2" xfId="22099"/>
    <cellStyle name="Normal 2 4 4 18" xfId="4279"/>
    <cellStyle name="Normal 2 4 4 18 2" xfId="22100"/>
    <cellStyle name="Normal 2 4 4 19" xfId="4280"/>
    <cellStyle name="Normal 2 4 4 19 2" xfId="22101"/>
    <cellStyle name="Normal 2 4 4 2" xfId="4281"/>
    <cellStyle name="Normal 2 4 4 2 2" xfId="4282"/>
    <cellStyle name="Normal 2 4 4 2 2 10" xfId="4283"/>
    <cellStyle name="Normal 2 4 4 2 2 10 2" xfId="22103"/>
    <cellStyle name="Normal 2 4 4 2 2 11" xfId="4284"/>
    <cellStyle name="Normal 2 4 4 2 2 11 2" xfId="22104"/>
    <cellStyle name="Normal 2 4 4 2 2 12" xfId="4285"/>
    <cellStyle name="Normal 2 4 4 2 2 12 2" xfId="22105"/>
    <cellStyle name="Normal 2 4 4 2 2 13" xfId="4286"/>
    <cellStyle name="Normal 2 4 4 2 2 13 2" xfId="22106"/>
    <cellStyle name="Normal 2 4 4 2 2 14" xfId="4287"/>
    <cellStyle name="Normal 2 4 4 2 2 14 2" xfId="22107"/>
    <cellStyle name="Normal 2 4 4 2 2 15" xfId="4288"/>
    <cellStyle name="Normal 2 4 4 2 2 15 2" xfId="22108"/>
    <cellStyle name="Normal 2 4 4 2 2 16" xfId="4289"/>
    <cellStyle name="Normal 2 4 4 2 2 16 2" xfId="22109"/>
    <cellStyle name="Normal 2 4 4 2 2 17" xfId="4290"/>
    <cellStyle name="Normal 2 4 4 2 2 17 2" xfId="22110"/>
    <cellStyle name="Normal 2 4 4 2 2 18" xfId="22102"/>
    <cellStyle name="Normal 2 4 4 2 2 2" xfId="4291"/>
    <cellStyle name="Normal 2 4 4 2 2 3" xfId="4292"/>
    <cellStyle name="Normal 2 4 4 2 2 4" xfId="4293"/>
    <cellStyle name="Normal 2 4 4 2 2 5" xfId="4294"/>
    <cellStyle name="Normal 2 4 4 2 2 5 2" xfId="22111"/>
    <cellStyle name="Normal 2 4 4 2 2 6" xfId="4295"/>
    <cellStyle name="Normal 2 4 4 2 2 6 2" xfId="22112"/>
    <cellStyle name="Normal 2 4 4 2 2 7" xfId="4296"/>
    <cellStyle name="Normal 2 4 4 2 2 7 2" xfId="22113"/>
    <cellStyle name="Normal 2 4 4 2 2 8" xfId="4297"/>
    <cellStyle name="Normal 2 4 4 2 2 8 2" xfId="22114"/>
    <cellStyle name="Normal 2 4 4 2 2 9" xfId="4298"/>
    <cellStyle name="Normal 2 4 4 2 2 9 2" xfId="22115"/>
    <cellStyle name="Normal 2 4 4 2 3" xfId="4299"/>
    <cellStyle name="Normal 2 4 4 2 4" xfId="4300"/>
    <cellStyle name="Normal 2 4 4 2 4 10" xfId="4301"/>
    <cellStyle name="Normal 2 4 4 2 4 10 2" xfId="22117"/>
    <cellStyle name="Normal 2 4 4 2 4 11" xfId="4302"/>
    <cellStyle name="Normal 2 4 4 2 4 11 2" xfId="22118"/>
    <cellStyle name="Normal 2 4 4 2 4 12" xfId="4303"/>
    <cellStyle name="Normal 2 4 4 2 4 12 2" xfId="22119"/>
    <cellStyle name="Normal 2 4 4 2 4 13" xfId="4304"/>
    <cellStyle name="Normal 2 4 4 2 4 13 2" xfId="22120"/>
    <cellStyle name="Normal 2 4 4 2 4 14" xfId="4305"/>
    <cellStyle name="Normal 2 4 4 2 4 14 2" xfId="22121"/>
    <cellStyle name="Normal 2 4 4 2 4 15" xfId="22116"/>
    <cellStyle name="Normal 2 4 4 2 4 2" xfId="4306"/>
    <cellStyle name="Normal 2 4 4 2 4 2 2" xfId="22122"/>
    <cellStyle name="Normal 2 4 4 2 4 3" xfId="4307"/>
    <cellStyle name="Normal 2 4 4 2 4 3 2" xfId="22123"/>
    <cellStyle name="Normal 2 4 4 2 4 4" xfId="4308"/>
    <cellStyle name="Normal 2 4 4 2 4 4 2" xfId="22124"/>
    <cellStyle name="Normal 2 4 4 2 4 5" xfId="4309"/>
    <cellStyle name="Normal 2 4 4 2 4 5 2" xfId="22125"/>
    <cellStyle name="Normal 2 4 4 2 4 6" xfId="4310"/>
    <cellStyle name="Normal 2 4 4 2 4 6 2" xfId="22126"/>
    <cellStyle name="Normal 2 4 4 2 4 7" xfId="4311"/>
    <cellStyle name="Normal 2 4 4 2 4 7 2" xfId="22127"/>
    <cellStyle name="Normal 2 4 4 2 4 8" xfId="4312"/>
    <cellStyle name="Normal 2 4 4 2 4 8 2" xfId="22128"/>
    <cellStyle name="Normal 2 4 4 2 4 9" xfId="4313"/>
    <cellStyle name="Normal 2 4 4 2 4 9 2" xfId="22129"/>
    <cellStyle name="Normal 2 4 4 2 5" xfId="4314"/>
    <cellStyle name="Normal 2 4 4 2 5 10" xfId="4315"/>
    <cellStyle name="Normal 2 4 4 2 5 10 2" xfId="22131"/>
    <cellStyle name="Normal 2 4 4 2 5 11" xfId="4316"/>
    <cellStyle name="Normal 2 4 4 2 5 11 2" xfId="22132"/>
    <cellStyle name="Normal 2 4 4 2 5 12" xfId="4317"/>
    <cellStyle name="Normal 2 4 4 2 5 12 2" xfId="22133"/>
    <cellStyle name="Normal 2 4 4 2 5 13" xfId="4318"/>
    <cellStyle name="Normal 2 4 4 2 5 13 2" xfId="22134"/>
    <cellStyle name="Normal 2 4 4 2 5 14" xfId="4319"/>
    <cellStyle name="Normal 2 4 4 2 5 14 2" xfId="22135"/>
    <cellStyle name="Normal 2 4 4 2 5 15" xfId="22130"/>
    <cellStyle name="Normal 2 4 4 2 5 2" xfId="4320"/>
    <cellStyle name="Normal 2 4 4 2 5 2 2" xfId="22136"/>
    <cellStyle name="Normal 2 4 4 2 5 3" xfId="4321"/>
    <cellStyle name="Normal 2 4 4 2 5 3 2" xfId="22137"/>
    <cellStyle name="Normal 2 4 4 2 5 4" xfId="4322"/>
    <cellStyle name="Normal 2 4 4 2 5 4 2" xfId="22138"/>
    <cellStyle name="Normal 2 4 4 2 5 5" xfId="4323"/>
    <cellStyle name="Normal 2 4 4 2 5 5 2" xfId="22139"/>
    <cellStyle name="Normal 2 4 4 2 5 6" xfId="4324"/>
    <cellStyle name="Normal 2 4 4 2 5 6 2" xfId="22140"/>
    <cellStyle name="Normal 2 4 4 2 5 7" xfId="4325"/>
    <cellStyle name="Normal 2 4 4 2 5 7 2" xfId="22141"/>
    <cellStyle name="Normal 2 4 4 2 5 8" xfId="4326"/>
    <cellStyle name="Normal 2 4 4 2 5 8 2" xfId="22142"/>
    <cellStyle name="Normal 2 4 4 2 5 9" xfId="4327"/>
    <cellStyle name="Normal 2 4 4 2 5 9 2" xfId="22143"/>
    <cellStyle name="Normal 2 4 4 20" xfId="22091"/>
    <cellStyle name="Normal 2 4 4 3" xfId="4328"/>
    <cellStyle name="Normal 2 4 4 3 2" xfId="4329"/>
    <cellStyle name="Normal 2 4 4 3 2 10" xfId="4330"/>
    <cellStyle name="Normal 2 4 4 3 2 10 2" xfId="22145"/>
    <cellStyle name="Normal 2 4 4 3 2 11" xfId="4331"/>
    <cellStyle name="Normal 2 4 4 3 2 11 2" xfId="22146"/>
    <cellStyle name="Normal 2 4 4 3 2 12" xfId="4332"/>
    <cellStyle name="Normal 2 4 4 3 2 12 2" xfId="22147"/>
    <cellStyle name="Normal 2 4 4 3 2 13" xfId="4333"/>
    <cellStyle name="Normal 2 4 4 3 2 13 2" xfId="22148"/>
    <cellStyle name="Normal 2 4 4 3 2 14" xfId="4334"/>
    <cellStyle name="Normal 2 4 4 3 2 14 2" xfId="22149"/>
    <cellStyle name="Normal 2 4 4 3 2 15" xfId="22144"/>
    <cellStyle name="Normal 2 4 4 3 2 2" xfId="4335"/>
    <cellStyle name="Normal 2 4 4 3 2 2 2" xfId="22150"/>
    <cellStyle name="Normal 2 4 4 3 2 3" xfId="4336"/>
    <cellStyle name="Normal 2 4 4 3 2 3 2" xfId="22151"/>
    <cellStyle name="Normal 2 4 4 3 2 4" xfId="4337"/>
    <cellStyle name="Normal 2 4 4 3 2 4 2" xfId="22152"/>
    <cellStyle name="Normal 2 4 4 3 2 5" xfId="4338"/>
    <cellStyle name="Normal 2 4 4 3 2 5 2" xfId="22153"/>
    <cellStyle name="Normal 2 4 4 3 2 6" xfId="4339"/>
    <cellStyle name="Normal 2 4 4 3 2 6 2" xfId="22154"/>
    <cellStyle name="Normal 2 4 4 3 2 7" xfId="4340"/>
    <cellStyle name="Normal 2 4 4 3 2 7 2" xfId="22155"/>
    <cellStyle name="Normal 2 4 4 3 2 8" xfId="4341"/>
    <cellStyle name="Normal 2 4 4 3 2 8 2" xfId="22156"/>
    <cellStyle name="Normal 2 4 4 3 2 9" xfId="4342"/>
    <cellStyle name="Normal 2 4 4 3 2 9 2" xfId="22157"/>
    <cellStyle name="Normal 2 4 4 3 3" xfId="4343"/>
    <cellStyle name="Normal 2 4 4 3 3 10" xfId="4344"/>
    <cellStyle name="Normal 2 4 4 3 3 10 2" xfId="22159"/>
    <cellStyle name="Normal 2 4 4 3 3 11" xfId="4345"/>
    <cellStyle name="Normal 2 4 4 3 3 11 2" xfId="22160"/>
    <cellStyle name="Normal 2 4 4 3 3 12" xfId="4346"/>
    <cellStyle name="Normal 2 4 4 3 3 12 2" xfId="22161"/>
    <cellStyle name="Normal 2 4 4 3 3 13" xfId="4347"/>
    <cellStyle name="Normal 2 4 4 3 3 13 2" xfId="22162"/>
    <cellStyle name="Normal 2 4 4 3 3 14" xfId="4348"/>
    <cellStyle name="Normal 2 4 4 3 3 14 2" xfId="22163"/>
    <cellStyle name="Normal 2 4 4 3 3 15" xfId="22158"/>
    <cellStyle name="Normal 2 4 4 3 3 2" xfId="4349"/>
    <cellStyle name="Normal 2 4 4 3 3 2 2" xfId="22164"/>
    <cellStyle name="Normal 2 4 4 3 3 3" xfId="4350"/>
    <cellStyle name="Normal 2 4 4 3 3 3 2" xfId="22165"/>
    <cellStyle name="Normal 2 4 4 3 3 4" xfId="4351"/>
    <cellStyle name="Normal 2 4 4 3 3 4 2" xfId="22166"/>
    <cellStyle name="Normal 2 4 4 3 3 5" xfId="4352"/>
    <cellStyle name="Normal 2 4 4 3 3 5 2" xfId="22167"/>
    <cellStyle name="Normal 2 4 4 3 3 6" xfId="4353"/>
    <cellStyle name="Normal 2 4 4 3 3 6 2" xfId="22168"/>
    <cellStyle name="Normal 2 4 4 3 3 7" xfId="4354"/>
    <cellStyle name="Normal 2 4 4 3 3 7 2" xfId="22169"/>
    <cellStyle name="Normal 2 4 4 3 3 8" xfId="4355"/>
    <cellStyle name="Normal 2 4 4 3 3 8 2" xfId="22170"/>
    <cellStyle name="Normal 2 4 4 3 3 9" xfId="4356"/>
    <cellStyle name="Normal 2 4 4 3 3 9 2" xfId="22171"/>
    <cellStyle name="Normal 2 4 4 3 4" xfId="4357"/>
    <cellStyle name="Normal 2 4 4 3 4 10" xfId="4358"/>
    <cellStyle name="Normal 2 4 4 3 4 10 2" xfId="22173"/>
    <cellStyle name="Normal 2 4 4 3 4 11" xfId="4359"/>
    <cellStyle name="Normal 2 4 4 3 4 11 2" xfId="22174"/>
    <cellStyle name="Normal 2 4 4 3 4 12" xfId="4360"/>
    <cellStyle name="Normal 2 4 4 3 4 12 2" xfId="22175"/>
    <cellStyle name="Normal 2 4 4 3 4 13" xfId="4361"/>
    <cellStyle name="Normal 2 4 4 3 4 13 2" xfId="22176"/>
    <cellStyle name="Normal 2 4 4 3 4 14" xfId="4362"/>
    <cellStyle name="Normal 2 4 4 3 4 14 2" xfId="22177"/>
    <cellStyle name="Normal 2 4 4 3 4 15" xfId="22172"/>
    <cellStyle name="Normal 2 4 4 3 4 2" xfId="4363"/>
    <cellStyle name="Normal 2 4 4 3 4 2 2" xfId="22178"/>
    <cellStyle name="Normal 2 4 4 3 4 3" xfId="4364"/>
    <cellStyle name="Normal 2 4 4 3 4 3 2" xfId="22179"/>
    <cellStyle name="Normal 2 4 4 3 4 4" xfId="4365"/>
    <cellStyle name="Normal 2 4 4 3 4 4 2" xfId="22180"/>
    <cellStyle name="Normal 2 4 4 3 4 5" xfId="4366"/>
    <cellStyle name="Normal 2 4 4 3 4 5 2" xfId="22181"/>
    <cellStyle name="Normal 2 4 4 3 4 6" xfId="4367"/>
    <cellStyle name="Normal 2 4 4 3 4 6 2" xfId="22182"/>
    <cellStyle name="Normal 2 4 4 3 4 7" xfId="4368"/>
    <cellStyle name="Normal 2 4 4 3 4 7 2" xfId="22183"/>
    <cellStyle name="Normal 2 4 4 3 4 8" xfId="4369"/>
    <cellStyle name="Normal 2 4 4 3 4 8 2" xfId="22184"/>
    <cellStyle name="Normal 2 4 4 3 4 9" xfId="4370"/>
    <cellStyle name="Normal 2 4 4 3 4 9 2" xfId="22185"/>
    <cellStyle name="Normal 2 4 4 4" xfId="4371"/>
    <cellStyle name="Normal 2 4 4 5" xfId="4372"/>
    <cellStyle name="Normal 2 4 4 6" xfId="4373"/>
    <cellStyle name="Normal 2 4 4 7" xfId="4374"/>
    <cellStyle name="Normal 2 4 4 7 2" xfId="22186"/>
    <cellStyle name="Normal 2 4 4 8" xfId="4375"/>
    <cellStyle name="Normal 2 4 4 8 2" xfId="22187"/>
    <cellStyle name="Normal 2 4 4 9" xfId="4376"/>
    <cellStyle name="Normal 2 4 4 9 2" xfId="22188"/>
    <cellStyle name="Normal 2 4 5" xfId="4377"/>
    <cellStyle name="Normal 2 4 5 10" xfId="4378"/>
    <cellStyle name="Normal 2 4 5 10 2" xfId="22190"/>
    <cellStyle name="Normal 2 4 5 11" xfId="4379"/>
    <cellStyle name="Normal 2 4 5 11 2" xfId="22191"/>
    <cellStyle name="Normal 2 4 5 12" xfId="4380"/>
    <cellStyle name="Normal 2 4 5 12 2" xfId="22192"/>
    <cellStyle name="Normal 2 4 5 13" xfId="4381"/>
    <cellStyle name="Normal 2 4 5 13 2" xfId="22193"/>
    <cellStyle name="Normal 2 4 5 14" xfId="4382"/>
    <cellStyle name="Normal 2 4 5 14 2" xfId="22194"/>
    <cellStyle name="Normal 2 4 5 15" xfId="4383"/>
    <cellStyle name="Normal 2 4 5 15 2" xfId="22195"/>
    <cellStyle name="Normal 2 4 5 16" xfId="4384"/>
    <cellStyle name="Normal 2 4 5 16 2" xfId="22196"/>
    <cellStyle name="Normal 2 4 5 17" xfId="4385"/>
    <cellStyle name="Normal 2 4 5 17 2" xfId="22197"/>
    <cellStyle name="Normal 2 4 5 18" xfId="4386"/>
    <cellStyle name="Normal 2 4 5 18 2" xfId="22198"/>
    <cellStyle name="Normal 2 4 5 19" xfId="4387"/>
    <cellStyle name="Normal 2 4 5 19 2" xfId="22199"/>
    <cellStyle name="Normal 2 4 5 2" xfId="4388"/>
    <cellStyle name="Normal 2 4 5 2 2" xfId="4389"/>
    <cellStyle name="Normal 2 4 5 2 2 10" xfId="4390"/>
    <cellStyle name="Normal 2 4 5 2 2 10 2" xfId="22201"/>
    <cellStyle name="Normal 2 4 5 2 2 11" xfId="4391"/>
    <cellStyle name="Normal 2 4 5 2 2 11 2" xfId="22202"/>
    <cellStyle name="Normal 2 4 5 2 2 12" xfId="4392"/>
    <cellStyle name="Normal 2 4 5 2 2 12 2" xfId="22203"/>
    <cellStyle name="Normal 2 4 5 2 2 13" xfId="4393"/>
    <cellStyle name="Normal 2 4 5 2 2 13 2" xfId="22204"/>
    <cellStyle name="Normal 2 4 5 2 2 14" xfId="4394"/>
    <cellStyle name="Normal 2 4 5 2 2 14 2" xfId="22205"/>
    <cellStyle name="Normal 2 4 5 2 2 15" xfId="4395"/>
    <cellStyle name="Normal 2 4 5 2 2 15 2" xfId="22206"/>
    <cellStyle name="Normal 2 4 5 2 2 16" xfId="4396"/>
    <cellStyle name="Normal 2 4 5 2 2 16 2" xfId="22207"/>
    <cellStyle name="Normal 2 4 5 2 2 17" xfId="4397"/>
    <cellStyle name="Normal 2 4 5 2 2 17 2" xfId="22208"/>
    <cellStyle name="Normal 2 4 5 2 2 18" xfId="22200"/>
    <cellStyle name="Normal 2 4 5 2 2 2" xfId="4398"/>
    <cellStyle name="Normal 2 4 5 2 2 3" xfId="4399"/>
    <cellStyle name="Normal 2 4 5 2 2 4" xfId="4400"/>
    <cellStyle name="Normal 2 4 5 2 2 5" xfId="4401"/>
    <cellStyle name="Normal 2 4 5 2 2 5 2" xfId="22209"/>
    <cellStyle name="Normal 2 4 5 2 2 6" xfId="4402"/>
    <cellStyle name="Normal 2 4 5 2 2 6 2" xfId="22210"/>
    <cellStyle name="Normal 2 4 5 2 2 7" xfId="4403"/>
    <cellStyle name="Normal 2 4 5 2 2 7 2" xfId="22211"/>
    <cellStyle name="Normal 2 4 5 2 2 8" xfId="4404"/>
    <cellStyle name="Normal 2 4 5 2 2 8 2" xfId="22212"/>
    <cellStyle name="Normal 2 4 5 2 2 9" xfId="4405"/>
    <cellStyle name="Normal 2 4 5 2 2 9 2" xfId="22213"/>
    <cellStyle name="Normal 2 4 5 2 3" xfId="4406"/>
    <cellStyle name="Normal 2 4 5 2 4" xfId="4407"/>
    <cellStyle name="Normal 2 4 5 2 4 10" xfId="4408"/>
    <cellStyle name="Normal 2 4 5 2 4 10 2" xfId="22215"/>
    <cellStyle name="Normal 2 4 5 2 4 11" xfId="4409"/>
    <cellStyle name="Normal 2 4 5 2 4 11 2" xfId="22216"/>
    <cellStyle name="Normal 2 4 5 2 4 12" xfId="4410"/>
    <cellStyle name="Normal 2 4 5 2 4 12 2" xfId="22217"/>
    <cellStyle name="Normal 2 4 5 2 4 13" xfId="4411"/>
    <cellStyle name="Normal 2 4 5 2 4 13 2" xfId="22218"/>
    <cellStyle name="Normal 2 4 5 2 4 14" xfId="4412"/>
    <cellStyle name="Normal 2 4 5 2 4 14 2" xfId="22219"/>
    <cellStyle name="Normal 2 4 5 2 4 15" xfId="22214"/>
    <cellStyle name="Normal 2 4 5 2 4 2" xfId="4413"/>
    <cellStyle name="Normal 2 4 5 2 4 2 2" xfId="22220"/>
    <cellStyle name="Normal 2 4 5 2 4 3" xfId="4414"/>
    <cellStyle name="Normal 2 4 5 2 4 3 2" xfId="22221"/>
    <cellStyle name="Normal 2 4 5 2 4 4" xfId="4415"/>
    <cellStyle name="Normal 2 4 5 2 4 4 2" xfId="22222"/>
    <cellStyle name="Normal 2 4 5 2 4 5" xfId="4416"/>
    <cellStyle name="Normal 2 4 5 2 4 5 2" xfId="22223"/>
    <cellStyle name="Normal 2 4 5 2 4 6" xfId="4417"/>
    <cellStyle name="Normal 2 4 5 2 4 6 2" xfId="22224"/>
    <cellStyle name="Normal 2 4 5 2 4 7" xfId="4418"/>
    <cellStyle name="Normal 2 4 5 2 4 7 2" xfId="22225"/>
    <cellStyle name="Normal 2 4 5 2 4 8" xfId="4419"/>
    <cellStyle name="Normal 2 4 5 2 4 8 2" xfId="22226"/>
    <cellStyle name="Normal 2 4 5 2 4 9" xfId="4420"/>
    <cellStyle name="Normal 2 4 5 2 4 9 2" xfId="22227"/>
    <cellStyle name="Normal 2 4 5 2 5" xfId="4421"/>
    <cellStyle name="Normal 2 4 5 2 5 10" xfId="4422"/>
    <cellStyle name="Normal 2 4 5 2 5 10 2" xfId="22229"/>
    <cellStyle name="Normal 2 4 5 2 5 11" xfId="4423"/>
    <cellStyle name="Normal 2 4 5 2 5 11 2" xfId="22230"/>
    <cellStyle name="Normal 2 4 5 2 5 12" xfId="4424"/>
    <cellStyle name="Normal 2 4 5 2 5 12 2" xfId="22231"/>
    <cellStyle name="Normal 2 4 5 2 5 13" xfId="4425"/>
    <cellStyle name="Normal 2 4 5 2 5 13 2" xfId="22232"/>
    <cellStyle name="Normal 2 4 5 2 5 14" xfId="4426"/>
    <cellStyle name="Normal 2 4 5 2 5 14 2" xfId="22233"/>
    <cellStyle name="Normal 2 4 5 2 5 15" xfId="22228"/>
    <cellStyle name="Normal 2 4 5 2 5 2" xfId="4427"/>
    <cellStyle name="Normal 2 4 5 2 5 2 2" xfId="22234"/>
    <cellStyle name="Normal 2 4 5 2 5 3" xfId="4428"/>
    <cellStyle name="Normal 2 4 5 2 5 3 2" xfId="22235"/>
    <cellStyle name="Normal 2 4 5 2 5 4" xfId="4429"/>
    <cellStyle name="Normal 2 4 5 2 5 4 2" xfId="22236"/>
    <cellStyle name="Normal 2 4 5 2 5 5" xfId="4430"/>
    <cellStyle name="Normal 2 4 5 2 5 5 2" xfId="22237"/>
    <cellStyle name="Normal 2 4 5 2 5 6" xfId="4431"/>
    <cellStyle name="Normal 2 4 5 2 5 6 2" xfId="22238"/>
    <cellStyle name="Normal 2 4 5 2 5 7" xfId="4432"/>
    <cellStyle name="Normal 2 4 5 2 5 7 2" xfId="22239"/>
    <cellStyle name="Normal 2 4 5 2 5 8" xfId="4433"/>
    <cellStyle name="Normal 2 4 5 2 5 8 2" xfId="22240"/>
    <cellStyle name="Normal 2 4 5 2 5 9" xfId="4434"/>
    <cellStyle name="Normal 2 4 5 2 5 9 2" xfId="22241"/>
    <cellStyle name="Normal 2 4 5 20" xfId="22189"/>
    <cellStyle name="Normal 2 4 5 3" xfId="4435"/>
    <cellStyle name="Normal 2 4 5 3 2" xfId="4436"/>
    <cellStyle name="Normal 2 4 5 3 2 10" xfId="4437"/>
    <cellStyle name="Normal 2 4 5 3 2 10 2" xfId="22243"/>
    <cellStyle name="Normal 2 4 5 3 2 11" xfId="4438"/>
    <cellStyle name="Normal 2 4 5 3 2 11 2" xfId="22244"/>
    <cellStyle name="Normal 2 4 5 3 2 12" xfId="4439"/>
    <cellStyle name="Normal 2 4 5 3 2 12 2" xfId="22245"/>
    <cellStyle name="Normal 2 4 5 3 2 13" xfId="4440"/>
    <cellStyle name="Normal 2 4 5 3 2 13 2" xfId="22246"/>
    <cellStyle name="Normal 2 4 5 3 2 14" xfId="4441"/>
    <cellStyle name="Normal 2 4 5 3 2 14 2" xfId="22247"/>
    <cellStyle name="Normal 2 4 5 3 2 15" xfId="22242"/>
    <cellStyle name="Normal 2 4 5 3 2 2" xfId="4442"/>
    <cellStyle name="Normal 2 4 5 3 2 2 2" xfId="22248"/>
    <cellStyle name="Normal 2 4 5 3 2 3" xfId="4443"/>
    <cellStyle name="Normal 2 4 5 3 2 3 2" xfId="22249"/>
    <cellStyle name="Normal 2 4 5 3 2 4" xfId="4444"/>
    <cellStyle name="Normal 2 4 5 3 2 4 2" xfId="22250"/>
    <cellStyle name="Normal 2 4 5 3 2 5" xfId="4445"/>
    <cellStyle name="Normal 2 4 5 3 2 5 2" xfId="22251"/>
    <cellStyle name="Normal 2 4 5 3 2 6" xfId="4446"/>
    <cellStyle name="Normal 2 4 5 3 2 6 2" xfId="22252"/>
    <cellStyle name="Normal 2 4 5 3 2 7" xfId="4447"/>
    <cellStyle name="Normal 2 4 5 3 2 7 2" xfId="22253"/>
    <cellStyle name="Normal 2 4 5 3 2 8" xfId="4448"/>
    <cellStyle name="Normal 2 4 5 3 2 8 2" xfId="22254"/>
    <cellStyle name="Normal 2 4 5 3 2 9" xfId="4449"/>
    <cellStyle name="Normal 2 4 5 3 2 9 2" xfId="22255"/>
    <cellStyle name="Normal 2 4 5 3 3" xfId="4450"/>
    <cellStyle name="Normal 2 4 5 3 3 10" xfId="4451"/>
    <cellStyle name="Normal 2 4 5 3 3 10 2" xfId="22257"/>
    <cellStyle name="Normal 2 4 5 3 3 11" xfId="4452"/>
    <cellStyle name="Normal 2 4 5 3 3 11 2" xfId="22258"/>
    <cellStyle name="Normal 2 4 5 3 3 12" xfId="4453"/>
    <cellStyle name="Normal 2 4 5 3 3 12 2" xfId="22259"/>
    <cellStyle name="Normal 2 4 5 3 3 13" xfId="4454"/>
    <cellStyle name="Normal 2 4 5 3 3 13 2" xfId="22260"/>
    <cellStyle name="Normal 2 4 5 3 3 14" xfId="4455"/>
    <cellStyle name="Normal 2 4 5 3 3 14 2" xfId="22261"/>
    <cellStyle name="Normal 2 4 5 3 3 15" xfId="22256"/>
    <cellStyle name="Normal 2 4 5 3 3 2" xfId="4456"/>
    <cellStyle name="Normal 2 4 5 3 3 2 2" xfId="22262"/>
    <cellStyle name="Normal 2 4 5 3 3 3" xfId="4457"/>
    <cellStyle name="Normal 2 4 5 3 3 3 2" xfId="22263"/>
    <cellStyle name="Normal 2 4 5 3 3 4" xfId="4458"/>
    <cellStyle name="Normal 2 4 5 3 3 4 2" xfId="22264"/>
    <cellStyle name="Normal 2 4 5 3 3 5" xfId="4459"/>
    <cellStyle name="Normal 2 4 5 3 3 5 2" xfId="22265"/>
    <cellStyle name="Normal 2 4 5 3 3 6" xfId="4460"/>
    <cellStyle name="Normal 2 4 5 3 3 6 2" xfId="22266"/>
    <cellStyle name="Normal 2 4 5 3 3 7" xfId="4461"/>
    <cellStyle name="Normal 2 4 5 3 3 7 2" xfId="22267"/>
    <cellStyle name="Normal 2 4 5 3 3 8" xfId="4462"/>
    <cellStyle name="Normal 2 4 5 3 3 8 2" xfId="22268"/>
    <cellStyle name="Normal 2 4 5 3 3 9" xfId="4463"/>
    <cellStyle name="Normal 2 4 5 3 3 9 2" xfId="22269"/>
    <cellStyle name="Normal 2 4 5 3 4" xfId="4464"/>
    <cellStyle name="Normal 2 4 5 3 4 10" xfId="4465"/>
    <cellStyle name="Normal 2 4 5 3 4 10 2" xfId="22271"/>
    <cellStyle name="Normal 2 4 5 3 4 11" xfId="4466"/>
    <cellStyle name="Normal 2 4 5 3 4 11 2" xfId="22272"/>
    <cellStyle name="Normal 2 4 5 3 4 12" xfId="4467"/>
    <cellStyle name="Normal 2 4 5 3 4 12 2" xfId="22273"/>
    <cellStyle name="Normal 2 4 5 3 4 13" xfId="4468"/>
    <cellStyle name="Normal 2 4 5 3 4 13 2" xfId="22274"/>
    <cellStyle name="Normal 2 4 5 3 4 14" xfId="4469"/>
    <cellStyle name="Normal 2 4 5 3 4 14 2" xfId="22275"/>
    <cellStyle name="Normal 2 4 5 3 4 15" xfId="22270"/>
    <cellStyle name="Normal 2 4 5 3 4 2" xfId="4470"/>
    <cellStyle name="Normal 2 4 5 3 4 2 2" xfId="22276"/>
    <cellStyle name="Normal 2 4 5 3 4 3" xfId="4471"/>
    <cellStyle name="Normal 2 4 5 3 4 3 2" xfId="22277"/>
    <cellStyle name="Normal 2 4 5 3 4 4" xfId="4472"/>
    <cellStyle name="Normal 2 4 5 3 4 4 2" xfId="22278"/>
    <cellStyle name="Normal 2 4 5 3 4 5" xfId="4473"/>
    <cellStyle name="Normal 2 4 5 3 4 5 2" xfId="22279"/>
    <cellStyle name="Normal 2 4 5 3 4 6" xfId="4474"/>
    <cellStyle name="Normal 2 4 5 3 4 6 2" xfId="22280"/>
    <cellStyle name="Normal 2 4 5 3 4 7" xfId="4475"/>
    <cellStyle name="Normal 2 4 5 3 4 7 2" xfId="22281"/>
    <cellStyle name="Normal 2 4 5 3 4 8" xfId="4476"/>
    <cellStyle name="Normal 2 4 5 3 4 8 2" xfId="22282"/>
    <cellStyle name="Normal 2 4 5 3 4 9" xfId="4477"/>
    <cellStyle name="Normal 2 4 5 3 4 9 2" xfId="22283"/>
    <cellStyle name="Normal 2 4 5 4" xfId="4478"/>
    <cellStyle name="Normal 2 4 5 5" xfId="4479"/>
    <cellStyle name="Normal 2 4 5 6" xfId="4480"/>
    <cellStyle name="Normal 2 4 5 7" xfId="4481"/>
    <cellStyle name="Normal 2 4 5 7 2" xfId="22284"/>
    <cellStyle name="Normal 2 4 5 8" xfId="4482"/>
    <cellStyle name="Normal 2 4 5 8 2" xfId="22285"/>
    <cellStyle name="Normal 2 4 5 9" xfId="4483"/>
    <cellStyle name="Normal 2 4 5 9 2" xfId="22286"/>
    <cellStyle name="Normal 2 4 6" xfId="4484"/>
    <cellStyle name="Normal 2 4 7" xfId="4485"/>
    <cellStyle name="Normal 2 4 8" xfId="4486"/>
    <cellStyle name="Normal 2 4 9" xfId="4487"/>
    <cellStyle name="Normal 2 40" xfId="4488"/>
    <cellStyle name="Normal 2 41" xfId="4489"/>
    <cellStyle name="Normal 2 42" xfId="4490"/>
    <cellStyle name="Normal 2 43" xfId="4491"/>
    <cellStyle name="Normal 2 44" xfId="4492"/>
    <cellStyle name="Normal 2 45" xfId="4493"/>
    <cellStyle name="Normal 2 46" xfId="4494"/>
    <cellStyle name="Normal 2 47" xfId="4495"/>
    <cellStyle name="Normal 2 48" xfId="4496"/>
    <cellStyle name="Normal 2 49" xfId="4497"/>
    <cellStyle name="Normal 2 49 10" xfId="4498"/>
    <cellStyle name="Normal 2 49 10 10" xfId="4499"/>
    <cellStyle name="Normal 2 49 10 10 2" xfId="22289"/>
    <cellStyle name="Normal 2 49 10 11" xfId="4500"/>
    <cellStyle name="Normal 2 49 10 11 2" xfId="22290"/>
    <cellStyle name="Normal 2 49 10 12" xfId="4501"/>
    <cellStyle name="Normal 2 49 10 12 2" xfId="22291"/>
    <cellStyle name="Normal 2 49 10 13" xfId="4502"/>
    <cellStyle name="Normal 2 49 10 13 2" xfId="22292"/>
    <cellStyle name="Normal 2 49 10 14" xfId="4503"/>
    <cellStyle name="Normal 2 49 10 14 2" xfId="22293"/>
    <cellStyle name="Normal 2 49 10 15" xfId="22288"/>
    <cellStyle name="Normal 2 49 10 2" xfId="4504"/>
    <cellStyle name="Normal 2 49 10 2 2" xfId="22294"/>
    <cellStyle name="Normal 2 49 10 3" xfId="4505"/>
    <cellStyle name="Normal 2 49 10 3 2" xfId="22295"/>
    <cellStyle name="Normal 2 49 10 4" xfId="4506"/>
    <cellStyle name="Normal 2 49 10 4 2" xfId="22296"/>
    <cellStyle name="Normal 2 49 10 5" xfId="4507"/>
    <cellStyle name="Normal 2 49 10 5 2" xfId="22297"/>
    <cellStyle name="Normal 2 49 10 6" xfId="4508"/>
    <cellStyle name="Normal 2 49 10 6 2" xfId="22298"/>
    <cellStyle name="Normal 2 49 10 7" xfId="4509"/>
    <cellStyle name="Normal 2 49 10 7 2" xfId="22299"/>
    <cellStyle name="Normal 2 49 10 8" xfId="4510"/>
    <cellStyle name="Normal 2 49 10 8 2" xfId="22300"/>
    <cellStyle name="Normal 2 49 10 9" xfId="4511"/>
    <cellStyle name="Normal 2 49 10 9 2" xfId="22301"/>
    <cellStyle name="Normal 2 49 11" xfId="4512"/>
    <cellStyle name="Normal 2 49 11 2" xfId="22302"/>
    <cellStyle name="Normal 2 49 12" xfId="4513"/>
    <cellStyle name="Normal 2 49 12 2" xfId="22303"/>
    <cellStyle name="Normal 2 49 13" xfId="4514"/>
    <cellStyle name="Normal 2 49 13 2" xfId="22304"/>
    <cellStyle name="Normal 2 49 14" xfId="4515"/>
    <cellStyle name="Normal 2 49 14 2" xfId="22305"/>
    <cellStyle name="Normal 2 49 15" xfId="4516"/>
    <cellStyle name="Normal 2 49 15 2" xfId="22306"/>
    <cellStyle name="Normal 2 49 16" xfId="4517"/>
    <cellStyle name="Normal 2 49 16 2" xfId="22307"/>
    <cellStyle name="Normal 2 49 17" xfId="4518"/>
    <cellStyle name="Normal 2 49 17 2" xfId="22308"/>
    <cellStyle name="Normal 2 49 18" xfId="4519"/>
    <cellStyle name="Normal 2 49 18 2" xfId="22309"/>
    <cellStyle name="Normal 2 49 19" xfId="4520"/>
    <cellStyle name="Normal 2 49 19 2" xfId="22310"/>
    <cellStyle name="Normal 2 49 2" xfId="4521"/>
    <cellStyle name="Normal 2 49 2 10" xfId="4522"/>
    <cellStyle name="Normal 2 49 2 10 2" xfId="22312"/>
    <cellStyle name="Normal 2 49 2 11" xfId="4523"/>
    <cellStyle name="Normal 2 49 2 11 2" xfId="22313"/>
    <cellStyle name="Normal 2 49 2 12" xfId="4524"/>
    <cellStyle name="Normal 2 49 2 12 2" xfId="22314"/>
    <cellStyle name="Normal 2 49 2 13" xfId="4525"/>
    <cellStyle name="Normal 2 49 2 13 2" xfId="22315"/>
    <cellStyle name="Normal 2 49 2 14" xfId="4526"/>
    <cellStyle name="Normal 2 49 2 14 2" xfId="22316"/>
    <cellStyle name="Normal 2 49 2 15" xfId="4527"/>
    <cellStyle name="Normal 2 49 2 15 2" xfId="22317"/>
    <cellStyle name="Normal 2 49 2 16" xfId="22311"/>
    <cellStyle name="Normal 2 49 2 2" xfId="4528"/>
    <cellStyle name="Normal 2 49 2 2 10" xfId="4529"/>
    <cellStyle name="Normal 2 49 2 2 10 2" xfId="22319"/>
    <cellStyle name="Normal 2 49 2 2 11" xfId="4530"/>
    <cellStyle name="Normal 2 49 2 2 11 2" xfId="22320"/>
    <cellStyle name="Normal 2 49 2 2 12" xfId="4531"/>
    <cellStyle name="Normal 2 49 2 2 12 2" xfId="22321"/>
    <cellStyle name="Normal 2 49 2 2 13" xfId="4532"/>
    <cellStyle name="Normal 2 49 2 2 13 2" xfId="22322"/>
    <cellStyle name="Normal 2 49 2 2 14" xfId="4533"/>
    <cellStyle name="Normal 2 49 2 2 14 2" xfId="22323"/>
    <cellStyle name="Normal 2 49 2 2 15" xfId="22318"/>
    <cellStyle name="Normal 2 49 2 2 2" xfId="4534"/>
    <cellStyle name="Normal 2 49 2 2 2 2" xfId="22324"/>
    <cellStyle name="Normal 2 49 2 2 3" xfId="4535"/>
    <cellStyle name="Normal 2 49 2 2 3 2" xfId="22325"/>
    <cellStyle name="Normal 2 49 2 2 4" xfId="4536"/>
    <cellStyle name="Normal 2 49 2 2 4 2" xfId="22326"/>
    <cellStyle name="Normal 2 49 2 2 5" xfId="4537"/>
    <cellStyle name="Normal 2 49 2 2 5 2" xfId="22327"/>
    <cellStyle name="Normal 2 49 2 2 6" xfId="4538"/>
    <cellStyle name="Normal 2 49 2 2 6 2" xfId="22328"/>
    <cellStyle name="Normal 2 49 2 2 7" xfId="4539"/>
    <cellStyle name="Normal 2 49 2 2 7 2" xfId="22329"/>
    <cellStyle name="Normal 2 49 2 2 8" xfId="4540"/>
    <cellStyle name="Normal 2 49 2 2 8 2" xfId="22330"/>
    <cellStyle name="Normal 2 49 2 2 9" xfId="4541"/>
    <cellStyle name="Normal 2 49 2 2 9 2" xfId="22331"/>
    <cellStyle name="Normal 2 49 2 3" xfId="4542"/>
    <cellStyle name="Normal 2 49 2 3 2" xfId="22332"/>
    <cellStyle name="Normal 2 49 2 4" xfId="4543"/>
    <cellStyle name="Normal 2 49 2 4 2" xfId="22333"/>
    <cellStyle name="Normal 2 49 2 5" xfId="4544"/>
    <cellStyle name="Normal 2 49 2 5 2" xfId="22334"/>
    <cellStyle name="Normal 2 49 2 6" xfId="4545"/>
    <cellStyle name="Normal 2 49 2 6 2" xfId="22335"/>
    <cellStyle name="Normal 2 49 2 7" xfId="4546"/>
    <cellStyle name="Normal 2 49 2 7 2" xfId="22336"/>
    <cellStyle name="Normal 2 49 2 8" xfId="4547"/>
    <cellStyle name="Normal 2 49 2 8 2" xfId="22337"/>
    <cellStyle name="Normal 2 49 2 9" xfId="4548"/>
    <cellStyle name="Normal 2 49 2 9 2" xfId="22338"/>
    <cellStyle name="Normal 2 49 20" xfId="4549"/>
    <cellStyle name="Normal 2 49 20 2" xfId="22339"/>
    <cellStyle name="Normal 2 49 21" xfId="4550"/>
    <cellStyle name="Normal 2 49 21 2" xfId="22340"/>
    <cellStyle name="Normal 2 49 22" xfId="4551"/>
    <cellStyle name="Normal 2 49 22 2" xfId="22341"/>
    <cellStyle name="Normal 2 49 23" xfId="4552"/>
    <cellStyle name="Normal 2 49 23 2" xfId="22342"/>
    <cellStyle name="Normal 2 49 24" xfId="22287"/>
    <cellStyle name="Normal 2 49 3" xfId="4553"/>
    <cellStyle name="Normal 2 49 3 10" xfId="4554"/>
    <cellStyle name="Normal 2 49 3 10 2" xfId="22344"/>
    <cellStyle name="Normal 2 49 3 11" xfId="4555"/>
    <cellStyle name="Normal 2 49 3 11 2" xfId="22345"/>
    <cellStyle name="Normal 2 49 3 12" xfId="4556"/>
    <cellStyle name="Normal 2 49 3 12 2" xfId="22346"/>
    <cellStyle name="Normal 2 49 3 13" xfId="4557"/>
    <cellStyle name="Normal 2 49 3 13 2" xfId="22347"/>
    <cellStyle name="Normal 2 49 3 14" xfId="4558"/>
    <cellStyle name="Normal 2 49 3 14 2" xfId="22348"/>
    <cellStyle name="Normal 2 49 3 15" xfId="4559"/>
    <cellStyle name="Normal 2 49 3 15 2" xfId="22349"/>
    <cellStyle name="Normal 2 49 3 16" xfId="22343"/>
    <cellStyle name="Normal 2 49 3 2" xfId="4560"/>
    <cellStyle name="Normal 2 49 3 2 10" xfId="4561"/>
    <cellStyle name="Normal 2 49 3 2 10 2" xfId="22351"/>
    <cellStyle name="Normal 2 49 3 2 11" xfId="4562"/>
    <cellStyle name="Normal 2 49 3 2 11 2" xfId="22352"/>
    <cellStyle name="Normal 2 49 3 2 12" xfId="4563"/>
    <cellStyle name="Normal 2 49 3 2 12 2" xfId="22353"/>
    <cellStyle name="Normal 2 49 3 2 13" xfId="4564"/>
    <cellStyle name="Normal 2 49 3 2 13 2" xfId="22354"/>
    <cellStyle name="Normal 2 49 3 2 14" xfId="4565"/>
    <cellStyle name="Normal 2 49 3 2 14 2" xfId="22355"/>
    <cellStyle name="Normal 2 49 3 2 15" xfId="22350"/>
    <cellStyle name="Normal 2 49 3 2 2" xfId="4566"/>
    <cellStyle name="Normal 2 49 3 2 2 2" xfId="22356"/>
    <cellStyle name="Normal 2 49 3 2 3" xfId="4567"/>
    <cellStyle name="Normal 2 49 3 2 3 2" xfId="22357"/>
    <cellStyle name="Normal 2 49 3 2 4" xfId="4568"/>
    <cellStyle name="Normal 2 49 3 2 4 2" xfId="22358"/>
    <cellStyle name="Normal 2 49 3 2 5" xfId="4569"/>
    <cellStyle name="Normal 2 49 3 2 5 2" xfId="22359"/>
    <cellStyle name="Normal 2 49 3 2 6" xfId="4570"/>
    <cellStyle name="Normal 2 49 3 2 6 2" xfId="22360"/>
    <cellStyle name="Normal 2 49 3 2 7" xfId="4571"/>
    <cellStyle name="Normal 2 49 3 2 7 2" xfId="22361"/>
    <cellStyle name="Normal 2 49 3 2 8" xfId="4572"/>
    <cellStyle name="Normal 2 49 3 2 8 2" xfId="22362"/>
    <cellStyle name="Normal 2 49 3 2 9" xfId="4573"/>
    <cellStyle name="Normal 2 49 3 2 9 2" xfId="22363"/>
    <cellStyle name="Normal 2 49 3 3" xfId="4574"/>
    <cellStyle name="Normal 2 49 3 3 2" xfId="22364"/>
    <cellStyle name="Normal 2 49 3 4" xfId="4575"/>
    <cellStyle name="Normal 2 49 3 4 2" xfId="22365"/>
    <cellStyle name="Normal 2 49 3 5" xfId="4576"/>
    <cellStyle name="Normal 2 49 3 5 2" xfId="22366"/>
    <cellStyle name="Normal 2 49 3 6" xfId="4577"/>
    <cellStyle name="Normal 2 49 3 6 2" xfId="22367"/>
    <cellStyle name="Normal 2 49 3 7" xfId="4578"/>
    <cellStyle name="Normal 2 49 3 7 2" xfId="22368"/>
    <cellStyle name="Normal 2 49 3 8" xfId="4579"/>
    <cellStyle name="Normal 2 49 3 8 2" xfId="22369"/>
    <cellStyle name="Normal 2 49 3 9" xfId="4580"/>
    <cellStyle name="Normal 2 49 3 9 2" xfId="22370"/>
    <cellStyle name="Normal 2 49 4" xfId="4581"/>
    <cellStyle name="Normal 2 49 4 10" xfId="4582"/>
    <cellStyle name="Normal 2 49 4 10 2" xfId="22372"/>
    <cellStyle name="Normal 2 49 4 11" xfId="4583"/>
    <cellStyle name="Normal 2 49 4 11 2" xfId="22373"/>
    <cellStyle name="Normal 2 49 4 12" xfId="4584"/>
    <cellStyle name="Normal 2 49 4 12 2" xfId="22374"/>
    <cellStyle name="Normal 2 49 4 13" xfId="4585"/>
    <cellStyle name="Normal 2 49 4 13 2" xfId="22375"/>
    <cellStyle name="Normal 2 49 4 14" xfId="4586"/>
    <cellStyle name="Normal 2 49 4 14 2" xfId="22376"/>
    <cellStyle name="Normal 2 49 4 15" xfId="4587"/>
    <cellStyle name="Normal 2 49 4 15 2" xfId="22377"/>
    <cellStyle name="Normal 2 49 4 16" xfId="22371"/>
    <cellStyle name="Normal 2 49 4 2" xfId="4588"/>
    <cellStyle name="Normal 2 49 4 2 10" xfId="4589"/>
    <cellStyle name="Normal 2 49 4 2 10 2" xfId="22379"/>
    <cellStyle name="Normal 2 49 4 2 11" xfId="4590"/>
    <cellStyle name="Normal 2 49 4 2 11 2" xfId="22380"/>
    <cellStyle name="Normal 2 49 4 2 12" xfId="4591"/>
    <cellStyle name="Normal 2 49 4 2 12 2" xfId="22381"/>
    <cellStyle name="Normal 2 49 4 2 13" xfId="4592"/>
    <cellStyle name="Normal 2 49 4 2 13 2" xfId="22382"/>
    <cellStyle name="Normal 2 49 4 2 14" xfId="4593"/>
    <cellStyle name="Normal 2 49 4 2 14 2" xfId="22383"/>
    <cellStyle name="Normal 2 49 4 2 15" xfId="22378"/>
    <cellStyle name="Normal 2 49 4 2 2" xfId="4594"/>
    <cellStyle name="Normal 2 49 4 2 2 2" xfId="22384"/>
    <cellStyle name="Normal 2 49 4 2 3" xfId="4595"/>
    <cellStyle name="Normal 2 49 4 2 3 2" xfId="22385"/>
    <cellStyle name="Normal 2 49 4 2 4" xfId="4596"/>
    <cellStyle name="Normal 2 49 4 2 4 2" xfId="22386"/>
    <cellStyle name="Normal 2 49 4 2 5" xfId="4597"/>
    <cellStyle name="Normal 2 49 4 2 5 2" xfId="22387"/>
    <cellStyle name="Normal 2 49 4 2 6" xfId="4598"/>
    <cellStyle name="Normal 2 49 4 2 6 2" xfId="22388"/>
    <cellStyle name="Normal 2 49 4 2 7" xfId="4599"/>
    <cellStyle name="Normal 2 49 4 2 7 2" xfId="22389"/>
    <cellStyle name="Normal 2 49 4 2 8" xfId="4600"/>
    <cellStyle name="Normal 2 49 4 2 8 2" xfId="22390"/>
    <cellStyle name="Normal 2 49 4 2 9" xfId="4601"/>
    <cellStyle name="Normal 2 49 4 2 9 2" xfId="22391"/>
    <cellStyle name="Normal 2 49 4 3" xfId="4602"/>
    <cellStyle name="Normal 2 49 4 3 2" xfId="22392"/>
    <cellStyle name="Normal 2 49 4 4" xfId="4603"/>
    <cellStyle name="Normal 2 49 4 4 2" xfId="22393"/>
    <cellStyle name="Normal 2 49 4 5" xfId="4604"/>
    <cellStyle name="Normal 2 49 4 5 2" xfId="22394"/>
    <cellStyle name="Normal 2 49 4 6" xfId="4605"/>
    <cellStyle name="Normal 2 49 4 6 2" xfId="22395"/>
    <cellStyle name="Normal 2 49 4 7" xfId="4606"/>
    <cellStyle name="Normal 2 49 4 7 2" xfId="22396"/>
    <cellStyle name="Normal 2 49 4 8" xfId="4607"/>
    <cellStyle name="Normal 2 49 4 8 2" xfId="22397"/>
    <cellStyle name="Normal 2 49 4 9" xfId="4608"/>
    <cellStyle name="Normal 2 49 4 9 2" xfId="22398"/>
    <cellStyle name="Normal 2 49 5" xfId="4609"/>
    <cellStyle name="Normal 2 49 5 10" xfId="4610"/>
    <cellStyle name="Normal 2 49 5 10 2" xfId="22400"/>
    <cellStyle name="Normal 2 49 5 11" xfId="4611"/>
    <cellStyle name="Normal 2 49 5 11 2" xfId="22401"/>
    <cellStyle name="Normal 2 49 5 12" xfId="4612"/>
    <cellStyle name="Normal 2 49 5 12 2" xfId="22402"/>
    <cellStyle name="Normal 2 49 5 13" xfId="4613"/>
    <cellStyle name="Normal 2 49 5 13 2" xfId="22403"/>
    <cellStyle name="Normal 2 49 5 14" xfId="4614"/>
    <cellStyle name="Normal 2 49 5 14 2" xfId="22404"/>
    <cellStyle name="Normal 2 49 5 15" xfId="22399"/>
    <cellStyle name="Normal 2 49 5 2" xfId="4615"/>
    <cellStyle name="Normal 2 49 5 2 2" xfId="22405"/>
    <cellStyle name="Normal 2 49 5 3" xfId="4616"/>
    <cellStyle name="Normal 2 49 5 3 2" xfId="22406"/>
    <cellStyle name="Normal 2 49 5 4" xfId="4617"/>
    <cellStyle name="Normal 2 49 5 4 2" xfId="22407"/>
    <cellStyle name="Normal 2 49 5 5" xfId="4618"/>
    <cellStyle name="Normal 2 49 5 5 2" xfId="22408"/>
    <cellStyle name="Normal 2 49 5 6" xfId="4619"/>
    <cellStyle name="Normal 2 49 5 6 2" xfId="22409"/>
    <cellStyle name="Normal 2 49 5 7" xfId="4620"/>
    <cellStyle name="Normal 2 49 5 7 2" xfId="22410"/>
    <cellStyle name="Normal 2 49 5 8" xfId="4621"/>
    <cellStyle name="Normal 2 49 5 8 2" xfId="22411"/>
    <cellStyle name="Normal 2 49 5 9" xfId="4622"/>
    <cellStyle name="Normal 2 49 5 9 2" xfId="22412"/>
    <cellStyle name="Normal 2 49 6" xfId="4623"/>
    <cellStyle name="Normal 2 49 6 10" xfId="4624"/>
    <cellStyle name="Normal 2 49 6 10 2" xfId="22414"/>
    <cellStyle name="Normal 2 49 6 11" xfId="4625"/>
    <cellStyle name="Normal 2 49 6 11 2" xfId="22415"/>
    <cellStyle name="Normal 2 49 6 12" xfId="4626"/>
    <cellStyle name="Normal 2 49 6 12 2" xfId="22416"/>
    <cellStyle name="Normal 2 49 6 13" xfId="4627"/>
    <cellStyle name="Normal 2 49 6 13 2" xfId="22417"/>
    <cellStyle name="Normal 2 49 6 14" xfId="4628"/>
    <cellStyle name="Normal 2 49 6 14 2" xfId="22418"/>
    <cellStyle name="Normal 2 49 6 15" xfId="22413"/>
    <cellStyle name="Normal 2 49 6 2" xfId="4629"/>
    <cellStyle name="Normal 2 49 6 2 2" xfId="22419"/>
    <cellStyle name="Normal 2 49 6 3" xfId="4630"/>
    <cellStyle name="Normal 2 49 6 3 2" xfId="22420"/>
    <cellStyle name="Normal 2 49 6 4" xfId="4631"/>
    <cellStyle name="Normal 2 49 6 4 2" xfId="22421"/>
    <cellStyle name="Normal 2 49 6 5" xfId="4632"/>
    <cellStyle name="Normal 2 49 6 5 2" xfId="22422"/>
    <cellStyle name="Normal 2 49 6 6" xfId="4633"/>
    <cellStyle name="Normal 2 49 6 6 2" xfId="22423"/>
    <cellStyle name="Normal 2 49 6 7" xfId="4634"/>
    <cellStyle name="Normal 2 49 6 7 2" xfId="22424"/>
    <cellStyle name="Normal 2 49 6 8" xfId="4635"/>
    <cellStyle name="Normal 2 49 6 8 2" xfId="22425"/>
    <cellStyle name="Normal 2 49 6 9" xfId="4636"/>
    <cellStyle name="Normal 2 49 6 9 2" xfId="22426"/>
    <cellStyle name="Normal 2 49 7" xfId="4637"/>
    <cellStyle name="Normal 2 49 7 10" xfId="4638"/>
    <cellStyle name="Normal 2 49 7 10 2" xfId="22428"/>
    <cellStyle name="Normal 2 49 7 11" xfId="4639"/>
    <cellStyle name="Normal 2 49 7 11 2" xfId="22429"/>
    <cellStyle name="Normal 2 49 7 12" xfId="4640"/>
    <cellStyle name="Normal 2 49 7 12 2" xfId="22430"/>
    <cellStyle name="Normal 2 49 7 13" xfId="4641"/>
    <cellStyle name="Normal 2 49 7 13 2" xfId="22431"/>
    <cellStyle name="Normal 2 49 7 14" xfId="4642"/>
    <cellStyle name="Normal 2 49 7 14 2" xfId="22432"/>
    <cellStyle name="Normal 2 49 7 15" xfId="22427"/>
    <cellStyle name="Normal 2 49 7 2" xfId="4643"/>
    <cellStyle name="Normal 2 49 7 2 2" xfId="22433"/>
    <cellStyle name="Normal 2 49 7 3" xfId="4644"/>
    <cellStyle name="Normal 2 49 7 3 2" xfId="22434"/>
    <cellStyle name="Normal 2 49 7 4" xfId="4645"/>
    <cellStyle name="Normal 2 49 7 4 2" xfId="22435"/>
    <cellStyle name="Normal 2 49 7 5" xfId="4646"/>
    <cellStyle name="Normal 2 49 7 5 2" xfId="22436"/>
    <cellStyle name="Normal 2 49 7 6" xfId="4647"/>
    <cellStyle name="Normal 2 49 7 6 2" xfId="22437"/>
    <cellStyle name="Normal 2 49 7 7" xfId="4648"/>
    <cellStyle name="Normal 2 49 7 7 2" xfId="22438"/>
    <cellStyle name="Normal 2 49 7 8" xfId="4649"/>
    <cellStyle name="Normal 2 49 7 8 2" xfId="22439"/>
    <cellStyle name="Normal 2 49 7 9" xfId="4650"/>
    <cellStyle name="Normal 2 49 7 9 2" xfId="22440"/>
    <cellStyle name="Normal 2 49 8" xfId="4651"/>
    <cellStyle name="Normal 2 49 8 10" xfId="4652"/>
    <cellStyle name="Normal 2 49 8 10 2" xfId="22442"/>
    <cellStyle name="Normal 2 49 8 11" xfId="4653"/>
    <cellStyle name="Normal 2 49 8 11 2" xfId="22443"/>
    <cellStyle name="Normal 2 49 8 12" xfId="4654"/>
    <cellStyle name="Normal 2 49 8 12 2" xfId="22444"/>
    <cellStyle name="Normal 2 49 8 13" xfId="4655"/>
    <cellStyle name="Normal 2 49 8 13 2" xfId="22445"/>
    <cellStyle name="Normal 2 49 8 14" xfId="4656"/>
    <cellStyle name="Normal 2 49 8 14 2" xfId="22446"/>
    <cellStyle name="Normal 2 49 8 15" xfId="22441"/>
    <cellStyle name="Normal 2 49 8 2" xfId="4657"/>
    <cellStyle name="Normal 2 49 8 2 2" xfId="22447"/>
    <cellStyle name="Normal 2 49 8 3" xfId="4658"/>
    <cellStyle name="Normal 2 49 8 3 2" xfId="22448"/>
    <cellStyle name="Normal 2 49 8 4" xfId="4659"/>
    <cellStyle name="Normal 2 49 8 4 2" xfId="22449"/>
    <cellStyle name="Normal 2 49 8 5" xfId="4660"/>
    <cellStyle name="Normal 2 49 8 5 2" xfId="22450"/>
    <cellStyle name="Normal 2 49 8 6" xfId="4661"/>
    <cellStyle name="Normal 2 49 8 6 2" xfId="22451"/>
    <cellStyle name="Normal 2 49 8 7" xfId="4662"/>
    <cellStyle name="Normal 2 49 8 7 2" xfId="22452"/>
    <cellStyle name="Normal 2 49 8 8" xfId="4663"/>
    <cellStyle name="Normal 2 49 8 8 2" xfId="22453"/>
    <cellStyle name="Normal 2 49 8 9" xfId="4664"/>
    <cellStyle name="Normal 2 49 8 9 2" xfId="22454"/>
    <cellStyle name="Normal 2 49 9" xfId="4665"/>
    <cellStyle name="Normal 2 49 9 10" xfId="4666"/>
    <cellStyle name="Normal 2 49 9 10 2" xfId="22456"/>
    <cellStyle name="Normal 2 49 9 11" xfId="4667"/>
    <cellStyle name="Normal 2 49 9 11 2" xfId="22457"/>
    <cellStyle name="Normal 2 49 9 12" xfId="4668"/>
    <cellStyle name="Normal 2 49 9 12 2" xfId="22458"/>
    <cellStyle name="Normal 2 49 9 13" xfId="4669"/>
    <cellStyle name="Normal 2 49 9 13 2" xfId="22459"/>
    <cellStyle name="Normal 2 49 9 14" xfId="4670"/>
    <cellStyle name="Normal 2 49 9 14 2" xfId="22460"/>
    <cellStyle name="Normal 2 49 9 15" xfId="22455"/>
    <cellStyle name="Normal 2 49 9 2" xfId="4671"/>
    <cellStyle name="Normal 2 49 9 2 2" xfId="22461"/>
    <cellStyle name="Normal 2 49 9 3" xfId="4672"/>
    <cellStyle name="Normal 2 49 9 3 2" xfId="22462"/>
    <cellStyle name="Normal 2 49 9 4" xfId="4673"/>
    <cellStyle name="Normal 2 49 9 4 2" xfId="22463"/>
    <cellStyle name="Normal 2 49 9 5" xfId="4674"/>
    <cellStyle name="Normal 2 49 9 5 2" xfId="22464"/>
    <cellStyle name="Normal 2 49 9 6" xfId="4675"/>
    <cellStyle name="Normal 2 49 9 6 2" xfId="22465"/>
    <cellStyle name="Normal 2 49 9 7" xfId="4676"/>
    <cellStyle name="Normal 2 49 9 7 2" xfId="22466"/>
    <cellStyle name="Normal 2 49 9 8" xfId="4677"/>
    <cellStyle name="Normal 2 49 9 8 2" xfId="22467"/>
    <cellStyle name="Normal 2 49 9 9" xfId="4678"/>
    <cellStyle name="Normal 2 49 9 9 2" xfId="22468"/>
    <cellStyle name="Normal 2 5" xfId="48"/>
    <cellStyle name="Normal 2 5 2" xfId="205"/>
    <cellStyle name="Normal 2 5 2 2" xfId="4680"/>
    <cellStyle name="Normal 2 5 2 2 2" xfId="4681"/>
    <cellStyle name="Normal 2 5 2 3" xfId="4682"/>
    <cellStyle name="Normal 2 5 2 3 2" xfId="4683"/>
    <cellStyle name="Normal 2 5 2 4" xfId="4684"/>
    <cellStyle name="Normal 2 5 2 4 2" xfId="4685"/>
    <cellStyle name="Normal 2 5 2 5" xfId="4686"/>
    <cellStyle name="Normal 2 5 2 5 2" xfId="4687"/>
    <cellStyle name="Normal 2 5 2 6" xfId="4688"/>
    <cellStyle name="Normal 2 5 2 6 2" xfId="4689"/>
    <cellStyle name="Normal 2 5 2 7" xfId="4690"/>
    <cellStyle name="Normal 2 5 2 7 2" xfId="4691"/>
    <cellStyle name="Normal 2 5 2 8" xfId="4679"/>
    <cellStyle name="Normal 2 5 3" xfId="4692"/>
    <cellStyle name="Normal 2 5 4" xfId="4693"/>
    <cellStyle name="Normal 2 5 5" xfId="4694"/>
    <cellStyle name="Normal 2 5 6" xfId="4695"/>
    <cellStyle name="Normal 2 5 7" xfId="4696"/>
    <cellStyle name="Normal 2 5 8" xfId="4697"/>
    <cellStyle name="Normal 2 50" xfId="4698"/>
    <cellStyle name="Normal 2 50 10" xfId="4699"/>
    <cellStyle name="Normal 2 50 10 10" xfId="4700"/>
    <cellStyle name="Normal 2 50 10 10 2" xfId="22471"/>
    <cellStyle name="Normal 2 50 10 11" xfId="4701"/>
    <cellStyle name="Normal 2 50 10 11 2" xfId="22472"/>
    <cellStyle name="Normal 2 50 10 12" xfId="4702"/>
    <cellStyle name="Normal 2 50 10 12 2" xfId="22473"/>
    <cellStyle name="Normal 2 50 10 13" xfId="4703"/>
    <cellStyle name="Normal 2 50 10 13 2" xfId="22474"/>
    <cellStyle name="Normal 2 50 10 14" xfId="4704"/>
    <cellStyle name="Normal 2 50 10 14 2" xfId="22475"/>
    <cellStyle name="Normal 2 50 10 15" xfId="22470"/>
    <cellStyle name="Normal 2 50 10 2" xfId="4705"/>
    <cellStyle name="Normal 2 50 10 2 2" xfId="22476"/>
    <cellStyle name="Normal 2 50 10 3" xfId="4706"/>
    <cellStyle name="Normal 2 50 10 3 2" xfId="22477"/>
    <cellStyle name="Normal 2 50 10 4" xfId="4707"/>
    <cellStyle name="Normal 2 50 10 4 2" xfId="22478"/>
    <cellStyle name="Normal 2 50 10 5" xfId="4708"/>
    <cellStyle name="Normal 2 50 10 5 2" xfId="22479"/>
    <cellStyle name="Normal 2 50 10 6" xfId="4709"/>
    <cellStyle name="Normal 2 50 10 6 2" xfId="22480"/>
    <cellStyle name="Normal 2 50 10 7" xfId="4710"/>
    <cellStyle name="Normal 2 50 10 7 2" xfId="22481"/>
    <cellStyle name="Normal 2 50 10 8" xfId="4711"/>
    <cellStyle name="Normal 2 50 10 8 2" xfId="22482"/>
    <cellStyle name="Normal 2 50 10 9" xfId="4712"/>
    <cellStyle name="Normal 2 50 10 9 2" xfId="22483"/>
    <cellStyle name="Normal 2 50 11" xfId="4713"/>
    <cellStyle name="Normal 2 50 11 2" xfId="22484"/>
    <cellStyle name="Normal 2 50 12" xfId="4714"/>
    <cellStyle name="Normal 2 50 12 2" xfId="22485"/>
    <cellStyle name="Normal 2 50 13" xfId="4715"/>
    <cellStyle name="Normal 2 50 13 2" xfId="22486"/>
    <cellStyle name="Normal 2 50 14" xfId="4716"/>
    <cellStyle name="Normal 2 50 14 2" xfId="22487"/>
    <cellStyle name="Normal 2 50 15" xfId="4717"/>
    <cellStyle name="Normal 2 50 15 2" xfId="22488"/>
    <cellStyle name="Normal 2 50 16" xfId="4718"/>
    <cellStyle name="Normal 2 50 16 2" xfId="22489"/>
    <cellStyle name="Normal 2 50 17" xfId="4719"/>
    <cellStyle name="Normal 2 50 17 2" xfId="22490"/>
    <cellStyle name="Normal 2 50 18" xfId="4720"/>
    <cellStyle name="Normal 2 50 18 2" xfId="22491"/>
    <cellStyle name="Normal 2 50 19" xfId="4721"/>
    <cellStyle name="Normal 2 50 19 2" xfId="22492"/>
    <cellStyle name="Normal 2 50 2" xfId="4722"/>
    <cellStyle name="Normal 2 50 2 10" xfId="4723"/>
    <cellStyle name="Normal 2 50 2 10 2" xfId="22494"/>
    <cellStyle name="Normal 2 50 2 11" xfId="4724"/>
    <cellStyle name="Normal 2 50 2 11 2" xfId="22495"/>
    <cellStyle name="Normal 2 50 2 12" xfId="4725"/>
    <cellStyle name="Normal 2 50 2 12 2" xfId="22496"/>
    <cellStyle name="Normal 2 50 2 13" xfId="4726"/>
    <cellStyle name="Normal 2 50 2 13 2" xfId="22497"/>
    <cellStyle name="Normal 2 50 2 14" xfId="4727"/>
    <cellStyle name="Normal 2 50 2 14 2" xfId="22498"/>
    <cellStyle name="Normal 2 50 2 15" xfId="4728"/>
    <cellStyle name="Normal 2 50 2 15 2" xfId="22499"/>
    <cellStyle name="Normal 2 50 2 16" xfId="22493"/>
    <cellStyle name="Normal 2 50 2 2" xfId="4729"/>
    <cellStyle name="Normal 2 50 2 2 10" xfId="4730"/>
    <cellStyle name="Normal 2 50 2 2 10 2" xfId="22501"/>
    <cellStyle name="Normal 2 50 2 2 11" xfId="4731"/>
    <cellStyle name="Normal 2 50 2 2 11 2" xfId="22502"/>
    <cellStyle name="Normal 2 50 2 2 12" xfId="4732"/>
    <cellStyle name="Normal 2 50 2 2 12 2" xfId="22503"/>
    <cellStyle name="Normal 2 50 2 2 13" xfId="4733"/>
    <cellStyle name="Normal 2 50 2 2 13 2" xfId="22504"/>
    <cellStyle name="Normal 2 50 2 2 14" xfId="4734"/>
    <cellStyle name="Normal 2 50 2 2 14 2" xfId="22505"/>
    <cellStyle name="Normal 2 50 2 2 15" xfId="22500"/>
    <cellStyle name="Normal 2 50 2 2 2" xfId="4735"/>
    <cellStyle name="Normal 2 50 2 2 2 2" xfId="22506"/>
    <cellStyle name="Normal 2 50 2 2 3" xfId="4736"/>
    <cellStyle name="Normal 2 50 2 2 3 2" xfId="22507"/>
    <cellStyle name="Normal 2 50 2 2 4" xfId="4737"/>
    <cellStyle name="Normal 2 50 2 2 4 2" xfId="22508"/>
    <cellStyle name="Normal 2 50 2 2 5" xfId="4738"/>
    <cellStyle name="Normal 2 50 2 2 5 2" xfId="22509"/>
    <cellStyle name="Normal 2 50 2 2 6" xfId="4739"/>
    <cellStyle name="Normal 2 50 2 2 6 2" xfId="22510"/>
    <cellStyle name="Normal 2 50 2 2 7" xfId="4740"/>
    <cellStyle name="Normal 2 50 2 2 7 2" xfId="22511"/>
    <cellStyle name="Normal 2 50 2 2 8" xfId="4741"/>
    <cellStyle name="Normal 2 50 2 2 8 2" xfId="22512"/>
    <cellStyle name="Normal 2 50 2 2 9" xfId="4742"/>
    <cellStyle name="Normal 2 50 2 2 9 2" xfId="22513"/>
    <cellStyle name="Normal 2 50 2 3" xfId="4743"/>
    <cellStyle name="Normal 2 50 2 3 2" xfId="22514"/>
    <cellStyle name="Normal 2 50 2 4" xfId="4744"/>
    <cellStyle name="Normal 2 50 2 4 2" xfId="22515"/>
    <cellStyle name="Normal 2 50 2 5" xfId="4745"/>
    <cellStyle name="Normal 2 50 2 5 2" xfId="22516"/>
    <cellStyle name="Normal 2 50 2 6" xfId="4746"/>
    <cellStyle name="Normal 2 50 2 6 2" xfId="22517"/>
    <cellStyle name="Normal 2 50 2 7" xfId="4747"/>
    <cellStyle name="Normal 2 50 2 7 2" xfId="22518"/>
    <cellStyle name="Normal 2 50 2 8" xfId="4748"/>
    <cellStyle name="Normal 2 50 2 8 2" xfId="22519"/>
    <cellStyle name="Normal 2 50 2 9" xfId="4749"/>
    <cellStyle name="Normal 2 50 2 9 2" xfId="22520"/>
    <cellStyle name="Normal 2 50 20" xfId="4750"/>
    <cellStyle name="Normal 2 50 20 2" xfId="22521"/>
    <cellStyle name="Normal 2 50 21" xfId="4751"/>
    <cellStyle name="Normal 2 50 21 2" xfId="22522"/>
    <cellStyle name="Normal 2 50 22" xfId="4752"/>
    <cellStyle name="Normal 2 50 22 2" xfId="22523"/>
    <cellStyle name="Normal 2 50 23" xfId="4753"/>
    <cellStyle name="Normal 2 50 23 2" xfId="22524"/>
    <cellStyle name="Normal 2 50 24" xfId="22469"/>
    <cellStyle name="Normal 2 50 3" xfId="4754"/>
    <cellStyle name="Normal 2 50 3 10" xfId="4755"/>
    <cellStyle name="Normal 2 50 3 10 2" xfId="22526"/>
    <cellStyle name="Normal 2 50 3 11" xfId="4756"/>
    <cellStyle name="Normal 2 50 3 11 2" xfId="22527"/>
    <cellStyle name="Normal 2 50 3 12" xfId="4757"/>
    <cellStyle name="Normal 2 50 3 12 2" xfId="22528"/>
    <cellStyle name="Normal 2 50 3 13" xfId="4758"/>
    <cellStyle name="Normal 2 50 3 13 2" xfId="22529"/>
    <cellStyle name="Normal 2 50 3 14" xfId="4759"/>
    <cellStyle name="Normal 2 50 3 14 2" xfId="22530"/>
    <cellStyle name="Normal 2 50 3 15" xfId="4760"/>
    <cellStyle name="Normal 2 50 3 15 2" xfId="22531"/>
    <cellStyle name="Normal 2 50 3 16" xfId="22525"/>
    <cellStyle name="Normal 2 50 3 2" xfId="4761"/>
    <cellStyle name="Normal 2 50 3 2 10" xfId="4762"/>
    <cellStyle name="Normal 2 50 3 2 10 2" xfId="22533"/>
    <cellStyle name="Normal 2 50 3 2 11" xfId="4763"/>
    <cellStyle name="Normal 2 50 3 2 11 2" xfId="22534"/>
    <cellStyle name="Normal 2 50 3 2 12" xfId="4764"/>
    <cellStyle name="Normal 2 50 3 2 12 2" xfId="22535"/>
    <cellStyle name="Normal 2 50 3 2 13" xfId="4765"/>
    <cellStyle name="Normal 2 50 3 2 13 2" xfId="22536"/>
    <cellStyle name="Normal 2 50 3 2 14" xfId="4766"/>
    <cellStyle name="Normal 2 50 3 2 14 2" xfId="22537"/>
    <cellStyle name="Normal 2 50 3 2 15" xfId="22532"/>
    <cellStyle name="Normal 2 50 3 2 2" xfId="4767"/>
    <cellStyle name="Normal 2 50 3 2 2 2" xfId="22538"/>
    <cellStyle name="Normal 2 50 3 2 3" xfId="4768"/>
    <cellStyle name="Normal 2 50 3 2 3 2" xfId="22539"/>
    <cellStyle name="Normal 2 50 3 2 4" xfId="4769"/>
    <cellStyle name="Normal 2 50 3 2 4 2" xfId="22540"/>
    <cellStyle name="Normal 2 50 3 2 5" xfId="4770"/>
    <cellStyle name="Normal 2 50 3 2 5 2" xfId="22541"/>
    <cellStyle name="Normal 2 50 3 2 6" xfId="4771"/>
    <cellStyle name="Normal 2 50 3 2 6 2" xfId="22542"/>
    <cellStyle name="Normal 2 50 3 2 7" xfId="4772"/>
    <cellStyle name="Normal 2 50 3 2 7 2" xfId="22543"/>
    <cellStyle name="Normal 2 50 3 2 8" xfId="4773"/>
    <cellStyle name="Normal 2 50 3 2 8 2" xfId="22544"/>
    <cellStyle name="Normal 2 50 3 2 9" xfId="4774"/>
    <cellStyle name="Normal 2 50 3 2 9 2" xfId="22545"/>
    <cellStyle name="Normal 2 50 3 3" xfId="4775"/>
    <cellStyle name="Normal 2 50 3 3 2" xfId="22546"/>
    <cellStyle name="Normal 2 50 3 4" xfId="4776"/>
    <cellStyle name="Normal 2 50 3 4 2" xfId="22547"/>
    <cellStyle name="Normal 2 50 3 5" xfId="4777"/>
    <cellStyle name="Normal 2 50 3 5 2" xfId="22548"/>
    <cellStyle name="Normal 2 50 3 6" xfId="4778"/>
    <cellStyle name="Normal 2 50 3 6 2" xfId="22549"/>
    <cellStyle name="Normal 2 50 3 7" xfId="4779"/>
    <cellStyle name="Normal 2 50 3 7 2" xfId="22550"/>
    <cellStyle name="Normal 2 50 3 8" xfId="4780"/>
    <cellStyle name="Normal 2 50 3 8 2" xfId="22551"/>
    <cellStyle name="Normal 2 50 3 9" xfId="4781"/>
    <cellStyle name="Normal 2 50 3 9 2" xfId="22552"/>
    <cellStyle name="Normal 2 50 4" xfId="4782"/>
    <cellStyle name="Normal 2 50 4 10" xfId="4783"/>
    <cellStyle name="Normal 2 50 4 10 2" xfId="22554"/>
    <cellStyle name="Normal 2 50 4 11" xfId="4784"/>
    <cellStyle name="Normal 2 50 4 11 2" xfId="22555"/>
    <cellStyle name="Normal 2 50 4 12" xfId="4785"/>
    <cellStyle name="Normal 2 50 4 12 2" xfId="22556"/>
    <cellStyle name="Normal 2 50 4 13" xfId="4786"/>
    <cellStyle name="Normal 2 50 4 13 2" xfId="22557"/>
    <cellStyle name="Normal 2 50 4 14" xfId="4787"/>
    <cellStyle name="Normal 2 50 4 14 2" xfId="22558"/>
    <cellStyle name="Normal 2 50 4 15" xfId="4788"/>
    <cellStyle name="Normal 2 50 4 15 2" xfId="22559"/>
    <cellStyle name="Normal 2 50 4 16" xfId="22553"/>
    <cellStyle name="Normal 2 50 4 2" xfId="4789"/>
    <cellStyle name="Normal 2 50 4 2 10" xfId="4790"/>
    <cellStyle name="Normal 2 50 4 2 10 2" xfId="22561"/>
    <cellStyle name="Normal 2 50 4 2 11" xfId="4791"/>
    <cellStyle name="Normal 2 50 4 2 11 2" xfId="22562"/>
    <cellStyle name="Normal 2 50 4 2 12" xfId="4792"/>
    <cellStyle name="Normal 2 50 4 2 12 2" xfId="22563"/>
    <cellStyle name="Normal 2 50 4 2 13" xfId="4793"/>
    <cellStyle name="Normal 2 50 4 2 13 2" xfId="22564"/>
    <cellStyle name="Normal 2 50 4 2 14" xfId="4794"/>
    <cellStyle name="Normal 2 50 4 2 14 2" xfId="22565"/>
    <cellStyle name="Normal 2 50 4 2 15" xfId="22560"/>
    <cellStyle name="Normal 2 50 4 2 2" xfId="4795"/>
    <cellStyle name="Normal 2 50 4 2 2 2" xfId="22566"/>
    <cellStyle name="Normal 2 50 4 2 3" xfId="4796"/>
    <cellStyle name="Normal 2 50 4 2 3 2" xfId="22567"/>
    <cellStyle name="Normal 2 50 4 2 4" xfId="4797"/>
    <cellStyle name="Normal 2 50 4 2 4 2" xfId="22568"/>
    <cellStyle name="Normal 2 50 4 2 5" xfId="4798"/>
    <cellStyle name="Normal 2 50 4 2 5 2" xfId="22569"/>
    <cellStyle name="Normal 2 50 4 2 6" xfId="4799"/>
    <cellStyle name="Normal 2 50 4 2 6 2" xfId="22570"/>
    <cellStyle name="Normal 2 50 4 2 7" xfId="4800"/>
    <cellStyle name="Normal 2 50 4 2 7 2" xfId="22571"/>
    <cellStyle name="Normal 2 50 4 2 8" xfId="4801"/>
    <cellStyle name="Normal 2 50 4 2 8 2" xfId="22572"/>
    <cellStyle name="Normal 2 50 4 2 9" xfId="4802"/>
    <cellStyle name="Normal 2 50 4 2 9 2" xfId="22573"/>
    <cellStyle name="Normal 2 50 4 3" xfId="4803"/>
    <cellStyle name="Normal 2 50 4 3 2" xfId="22574"/>
    <cellStyle name="Normal 2 50 4 4" xfId="4804"/>
    <cellStyle name="Normal 2 50 4 4 2" xfId="22575"/>
    <cellStyle name="Normal 2 50 4 5" xfId="4805"/>
    <cellStyle name="Normal 2 50 4 5 2" xfId="22576"/>
    <cellStyle name="Normal 2 50 4 6" xfId="4806"/>
    <cellStyle name="Normal 2 50 4 6 2" xfId="22577"/>
    <cellStyle name="Normal 2 50 4 7" xfId="4807"/>
    <cellStyle name="Normal 2 50 4 7 2" xfId="22578"/>
    <cellStyle name="Normal 2 50 4 8" xfId="4808"/>
    <cellStyle name="Normal 2 50 4 8 2" xfId="22579"/>
    <cellStyle name="Normal 2 50 4 9" xfId="4809"/>
    <cellStyle name="Normal 2 50 4 9 2" xfId="22580"/>
    <cellStyle name="Normal 2 50 5" xfId="4810"/>
    <cellStyle name="Normal 2 50 5 10" xfId="4811"/>
    <cellStyle name="Normal 2 50 5 10 2" xfId="22582"/>
    <cellStyle name="Normal 2 50 5 11" xfId="4812"/>
    <cellStyle name="Normal 2 50 5 11 2" xfId="22583"/>
    <cellStyle name="Normal 2 50 5 12" xfId="4813"/>
    <cellStyle name="Normal 2 50 5 12 2" xfId="22584"/>
    <cellStyle name="Normal 2 50 5 13" xfId="4814"/>
    <cellStyle name="Normal 2 50 5 13 2" xfId="22585"/>
    <cellStyle name="Normal 2 50 5 14" xfId="4815"/>
    <cellStyle name="Normal 2 50 5 14 2" xfId="22586"/>
    <cellStyle name="Normal 2 50 5 15" xfId="22581"/>
    <cellStyle name="Normal 2 50 5 2" xfId="4816"/>
    <cellStyle name="Normal 2 50 5 2 2" xfId="22587"/>
    <cellStyle name="Normal 2 50 5 3" xfId="4817"/>
    <cellStyle name="Normal 2 50 5 3 2" xfId="22588"/>
    <cellStyle name="Normal 2 50 5 4" xfId="4818"/>
    <cellStyle name="Normal 2 50 5 4 2" xfId="22589"/>
    <cellStyle name="Normal 2 50 5 5" xfId="4819"/>
    <cellStyle name="Normal 2 50 5 5 2" xfId="22590"/>
    <cellStyle name="Normal 2 50 5 6" xfId="4820"/>
    <cellStyle name="Normal 2 50 5 6 2" xfId="22591"/>
    <cellStyle name="Normal 2 50 5 7" xfId="4821"/>
    <cellStyle name="Normal 2 50 5 7 2" xfId="22592"/>
    <cellStyle name="Normal 2 50 5 8" xfId="4822"/>
    <cellStyle name="Normal 2 50 5 8 2" xfId="22593"/>
    <cellStyle name="Normal 2 50 5 9" xfId="4823"/>
    <cellStyle name="Normal 2 50 5 9 2" xfId="22594"/>
    <cellStyle name="Normal 2 50 6" xfId="4824"/>
    <cellStyle name="Normal 2 50 6 10" xfId="4825"/>
    <cellStyle name="Normal 2 50 6 10 2" xfId="22596"/>
    <cellStyle name="Normal 2 50 6 11" xfId="4826"/>
    <cellStyle name="Normal 2 50 6 11 2" xfId="22597"/>
    <cellStyle name="Normal 2 50 6 12" xfId="4827"/>
    <cellStyle name="Normal 2 50 6 12 2" xfId="22598"/>
    <cellStyle name="Normal 2 50 6 13" xfId="4828"/>
    <cellStyle name="Normal 2 50 6 13 2" xfId="22599"/>
    <cellStyle name="Normal 2 50 6 14" xfId="4829"/>
    <cellStyle name="Normal 2 50 6 14 2" xfId="22600"/>
    <cellStyle name="Normal 2 50 6 15" xfId="22595"/>
    <cellStyle name="Normal 2 50 6 2" xfId="4830"/>
    <cellStyle name="Normal 2 50 6 2 2" xfId="22601"/>
    <cellStyle name="Normal 2 50 6 3" xfId="4831"/>
    <cellStyle name="Normal 2 50 6 3 2" xfId="22602"/>
    <cellStyle name="Normal 2 50 6 4" xfId="4832"/>
    <cellStyle name="Normal 2 50 6 4 2" xfId="22603"/>
    <cellStyle name="Normal 2 50 6 5" xfId="4833"/>
    <cellStyle name="Normal 2 50 6 5 2" xfId="22604"/>
    <cellStyle name="Normal 2 50 6 6" xfId="4834"/>
    <cellStyle name="Normal 2 50 6 6 2" xfId="22605"/>
    <cellStyle name="Normal 2 50 6 7" xfId="4835"/>
    <cellStyle name="Normal 2 50 6 7 2" xfId="22606"/>
    <cellStyle name="Normal 2 50 6 8" xfId="4836"/>
    <cellStyle name="Normal 2 50 6 8 2" xfId="22607"/>
    <cellStyle name="Normal 2 50 6 9" xfId="4837"/>
    <cellStyle name="Normal 2 50 6 9 2" xfId="22608"/>
    <cellStyle name="Normal 2 50 7" xfId="4838"/>
    <cellStyle name="Normal 2 50 7 10" xfId="4839"/>
    <cellStyle name="Normal 2 50 7 10 2" xfId="22610"/>
    <cellStyle name="Normal 2 50 7 11" xfId="4840"/>
    <cellStyle name="Normal 2 50 7 11 2" xfId="22611"/>
    <cellStyle name="Normal 2 50 7 12" xfId="4841"/>
    <cellStyle name="Normal 2 50 7 12 2" xfId="22612"/>
    <cellStyle name="Normal 2 50 7 13" xfId="4842"/>
    <cellStyle name="Normal 2 50 7 13 2" xfId="22613"/>
    <cellStyle name="Normal 2 50 7 14" xfId="4843"/>
    <cellStyle name="Normal 2 50 7 14 2" xfId="22614"/>
    <cellStyle name="Normal 2 50 7 15" xfId="22609"/>
    <cellStyle name="Normal 2 50 7 2" xfId="4844"/>
    <cellStyle name="Normal 2 50 7 2 2" xfId="22615"/>
    <cellStyle name="Normal 2 50 7 3" xfId="4845"/>
    <cellStyle name="Normal 2 50 7 3 2" xfId="22616"/>
    <cellStyle name="Normal 2 50 7 4" xfId="4846"/>
    <cellStyle name="Normal 2 50 7 4 2" xfId="22617"/>
    <cellStyle name="Normal 2 50 7 5" xfId="4847"/>
    <cellStyle name="Normal 2 50 7 5 2" xfId="22618"/>
    <cellStyle name="Normal 2 50 7 6" xfId="4848"/>
    <cellStyle name="Normal 2 50 7 6 2" xfId="22619"/>
    <cellStyle name="Normal 2 50 7 7" xfId="4849"/>
    <cellStyle name="Normal 2 50 7 7 2" xfId="22620"/>
    <cellStyle name="Normal 2 50 7 8" xfId="4850"/>
    <cellStyle name="Normal 2 50 7 8 2" xfId="22621"/>
    <cellStyle name="Normal 2 50 7 9" xfId="4851"/>
    <cellStyle name="Normal 2 50 7 9 2" xfId="22622"/>
    <cellStyle name="Normal 2 50 8" xfId="4852"/>
    <cellStyle name="Normal 2 50 8 10" xfId="4853"/>
    <cellStyle name="Normal 2 50 8 10 2" xfId="22624"/>
    <cellStyle name="Normal 2 50 8 11" xfId="4854"/>
    <cellStyle name="Normal 2 50 8 11 2" xfId="22625"/>
    <cellStyle name="Normal 2 50 8 12" xfId="4855"/>
    <cellStyle name="Normal 2 50 8 12 2" xfId="22626"/>
    <cellStyle name="Normal 2 50 8 13" xfId="4856"/>
    <cellStyle name="Normal 2 50 8 13 2" xfId="22627"/>
    <cellStyle name="Normal 2 50 8 14" xfId="4857"/>
    <cellStyle name="Normal 2 50 8 14 2" xfId="22628"/>
    <cellStyle name="Normal 2 50 8 15" xfId="22623"/>
    <cellStyle name="Normal 2 50 8 2" xfId="4858"/>
    <cellStyle name="Normal 2 50 8 2 2" xfId="22629"/>
    <cellStyle name="Normal 2 50 8 3" xfId="4859"/>
    <cellStyle name="Normal 2 50 8 3 2" xfId="22630"/>
    <cellStyle name="Normal 2 50 8 4" xfId="4860"/>
    <cellStyle name="Normal 2 50 8 4 2" xfId="22631"/>
    <cellStyle name="Normal 2 50 8 5" xfId="4861"/>
    <cellStyle name="Normal 2 50 8 5 2" xfId="22632"/>
    <cellStyle name="Normal 2 50 8 6" xfId="4862"/>
    <cellStyle name="Normal 2 50 8 6 2" xfId="22633"/>
    <cellStyle name="Normal 2 50 8 7" xfId="4863"/>
    <cellStyle name="Normal 2 50 8 7 2" xfId="22634"/>
    <cellStyle name="Normal 2 50 8 8" xfId="4864"/>
    <cellStyle name="Normal 2 50 8 8 2" xfId="22635"/>
    <cellStyle name="Normal 2 50 8 9" xfId="4865"/>
    <cellStyle name="Normal 2 50 8 9 2" xfId="22636"/>
    <cellStyle name="Normal 2 50 9" xfId="4866"/>
    <cellStyle name="Normal 2 50 9 10" xfId="4867"/>
    <cellStyle name="Normal 2 50 9 10 2" xfId="22638"/>
    <cellStyle name="Normal 2 50 9 11" xfId="4868"/>
    <cellStyle name="Normal 2 50 9 11 2" xfId="22639"/>
    <cellStyle name="Normal 2 50 9 12" xfId="4869"/>
    <cellStyle name="Normal 2 50 9 12 2" xfId="22640"/>
    <cellStyle name="Normal 2 50 9 13" xfId="4870"/>
    <cellStyle name="Normal 2 50 9 13 2" xfId="22641"/>
    <cellStyle name="Normal 2 50 9 14" xfId="4871"/>
    <cellStyle name="Normal 2 50 9 14 2" xfId="22642"/>
    <cellStyle name="Normal 2 50 9 15" xfId="22637"/>
    <cellStyle name="Normal 2 50 9 2" xfId="4872"/>
    <cellStyle name="Normal 2 50 9 2 2" xfId="22643"/>
    <cellStyle name="Normal 2 50 9 3" xfId="4873"/>
    <cellStyle name="Normal 2 50 9 3 2" xfId="22644"/>
    <cellStyle name="Normal 2 50 9 4" xfId="4874"/>
    <cellStyle name="Normal 2 50 9 4 2" xfId="22645"/>
    <cellStyle name="Normal 2 50 9 5" xfId="4875"/>
    <cellStyle name="Normal 2 50 9 5 2" xfId="22646"/>
    <cellStyle name="Normal 2 50 9 6" xfId="4876"/>
    <cellStyle name="Normal 2 50 9 6 2" xfId="22647"/>
    <cellStyle name="Normal 2 50 9 7" xfId="4877"/>
    <cellStyle name="Normal 2 50 9 7 2" xfId="22648"/>
    <cellStyle name="Normal 2 50 9 8" xfId="4878"/>
    <cellStyle name="Normal 2 50 9 8 2" xfId="22649"/>
    <cellStyle name="Normal 2 50 9 9" xfId="4879"/>
    <cellStyle name="Normal 2 50 9 9 2" xfId="22650"/>
    <cellStyle name="Normal 2 51" xfId="4880"/>
    <cellStyle name="Normal 2 51 10" xfId="4881"/>
    <cellStyle name="Normal 2 51 10 10" xfId="4882"/>
    <cellStyle name="Normal 2 51 10 10 2" xfId="22653"/>
    <cellStyle name="Normal 2 51 10 11" xfId="4883"/>
    <cellStyle name="Normal 2 51 10 11 2" xfId="22654"/>
    <cellStyle name="Normal 2 51 10 12" xfId="4884"/>
    <cellStyle name="Normal 2 51 10 12 2" xfId="22655"/>
    <cellStyle name="Normal 2 51 10 13" xfId="4885"/>
    <cellStyle name="Normal 2 51 10 13 2" xfId="22656"/>
    <cellStyle name="Normal 2 51 10 14" xfId="4886"/>
    <cellStyle name="Normal 2 51 10 14 2" xfId="22657"/>
    <cellStyle name="Normal 2 51 10 15" xfId="22652"/>
    <cellStyle name="Normal 2 51 10 2" xfId="4887"/>
    <cellStyle name="Normal 2 51 10 2 2" xfId="22658"/>
    <cellStyle name="Normal 2 51 10 3" xfId="4888"/>
    <cellStyle name="Normal 2 51 10 3 2" xfId="22659"/>
    <cellStyle name="Normal 2 51 10 4" xfId="4889"/>
    <cellStyle name="Normal 2 51 10 4 2" xfId="22660"/>
    <cellStyle name="Normal 2 51 10 5" xfId="4890"/>
    <cellStyle name="Normal 2 51 10 5 2" xfId="22661"/>
    <cellStyle name="Normal 2 51 10 6" xfId="4891"/>
    <cellStyle name="Normal 2 51 10 6 2" xfId="22662"/>
    <cellStyle name="Normal 2 51 10 7" xfId="4892"/>
    <cellStyle name="Normal 2 51 10 7 2" xfId="22663"/>
    <cellStyle name="Normal 2 51 10 8" xfId="4893"/>
    <cellStyle name="Normal 2 51 10 8 2" xfId="22664"/>
    <cellStyle name="Normal 2 51 10 9" xfId="4894"/>
    <cellStyle name="Normal 2 51 10 9 2" xfId="22665"/>
    <cellStyle name="Normal 2 51 11" xfId="4895"/>
    <cellStyle name="Normal 2 51 11 2" xfId="22666"/>
    <cellStyle name="Normal 2 51 12" xfId="4896"/>
    <cellStyle name="Normal 2 51 12 2" xfId="22667"/>
    <cellStyle name="Normal 2 51 13" xfId="4897"/>
    <cellStyle name="Normal 2 51 13 2" xfId="22668"/>
    <cellStyle name="Normal 2 51 14" xfId="4898"/>
    <cellStyle name="Normal 2 51 14 2" xfId="22669"/>
    <cellStyle name="Normal 2 51 15" xfId="4899"/>
    <cellStyle name="Normal 2 51 15 2" xfId="22670"/>
    <cellStyle name="Normal 2 51 16" xfId="4900"/>
    <cellStyle name="Normal 2 51 16 2" xfId="22671"/>
    <cellStyle name="Normal 2 51 17" xfId="4901"/>
    <cellStyle name="Normal 2 51 17 2" xfId="22672"/>
    <cellStyle name="Normal 2 51 18" xfId="4902"/>
    <cellStyle name="Normal 2 51 18 2" xfId="22673"/>
    <cellStyle name="Normal 2 51 19" xfId="4903"/>
    <cellStyle name="Normal 2 51 19 2" xfId="22674"/>
    <cellStyle name="Normal 2 51 2" xfId="4904"/>
    <cellStyle name="Normal 2 51 2 10" xfId="4905"/>
    <cellStyle name="Normal 2 51 2 10 2" xfId="22676"/>
    <cellStyle name="Normal 2 51 2 11" xfId="4906"/>
    <cellStyle name="Normal 2 51 2 11 2" xfId="22677"/>
    <cellStyle name="Normal 2 51 2 12" xfId="4907"/>
    <cellStyle name="Normal 2 51 2 12 2" xfId="22678"/>
    <cellStyle name="Normal 2 51 2 13" xfId="4908"/>
    <cellStyle name="Normal 2 51 2 13 2" xfId="22679"/>
    <cellStyle name="Normal 2 51 2 14" xfId="4909"/>
    <cellStyle name="Normal 2 51 2 14 2" xfId="22680"/>
    <cellStyle name="Normal 2 51 2 15" xfId="4910"/>
    <cellStyle name="Normal 2 51 2 15 2" xfId="22681"/>
    <cellStyle name="Normal 2 51 2 16" xfId="22675"/>
    <cellStyle name="Normal 2 51 2 2" xfId="4911"/>
    <cellStyle name="Normal 2 51 2 2 10" xfId="4912"/>
    <cellStyle name="Normal 2 51 2 2 10 2" xfId="22683"/>
    <cellStyle name="Normal 2 51 2 2 11" xfId="4913"/>
    <cellStyle name="Normal 2 51 2 2 11 2" xfId="22684"/>
    <cellStyle name="Normal 2 51 2 2 12" xfId="4914"/>
    <cellStyle name="Normal 2 51 2 2 12 2" xfId="22685"/>
    <cellStyle name="Normal 2 51 2 2 13" xfId="4915"/>
    <cellStyle name="Normal 2 51 2 2 13 2" xfId="22686"/>
    <cellStyle name="Normal 2 51 2 2 14" xfId="4916"/>
    <cellStyle name="Normal 2 51 2 2 14 2" xfId="22687"/>
    <cellStyle name="Normal 2 51 2 2 15" xfId="22682"/>
    <cellStyle name="Normal 2 51 2 2 2" xfId="4917"/>
    <cellStyle name="Normal 2 51 2 2 2 2" xfId="22688"/>
    <cellStyle name="Normal 2 51 2 2 3" xfId="4918"/>
    <cellStyle name="Normal 2 51 2 2 3 2" xfId="22689"/>
    <cellStyle name="Normal 2 51 2 2 4" xfId="4919"/>
    <cellStyle name="Normal 2 51 2 2 4 2" xfId="22690"/>
    <cellStyle name="Normal 2 51 2 2 5" xfId="4920"/>
    <cellStyle name="Normal 2 51 2 2 5 2" xfId="22691"/>
    <cellStyle name="Normal 2 51 2 2 6" xfId="4921"/>
    <cellStyle name="Normal 2 51 2 2 6 2" xfId="22692"/>
    <cellStyle name="Normal 2 51 2 2 7" xfId="4922"/>
    <cellStyle name="Normal 2 51 2 2 7 2" xfId="22693"/>
    <cellStyle name="Normal 2 51 2 2 8" xfId="4923"/>
    <cellStyle name="Normal 2 51 2 2 8 2" xfId="22694"/>
    <cellStyle name="Normal 2 51 2 2 9" xfId="4924"/>
    <cellStyle name="Normal 2 51 2 2 9 2" xfId="22695"/>
    <cellStyle name="Normal 2 51 2 3" xfId="4925"/>
    <cellStyle name="Normal 2 51 2 3 2" xfId="22696"/>
    <cellStyle name="Normal 2 51 2 4" xfId="4926"/>
    <cellStyle name="Normal 2 51 2 4 2" xfId="22697"/>
    <cellStyle name="Normal 2 51 2 5" xfId="4927"/>
    <cellStyle name="Normal 2 51 2 5 2" xfId="22698"/>
    <cellStyle name="Normal 2 51 2 6" xfId="4928"/>
    <cellStyle name="Normal 2 51 2 6 2" xfId="22699"/>
    <cellStyle name="Normal 2 51 2 7" xfId="4929"/>
    <cellStyle name="Normal 2 51 2 7 2" xfId="22700"/>
    <cellStyle name="Normal 2 51 2 8" xfId="4930"/>
    <cellStyle name="Normal 2 51 2 8 2" xfId="22701"/>
    <cellStyle name="Normal 2 51 2 9" xfId="4931"/>
    <cellStyle name="Normal 2 51 2 9 2" xfId="22702"/>
    <cellStyle name="Normal 2 51 20" xfId="4932"/>
    <cellStyle name="Normal 2 51 20 2" xfId="22703"/>
    <cellStyle name="Normal 2 51 21" xfId="4933"/>
    <cellStyle name="Normal 2 51 21 2" xfId="22704"/>
    <cellStyle name="Normal 2 51 22" xfId="4934"/>
    <cellStyle name="Normal 2 51 22 2" xfId="22705"/>
    <cellStyle name="Normal 2 51 23" xfId="4935"/>
    <cellStyle name="Normal 2 51 23 2" xfId="22706"/>
    <cellStyle name="Normal 2 51 24" xfId="22651"/>
    <cellStyle name="Normal 2 51 3" xfId="4936"/>
    <cellStyle name="Normal 2 51 3 10" xfId="4937"/>
    <cellStyle name="Normal 2 51 3 10 2" xfId="22708"/>
    <cellStyle name="Normal 2 51 3 11" xfId="4938"/>
    <cellStyle name="Normal 2 51 3 11 2" xfId="22709"/>
    <cellStyle name="Normal 2 51 3 12" xfId="4939"/>
    <cellStyle name="Normal 2 51 3 12 2" xfId="22710"/>
    <cellStyle name="Normal 2 51 3 13" xfId="4940"/>
    <cellStyle name="Normal 2 51 3 13 2" xfId="22711"/>
    <cellStyle name="Normal 2 51 3 14" xfId="4941"/>
    <cellStyle name="Normal 2 51 3 14 2" xfId="22712"/>
    <cellStyle name="Normal 2 51 3 15" xfId="4942"/>
    <cellStyle name="Normal 2 51 3 15 2" xfId="22713"/>
    <cellStyle name="Normal 2 51 3 16" xfId="22707"/>
    <cellStyle name="Normal 2 51 3 2" xfId="4943"/>
    <cellStyle name="Normal 2 51 3 2 10" xfId="4944"/>
    <cellStyle name="Normal 2 51 3 2 10 2" xfId="22715"/>
    <cellStyle name="Normal 2 51 3 2 11" xfId="4945"/>
    <cellStyle name="Normal 2 51 3 2 11 2" xfId="22716"/>
    <cellStyle name="Normal 2 51 3 2 12" xfId="4946"/>
    <cellStyle name="Normal 2 51 3 2 12 2" xfId="22717"/>
    <cellStyle name="Normal 2 51 3 2 13" xfId="4947"/>
    <cellStyle name="Normal 2 51 3 2 13 2" xfId="22718"/>
    <cellStyle name="Normal 2 51 3 2 14" xfId="4948"/>
    <cellStyle name="Normal 2 51 3 2 14 2" xfId="22719"/>
    <cellStyle name="Normal 2 51 3 2 15" xfId="22714"/>
    <cellStyle name="Normal 2 51 3 2 2" xfId="4949"/>
    <cellStyle name="Normal 2 51 3 2 2 2" xfId="22720"/>
    <cellStyle name="Normal 2 51 3 2 3" xfId="4950"/>
    <cellStyle name="Normal 2 51 3 2 3 2" xfId="22721"/>
    <cellStyle name="Normal 2 51 3 2 4" xfId="4951"/>
    <cellStyle name="Normal 2 51 3 2 4 2" xfId="22722"/>
    <cellStyle name="Normal 2 51 3 2 5" xfId="4952"/>
    <cellStyle name="Normal 2 51 3 2 5 2" xfId="22723"/>
    <cellStyle name="Normal 2 51 3 2 6" xfId="4953"/>
    <cellStyle name="Normal 2 51 3 2 6 2" xfId="22724"/>
    <cellStyle name="Normal 2 51 3 2 7" xfId="4954"/>
    <cellStyle name="Normal 2 51 3 2 7 2" xfId="22725"/>
    <cellStyle name="Normal 2 51 3 2 8" xfId="4955"/>
    <cellStyle name="Normal 2 51 3 2 8 2" xfId="22726"/>
    <cellStyle name="Normal 2 51 3 2 9" xfId="4956"/>
    <cellStyle name="Normal 2 51 3 2 9 2" xfId="22727"/>
    <cellStyle name="Normal 2 51 3 3" xfId="4957"/>
    <cellStyle name="Normal 2 51 3 3 2" xfId="22728"/>
    <cellStyle name="Normal 2 51 3 4" xfId="4958"/>
    <cellStyle name="Normal 2 51 3 4 2" xfId="22729"/>
    <cellStyle name="Normal 2 51 3 5" xfId="4959"/>
    <cellStyle name="Normal 2 51 3 5 2" xfId="22730"/>
    <cellStyle name="Normal 2 51 3 6" xfId="4960"/>
    <cellStyle name="Normal 2 51 3 6 2" xfId="22731"/>
    <cellStyle name="Normal 2 51 3 7" xfId="4961"/>
    <cellStyle name="Normal 2 51 3 7 2" xfId="22732"/>
    <cellStyle name="Normal 2 51 3 8" xfId="4962"/>
    <cellStyle name="Normal 2 51 3 8 2" xfId="22733"/>
    <cellStyle name="Normal 2 51 3 9" xfId="4963"/>
    <cellStyle name="Normal 2 51 3 9 2" xfId="22734"/>
    <cellStyle name="Normal 2 51 4" xfId="4964"/>
    <cellStyle name="Normal 2 51 4 10" xfId="4965"/>
    <cellStyle name="Normal 2 51 4 10 2" xfId="22736"/>
    <cellStyle name="Normal 2 51 4 11" xfId="4966"/>
    <cellStyle name="Normal 2 51 4 11 2" xfId="22737"/>
    <cellStyle name="Normal 2 51 4 12" xfId="4967"/>
    <cellStyle name="Normal 2 51 4 12 2" xfId="22738"/>
    <cellStyle name="Normal 2 51 4 13" xfId="4968"/>
    <cellStyle name="Normal 2 51 4 13 2" xfId="22739"/>
    <cellStyle name="Normal 2 51 4 14" xfId="4969"/>
    <cellStyle name="Normal 2 51 4 14 2" xfId="22740"/>
    <cellStyle name="Normal 2 51 4 15" xfId="4970"/>
    <cellStyle name="Normal 2 51 4 15 2" xfId="22741"/>
    <cellStyle name="Normal 2 51 4 16" xfId="22735"/>
    <cellStyle name="Normal 2 51 4 2" xfId="4971"/>
    <cellStyle name="Normal 2 51 4 2 10" xfId="4972"/>
    <cellStyle name="Normal 2 51 4 2 10 2" xfId="22743"/>
    <cellStyle name="Normal 2 51 4 2 11" xfId="4973"/>
    <cellStyle name="Normal 2 51 4 2 11 2" xfId="22744"/>
    <cellStyle name="Normal 2 51 4 2 12" xfId="4974"/>
    <cellStyle name="Normal 2 51 4 2 12 2" xfId="22745"/>
    <cellStyle name="Normal 2 51 4 2 13" xfId="4975"/>
    <cellStyle name="Normal 2 51 4 2 13 2" xfId="22746"/>
    <cellStyle name="Normal 2 51 4 2 14" xfId="4976"/>
    <cellStyle name="Normal 2 51 4 2 14 2" xfId="22747"/>
    <cellStyle name="Normal 2 51 4 2 15" xfId="22742"/>
    <cellStyle name="Normal 2 51 4 2 2" xfId="4977"/>
    <cellStyle name="Normal 2 51 4 2 2 2" xfId="22748"/>
    <cellStyle name="Normal 2 51 4 2 3" xfId="4978"/>
    <cellStyle name="Normal 2 51 4 2 3 2" xfId="22749"/>
    <cellStyle name="Normal 2 51 4 2 4" xfId="4979"/>
    <cellStyle name="Normal 2 51 4 2 4 2" xfId="22750"/>
    <cellStyle name="Normal 2 51 4 2 5" xfId="4980"/>
    <cellStyle name="Normal 2 51 4 2 5 2" xfId="22751"/>
    <cellStyle name="Normal 2 51 4 2 6" xfId="4981"/>
    <cellStyle name="Normal 2 51 4 2 6 2" xfId="22752"/>
    <cellStyle name="Normal 2 51 4 2 7" xfId="4982"/>
    <cellStyle name="Normal 2 51 4 2 7 2" xfId="22753"/>
    <cellStyle name="Normal 2 51 4 2 8" xfId="4983"/>
    <cellStyle name="Normal 2 51 4 2 8 2" xfId="22754"/>
    <cellStyle name="Normal 2 51 4 2 9" xfId="4984"/>
    <cellStyle name="Normal 2 51 4 2 9 2" xfId="22755"/>
    <cellStyle name="Normal 2 51 4 3" xfId="4985"/>
    <cellStyle name="Normal 2 51 4 3 2" xfId="22756"/>
    <cellStyle name="Normal 2 51 4 4" xfId="4986"/>
    <cellStyle name="Normal 2 51 4 4 2" xfId="22757"/>
    <cellStyle name="Normal 2 51 4 5" xfId="4987"/>
    <cellStyle name="Normal 2 51 4 5 2" xfId="22758"/>
    <cellStyle name="Normal 2 51 4 6" xfId="4988"/>
    <cellStyle name="Normal 2 51 4 6 2" xfId="22759"/>
    <cellStyle name="Normal 2 51 4 7" xfId="4989"/>
    <cellStyle name="Normal 2 51 4 7 2" xfId="22760"/>
    <cellStyle name="Normal 2 51 4 8" xfId="4990"/>
    <cellStyle name="Normal 2 51 4 8 2" xfId="22761"/>
    <cellStyle name="Normal 2 51 4 9" xfId="4991"/>
    <cellStyle name="Normal 2 51 4 9 2" xfId="22762"/>
    <cellStyle name="Normal 2 51 5" xfId="4992"/>
    <cellStyle name="Normal 2 51 5 10" xfId="4993"/>
    <cellStyle name="Normal 2 51 5 10 2" xfId="22764"/>
    <cellStyle name="Normal 2 51 5 11" xfId="4994"/>
    <cellStyle name="Normal 2 51 5 11 2" xfId="22765"/>
    <cellStyle name="Normal 2 51 5 12" xfId="4995"/>
    <cellStyle name="Normal 2 51 5 12 2" xfId="22766"/>
    <cellStyle name="Normal 2 51 5 13" xfId="4996"/>
    <cellStyle name="Normal 2 51 5 13 2" xfId="22767"/>
    <cellStyle name="Normal 2 51 5 14" xfId="4997"/>
    <cellStyle name="Normal 2 51 5 14 2" xfId="22768"/>
    <cellStyle name="Normal 2 51 5 15" xfId="22763"/>
    <cellStyle name="Normal 2 51 5 2" xfId="4998"/>
    <cellStyle name="Normal 2 51 5 2 2" xfId="22769"/>
    <cellStyle name="Normal 2 51 5 3" xfId="4999"/>
    <cellStyle name="Normal 2 51 5 3 2" xfId="22770"/>
    <cellStyle name="Normal 2 51 5 4" xfId="5000"/>
    <cellStyle name="Normal 2 51 5 4 2" xfId="22771"/>
    <cellStyle name="Normal 2 51 5 5" xfId="5001"/>
    <cellStyle name="Normal 2 51 5 5 2" xfId="22772"/>
    <cellStyle name="Normal 2 51 5 6" xfId="5002"/>
    <cellStyle name="Normal 2 51 5 6 2" xfId="22773"/>
    <cellStyle name="Normal 2 51 5 7" xfId="5003"/>
    <cellStyle name="Normal 2 51 5 7 2" xfId="22774"/>
    <cellStyle name="Normal 2 51 5 8" xfId="5004"/>
    <cellStyle name="Normal 2 51 5 8 2" xfId="22775"/>
    <cellStyle name="Normal 2 51 5 9" xfId="5005"/>
    <cellStyle name="Normal 2 51 5 9 2" xfId="22776"/>
    <cellStyle name="Normal 2 51 6" xfId="5006"/>
    <cellStyle name="Normal 2 51 6 10" xfId="5007"/>
    <cellStyle name="Normal 2 51 6 10 2" xfId="22778"/>
    <cellStyle name="Normal 2 51 6 11" xfId="5008"/>
    <cellStyle name="Normal 2 51 6 11 2" xfId="22779"/>
    <cellStyle name="Normal 2 51 6 12" xfId="5009"/>
    <cellStyle name="Normal 2 51 6 12 2" xfId="22780"/>
    <cellStyle name="Normal 2 51 6 13" xfId="5010"/>
    <cellStyle name="Normal 2 51 6 13 2" xfId="22781"/>
    <cellStyle name="Normal 2 51 6 14" xfId="5011"/>
    <cellStyle name="Normal 2 51 6 14 2" xfId="22782"/>
    <cellStyle name="Normal 2 51 6 15" xfId="22777"/>
    <cellStyle name="Normal 2 51 6 2" xfId="5012"/>
    <cellStyle name="Normal 2 51 6 2 2" xfId="22783"/>
    <cellStyle name="Normal 2 51 6 3" xfId="5013"/>
    <cellStyle name="Normal 2 51 6 3 2" xfId="22784"/>
    <cellStyle name="Normal 2 51 6 4" xfId="5014"/>
    <cellStyle name="Normal 2 51 6 4 2" xfId="22785"/>
    <cellStyle name="Normal 2 51 6 5" xfId="5015"/>
    <cellStyle name="Normal 2 51 6 5 2" xfId="22786"/>
    <cellStyle name="Normal 2 51 6 6" xfId="5016"/>
    <cellStyle name="Normal 2 51 6 6 2" xfId="22787"/>
    <cellStyle name="Normal 2 51 6 7" xfId="5017"/>
    <cellStyle name="Normal 2 51 6 7 2" xfId="22788"/>
    <cellStyle name="Normal 2 51 6 8" xfId="5018"/>
    <cellStyle name="Normal 2 51 6 8 2" xfId="22789"/>
    <cellStyle name="Normal 2 51 6 9" xfId="5019"/>
    <cellStyle name="Normal 2 51 6 9 2" xfId="22790"/>
    <cellStyle name="Normal 2 51 7" xfId="5020"/>
    <cellStyle name="Normal 2 51 7 10" xfId="5021"/>
    <cellStyle name="Normal 2 51 7 10 2" xfId="22792"/>
    <cellStyle name="Normal 2 51 7 11" xfId="5022"/>
    <cellStyle name="Normal 2 51 7 11 2" xfId="22793"/>
    <cellStyle name="Normal 2 51 7 12" xfId="5023"/>
    <cellStyle name="Normal 2 51 7 12 2" xfId="22794"/>
    <cellStyle name="Normal 2 51 7 13" xfId="5024"/>
    <cellStyle name="Normal 2 51 7 13 2" xfId="22795"/>
    <cellStyle name="Normal 2 51 7 14" xfId="5025"/>
    <cellStyle name="Normal 2 51 7 14 2" xfId="22796"/>
    <cellStyle name="Normal 2 51 7 15" xfId="22791"/>
    <cellStyle name="Normal 2 51 7 2" xfId="5026"/>
    <cellStyle name="Normal 2 51 7 2 2" xfId="22797"/>
    <cellStyle name="Normal 2 51 7 3" xfId="5027"/>
    <cellStyle name="Normal 2 51 7 3 2" xfId="22798"/>
    <cellStyle name="Normal 2 51 7 4" xfId="5028"/>
    <cellStyle name="Normal 2 51 7 4 2" xfId="22799"/>
    <cellStyle name="Normal 2 51 7 5" xfId="5029"/>
    <cellStyle name="Normal 2 51 7 5 2" xfId="22800"/>
    <cellStyle name="Normal 2 51 7 6" xfId="5030"/>
    <cellStyle name="Normal 2 51 7 6 2" xfId="22801"/>
    <cellStyle name="Normal 2 51 7 7" xfId="5031"/>
    <cellStyle name="Normal 2 51 7 7 2" xfId="22802"/>
    <cellStyle name="Normal 2 51 7 8" xfId="5032"/>
    <cellStyle name="Normal 2 51 7 8 2" xfId="22803"/>
    <cellStyle name="Normal 2 51 7 9" xfId="5033"/>
    <cellStyle name="Normal 2 51 7 9 2" xfId="22804"/>
    <cellStyle name="Normal 2 51 8" xfId="5034"/>
    <cellStyle name="Normal 2 51 8 10" xfId="5035"/>
    <cellStyle name="Normal 2 51 8 10 2" xfId="22806"/>
    <cellStyle name="Normal 2 51 8 11" xfId="5036"/>
    <cellStyle name="Normal 2 51 8 11 2" xfId="22807"/>
    <cellStyle name="Normal 2 51 8 12" xfId="5037"/>
    <cellStyle name="Normal 2 51 8 12 2" xfId="22808"/>
    <cellStyle name="Normal 2 51 8 13" xfId="5038"/>
    <cellStyle name="Normal 2 51 8 13 2" xfId="22809"/>
    <cellStyle name="Normal 2 51 8 14" xfId="5039"/>
    <cellStyle name="Normal 2 51 8 14 2" xfId="22810"/>
    <cellStyle name="Normal 2 51 8 15" xfId="22805"/>
    <cellStyle name="Normal 2 51 8 2" xfId="5040"/>
    <cellStyle name="Normal 2 51 8 2 2" xfId="22811"/>
    <cellStyle name="Normal 2 51 8 3" xfId="5041"/>
    <cellStyle name="Normal 2 51 8 3 2" xfId="22812"/>
    <cellStyle name="Normal 2 51 8 4" xfId="5042"/>
    <cellStyle name="Normal 2 51 8 4 2" xfId="22813"/>
    <cellStyle name="Normal 2 51 8 5" xfId="5043"/>
    <cellStyle name="Normal 2 51 8 5 2" xfId="22814"/>
    <cellStyle name="Normal 2 51 8 6" xfId="5044"/>
    <cellStyle name="Normal 2 51 8 6 2" xfId="22815"/>
    <cellStyle name="Normal 2 51 8 7" xfId="5045"/>
    <cellStyle name="Normal 2 51 8 7 2" xfId="22816"/>
    <cellStyle name="Normal 2 51 8 8" xfId="5046"/>
    <cellStyle name="Normal 2 51 8 8 2" xfId="22817"/>
    <cellStyle name="Normal 2 51 8 9" xfId="5047"/>
    <cellStyle name="Normal 2 51 8 9 2" xfId="22818"/>
    <cellStyle name="Normal 2 51 9" xfId="5048"/>
    <cellStyle name="Normal 2 51 9 10" xfId="5049"/>
    <cellStyle name="Normal 2 51 9 10 2" xfId="22820"/>
    <cellStyle name="Normal 2 51 9 11" xfId="5050"/>
    <cellStyle name="Normal 2 51 9 11 2" xfId="22821"/>
    <cellStyle name="Normal 2 51 9 12" xfId="5051"/>
    <cellStyle name="Normal 2 51 9 12 2" xfId="22822"/>
    <cellStyle name="Normal 2 51 9 13" xfId="5052"/>
    <cellStyle name="Normal 2 51 9 13 2" xfId="22823"/>
    <cellStyle name="Normal 2 51 9 14" xfId="5053"/>
    <cellStyle name="Normal 2 51 9 14 2" xfId="22824"/>
    <cellStyle name="Normal 2 51 9 15" xfId="22819"/>
    <cellStyle name="Normal 2 51 9 2" xfId="5054"/>
    <cellStyle name="Normal 2 51 9 2 2" xfId="22825"/>
    <cellStyle name="Normal 2 51 9 3" xfId="5055"/>
    <cellStyle name="Normal 2 51 9 3 2" xfId="22826"/>
    <cellStyle name="Normal 2 51 9 4" xfId="5056"/>
    <cellStyle name="Normal 2 51 9 4 2" xfId="22827"/>
    <cellStyle name="Normal 2 51 9 5" xfId="5057"/>
    <cellStyle name="Normal 2 51 9 5 2" xfId="22828"/>
    <cellStyle name="Normal 2 51 9 6" xfId="5058"/>
    <cellStyle name="Normal 2 51 9 6 2" xfId="22829"/>
    <cellStyle name="Normal 2 51 9 7" xfId="5059"/>
    <cellStyle name="Normal 2 51 9 7 2" xfId="22830"/>
    <cellStyle name="Normal 2 51 9 8" xfId="5060"/>
    <cellStyle name="Normal 2 51 9 8 2" xfId="22831"/>
    <cellStyle name="Normal 2 51 9 9" xfId="5061"/>
    <cellStyle name="Normal 2 51 9 9 2" xfId="22832"/>
    <cellStyle name="Normal 2 52" xfId="5062"/>
    <cellStyle name="Normal 2 52 10" xfId="5063"/>
    <cellStyle name="Normal 2 52 10 10" xfId="5064"/>
    <cellStyle name="Normal 2 52 10 10 2" xfId="22835"/>
    <cellStyle name="Normal 2 52 10 11" xfId="5065"/>
    <cellStyle name="Normal 2 52 10 11 2" xfId="22836"/>
    <cellStyle name="Normal 2 52 10 12" xfId="5066"/>
    <cellStyle name="Normal 2 52 10 12 2" xfId="22837"/>
    <cellStyle name="Normal 2 52 10 13" xfId="5067"/>
    <cellStyle name="Normal 2 52 10 13 2" xfId="22838"/>
    <cellStyle name="Normal 2 52 10 14" xfId="5068"/>
    <cellStyle name="Normal 2 52 10 14 2" xfId="22839"/>
    <cellStyle name="Normal 2 52 10 15" xfId="22834"/>
    <cellStyle name="Normal 2 52 10 2" xfId="5069"/>
    <cellStyle name="Normal 2 52 10 2 2" xfId="22840"/>
    <cellStyle name="Normal 2 52 10 3" xfId="5070"/>
    <cellStyle name="Normal 2 52 10 3 2" xfId="22841"/>
    <cellStyle name="Normal 2 52 10 4" xfId="5071"/>
    <cellStyle name="Normal 2 52 10 4 2" xfId="22842"/>
    <cellStyle name="Normal 2 52 10 5" xfId="5072"/>
    <cellStyle name="Normal 2 52 10 5 2" xfId="22843"/>
    <cellStyle name="Normal 2 52 10 6" xfId="5073"/>
    <cellStyle name="Normal 2 52 10 6 2" xfId="22844"/>
    <cellStyle name="Normal 2 52 10 7" xfId="5074"/>
    <cellStyle name="Normal 2 52 10 7 2" xfId="22845"/>
    <cellStyle name="Normal 2 52 10 8" xfId="5075"/>
    <cellStyle name="Normal 2 52 10 8 2" xfId="22846"/>
    <cellStyle name="Normal 2 52 10 9" xfId="5076"/>
    <cellStyle name="Normal 2 52 10 9 2" xfId="22847"/>
    <cellStyle name="Normal 2 52 11" xfId="5077"/>
    <cellStyle name="Normal 2 52 11 2" xfId="22848"/>
    <cellStyle name="Normal 2 52 12" xfId="5078"/>
    <cellStyle name="Normal 2 52 12 2" xfId="22849"/>
    <cellStyle name="Normal 2 52 13" xfId="5079"/>
    <cellStyle name="Normal 2 52 13 2" xfId="22850"/>
    <cellStyle name="Normal 2 52 14" xfId="5080"/>
    <cellStyle name="Normal 2 52 14 2" xfId="22851"/>
    <cellStyle name="Normal 2 52 15" xfId="5081"/>
    <cellStyle name="Normal 2 52 15 2" xfId="22852"/>
    <cellStyle name="Normal 2 52 16" xfId="5082"/>
    <cellStyle name="Normal 2 52 16 2" xfId="22853"/>
    <cellStyle name="Normal 2 52 17" xfId="5083"/>
    <cellStyle name="Normal 2 52 17 2" xfId="22854"/>
    <cellStyle name="Normal 2 52 18" xfId="5084"/>
    <cellStyle name="Normal 2 52 18 2" xfId="22855"/>
    <cellStyle name="Normal 2 52 19" xfId="5085"/>
    <cellStyle name="Normal 2 52 19 2" xfId="22856"/>
    <cellStyle name="Normal 2 52 2" xfId="5086"/>
    <cellStyle name="Normal 2 52 2 10" xfId="5087"/>
    <cellStyle name="Normal 2 52 2 10 2" xfId="22858"/>
    <cellStyle name="Normal 2 52 2 11" xfId="5088"/>
    <cellStyle name="Normal 2 52 2 11 2" xfId="22859"/>
    <cellStyle name="Normal 2 52 2 12" xfId="5089"/>
    <cellStyle name="Normal 2 52 2 12 2" xfId="22860"/>
    <cellStyle name="Normal 2 52 2 13" xfId="5090"/>
    <cellStyle name="Normal 2 52 2 13 2" xfId="22861"/>
    <cellStyle name="Normal 2 52 2 14" xfId="5091"/>
    <cellStyle name="Normal 2 52 2 14 2" xfId="22862"/>
    <cellStyle name="Normal 2 52 2 15" xfId="5092"/>
    <cellStyle name="Normal 2 52 2 15 2" xfId="22863"/>
    <cellStyle name="Normal 2 52 2 16" xfId="22857"/>
    <cellStyle name="Normal 2 52 2 2" xfId="5093"/>
    <cellStyle name="Normal 2 52 2 2 10" xfId="5094"/>
    <cellStyle name="Normal 2 52 2 2 10 2" xfId="22865"/>
    <cellStyle name="Normal 2 52 2 2 11" xfId="5095"/>
    <cellStyle name="Normal 2 52 2 2 11 2" xfId="22866"/>
    <cellStyle name="Normal 2 52 2 2 12" xfId="5096"/>
    <cellStyle name="Normal 2 52 2 2 12 2" xfId="22867"/>
    <cellStyle name="Normal 2 52 2 2 13" xfId="5097"/>
    <cellStyle name="Normal 2 52 2 2 13 2" xfId="22868"/>
    <cellStyle name="Normal 2 52 2 2 14" xfId="5098"/>
    <cellStyle name="Normal 2 52 2 2 14 2" xfId="22869"/>
    <cellStyle name="Normal 2 52 2 2 15" xfId="22864"/>
    <cellStyle name="Normal 2 52 2 2 2" xfId="5099"/>
    <cellStyle name="Normal 2 52 2 2 2 2" xfId="22870"/>
    <cellStyle name="Normal 2 52 2 2 3" xfId="5100"/>
    <cellStyle name="Normal 2 52 2 2 3 2" xfId="22871"/>
    <cellStyle name="Normal 2 52 2 2 4" xfId="5101"/>
    <cellStyle name="Normal 2 52 2 2 4 2" xfId="22872"/>
    <cellStyle name="Normal 2 52 2 2 5" xfId="5102"/>
    <cellStyle name="Normal 2 52 2 2 5 2" xfId="22873"/>
    <cellStyle name="Normal 2 52 2 2 6" xfId="5103"/>
    <cellStyle name="Normal 2 52 2 2 6 2" xfId="22874"/>
    <cellStyle name="Normal 2 52 2 2 7" xfId="5104"/>
    <cellStyle name="Normal 2 52 2 2 7 2" xfId="22875"/>
    <cellStyle name="Normal 2 52 2 2 8" xfId="5105"/>
    <cellStyle name="Normal 2 52 2 2 8 2" xfId="22876"/>
    <cellStyle name="Normal 2 52 2 2 9" xfId="5106"/>
    <cellStyle name="Normal 2 52 2 2 9 2" xfId="22877"/>
    <cellStyle name="Normal 2 52 2 3" xfId="5107"/>
    <cellStyle name="Normal 2 52 2 3 2" xfId="22878"/>
    <cellStyle name="Normal 2 52 2 4" xfId="5108"/>
    <cellStyle name="Normal 2 52 2 4 2" xfId="22879"/>
    <cellStyle name="Normal 2 52 2 5" xfId="5109"/>
    <cellStyle name="Normal 2 52 2 5 2" xfId="22880"/>
    <cellStyle name="Normal 2 52 2 6" xfId="5110"/>
    <cellStyle name="Normal 2 52 2 6 2" xfId="22881"/>
    <cellStyle name="Normal 2 52 2 7" xfId="5111"/>
    <cellStyle name="Normal 2 52 2 7 2" xfId="22882"/>
    <cellStyle name="Normal 2 52 2 8" xfId="5112"/>
    <cellStyle name="Normal 2 52 2 8 2" xfId="22883"/>
    <cellStyle name="Normal 2 52 2 9" xfId="5113"/>
    <cellStyle name="Normal 2 52 2 9 2" xfId="22884"/>
    <cellStyle name="Normal 2 52 20" xfId="5114"/>
    <cellStyle name="Normal 2 52 20 2" xfId="22885"/>
    <cellStyle name="Normal 2 52 21" xfId="5115"/>
    <cellStyle name="Normal 2 52 21 2" xfId="22886"/>
    <cellStyle name="Normal 2 52 22" xfId="5116"/>
    <cellStyle name="Normal 2 52 22 2" xfId="22887"/>
    <cellStyle name="Normal 2 52 23" xfId="5117"/>
    <cellStyle name="Normal 2 52 23 2" xfId="22888"/>
    <cellStyle name="Normal 2 52 24" xfId="22833"/>
    <cellStyle name="Normal 2 52 3" xfId="5118"/>
    <cellStyle name="Normal 2 52 3 10" xfId="5119"/>
    <cellStyle name="Normal 2 52 3 10 2" xfId="22890"/>
    <cellStyle name="Normal 2 52 3 11" xfId="5120"/>
    <cellStyle name="Normal 2 52 3 11 2" xfId="22891"/>
    <cellStyle name="Normal 2 52 3 12" xfId="5121"/>
    <cellStyle name="Normal 2 52 3 12 2" xfId="22892"/>
    <cellStyle name="Normal 2 52 3 13" xfId="5122"/>
    <cellStyle name="Normal 2 52 3 13 2" xfId="22893"/>
    <cellStyle name="Normal 2 52 3 14" xfId="5123"/>
    <cellStyle name="Normal 2 52 3 14 2" xfId="22894"/>
    <cellStyle name="Normal 2 52 3 15" xfId="5124"/>
    <cellStyle name="Normal 2 52 3 15 2" xfId="22895"/>
    <cellStyle name="Normal 2 52 3 16" xfId="22889"/>
    <cellStyle name="Normal 2 52 3 2" xfId="5125"/>
    <cellStyle name="Normal 2 52 3 2 10" xfId="5126"/>
    <cellStyle name="Normal 2 52 3 2 10 2" xfId="22897"/>
    <cellStyle name="Normal 2 52 3 2 11" xfId="5127"/>
    <cellStyle name="Normal 2 52 3 2 11 2" xfId="22898"/>
    <cellStyle name="Normal 2 52 3 2 12" xfId="5128"/>
    <cellStyle name="Normal 2 52 3 2 12 2" xfId="22899"/>
    <cellStyle name="Normal 2 52 3 2 13" xfId="5129"/>
    <cellStyle name="Normal 2 52 3 2 13 2" xfId="22900"/>
    <cellStyle name="Normal 2 52 3 2 14" xfId="5130"/>
    <cellStyle name="Normal 2 52 3 2 14 2" xfId="22901"/>
    <cellStyle name="Normal 2 52 3 2 15" xfId="22896"/>
    <cellStyle name="Normal 2 52 3 2 2" xfId="5131"/>
    <cellStyle name="Normal 2 52 3 2 2 2" xfId="22902"/>
    <cellStyle name="Normal 2 52 3 2 3" xfId="5132"/>
    <cellStyle name="Normal 2 52 3 2 3 2" xfId="22903"/>
    <cellStyle name="Normal 2 52 3 2 4" xfId="5133"/>
    <cellStyle name="Normal 2 52 3 2 4 2" xfId="22904"/>
    <cellStyle name="Normal 2 52 3 2 5" xfId="5134"/>
    <cellStyle name="Normal 2 52 3 2 5 2" xfId="22905"/>
    <cellStyle name="Normal 2 52 3 2 6" xfId="5135"/>
    <cellStyle name="Normal 2 52 3 2 6 2" xfId="22906"/>
    <cellStyle name="Normal 2 52 3 2 7" xfId="5136"/>
    <cellStyle name="Normal 2 52 3 2 7 2" xfId="22907"/>
    <cellStyle name="Normal 2 52 3 2 8" xfId="5137"/>
    <cellStyle name="Normal 2 52 3 2 8 2" xfId="22908"/>
    <cellStyle name="Normal 2 52 3 2 9" xfId="5138"/>
    <cellStyle name="Normal 2 52 3 2 9 2" xfId="22909"/>
    <cellStyle name="Normal 2 52 3 3" xfId="5139"/>
    <cellStyle name="Normal 2 52 3 3 2" xfId="22910"/>
    <cellStyle name="Normal 2 52 3 4" xfId="5140"/>
    <cellStyle name="Normal 2 52 3 4 2" xfId="22911"/>
    <cellStyle name="Normal 2 52 3 5" xfId="5141"/>
    <cellStyle name="Normal 2 52 3 5 2" xfId="22912"/>
    <cellStyle name="Normal 2 52 3 6" xfId="5142"/>
    <cellStyle name="Normal 2 52 3 6 2" xfId="22913"/>
    <cellStyle name="Normal 2 52 3 7" xfId="5143"/>
    <cellStyle name="Normal 2 52 3 7 2" xfId="22914"/>
    <cellStyle name="Normal 2 52 3 8" xfId="5144"/>
    <cellStyle name="Normal 2 52 3 8 2" xfId="22915"/>
    <cellStyle name="Normal 2 52 3 9" xfId="5145"/>
    <cellStyle name="Normal 2 52 3 9 2" xfId="22916"/>
    <cellStyle name="Normal 2 52 4" xfId="5146"/>
    <cellStyle name="Normal 2 52 4 10" xfId="5147"/>
    <cellStyle name="Normal 2 52 4 10 2" xfId="22918"/>
    <cellStyle name="Normal 2 52 4 11" xfId="5148"/>
    <cellStyle name="Normal 2 52 4 11 2" xfId="22919"/>
    <cellStyle name="Normal 2 52 4 12" xfId="5149"/>
    <cellStyle name="Normal 2 52 4 12 2" xfId="22920"/>
    <cellStyle name="Normal 2 52 4 13" xfId="5150"/>
    <cellStyle name="Normal 2 52 4 13 2" xfId="22921"/>
    <cellStyle name="Normal 2 52 4 14" xfId="5151"/>
    <cellStyle name="Normal 2 52 4 14 2" xfId="22922"/>
    <cellStyle name="Normal 2 52 4 15" xfId="5152"/>
    <cellStyle name="Normal 2 52 4 15 2" xfId="22923"/>
    <cellStyle name="Normal 2 52 4 16" xfId="22917"/>
    <cellStyle name="Normal 2 52 4 2" xfId="5153"/>
    <cellStyle name="Normal 2 52 4 2 10" xfId="5154"/>
    <cellStyle name="Normal 2 52 4 2 10 2" xfId="22925"/>
    <cellStyle name="Normal 2 52 4 2 11" xfId="5155"/>
    <cellStyle name="Normal 2 52 4 2 11 2" xfId="22926"/>
    <cellStyle name="Normal 2 52 4 2 12" xfId="5156"/>
    <cellStyle name="Normal 2 52 4 2 12 2" xfId="22927"/>
    <cellStyle name="Normal 2 52 4 2 13" xfId="5157"/>
    <cellStyle name="Normal 2 52 4 2 13 2" xfId="22928"/>
    <cellStyle name="Normal 2 52 4 2 14" xfId="5158"/>
    <cellStyle name="Normal 2 52 4 2 14 2" xfId="22929"/>
    <cellStyle name="Normal 2 52 4 2 15" xfId="22924"/>
    <cellStyle name="Normal 2 52 4 2 2" xfId="5159"/>
    <cellStyle name="Normal 2 52 4 2 2 2" xfId="22930"/>
    <cellStyle name="Normal 2 52 4 2 3" xfId="5160"/>
    <cellStyle name="Normal 2 52 4 2 3 2" xfId="22931"/>
    <cellStyle name="Normal 2 52 4 2 4" xfId="5161"/>
    <cellStyle name="Normal 2 52 4 2 4 2" xfId="22932"/>
    <cellStyle name="Normal 2 52 4 2 5" xfId="5162"/>
    <cellStyle name="Normal 2 52 4 2 5 2" xfId="22933"/>
    <cellStyle name="Normal 2 52 4 2 6" xfId="5163"/>
    <cellStyle name="Normal 2 52 4 2 6 2" xfId="22934"/>
    <cellStyle name="Normal 2 52 4 2 7" xfId="5164"/>
    <cellStyle name="Normal 2 52 4 2 7 2" xfId="22935"/>
    <cellStyle name="Normal 2 52 4 2 8" xfId="5165"/>
    <cellStyle name="Normal 2 52 4 2 8 2" xfId="22936"/>
    <cellStyle name="Normal 2 52 4 2 9" xfId="5166"/>
    <cellStyle name="Normal 2 52 4 2 9 2" xfId="22937"/>
    <cellStyle name="Normal 2 52 4 3" xfId="5167"/>
    <cellStyle name="Normal 2 52 4 3 2" xfId="22938"/>
    <cellStyle name="Normal 2 52 4 4" xfId="5168"/>
    <cellStyle name="Normal 2 52 4 4 2" xfId="22939"/>
    <cellStyle name="Normal 2 52 4 5" xfId="5169"/>
    <cellStyle name="Normal 2 52 4 5 2" xfId="22940"/>
    <cellStyle name="Normal 2 52 4 6" xfId="5170"/>
    <cellStyle name="Normal 2 52 4 6 2" xfId="22941"/>
    <cellStyle name="Normal 2 52 4 7" xfId="5171"/>
    <cellStyle name="Normal 2 52 4 7 2" xfId="22942"/>
    <cellStyle name="Normal 2 52 4 8" xfId="5172"/>
    <cellStyle name="Normal 2 52 4 8 2" xfId="22943"/>
    <cellStyle name="Normal 2 52 4 9" xfId="5173"/>
    <cellStyle name="Normal 2 52 4 9 2" xfId="22944"/>
    <cellStyle name="Normal 2 52 5" xfId="5174"/>
    <cellStyle name="Normal 2 52 5 10" xfId="5175"/>
    <cellStyle name="Normal 2 52 5 10 2" xfId="22946"/>
    <cellStyle name="Normal 2 52 5 11" xfId="5176"/>
    <cellStyle name="Normal 2 52 5 11 2" xfId="22947"/>
    <cellStyle name="Normal 2 52 5 12" xfId="5177"/>
    <cellStyle name="Normal 2 52 5 12 2" xfId="22948"/>
    <cellStyle name="Normal 2 52 5 13" xfId="5178"/>
    <cellStyle name="Normal 2 52 5 13 2" xfId="22949"/>
    <cellStyle name="Normal 2 52 5 14" xfId="5179"/>
    <cellStyle name="Normal 2 52 5 14 2" xfId="22950"/>
    <cellStyle name="Normal 2 52 5 15" xfId="22945"/>
    <cellStyle name="Normal 2 52 5 2" xfId="5180"/>
    <cellStyle name="Normal 2 52 5 2 2" xfId="22951"/>
    <cellStyle name="Normal 2 52 5 3" xfId="5181"/>
    <cellStyle name="Normal 2 52 5 3 2" xfId="22952"/>
    <cellStyle name="Normal 2 52 5 4" xfId="5182"/>
    <cellStyle name="Normal 2 52 5 4 2" xfId="22953"/>
    <cellStyle name="Normal 2 52 5 5" xfId="5183"/>
    <cellStyle name="Normal 2 52 5 5 2" xfId="22954"/>
    <cellStyle name="Normal 2 52 5 6" xfId="5184"/>
    <cellStyle name="Normal 2 52 5 6 2" xfId="22955"/>
    <cellStyle name="Normal 2 52 5 7" xfId="5185"/>
    <cellStyle name="Normal 2 52 5 7 2" xfId="22956"/>
    <cellStyle name="Normal 2 52 5 8" xfId="5186"/>
    <cellStyle name="Normal 2 52 5 8 2" xfId="22957"/>
    <cellStyle name="Normal 2 52 5 9" xfId="5187"/>
    <cellStyle name="Normal 2 52 5 9 2" xfId="22958"/>
    <cellStyle name="Normal 2 52 6" xfId="5188"/>
    <cellStyle name="Normal 2 52 6 10" xfId="5189"/>
    <cellStyle name="Normal 2 52 6 10 2" xfId="22960"/>
    <cellStyle name="Normal 2 52 6 11" xfId="5190"/>
    <cellStyle name="Normal 2 52 6 11 2" xfId="22961"/>
    <cellStyle name="Normal 2 52 6 12" xfId="5191"/>
    <cellStyle name="Normal 2 52 6 12 2" xfId="22962"/>
    <cellStyle name="Normal 2 52 6 13" xfId="5192"/>
    <cellStyle name="Normal 2 52 6 13 2" xfId="22963"/>
    <cellStyle name="Normal 2 52 6 14" xfId="5193"/>
    <cellStyle name="Normal 2 52 6 14 2" xfId="22964"/>
    <cellStyle name="Normal 2 52 6 15" xfId="22959"/>
    <cellStyle name="Normal 2 52 6 2" xfId="5194"/>
    <cellStyle name="Normal 2 52 6 2 2" xfId="22965"/>
    <cellStyle name="Normal 2 52 6 3" xfId="5195"/>
    <cellStyle name="Normal 2 52 6 3 2" xfId="22966"/>
    <cellStyle name="Normal 2 52 6 4" xfId="5196"/>
    <cellStyle name="Normal 2 52 6 4 2" xfId="22967"/>
    <cellStyle name="Normal 2 52 6 5" xfId="5197"/>
    <cellStyle name="Normal 2 52 6 5 2" xfId="22968"/>
    <cellStyle name="Normal 2 52 6 6" xfId="5198"/>
    <cellStyle name="Normal 2 52 6 6 2" xfId="22969"/>
    <cellStyle name="Normal 2 52 6 7" xfId="5199"/>
    <cellStyle name="Normal 2 52 6 7 2" xfId="22970"/>
    <cellStyle name="Normal 2 52 6 8" xfId="5200"/>
    <cellStyle name="Normal 2 52 6 8 2" xfId="22971"/>
    <cellStyle name="Normal 2 52 6 9" xfId="5201"/>
    <cellStyle name="Normal 2 52 6 9 2" xfId="22972"/>
    <cellStyle name="Normal 2 52 7" xfId="5202"/>
    <cellStyle name="Normal 2 52 7 10" xfId="5203"/>
    <cellStyle name="Normal 2 52 7 10 2" xfId="22974"/>
    <cellStyle name="Normal 2 52 7 11" xfId="5204"/>
    <cellStyle name="Normal 2 52 7 11 2" xfId="22975"/>
    <cellStyle name="Normal 2 52 7 12" xfId="5205"/>
    <cellStyle name="Normal 2 52 7 12 2" xfId="22976"/>
    <cellStyle name="Normal 2 52 7 13" xfId="5206"/>
    <cellStyle name="Normal 2 52 7 13 2" xfId="22977"/>
    <cellStyle name="Normal 2 52 7 14" xfId="5207"/>
    <cellStyle name="Normal 2 52 7 14 2" xfId="22978"/>
    <cellStyle name="Normal 2 52 7 15" xfId="22973"/>
    <cellStyle name="Normal 2 52 7 2" xfId="5208"/>
    <cellStyle name="Normal 2 52 7 2 2" xfId="22979"/>
    <cellStyle name="Normal 2 52 7 3" xfId="5209"/>
    <cellStyle name="Normal 2 52 7 3 2" xfId="22980"/>
    <cellStyle name="Normal 2 52 7 4" xfId="5210"/>
    <cellStyle name="Normal 2 52 7 4 2" xfId="22981"/>
    <cellStyle name="Normal 2 52 7 5" xfId="5211"/>
    <cellStyle name="Normal 2 52 7 5 2" xfId="22982"/>
    <cellStyle name="Normal 2 52 7 6" xfId="5212"/>
    <cellStyle name="Normal 2 52 7 6 2" xfId="22983"/>
    <cellStyle name="Normal 2 52 7 7" xfId="5213"/>
    <cellStyle name="Normal 2 52 7 7 2" xfId="22984"/>
    <cellStyle name="Normal 2 52 7 8" xfId="5214"/>
    <cellStyle name="Normal 2 52 7 8 2" xfId="22985"/>
    <cellStyle name="Normal 2 52 7 9" xfId="5215"/>
    <cellStyle name="Normal 2 52 7 9 2" xfId="22986"/>
    <cellStyle name="Normal 2 52 8" xfId="5216"/>
    <cellStyle name="Normal 2 52 8 10" xfId="5217"/>
    <cellStyle name="Normal 2 52 8 10 2" xfId="22988"/>
    <cellStyle name="Normal 2 52 8 11" xfId="5218"/>
    <cellStyle name="Normal 2 52 8 11 2" xfId="22989"/>
    <cellStyle name="Normal 2 52 8 12" xfId="5219"/>
    <cellStyle name="Normal 2 52 8 12 2" xfId="22990"/>
    <cellStyle name="Normal 2 52 8 13" xfId="5220"/>
    <cellStyle name="Normal 2 52 8 13 2" xfId="22991"/>
    <cellStyle name="Normal 2 52 8 14" xfId="5221"/>
    <cellStyle name="Normal 2 52 8 14 2" xfId="22992"/>
    <cellStyle name="Normal 2 52 8 15" xfId="22987"/>
    <cellStyle name="Normal 2 52 8 2" xfId="5222"/>
    <cellStyle name="Normal 2 52 8 2 2" xfId="22993"/>
    <cellStyle name="Normal 2 52 8 3" xfId="5223"/>
    <cellStyle name="Normal 2 52 8 3 2" xfId="22994"/>
    <cellStyle name="Normal 2 52 8 4" xfId="5224"/>
    <cellStyle name="Normal 2 52 8 4 2" xfId="22995"/>
    <cellStyle name="Normal 2 52 8 5" xfId="5225"/>
    <cellStyle name="Normal 2 52 8 5 2" xfId="22996"/>
    <cellStyle name="Normal 2 52 8 6" xfId="5226"/>
    <cellStyle name="Normal 2 52 8 6 2" xfId="22997"/>
    <cellStyle name="Normal 2 52 8 7" xfId="5227"/>
    <cellStyle name="Normal 2 52 8 7 2" xfId="22998"/>
    <cellStyle name="Normal 2 52 8 8" xfId="5228"/>
    <cellStyle name="Normal 2 52 8 8 2" xfId="22999"/>
    <cellStyle name="Normal 2 52 8 9" xfId="5229"/>
    <cellStyle name="Normal 2 52 8 9 2" xfId="23000"/>
    <cellStyle name="Normal 2 52 9" xfId="5230"/>
    <cellStyle name="Normal 2 52 9 10" xfId="5231"/>
    <cellStyle name="Normal 2 52 9 10 2" xfId="23002"/>
    <cellStyle name="Normal 2 52 9 11" xfId="5232"/>
    <cellStyle name="Normal 2 52 9 11 2" xfId="23003"/>
    <cellStyle name="Normal 2 52 9 12" xfId="5233"/>
    <cellStyle name="Normal 2 52 9 12 2" xfId="23004"/>
    <cellStyle name="Normal 2 52 9 13" xfId="5234"/>
    <cellStyle name="Normal 2 52 9 13 2" xfId="23005"/>
    <cellStyle name="Normal 2 52 9 14" xfId="5235"/>
    <cellStyle name="Normal 2 52 9 14 2" xfId="23006"/>
    <cellStyle name="Normal 2 52 9 15" xfId="23001"/>
    <cellStyle name="Normal 2 52 9 2" xfId="5236"/>
    <cellStyle name="Normal 2 52 9 2 2" xfId="23007"/>
    <cellStyle name="Normal 2 52 9 3" xfId="5237"/>
    <cellStyle name="Normal 2 52 9 3 2" xfId="23008"/>
    <cellStyle name="Normal 2 52 9 4" xfId="5238"/>
    <cellStyle name="Normal 2 52 9 4 2" xfId="23009"/>
    <cellStyle name="Normal 2 52 9 5" xfId="5239"/>
    <cellStyle name="Normal 2 52 9 5 2" xfId="23010"/>
    <cellStyle name="Normal 2 52 9 6" xfId="5240"/>
    <cellStyle name="Normal 2 52 9 6 2" xfId="23011"/>
    <cellStyle name="Normal 2 52 9 7" xfId="5241"/>
    <cellStyle name="Normal 2 52 9 7 2" xfId="23012"/>
    <cellStyle name="Normal 2 52 9 8" xfId="5242"/>
    <cellStyle name="Normal 2 52 9 8 2" xfId="23013"/>
    <cellStyle name="Normal 2 52 9 9" xfId="5243"/>
    <cellStyle name="Normal 2 52 9 9 2" xfId="23014"/>
    <cellStyle name="Normal 2 53" xfId="5244"/>
    <cellStyle name="Normal 2 53 10" xfId="5245"/>
    <cellStyle name="Normal 2 53 10 10" xfId="5246"/>
    <cellStyle name="Normal 2 53 10 10 2" xfId="23017"/>
    <cellStyle name="Normal 2 53 10 11" xfId="5247"/>
    <cellStyle name="Normal 2 53 10 11 2" xfId="23018"/>
    <cellStyle name="Normal 2 53 10 12" xfId="5248"/>
    <cellStyle name="Normal 2 53 10 12 2" xfId="23019"/>
    <cellStyle name="Normal 2 53 10 13" xfId="5249"/>
    <cellStyle name="Normal 2 53 10 13 2" xfId="23020"/>
    <cellStyle name="Normal 2 53 10 14" xfId="5250"/>
    <cellStyle name="Normal 2 53 10 14 2" xfId="23021"/>
    <cellStyle name="Normal 2 53 10 15" xfId="23016"/>
    <cellStyle name="Normal 2 53 10 2" xfId="5251"/>
    <cellStyle name="Normal 2 53 10 2 2" xfId="23022"/>
    <cellStyle name="Normal 2 53 10 3" xfId="5252"/>
    <cellStyle name="Normal 2 53 10 3 2" xfId="23023"/>
    <cellStyle name="Normal 2 53 10 4" xfId="5253"/>
    <cellStyle name="Normal 2 53 10 4 2" xfId="23024"/>
    <cellStyle name="Normal 2 53 10 5" xfId="5254"/>
    <cellStyle name="Normal 2 53 10 5 2" xfId="23025"/>
    <cellStyle name="Normal 2 53 10 6" xfId="5255"/>
    <cellStyle name="Normal 2 53 10 6 2" xfId="23026"/>
    <cellStyle name="Normal 2 53 10 7" xfId="5256"/>
    <cellStyle name="Normal 2 53 10 7 2" xfId="23027"/>
    <cellStyle name="Normal 2 53 10 8" xfId="5257"/>
    <cellStyle name="Normal 2 53 10 8 2" xfId="23028"/>
    <cellStyle name="Normal 2 53 10 9" xfId="5258"/>
    <cellStyle name="Normal 2 53 10 9 2" xfId="23029"/>
    <cellStyle name="Normal 2 53 11" xfId="5259"/>
    <cellStyle name="Normal 2 53 11 2" xfId="23030"/>
    <cellStyle name="Normal 2 53 12" xfId="5260"/>
    <cellStyle name="Normal 2 53 12 2" xfId="23031"/>
    <cellStyle name="Normal 2 53 13" xfId="5261"/>
    <cellStyle name="Normal 2 53 13 2" xfId="23032"/>
    <cellStyle name="Normal 2 53 14" xfId="5262"/>
    <cellStyle name="Normal 2 53 14 2" xfId="23033"/>
    <cellStyle name="Normal 2 53 15" xfId="5263"/>
    <cellStyle name="Normal 2 53 15 2" xfId="23034"/>
    <cellStyle name="Normal 2 53 16" xfId="5264"/>
    <cellStyle name="Normal 2 53 16 2" xfId="23035"/>
    <cellStyle name="Normal 2 53 17" xfId="5265"/>
    <cellStyle name="Normal 2 53 17 2" xfId="23036"/>
    <cellStyle name="Normal 2 53 18" xfId="5266"/>
    <cellStyle name="Normal 2 53 18 2" xfId="23037"/>
    <cellStyle name="Normal 2 53 19" xfId="5267"/>
    <cellStyle name="Normal 2 53 19 2" xfId="23038"/>
    <cellStyle name="Normal 2 53 2" xfId="5268"/>
    <cellStyle name="Normal 2 53 2 10" xfId="5269"/>
    <cellStyle name="Normal 2 53 2 10 2" xfId="23040"/>
    <cellStyle name="Normal 2 53 2 11" xfId="5270"/>
    <cellStyle name="Normal 2 53 2 11 2" xfId="23041"/>
    <cellStyle name="Normal 2 53 2 12" xfId="5271"/>
    <cellStyle name="Normal 2 53 2 12 2" xfId="23042"/>
    <cellStyle name="Normal 2 53 2 13" xfId="5272"/>
    <cellStyle name="Normal 2 53 2 13 2" xfId="23043"/>
    <cellStyle name="Normal 2 53 2 14" xfId="5273"/>
    <cellStyle name="Normal 2 53 2 14 2" xfId="23044"/>
    <cellStyle name="Normal 2 53 2 15" xfId="5274"/>
    <cellStyle name="Normal 2 53 2 15 2" xfId="23045"/>
    <cellStyle name="Normal 2 53 2 16" xfId="23039"/>
    <cellStyle name="Normal 2 53 2 2" xfId="5275"/>
    <cellStyle name="Normal 2 53 2 2 10" xfId="5276"/>
    <cellStyle name="Normal 2 53 2 2 10 2" xfId="23047"/>
    <cellStyle name="Normal 2 53 2 2 11" xfId="5277"/>
    <cellStyle name="Normal 2 53 2 2 11 2" xfId="23048"/>
    <cellStyle name="Normal 2 53 2 2 12" xfId="5278"/>
    <cellStyle name="Normal 2 53 2 2 12 2" xfId="23049"/>
    <cellStyle name="Normal 2 53 2 2 13" xfId="5279"/>
    <cellStyle name="Normal 2 53 2 2 13 2" xfId="23050"/>
    <cellStyle name="Normal 2 53 2 2 14" xfId="5280"/>
    <cellStyle name="Normal 2 53 2 2 14 2" xfId="23051"/>
    <cellStyle name="Normal 2 53 2 2 15" xfId="23046"/>
    <cellStyle name="Normal 2 53 2 2 2" xfId="5281"/>
    <cellStyle name="Normal 2 53 2 2 2 2" xfId="23052"/>
    <cellStyle name="Normal 2 53 2 2 3" xfId="5282"/>
    <cellStyle name="Normal 2 53 2 2 3 2" xfId="23053"/>
    <cellStyle name="Normal 2 53 2 2 4" xfId="5283"/>
    <cellStyle name="Normal 2 53 2 2 4 2" xfId="23054"/>
    <cellStyle name="Normal 2 53 2 2 5" xfId="5284"/>
    <cellStyle name="Normal 2 53 2 2 5 2" xfId="23055"/>
    <cellStyle name="Normal 2 53 2 2 6" xfId="5285"/>
    <cellStyle name="Normal 2 53 2 2 6 2" xfId="23056"/>
    <cellStyle name="Normal 2 53 2 2 7" xfId="5286"/>
    <cellStyle name="Normal 2 53 2 2 7 2" xfId="23057"/>
    <cellStyle name="Normal 2 53 2 2 8" xfId="5287"/>
    <cellStyle name="Normal 2 53 2 2 8 2" xfId="23058"/>
    <cellStyle name="Normal 2 53 2 2 9" xfId="5288"/>
    <cellStyle name="Normal 2 53 2 2 9 2" xfId="23059"/>
    <cellStyle name="Normal 2 53 2 3" xfId="5289"/>
    <cellStyle name="Normal 2 53 2 3 2" xfId="23060"/>
    <cellStyle name="Normal 2 53 2 4" xfId="5290"/>
    <cellStyle name="Normal 2 53 2 4 2" xfId="23061"/>
    <cellStyle name="Normal 2 53 2 5" xfId="5291"/>
    <cellStyle name="Normal 2 53 2 5 2" xfId="23062"/>
    <cellStyle name="Normal 2 53 2 6" xfId="5292"/>
    <cellStyle name="Normal 2 53 2 6 2" xfId="23063"/>
    <cellStyle name="Normal 2 53 2 7" xfId="5293"/>
    <cellStyle name="Normal 2 53 2 7 2" xfId="23064"/>
    <cellStyle name="Normal 2 53 2 8" xfId="5294"/>
    <cellStyle name="Normal 2 53 2 8 2" xfId="23065"/>
    <cellStyle name="Normal 2 53 2 9" xfId="5295"/>
    <cellStyle name="Normal 2 53 2 9 2" xfId="23066"/>
    <cellStyle name="Normal 2 53 20" xfId="5296"/>
    <cellStyle name="Normal 2 53 20 2" xfId="23067"/>
    <cellStyle name="Normal 2 53 21" xfId="5297"/>
    <cellStyle name="Normal 2 53 21 2" xfId="23068"/>
    <cellStyle name="Normal 2 53 22" xfId="5298"/>
    <cellStyle name="Normal 2 53 22 2" xfId="23069"/>
    <cellStyle name="Normal 2 53 23" xfId="5299"/>
    <cellStyle name="Normal 2 53 23 2" xfId="23070"/>
    <cellStyle name="Normal 2 53 24" xfId="23015"/>
    <cellStyle name="Normal 2 53 3" xfId="5300"/>
    <cellStyle name="Normal 2 53 3 10" xfId="5301"/>
    <cellStyle name="Normal 2 53 3 10 2" xfId="23072"/>
    <cellStyle name="Normal 2 53 3 11" xfId="5302"/>
    <cellStyle name="Normal 2 53 3 11 2" xfId="23073"/>
    <cellStyle name="Normal 2 53 3 12" xfId="5303"/>
    <cellStyle name="Normal 2 53 3 12 2" xfId="23074"/>
    <cellStyle name="Normal 2 53 3 13" xfId="5304"/>
    <cellStyle name="Normal 2 53 3 13 2" xfId="23075"/>
    <cellStyle name="Normal 2 53 3 14" xfId="5305"/>
    <cellStyle name="Normal 2 53 3 14 2" xfId="23076"/>
    <cellStyle name="Normal 2 53 3 15" xfId="5306"/>
    <cellStyle name="Normal 2 53 3 15 2" xfId="23077"/>
    <cellStyle name="Normal 2 53 3 16" xfId="23071"/>
    <cellStyle name="Normal 2 53 3 2" xfId="5307"/>
    <cellStyle name="Normal 2 53 3 2 10" xfId="5308"/>
    <cellStyle name="Normal 2 53 3 2 10 2" xfId="23079"/>
    <cellStyle name="Normal 2 53 3 2 11" xfId="5309"/>
    <cellStyle name="Normal 2 53 3 2 11 2" xfId="23080"/>
    <cellStyle name="Normal 2 53 3 2 12" xfId="5310"/>
    <cellStyle name="Normal 2 53 3 2 12 2" xfId="23081"/>
    <cellStyle name="Normal 2 53 3 2 13" xfId="5311"/>
    <cellStyle name="Normal 2 53 3 2 13 2" xfId="23082"/>
    <cellStyle name="Normal 2 53 3 2 14" xfId="5312"/>
    <cellStyle name="Normal 2 53 3 2 14 2" xfId="23083"/>
    <cellStyle name="Normal 2 53 3 2 15" xfId="23078"/>
    <cellStyle name="Normal 2 53 3 2 2" xfId="5313"/>
    <cellStyle name="Normal 2 53 3 2 2 2" xfId="23084"/>
    <cellStyle name="Normal 2 53 3 2 3" xfId="5314"/>
    <cellStyle name="Normal 2 53 3 2 3 2" xfId="23085"/>
    <cellStyle name="Normal 2 53 3 2 4" xfId="5315"/>
    <cellStyle name="Normal 2 53 3 2 4 2" xfId="23086"/>
    <cellStyle name="Normal 2 53 3 2 5" xfId="5316"/>
    <cellStyle name="Normal 2 53 3 2 5 2" xfId="23087"/>
    <cellStyle name="Normal 2 53 3 2 6" xfId="5317"/>
    <cellStyle name="Normal 2 53 3 2 6 2" xfId="23088"/>
    <cellStyle name="Normal 2 53 3 2 7" xfId="5318"/>
    <cellStyle name="Normal 2 53 3 2 7 2" xfId="23089"/>
    <cellStyle name="Normal 2 53 3 2 8" xfId="5319"/>
    <cellStyle name="Normal 2 53 3 2 8 2" xfId="23090"/>
    <cellStyle name="Normal 2 53 3 2 9" xfId="5320"/>
    <cellStyle name="Normal 2 53 3 2 9 2" xfId="23091"/>
    <cellStyle name="Normal 2 53 3 3" xfId="5321"/>
    <cellStyle name="Normal 2 53 3 3 2" xfId="23092"/>
    <cellStyle name="Normal 2 53 3 4" xfId="5322"/>
    <cellStyle name="Normal 2 53 3 4 2" xfId="23093"/>
    <cellStyle name="Normal 2 53 3 5" xfId="5323"/>
    <cellStyle name="Normal 2 53 3 5 2" xfId="23094"/>
    <cellStyle name="Normal 2 53 3 6" xfId="5324"/>
    <cellStyle name="Normal 2 53 3 6 2" xfId="23095"/>
    <cellStyle name="Normal 2 53 3 7" xfId="5325"/>
    <cellStyle name="Normal 2 53 3 7 2" xfId="23096"/>
    <cellStyle name="Normal 2 53 3 8" xfId="5326"/>
    <cellStyle name="Normal 2 53 3 8 2" xfId="23097"/>
    <cellStyle name="Normal 2 53 3 9" xfId="5327"/>
    <cellStyle name="Normal 2 53 3 9 2" xfId="23098"/>
    <cellStyle name="Normal 2 53 4" xfId="5328"/>
    <cellStyle name="Normal 2 53 4 10" xfId="5329"/>
    <cellStyle name="Normal 2 53 4 10 2" xfId="23100"/>
    <cellStyle name="Normal 2 53 4 11" xfId="5330"/>
    <cellStyle name="Normal 2 53 4 11 2" xfId="23101"/>
    <cellStyle name="Normal 2 53 4 12" xfId="5331"/>
    <cellStyle name="Normal 2 53 4 12 2" xfId="23102"/>
    <cellStyle name="Normal 2 53 4 13" xfId="5332"/>
    <cellStyle name="Normal 2 53 4 13 2" xfId="23103"/>
    <cellStyle name="Normal 2 53 4 14" xfId="5333"/>
    <cellStyle name="Normal 2 53 4 14 2" xfId="23104"/>
    <cellStyle name="Normal 2 53 4 15" xfId="5334"/>
    <cellStyle name="Normal 2 53 4 15 2" xfId="23105"/>
    <cellStyle name="Normal 2 53 4 16" xfId="23099"/>
    <cellStyle name="Normal 2 53 4 2" xfId="5335"/>
    <cellStyle name="Normal 2 53 4 2 10" xfId="5336"/>
    <cellStyle name="Normal 2 53 4 2 10 2" xfId="23107"/>
    <cellStyle name="Normal 2 53 4 2 11" xfId="5337"/>
    <cellStyle name="Normal 2 53 4 2 11 2" xfId="23108"/>
    <cellStyle name="Normal 2 53 4 2 12" xfId="5338"/>
    <cellStyle name="Normal 2 53 4 2 12 2" xfId="23109"/>
    <cellStyle name="Normal 2 53 4 2 13" xfId="5339"/>
    <cellStyle name="Normal 2 53 4 2 13 2" xfId="23110"/>
    <cellStyle name="Normal 2 53 4 2 14" xfId="5340"/>
    <cellStyle name="Normal 2 53 4 2 14 2" xfId="23111"/>
    <cellStyle name="Normal 2 53 4 2 15" xfId="23106"/>
    <cellStyle name="Normal 2 53 4 2 2" xfId="5341"/>
    <cellStyle name="Normal 2 53 4 2 2 2" xfId="23112"/>
    <cellStyle name="Normal 2 53 4 2 3" xfId="5342"/>
    <cellStyle name="Normal 2 53 4 2 3 2" xfId="23113"/>
    <cellStyle name="Normal 2 53 4 2 4" xfId="5343"/>
    <cellStyle name="Normal 2 53 4 2 4 2" xfId="23114"/>
    <cellStyle name="Normal 2 53 4 2 5" xfId="5344"/>
    <cellStyle name="Normal 2 53 4 2 5 2" xfId="23115"/>
    <cellStyle name="Normal 2 53 4 2 6" xfId="5345"/>
    <cellStyle name="Normal 2 53 4 2 6 2" xfId="23116"/>
    <cellStyle name="Normal 2 53 4 2 7" xfId="5346"/>
    <cellStyle name="Normal 2 53 4 2 7 2" xfId="23117"/>
    <cellStyle name="Normal 2 53 4 2 8" xfId="5347"/>
    <cellStyle name="Normal 2 53 4 2 8 2" xfId="23118"/>
    <cellStyle name="Normal 2 53 4 2 9" xfId="5348"/>
    <cellStyle name="Normal 2 53 4 2 9 2" xfId="23119"/>
    <cellStyle name="Normal 2 53 4 3" xfId="5349"/>
    <cellStyle name="Normal 2 53 4 3 2" xfId="23120"/>
    <cellStyle name="Normal 2 53 4 4" xfId="5350"/>
    <cellStyle name="Normal 2 53 4 4 2" xfId="23121"/>
    <cellStyle name="Normal 2 53 4 5" xfId="5351"/>
    <cellStyle name="Normal 2 53 4 5 2" xfId="23122"/>
    <cellStyle name="Normal 2 53 4 6" xfId="5352"/>
    <cellStyle name="Normal 2 53 4 6 2" xfId="23123"/>
    <cellStyle name="Normal 2 53 4 7" xfId="5353"/>
    <cellStyle name="Normal 2 53 4 7 2" xfId="23124"/>
    <cellStyle name="Normal 2 53 4 8" xfId="5354"/>
    <cellStyle name="Normal 2 53 4 8 2" xfId="23125"/>
    <cellStyle name="Normal 2 53 4 9" xfId="5355"/>
    <cellStyle name="Normal 2 53 4 9 2" xfId="23126"/>
    <cellStyle name="Normal 2 53 5" xfId="5356"/>
    <cellStyle name="Normal 2 53 5 10" xfId="5357"/>
    <cellStyle name="Normal 2 53 5 10 2" xfId="23128"/>
    <cellStyle name="Normal 2 53 5 11" xfId="5358"/>
    <cellStyle name="Normal 2 53 5 11 2" xfId="23129"/>
    <cellStyle name="Normal 2 53 5 12" xfId="5359"/>
    <cellStyle name="Normal 2 53 5 12 2" xfId="23130"/>
    <cellStyle name="Normal 2 53 5 13" xfId="5360"/>
    <cellStyle name="Normal 2 53 5 13 2" xfId="23131"/>
    <cellStyle name="Normal 2 53 5 14" xfId="5361"/>
    <cellStyle name="Normal 2 53 5 14 2" xfId="23132"/>
    <cellStyle name="Normal 2 53 5 15" xfId="23127"/>
    <cellStyle name="Normal 2 53 5 2" xfId="5362"/>
    <cellStyle name="Normal 2 53 5 2 2" xfId="23133"/>
    <cellStyle name="Normal 2 53 5 3" xfId="5363"/>
    <cellStyle name="Normal 2 53 5 3 2" xfId="23134"/>
    <cellStyle name="Normal 2 53 5 4" xfId="5364"/>
    <cellStyle name="Normal 2 53 5 4 2" xfId="23135"/>
    <cellStyle name="Normal 2 53 5 5" xfId="5365"/>
    <cellStyle name="Normal 2 53 5 5 2" xfId="23136"/>
    <cellStyle name="Normal 2 53 5 6" xfId="5366"/>
    <cellStyle name="Normal 2 53 5 6 2" xfId="23137"/>
    <cellStyle name="Normal 2 53 5 7" xfId="5367"/>
    <cellStyle name="Normal 2 53 5 7 2" xfId="23138"/>
    <cellStyle name="Normal 2 53 5 8" xfId="5368"/>
    <cellStyle name="Normal 2 53 5 8 2" xfId="23139"/>
    <cellStyle name="Normal 2 53 5 9" xfId="5369"/>
    <cellStyle name="Normal 2 53 5 9 2" xfId="23140"/>
    <cellStyle name="Normal 2 53 6" xfId="5370"/>
    <cellStyle name="Normal 2 53 6 10" xfId="5371"/>
    <cellStyle name="Normal 2 53 6 10 2" xfId="23142"/>
    <cellStyle name="Normal 2 53 6 11" xfId="5372"/>
    <cellStyle name="Normal 2 53 6 11 2" xfId="23143"/>
    <cellStyle name="Normal 2 53 6 12" xfId="5373"/>
    <cellStyle name="Normal 2 53 6 12 2" xfId="23144"/>
    <cellStyle name="Normal 2 53 6 13" xfId="5374"/>
    <cellStyle name="Normal 2 53 6 13 2" xfId="23145"/>
    <cellStyle name="Normal 2 53 6 14" xfId="5375"/>
    <cellStyle name="Normal 2 53 6 14 2" xfId="23146"/>
    <cellStyle name="Normal 2 53 6 15" xfId="23141"/>
    <cellStyle name="Normal 2 53 6 2" xfId="5376"/>
    <cellStyle name="Normal 2 53 6 2 2" xfId="23147"/>
    <cellStyle name="Normal 2 53 6 3" xfId="5377"/>
    <cellStyle name="Normal 2 53 6 3 2" xfId="23148"/>
    <cellStyle name="Normal 2 53 6 4" xfId="5378"/>
    <cellStyle name="Normal 2 53 6 4 2" xfId="23149"/>
    <cellStyle name="Normal 2 53 6 5" xfId="5379"/>
    <cellStyle name="Normal 2 53 6 5 2" xfId="23150"/>
    <cellStyle name="Normal 2 53 6 6" xfId="5380"/>
    <cellStyle name="Normal 2 53 6 6 2" xfId="23151"/>
    <cellStyle name="Normal 2 53 6 7" xfId="5381"/>
    <cellStyle name="Normal 2 53 6 7 2" xfId="23152"/>
    <cellStyle name="Normal 2 53 6 8" xfId="5382"/>
    <cellStyle name="Normal 2 53 6 8 2" xfId="23153"/>
    <cellStyle name="Normal 2 53 6 9" xfId="5383"/>
    <cellStyle name="Normal 2 53 6 9 2" xfId="23154"/>
    <cellStyle name="Normal 2 53 7" xfId="5384"/>
    <cellStyle name="Normal 2 53 7 10" xfId="5385"/>
    <cellStyle name="Normal 2 53 7 10 2" xfId="23156"/>
    <cellStyle name="Normal 2 53 7 11" xfId="5386"/>
    <cellStyle name="Normal 2 53 7 11 2" xfId="23157"/>
    <cellStyle name="Normal 2 53 7 12" xfId="5387"/>
    <cellStyle name="Normal 2 53 7 12 2" xfId="23158"/>
    <cellStyle name="Normal 2 53 7 13" xfId="5388"/>
    <cellStyle name="Normal 2 53 7 13 2" xfId="23159"/>
    <cellStyle name="Normal 2 53 7 14" xfId="5389"/>
    <cellStyle name="Normal 2 53 7 14 2" xfId="23160"/>
    <cellStyle name="Normal 2 53 7 15" xfId="23155"/>
    <cellStyle name="Normal 2 53 7 2" xfId="5390"/>
    <cellStyle name="Normal 2 53 7 2 2" xfId="23161"/>
    <cellStyle name="Normal 2 53 7 3" xfId="5391"/>
    <cellStyle name="Normal 2 53 7 3 2" xfId="23162"/>
    <cellStyle name="Normal 2 53 7 4" xfId="5392"/>
    <cellStyle name="Normal 2 53 7 4 2" xfId="23163"/>
    <cellStyle name="Normal 2 53 7 5" xfId="5393"/>
    <cellStyle name="Normal 2 53 7 5 2" xfId="23164"/>
    <cellStyle name="Normal 2 53 7 6" xfId="5394"/>
    <cellStyle name="Normal 2 53 7 6 2" xfId="23165"/>
    <cellStyle name="Normal 2 53 7 7" xfId="5395"/>
    <cellStyle name="Normal 2 53 7 7 2" xfId="23166"/>
    <cellStyle name="Normal 2 53 7 8" xfId="5396"/>
    <cellStyle name="Normal 2 53 7 8 2" xfId="23167"/>
    <cellStyle name="Normal 2 53 7 9" xfId="5397"/>
    <cellStyle name="Normal 2 53 7 9 2" xfId="23168"/>
    <cellStyle name="Normal 2 53 8" xfId="5398"/>
    <cellStyle name="Normal 2 53 8 10" xfId="5399"/>
    <cellStyle name="Normal 2 53 8 10 2" xfId="23170"/>
    <cellStyle name="Normal 2 53 8 11" xfId="5400"/>
    <cellStyle name="Normal 2 53 8 11 2" xfId="23171"/>
    <cellStyle name="Normal 2 53 8 12" xfId="5401"/>
    <cellStyle name="Normal 2 53 8 12 2" xfId="23172"/>
    <cellStyle name="Normal 2 53 8 13" xfId="5402"/>
    <cellStyle name="Normal 2 53 8 13 2" xfId="23173"/>
    <cellStyle name="Normal 2 53 8 14" xfId="5403"/>
    <cellStyle name="Normal 2 53 8 14 2" xfId="23174"/>
    <cellStyle name="Normal 2 53 8 15" xfId="23169"/>
    <cellStyle name="Normal 2 53 8 2" xfId="5404"/>
    <cellStyle name="Normal 2 53 8 2 2" xfId="23175"/>
    <cellStyle name="Normal 2 53 8 3" xfId="5405"/>
    <cellStyle name="Normal 2 53 8 3 2" xfId="23176"/>
    <cellStyle name="Normal 2 53 8 4" xfId="5406"/>
    <cellStyle name="Normal 2 53 8 4 2" xfId="23177"/>
    <cellStyle name="Normal 2 53 8 5" xfId="5407"/>
    <cellStyle name="Normal 2 53 8 5 2" xfId="23178"/>
    <cellStyle name="Normal 2 53 8 6" xfId="5408"/>
    <cellStyle name="Normal 2 53 8 6 2" xfId="23179"/>
    <cellStyle name="Normal 2 53 8 7" xfId="5409"/>
    <cellStyle name="Normal 2 53 8 7 2" xfId="23180"/>
    <cellStyle name="Normal 2 53 8 8" xfId="5410"/>
    <cellStyle name="Normal 2 53 8 8 2" xfId="23181"/>
    <cellStyle name="Normal 2 53 8 9" xfId="5411"/>
    <cellStyle name="Normal 2 53 8 9 2" xfId="23182"/>
    <cellStyle name="Normal 2 53 9" xfId="5412"/>
    <cellStyle name="Normal 2 53 9 10" xfId="5413"/>
    <cellStyle name="Normal 2 53 9 10 2" xfId="23184"/>
    <cellStyle name="Normal 2 53 9 11" xfId="5414"/>
    <cellStyle name="Normal 2 53 9 11 2" xfId="23185"/>
    <cellStyle name="Normal 2 53 9 12" xfId="5415"/>
    <cellStyle name="Normal 2 53 9 12 2" xfId="23186"/>
    <cellStyle name="Normal 2 53 9 13" xfId="5416"/>
    <cellStyle name="Normal 2 53 9 13 2" xfId="23187"/>
    <cellStyle name="Normal 2 53 9 14" xfId="5417"/>
    <cellStyle name="Normal 2 53 9 14 2" xfId="23188"/>
    <cellStyle name="Normal 2 53 9 15" xfId="23183"/>
    <cellStyle name="Normal 2 53 9 2" xfId="5418"/>
    <cellStyle name="Normal 2 53 9 2 2" xfId="23189"/>
    <cellStyle name="Normal 2 53 9 3" xfId="5419"/>
    <cellStyle name="Normal 2 53 9 3 2" xfId="23190"/>
    <cellStyle name="Normal 2 53 9 4" xfId="5420"/>
    <cellStyle name="Normal 2 53 9 4 2" xfId="23191"/>
    <cellStyle name="Normal 2 53 9 5" xfId="5421"/>
    <cellStyle name="Normal 2 53 9 5 2" xfId="23192"/>
    <cellStyle name="Normal 2 53 9 6" xfId="5422"/>
    <cellStyle name="Normal 2 53 9 6 2" xfId="23193"/>
    <cellStyle name="Normal 2 53 9 7" xfId="5423"/>
    <cellStyle name="Normal 2 53 9 7 2" xfId="23194"/>
    <cellStyle name="Normal 2 53 9 8" xfId="5424"/>
    <cellStyle name="Normal 2 53 9 8 2" xfId="23195"/>
    <cellStyle name="Normal 2 53 9 9" xfId="5425"/>
    <cellStyle name="Normal 2 53 9 9 2" xfId="23196"/>
    <cellStyle name="Normal 2 54" xfId="5426"/>
    <cellStyle name="Normal 2 54 10" xfId="5427"/>
    <cellStyle name="Normal 2 54 10 10" xfId="5428"/>
    <cellStyle name="Normal 2 54 10 10 2" xfId="23199"/>
    <cellStyle name="Normal 2 54 10 11" xfId="5429"/>
    <cellStyle name="Normal 2 54 10 11 2" xfId="23200"/>
    <cellStyle name="Normal 2 54 10 12" xfId="5430"/>
    <cellStyle name="Normal 2 54 10 12 2" xfId="23201"/>
    <cellStyle name="Normal 2 54 10 13" xfId="5431"/>
    <cellStyle name="Normal 2 54 10 13 2" xfId="23202"/>
    <cellStyle name="Normal 2 54 10 14" xfId="5432"/>
    <cellStyle name="Normal 2 54 10 14 2" xfId="23203"/>
    <cellStyle name="Normal 2 54 10 15" xfId="23198"/>
    <cellStyle name="Normal 2 54 10 2" xfId="5433"/>
    <cellStyle name="Normal 2 54 10 2 2" xfId="23204"/>
    <cellStyle name="Normal 2 54 10 3" xfId="5434"/>
    <cellStyle name="Normal 2 54 10 3 2" xfId="23205"/>
    <cellStyle name="Normal 2 54 10 4" xfId="5435"/>
    <cellStyle name="Normal 2 54 10 4 2" xfId="23206"/>
    <cellStyle name="Normal 2 54 10 5" xfId="5436"/>
    <cellStyle name="Normal 2 54 10 5 2" xfId="23207"/>
    <cellStyle name="Normal 2 54 10 6" xfId="5437"/>
    <cellStyle name="Normal 2 54 10 6 2" xfId="23208"/>
    <cellStyle name="Normal 2 54 10 7" xfId="5438"/>
    <cellStyle name="Normal 2 54 10 7 2" xfId="23209"/>
    <cellStyle name="Normal 2 54 10 8" xfId="5439"/>
    <cellStyle name="Normal 2 54 10 8 2" xfId="23210"/>
    <cellStyle name="Normal 2 54 10 9" xfId="5440"/>
    <cellStyle name="Normal 2 54 10 9 2" xfId="23211"/>
    <cellStyle name="Normal 2 54 11" xfId="5441"/>
    <cellStyle name="Normal 2 54 11 2" xfId="23212"/>
    <cellStyle name="Normal 2 54 12" xfId="5442"/>
    <cellStyle name="Normal 2 54 12 2" xfId="23213"/>
    <cellStyle name="Normal 2 54 13" xfId="5443"/>
    <cellStyle name="Normal 2 54 13 2" xfId="23214"/>
    <cellStyle name="Normal 2 54 14" xfId="5444"/>
    <cellStyle name="Normal 2 54 14 2" xfId="23215"/>
    <cellStyle name="Normal 2 54 15" xfId="5445"/>
    <cellStyle name="Normal 2 54 15 2" xfId="23216"/>
    <cellStyle name="Normal 2 54 16" xfId="5446"/>
    <cellStyle name="Normal 2 54 16 2" xfId="23217"/>
    <cellStyle name="Normal 2 54 17" xfId="5447"/>
    <cellStyle name="Normal 2 54 17 2" xfId="23218"/>
    <cellStyle name="Normal 2 54 18" xfId="5448"/>
    <cellStyle name="Normal 2 54 18 2" xfId="23219"/>
    <cellStyle name="Normal 2 54 19" xfId="5449"/>
    <cellStyle name="Normal 2 54 19 2" xfId="23220"/>
    <cellStyle name="Normal 2 54 2" xfId="5450"/>
    <cellStyle name="Normal 2 54 2 10" xfId="5451"/>
    <cellStyle name="Normal 2 54 2 10 2" xfId="23222"/>
    <cellStyle name="Normal 2 54 2 11" xfId="5452"/>
    <cellStyle name="Normal 2 54 2 11 2" xfId="23223"/>
    <cellStyle name="Normal 2 54 2 12" xfId="5453"/>
    <cellStyle name="Normal 2 54 2 12 2" xfId="23224"/>
    <cellStyle name="Normal 2 54 2 13" xfId="5454"/>
    <cellStyle name="Normal 2 54 2 13 2" xfId="23225"/>
    <cellStyle name="Normal 2 54 2 14" xfId="5455"/>
    <cellStyle name="Normal 2 54 2 14 2" xfId="23226"/>
    <cellStyle name="Normal 2 54 2 15" xfId="5456"/>
    <cellStyle name="Normal 2 54 2 15 2" xfId="23227"/>
    <cellStyle name="Normal 2 54 2 16" xfId="23221"/>
    <cellStyle name="Normal 2 54 2 2" xfId="5457"/>
    <cellStyle name="Normal 2 54 2 2 10" xfId="5458"/>
    <cellStyle name="Normal 2 54 2 2 10 2" xfId="23229"/>
    <cellStyle name="Normal 2 54 2 2 11" xfId="5459"/>
    <cellStyle name="Normal 2 54 2 2 11 2" xfId="23230"/>
    <cellStyle name="Normal 2 54 2 2 12" xfId="5460"/>
    <cellStyle name="Normal 2 54 2 2 12 2" xfId="23231"/>
    <cellStyle name="Normal 2 54 2 2 13" xfId="5461"/>
    <cellStyle name="Normal 2 54 2 2 13 2" xfId="23232"/>
    <cellStyle name="Normal 2 54 2 2 14" xfId="5462"/>
    <cellStyle name="Normal 2 54 2 2 14 2" xfId="23233"/>
    <cellStyle name="Normal 2 54 2 2 15" xfId="23228"/>
    <cellStyle name="Normal 2 54 2 2 2" xfId="5463"/>
    <cellStyle name="Normal 2 54 2 2 2 2" xfId="23234"/>
    <cellStyle name="Normal 2 54 2 2 3" xfId="5464"/>
    <cellStyle name="Normal 2 54 2 2 3 2" xfId="23235"/>
    <cellStyle name="Normal 2 54 2 2 4" xfId="5465"/>
    <cellStyle name="Normal 2 54 2 2 4 2" xfId="23236"/>
    <cellStyle name="Normal 2 54 2 2 5" xfId="5466"/>
    <cellStyle name="Normal 2 54 2 2 5 2" xfId="23237"/>
    <cellStyle name="Normal 2 54 2 2 6" xfId="5467"/>
    <cellStyle name="Normal 2 54 2 2 6 2" xfId="23238"/>
    <cellStyle name="Normal 2 54 2 2 7" xfId="5468"/>
    <cellStyle name="Normal 2 54 2 2 7 2" xfId="23239"/>
    <cellStyle name="Normal 2 54 2 2 8" xfId="5469"/>
    <cellStyle name="Normal 2 54 2 2 8 2" xfId="23240"/>
    <cellStyle name="Normal 2 54 2 2 9" xfId="5470"/>
    <cellStyle name="Normal 2 54 2 2 9 2" xfId="23241"/>
    <cellStyle name="Normal 2 54 2 3" xfId="5471"/>
    <cellStyle name="Normal 2 54 2 3 2" xfId="23242"/>
    <cellStyle name="Normal 2 54 2 4" xfId="5472"/>
    <cellStyle name="Normal 2 54 2 4 2" xfId="23243"/>
    <cellStyle name="Normal 2 54 2 5" xfId="5473"/>
    <cellStyle name="Normal 2 54 2 5 2" xfId="23244"/>
    <cellStyle name="Normal 2 54 2 6" xfId="5474"/>
    <cellStyle name="Normal 2 54 2 6 2" xfId="23245"/>
    <cellStyle name="Normal 2 54 2 7" xfId="5475"/>
    <cellStyle name="Normal 2 54 2 7 2" xfId="23246"/>
    <cellStyle name="Normal 2 54 2 8" xfId="5476"/>
    <cellStyle name="Normal 2 54 2 8 2" xfId="23247"/>
    <cellStyle name="Normal 2 54 2 9" xfId="5477"/>
    <cellStyle name="Normal 2 54 2 9 2" xfId="23248"/>
    <cellStyle name="Normal 2 54 20" xfId="5478"/>
    <cellStyle name="Normal 2 54 20 2" xfId="23249"/>
    <cellStyle name="Normal 2 54 21" xfId="5479"/>
    <cellStyle name="Normal 2 54 21 2" xfId="23250"/>
    <cellStyle name="Normal 2 54 22" xfId="5480"/>
    <cellStyle name="Normal 2 54 22 2" xfId="23251"/>
    <cellStyle name="Normal 2 54 23" xfId="5481"/>
    <cellStyle name="Normal 2 54 23 2" xfId="23252"/>
    <cellStyle name="Normal 2 54 24" xfId="23197"/>
    <cellStyle name="Normal 2 54 3" xfId="5482"/>
    <cellStyle name="Normal 2 54 3 10" xfId="5483"/>
    <cellStyle name="Normal 2 54 3 10 2" xfId="23254"/>
    <cellStyle name="Normal 2 54 3 11" xfId="5484"/>
    <cellStyle name="Normal 2 54 3 11 2" xfId="23255"/>
    <cellStyle name="Normal 2 54 3 12" xfId="5485"/>
    <cellStyle name="Normal 2 54 3 12 2" xfId="23256"/>
    <cellStyle name="Normal 2 54 3 13" xfId="5486"/>
    <cellStyle name="Normal 2 54 3 13 2" xfId="23257"/>
    <cellStyle name="Normal 2 54 3 14" xfId="5487"/>
    <cellStyle name="Normal 2 54 3 14 2" xfId="23258"/>
    <cellStyle name="Normal 2 54 3 15" xfId="5488"/>
    <cellStyle name="Normal 2 54 3 15 2" xfId="23259"/>
    <cellStyle name="Normal 2 54 3 16" xfId="23253"/>
    <cellStyle name="Normal 2 54 3 2" xfId="5489"/>
    <cellStyle name="Normal 2 54 3 2 10" xfId="5490"/>
    <cellStyle name="Normal 2 54 3 2 10 2" xfId="23261"/>
    <cellStyle name="Normal 2 54 3 2 11" xfId="5491"/>
    <cellStyle name="Normal 2 54 3 2 11 2" xfId="23262"/>
    <cellStyle name="Normal 2 54 3 2 12" xfId="5492"/>
    <cellStyle name="Normal 2 54 3 2 12 2" xfId="23263"/>
    <cellStyle name="Normal 2 54 3 2 13" xfId="5493"/>
    <cellStyle name="Normal 2 54 3 2 13 2" xfId="23264"/>
    <cellStyle name="Normal 2 54 3 2 14" xfId="5494"/>
    <cellStyle name="Normal 2 54 3 2 14 2" xfId="23265"/>
    <cellStyle name="Normal 2 54 3 2 15" xfId="23260"/>
    <cellStyle name="Normal 2 54 3 2 2" xfId="5495"/>
    <cellStyle name="Normal 2 54 3 2 2 2" xfId="23266"/>
    <cellStyle name="Normal 2 54 3 2 3" xfId="5496"/>
    <cellStyle name="Normal 2 54 3 2 3 2" xfId="23267"/>
    <cellStyle name="Normal 2 54 3 2 4" xfId="5497"/>
    <cellStyle name="Normal 2 54 3 2 4 2" xfId="23268"/>
    <cellStyle name="Normal 2 54 3 2 5" xfId="5498"/>
    <cellStyle name="Normal 2 54 3 2 5 2" xfId="23269"/>
    <cellStyle name="Normal 2 54 3 2 6" xfId="5499"/>
    <cellStyle name="Normal 2 54 3 2 6 2" xfId="23270"/>
    <cellStyle name="Normal 2 54 3 2 7" xfId="5500"/>
    <cellStyle name="Normal 2 54 3 2 7 2" xfId="23271"/>
    <cellStyle name="Normal 2 54 3 2 8" xfId="5501"/>
    <cellStyle name="Normal 2 54 3 2 8 2" xfId="23272"/>
    <cellStyle name="Normal 2 54 3 2 9" xfId="5502"/>
    <cellStyle name="Normal 2 54 3 2 9 2" xfId="23273"/>
    <cellStyle name="Normal 2 54 3 3" xfId="5503"/>
    <cellStyle name="Normal 2 54 3 3 2" xfId="23274"/>
    <cellStyle name="Normal 2 54 3 4" xfId="5504"/>
    <cellStyle name="Normal 2 54 3 4 2" xfId="23275"/>
    <cellStyle name="Normal 2 54 3 5" xfId="5505"/>
    <cellStyle name="Normal 2 54 3 5 2" xfId="23276"/>
    <cellStyle name="Normal 2 54 3 6" xfId="5506"/>
    <cellStyle name="Normal 2 54 3 6 2" xfId="23277"/>
    <cellStyle name="Normal 2 54 3 7" xfId="5507"/>
    <cellStyle name="Normal 2 54 3 7 2" xfId="23278"/>
    <cellStyle name="Normal 2 54 3 8" xfId="5508"/>
    <cellStyle name="Normal 2 54 3 8 2" xfId="23279"/>
    <cellStyle name="Normal 2 54 3 9" xfId="5509"/>
    <cellStyle name="Normal 2 54 3 9 2" xfId="23280"/>
    <cellStyle name="Normal 2 54 4" xfId="5510"/>
    <cellStyle name="Normal 2 54 4 10" xfId="5511"/>
    <cellStyle name="Normal 2 54 4 10 2" xfId="23282"/>
    <cellStyle name="Normal 2 54 4 11" xfId="5512"/>
    <cellStyle name="Normal 2 54 4 11 2" xfId="23283"/>
    <cellStyle name="Normal 2 54 4 12" xfId="5513"/>
    <cellStyle name="Normal 2 54 4 12 2" xfId="23284"/>
    <cellStyle name="Normal 2 54 4 13" xfId="5514"/>
    <cellStyle name="Normal 2 54 4 13 2" xfId="23285"/>
    <cellStyle name="Normal 2 54 4 14" xfId="5515"/>
    <cellStyle name="Normal 2 54 4 14 2" xfId="23286"/>
    <cellStyle name="Normal 2 54 4 15" xfId="5516"/>
    <cellStyle name="Normal 2 54 4 15 2" xfId="23287"/>
    <cellStyle name="Normal 2 54 4 16" xfId="23281"/>
    <cellStyle name="Normal 2 54 4 2" xfId="5517"/>
    <cellStyle name="Normal 2 54 4 2 10" xfId="5518"/>
    <cellStyle name="Normal 2 54 4 2 10 2" xfId="23289"/>
    <cellStyle name="Normal 2 54 4 2 11" xfId="5519"/>
    <cellStyle name="Normal 2 54 4 2 11 2" xfId="23290"/>
    <cellStyle name="Normal 2 54 4 2 12" xfId="5520"/>
    <cellStyle name="Normal 2 54 4 2 12 2" xfId="23291"/>
    <cellStyle name="Normal 2 54 4 2 13" xfId="5521"/>
    <cellStyle name="Normal 2 54 4 2 13 2" xfId="23292"/>
    <cellStyle name="Normal 2 54 4 2 14" xfId="5522"/>
    <cellStyle name="Normal 2 54 4 2 14 2" xfId="23293"/>
    <cellStyle name="Normal 2 54 4 2 15" xfId="23288"/>
    <cellStyle name="Normal 2 54 4 2 2" xfId="5523"/>
    <cellStyle name="Normal 2 54 4 2 2 2" xfId="23294"/>
    <cellStyle name="Normal 2 54 4 2 3" xfId="5524"/>
    <cellStyle name="Normal 2 54 4 2 3 2" xfId="23295"/>
    <cellStyle name="Normal 2 54 4 2 4" xfId="5525"/>
    <cellStyle name="Normal 2 54 4 2 4 2" xfId="23296"/>
    <cellStyle name="Normal 2 54 4 2 5" xfId="5526"/>
    <cellStyle name="Normal 2 54 4 2 5 2" xfId="23297"/>
    <cellStyle name="Normal 2 54 4 2 6" xfId="5527"/>
    <cellStyle name="Normal 2 54 4 2 6 2" xfId="23298"/>
    <cellStyle name="Normal 2 54 4 2 7" xfId="5528"/>
    <cellStyle name="Normal 2 54 4 2 7 2" xfId="23299"/>
    <cellStyle name="Normal 2 54 4 2 8" xfId="5529"/>
    <cellStyle name="Normal 2 54 4 2 8 2" xfId="23300"/>
    <cellStyle name="Normal 2 54 4 2 9" xfId="5530"/>
    <cellStyle name="Normal 2 54 4 2 9 2" xfId="23301"/>
    <cellStyle name="Normal 2 54 4 3" xfId="5531"/>
    <cellStyle name="Normal 2 54 4 3 2" xfId="23302"/>
    <cellStyle name="Normal 2 54 4 4" xfId="5532"/>
    <cellStyle name="Normal 2 54 4 4 2" xfId="23303"/>
    <cellStyle name="Normal 2 54 4 5" xfId="5533"/>
    <cellStyle name="Normal 2 54 4 5 2" xfId="23304"/>
    <cellStyle name="Normal 2 54 4 6" xfId="5534"/>
    <cellStyle name="Normal 2 54 4 6 2" xfId="23305"/>
    <cellStyle name="Normal 2 54 4 7" xfId="5535"/>
    <cellStyle name="Normal 2 54 4 7 2" xfId="23306"/>
    <cellStyle name="Normal 2 54 4 8" xfId="5536"/>
    <cellStyle name="Normal 2 54 4 8 2" xfId="23307"/>
    <cellStyle name="Normal 2 54 4 9" xfId="5537"/>
    <cellStyle name="Normal 2 54 4 9 2" xfId="23308"/>
    <cellStyle name="Normal 2 54 5" xfId="5538"/>
    <cellStyle name="Normal 2 54 5 10" xfId="5539"/>
    <cellStyle name="Normal 2 54 5 10 2" xfId="23310"/>
    <cellStyle name="Normal 2 54 5 11" xfId="5540"/>
    <cellStyle name="Normal 2 54 5 11 2" xfId="23311"/>
    <cellStyle name="Normal 2 54 5 12" xfId="5541"/>
    <cellStyle name="Normal 2 54 5 12 2" xfId="23312"/>
    <cellStyle name="Normal 2 54 5 13" xfId="5542"/>
    <cellStyle name="Normal 2 54 5 13 2" xfId="23313"/>
    <cellStyle name="Normal 2 54 5 14" xfId="5543"/>
    <cellStyle name="Normal 2 54 5 14 2" xfId="23314"/>
    <cellStyle name="Normal 2 54 5 15" xfId="23309"/>
    <cellStyle name="Normal 2 54 5 2" xfId="5544"/>
    <cellStyle name="Normal 2 54 5 2 2" xfId="23315"/>
    <cellStyle name="Normal 2 54 5 3" xfId="5545"/>
    <cellStyle name="Normal 2 54 5 3 2" xfId="23316"/>
    <cellStyle name="Normal 2 54 5 4" xfId="5546"/>
    <cellStyle name="Normal 2 54 5 4 2" xfId="23317"/>
    <cellStyle name="Normal 2 54 5 5" xfId="5547"/>
    <cellStyle name="Normal 2 54 5 5 2" xfId="23318"/>
    <cellStyle name="Normal 2 54 5 6" xfId="5548"/>
    <cellStyle name="Normal 2 54 5 6 2" xfId="23319"/>
    <cellStyle name="Normal 2 54 5 7" xfId="5549"/>
    <cellStyle name="Normal 2 54 5 7 2" xfId="23320"/>
    <cellStyle name="Normal 2 54 5 8" xfId="5550"/>
    <cellStyle name="Normal 2 54 5 8 2" xfId="23321"/>
    <cellStyle name="Normal 2 54 5 9" xfId="5551"/>
    <cellStyle name="Normal 2 54 5 9 2" xfId="23322"/>
    <cellStyle name="Normal 2 54 6" xfId="5552"/>
    <cellStyle name="Normal 2 54 6 10" xfId="5553"/>
    <cellStyle name="Normal 2 54 6 10 2" xfId="23324"/>
    <cellStyle name="Normal 2 54 6 11" xfId="5554"/>
    <cellStyle name="Normal 2 54 6 11 2" xfId="23325"/>
    <cellStyle name="Normal 2 54 6 12" xfId="5555"/>
    <cellStyle name="Normal 2 54 6 12 2" xfId="23326"/>
    <cellStyle name="Normal 2 54 6 13" xfId="5556"/>
    <cellStyle name="Normal 2 54 6 13 2" xfId="23327"/>
    <cellStyle name="Normal 2 54 6 14" xfId="5557"/>
    <cellStyle name="Normal 2 54 6 14 2" xfId="23328"/>
    <cellStyle name="Normal 2 54 6 15" xfId="23323"/>
    <cellStyle name="Normal 2 54 6 2" xfId="5558"/>
    <cellStyle name="Normal 2 54 6 2 2" xfId="23329"/>
    <cellStyle name="Normal 2 54 6 3" xfId="5559"/>
    <cellStyle name="Normal 2 54 6 3 2" xfId="23330"/>
    <cellStyle name="Normal 2 54 6 4" xfId="5560"/>
    <cellStyle name="Normal 2 54 6 4 2" xfId="23331"/>
    <cellStyle name="Normal 2 54 6 5" xfId="5561"/>
    <cellStyle name="Normal 2 54 6 5 2" xfId="23332"/>
    <cellStyle name="Normal 2 54 6 6" xfId="5562"/>
    <cellStyle name="Normal 2 54 6 6 2" xfId="23333"/>
    <cellStyle name="Normal 2 54 6 7" xfId="5563"/>
    <cellStyle name="Normal 2 54 6 7 2" xfId="23334"/>
    <cellStyle name="Normal 2 54 6 8" xfId="5564"/>
    <cellStyle name="Normal 2 54 6 8 2" xfId="23335"/>
    <cellStyle name="Normal 2 54 6 9" xfId="5565"/>
    <cellStyle name="Normal 2 54 6 9 2" xfId="23336"/>
    <cellStyle name="Normal 2 54 7" xfId="5566"/>
    <cellStyle name="Normal 2 54 7 10" xfId="5567"/>
    <cellStyle name="Normal 2 54 7 10 2" xfId="23338"/>
    <cellStyle name="Normal 2 54 7 11" xfId="5568"/>
    <cellStyle name="Normal 2 54 7 11 2" xfId="23339"/>
    <cellStyle name="Normal 2 54 7 12" xfId="5569"/>
    <cellStyle name="Normal 2 54 7 12 2" xfId="23340"/>
    <cellStyle name="Normal 2 54 7 13" xfId="5570"/>
    <cellStyle name="Normal 2 54 7 13 2" xfId="23341"/>
    <cellStyle name="Normal 2 54 7 14" xfId="5571"/>
    <cellStyle name="Normal 2 54 7 14 2" xfId="23342"/>
    <cellStyle name="Normal 2 54 7 15" xfId="23337"/>
    <cellStyle name="Normal 2 54 7 2" xfId="5572"/>
    <cellStyle name="Normal 2 54 7 2 2" xfId="23343"/>
    <cellStyle name="Normal 2 54 7 3" xfId="5573"/>
    <cellStyle name="Normal 2 54 7 3 2" xfId="23344"/>
    <cellStyle name="Normal 2 54 7 4" xfId="5574"/>
    <cellStyle name="Normal 2 54 7 4 2" xfId="23345"/>
    <cellStyle name="Normal 2 54 7 5" xfId="5575"/>
    <cellStyle name="Normal 2 54 7 5 2" xfId="23346"/>
    <cellStyle name="Normal 2 54 7 6" xfId="5576"/>
    <cellStyle name="Normal 2 54 7 6 2" xfId="23347"/>
    <cellStyle name="Normal 2 54 7 7" xfId="5577"/>
    <cellStyle name="Normal 2 54 7 7 2" xfId="23348"/>
    <cellStyle name="Normal 2 54 7 8" xfId="5578"/>
    <cellStyle name="Normal 2 54 7 8 2" xfId="23349"/>
    <cellStyle name="Normal 2 54 7 9" xfId="5579"/>
    <cellStyle name="Normal 2 54 7 9 2" xfId="23350"/>
    <cellStyle name="Normal 2 54 8" xfId="5580"/>
    <cellStyle name="Normal 2 54 8 10" xfId="5581"/>
    <cellStyle name="Normal 2 54 8 10 2" xfId="23352"/>
    <cellStyle name="Normal 2 54 8 11" xfId="5582"/>
    <cellStyle name="Normal 2 54 8 11 2" xfId="23353"/>
    <cellStyle name="Normal 2 54 8 12" xfId="5583"/>
    <cellStyle name="Normal 2 54 8 12 2" xfId="23354"/>
    <cellStyle name="Normal 2 54 8 13" xfId="5584"/>
    <cellStyle name="Normal 2 54 8 13 2" xfId="23355"/>
    <cellStyle name="Normal 2 54 8 14" xfId="5585"/>
    <cellStyle name="Normal 2 54 8 14 2" xfId="23356"/>
    <cellStyle name="Normal 2 54 8 15" xfId="23351"/>
    <cellStyle name="Normal 2 54 8 2" xfId="5586"/>
    <cellStyle name="Normal 2 54 8 2 2" xfId="23357"/>
    <cellStyle name="Normal 2 54 8 3" xfId="5587"/>
    <cellStyle name="Normal 2 54 8 3 2" xfId="23358"/>
    <cellStyle name="Normal 2 54 8 4" xfId="5588"/>
    <cellStyle name="Normal 2 54 8 4 2" xfId="23359"/>
    <cellStyle name="Normal 2 54 8 5" xfId="5589"/>
    <cellStyle name="Normal 2 54 8 5 2" xfId="23360"/>
    <cellStyle name="Normal 2 54 8 6" xfId="5590"/>
    <cellStyle name="Normal 2 54 8 6 2" xfId="23361"/>
    <cellStyle name="Normal 2 54 8 7" xfId="5591"/>
    <cellStyle name="Normal 2 54 8 7 2" xfId="23362"/>
    <cellStyle name="Normal 2 54 8 8" xfId="5592"/>
    <cellStyle name="Normal 2 54 8 8 2" xfId="23363"/>
    <cellStyle name="Normal 2 54 8 9" xfId="5593"/>
    <cellStyle name="Normal 2 54 8 9 2" xfId="23364"/>
    <cellStyle name="Normal 2 54 9" xfId="5594"/>
    <cellStyle name="Normal 2 54 9 10" xfId="5595"/>
    <cellStyle name="Normal 2 54 9 10 2" xfId="23366"/>
    <cellStyle name="Normal 2 54 9 11" xfId="5596"/>
    <cellStyle name="Normal 2 54 9 11 2" xfId="23367"/>
    <cellStyle name="Normal 2 54 9 12" xfId="5597"/>
    <cellStyle name="Normal 2 54 9 12 2" xfId="23368"/>
    <cellStyle name="Normal 2 54 9 13" xfId="5598"/>
    <cellStyle name="Normal 2 54 9 13 2" xfId="23369"/>
    <cellStyle name="Normal 2 54 9 14" xfId="5599"/>
    <cellStyle name="Normal 2 54 9 14 2" xfId="23370"/>
    <cellStyle name="Normal 2 54 9 15" xfId="23365"/>
    <cellStyle name="Normal 2 54 9 2" xfId="5600"/>
    <cellStyle name="Normal 2 54 9 2 2" xfId="23371"/>
    <cellStyle name="Normal 2 54 9 3" xfId="5601"/>
    <cellStyle name="Normal 2 54 9 3 2" xfId="23372"/>
    <cellStyle name="Normal 2 54 9 4" xfId="5602"/>
    <cellStyle name="Normal 2 54 9 4 2" xfId="23373"/>
    <cellStyle name="Normal 2 54 9 5" xfId="5603"/>
    <cellStyle name="Normal 2 54 9 5 2" xfId="23374"/>
    <cellStyle name="Normal 2 54 9 6" xfId="5604"/>
    <cellStyle name="Normal 2 54 9 6 2" xfId="23375"/>
    <cellStyle name="Normal 2 54 9 7" xfId="5605"/>
    <cellStyle name="Normal 2 54 9 7 2" xfId="23376"/>
    <cellStyle name="Normal 2 54 9 8" xfId="5606"/>
    <cellStyle name="Normal 2 54 9 8 2" xfId="23377"/>
    <cellStyle name="Normal 2 54 9 9" xfId="5607"/>
    <cellStyle name="Normal 2 54 9 9 2" xfId="23378"/>
    <cellStyle name="Normal 2 55" xfId="5608"/>
    <cellStyle name="Normal 2 55 10" xfId="5609"/>
    <cellStyle name="Normal 2 55 10 10" xfId="5610"/>
    <cellStyle name="Normal 2 55 10 10 2" xfId="23381"/>
    <cellStyle name="Normal 2 55 10 11" xfId="5611"/>
    <cellStyle name="Normal 2 55 10 11 2" xfId="23382"/>
    <cellStyle name="Normal 2 55 10 12" xfId="5612"/>
    <cellStyle name="Normal 2 55 10 12 2" xfId="23383"/>
    <cellStyle name="Normal 2 55 10 13" xfId="5613"/>
    <cellStyle name="Normal 2 55 10 13 2" xfId="23384"/>
    <cellStyle name="Normal 2 55 10 14" xfId="5614"/>
    <cellStyle name="Normal 2 55 10 14 2" xfId="23385"/>
    <cellStyle name="Normal 2 55 10 15" xfId="23380"/>
    <cellStyle name="Normal 2 55 10 2" xfId="5615"/>
    <cellStyle name="Normal 2 55 10 2 2" xfId="23386"/>
    <cellStyle name="Normal 2 55 10 3" xfId="5616"/>
    <cellStyle name="Normal 2 55 10 3 2" xfId="23387"/>
    <cellStyle name="Normal 2 55 10 4" xfId="5617"/>
    <cellStyle name="Normal 2 55 10 4 2" xfId="23388"/>
    <cellStyle name="Normal 2 55 10 5" xfId="5618"/>
    <cellStyle name="Normal 2 55 10 5 2" xfId="23389"/>
    <cellStyle name="Normal 2 55 10 6" xfId="5619"/>
    <cellStyle name="Normal 2 55 10 6 2" xfId="23390"/>
    <cellStyle name="Normal 2 55 10 7" xfId="5620"/>
    <cellStyle name="Normal 2 55 10 7 2" xfId="23391"/>
    <cellStyle name="Normal 2 55 10 8" xfId="5621"/>
    <cellStyle name="Normal 2 55 10 8 2" xfId="23392"/>
    <cellStyle name="Normal 2 55 10 9" xfId="5622"/>
    <cellStyle name="Normal 2 55 10 9 2" xfId="23393"/>
    <cellStyle name="Normal 2 55 11" xfId="5623"/>
    <cellStyle name="Normal 2 55 11 2" xfId="23394"/>
    <cellStyle name="Normal 2 55 12" xfId="5624"/>
    <cellStyle name="Normal 2 55 12 2" xfId="23395"/>
    <cellStyle name="Normal 2 55 13" xfId="5625"/>
    <cellStyle name="Normal 2 55 13 2" xfId="23396"/>
    <cellStyle name="Normal 2 55 14" xfId="5626"/>
    <cellStyle name="Normal 2 55 14 2" xfId="23397"/>
    <cellStyle name="Normal 2 55 15" xfId="5627"/>
    <cellStyle name="Normal 2 55 15 2" xfId="23398"/>
    <cellStyle name="Normal 2 55 16" xfId="5628"/>
    <cellStyle name="Normal 2 55 16 2" xfId="23399"/>
    <cellStyle name="Normal 2 55 17" xfId="5629"/>
    <cellStyle name="Normal 2 55 17 2" xfId="23400"/>
    <cellStyle name="Normal 2 55 18" xfId="5630"/>
    <cellStyle name="Normal 2 55 18 2" xfId="23401"/>
    <cellStyle name="Normal 2 55 19" xfId="5631"/>
    <cellStyle name="Normal 2 55 19 2" xfId="23402"/>
    <cellStyle name="Normal 2 55 2" xfId="5632"/>
    <cellStyle name="Normal 2 55 2 10" xfId="5633"/>
    <cellStyle name="Normal 2 55 2 10 2" xfId="23404"/>
    <cellStyle name="Normal 2 55 2 11" xfId="5634"/>
    <cellStyle name="Normal 2 55 2 11 2" xfId="23405"/>
    <cellStyle name="Normal 2 55 2 12" xfId="5635"/>
    <cellStyle name="Normal 2 55 2 12 2" xfId="23406"/>
    <cellStyle name="Normal 2 55 2 13" xfId="5636"/>
    <cellStyle name="Normal 2 55 2 13 2" xfId="23407"/>
    <cellStyle name="Normal 2 55 2 14" xfId="5637"/>
    <cellStyle name="Normal 2 55 2 14 2" xfId="23408"/>
    <cellStyle name="Normal 2 55 2 15" xfId="5638"/>
    <cellStyle name="Normal 2 55 2 15 2" xfId="23409"/>
    <cellStyle name="Normal 2 55 2 16" xfId="23403"/>
    <cellStyle name="Normal 2 55 2 2" xfId="5639"/>
    <cellStyle name="Normal 2 55 2 2 10" xfId="5640"/>
    <cellStyle name="Normal 2 55 2 2 10 2" xfId="23411"/>
    <cellStyle name="Normal 2 55 2 2 11" xfId="5641"/>
    <cellStyle name="Normal 2 55 2 2 11 2" xfId="23412"/>
    <cellStyle name="Normal 2 55 2 2 12" xfId="5642"/>
    <cellStyle name="Normal 2 55 2 2 12 2" xfId="23413"/>
    <cellStyle name="Normal 2 55 2 2 13" xfId="5643"/>
    <cellStyle name="Normal 2 55 2 2 13 2" xfId="23414"/>
    <cellStyle name="Normal 2 55 2 2 14" xfId="5644"/>
    <cellStyle name="Normal 2 55 2 2 14 2" xfId="23415"/>
    <cellStyle name="Normal 2 55 2 2 15" xfId="23410"/>
    <cellStyle name="Normal 2 55 2 2 2" xfId="5645"/>
    <cellStyle name="Normal 2 55 2 2 2 2" xfId="23416"/>
    <cellStyle name="Normal 2 55 2 2 3" xfId="5646"/>
    <cellStyle name="Normal 2 55 2 2 3 2" xfId="23417"/>
    <cellStyle name="Normal 2 55 2 2 4" xfId="5647"/>
    <cellStyle name="Normal 2 55 2 2 4 2" xfId="23418"/>
    <cellStyle name="Normal 2 55 2 2 5" xfId="5648"/>
    <cellStyle name="Normal 2 55 2 2 5 2" xfId="23419"/>
    <cellStyle name="Normal 2 55 2 2 6" xfId="5649"/>
    <cellStyle name="Normal 2 55 2 2 6 2" xfId="23420"/>
    <cellStyle name="Normal 2 55 2 2 7" xfId="5650"/>
    <cellStyle name="Normal 2 55 2 2 7 2" xfId="23421"/>
    <cellStyle name="Normal 2 55 2 2 8" xfId="5651"/>
    <cellStyle name="Normal 2 55 2 2 8 2" xfId="23422"/>
    <cellStyle name="Normal 2 55 2 2 9" xfId="5652"/>
    <cellStyle name="Normal 2 55 2 2 9 2" xfId="23423"/>
    <cellStyle name="Normal 2 55 2 3" xfId="5653"/>
    <cellStyle name="Normal 2 55 2 3 2" xfId="23424"/>
    <cellStyle name="Normal 2 55 2 4" xfId="5654"/>
    <cellStyle name="Normal 2 55 2 4 2" xfId="23425"/>
    <cellStyle name="Normal 2 55 2 5" xfId="5655"/>
    <cellStyle name="Normal 2 55 2 5 2" xfId="23426"/>
    <cellStyle name="Normal 2 55 2 6" xfId="5656"/>
    <cellStyle name="Normal 2 55 2 6 2" xfId="23427"/>
    <cellStyle name="Normal 2 55 2 7" xfId="5657"/>
    <cellStyle name="Normal 2 55 2 7 2" xfId="23428"/>
    <cellStyle name="Normal 2 55 2 8" xfId="5658"/>
    <cellStyle name="Normal 2 55 2 8 2" xfId="23429"/>
    <cellStyle name="Normal 2 55 2 9" xfId="5659"/>
    <cellStyle name="Normal 2 55 2 9 2" xfId="23430"/>
    <cellStyle name="Normal 2 55 20" xfId="5660"/>
    <cellStyle name="Normal 2 55 20 2" xfId="23431"/>
    <cellStyle name="Normal 2 55 21" xfId="5661"/>
    <cellStyle name="Normal 2 55 21 2" xfId="23432"/>
    <cellStyle name="Normal 2 55 22" xfId="5662"/>
    <cellStyle name="Normal 2 55 22 2" xfId="23433"/>
    <cellStyle name="Normal 2 55 23" xfId="5663"/>
    <cellStyle name="Normal 2 55 23 2" xfId="23434"/>
    <cellStyle name="Normal 2 55 24" xfId="23379"/>
    <cellStyle name="Normal 2 55 3" xfId="5664"/>
    <cellStyle name="Normal 2 55 3 10" xfId="5665"/>
    <cellStyle name="Normal 2 55 3 10 2" xfId="23436"/>
    <cellStyle name="Normal 2 55 3 11" xfId="5666"/>
    <cellStyle name="Normal 2 55 3 11 2" xfId="23437"/>
    <cellStyle name="Normal 2 55 3 12" xfId="5667"/>
    <cellStyle name="Normal 2 55 3 12 2" xfId="23438"/>
    <cellStyle name="Normal 2 55 3 13" xfId="5668"/>
    <cellStyle name="Normal 2 55 3 13 2" xfId="23439"/>
    <cellStyle name="Normal 2 55 3 14" xfId="5669"/>
    <cellStyle name="Normal 2 55 3 14 2" xfId="23440"/>
    <cellStyle name="Normal 2 55 3 15" xfId="5670"/>
    <cellStyle name="Normal 2 55 3 15 2" xfId="23441"/>
    <cellStyle name="Normal 2 55 3 16" xfId="23435"/>
    <cellStyle name="Normal 2 55 3 2" xfId="5671"/>
    <cellStyle name="Normal 2 55 3 2 10" xfId="5672"/>
    <cellStyle name="Normal 2 55 3 2 10 2" xfId="23443"/>
    <cellStyle name="Normal 2 55 3 2 11" xfId="5673"/>
    <cellStyle name="Normal 2 55 3 2 11 2" xfId="23444"/>
    <cellStyle name="Normal 2 55 3 2 12" xfId="5674"/>
    <cellStyle name="Normal 2 55 3 2 12 2" xfId="23445"/>
    <cellStyle name="Normal 2 55 3 2 13" xfId="5675"/>
    <cellStyle name="Normal 2 55 3 2 13 2" xfId="23446"/>
    <cellStyle name="Normal 2 55 3 2 14" xfId="5676"/>
    <cellStyle name="Normal 2 55 3 2 14 2" xfId="23447"/>
    <cellStyle name="Normal 2 55 3 2 15" xfId="23442"/>
    <cellStyle name="Normal 2 55 3 2 2" xfId="5677"/>
    <cellStyle name="Normal 2 55 3 2 2 2" xfId="23448"/>
    <cellStyle name="Normal 2 55 3 2 3" xfId="5678"/>
    <cellStyle name="Normal 2 55 3 2 3 2" xfId="23449"/>
    <cellStyle name="Normal 2 55 3 2 4" xfId="5679"/>
    <cellStyle name="Normal 2 55 3 2 4 2" xfId="23450"/>
    <cellStyle name="Normal 2 55 3 2 5" xfId="5680"/>
    <cellStyle name="Normal 2 55 3 2 5 2" xfId="23451"/>
    <cellStyle name="Normal 2 55 3 2 6" xfId="5681"/>
    <cellStyle name="Normal 2 55 3 2 6 2" xfId="23452"/>
    <cellStyle name="Normal 2 55 3 2 7" xfId="5682"/>
    <cellStyle name="Normal 2 55 3 2 7 2" xfId="23453"/>
    <cellStyle name="Normal 2 55 3 2 8" xfId="5683"/>
    <cellStyle name="Normal 2 55 3 2 8 2" xfId="23454"/>
    <cellStyle name="Normal 2 55 3 2 9" xfId="5684"/>
    <cellStyle name="Normal 2 55 3 2 9 2" xfId="23455"/>
    <cellStyle name="Normal 2 55 3 3" xfId="5685"/>
    <cellStyle name="Normal 2 55 3 3 2" xfId="23456"/>
    <cellStyle name="Normal 2 55 3 4" xfId="5686"/>
    <cellStyle name="Normal 2 55 3 4 2" xfId="23457"/>
    <cellStyle name="Normal 2 55 3 5" xfId="5687"/>
    <cellStyle name="Normal 2 55 3 5 2" xfId="23458"/>
    <cellStyle name="Normal 2 55 3 6" xfId="5688"/>
    <cellStyle name="Normal 2 55 3 6 2" xfId="23459"/>
    <cellStyle name="Normal 2 55 3 7" xfId="5689"/>
    <cellStyle name="Normal 2 55 3 7 2" xfId="23460"/>
    <cellStyle name="Normal 2 55 3 8" xfId="5690"/>
    <cellStyle name="Normal 2 55 3 8 2" xfId="23461"/>
    <cellStyle name="Normal 2 55 3 9" xfId="5691"/>
    <cellStyle name="Normal 2 55 3 9 2" xfId="23462"/>
    <cellStyle name="Normal 2 55 4" xfId="5692"/>
    <cellStyle name="Normal 2 55 4 10" xfId="5693"/>
    <cellStyle name="Normal 2 55 4 10 2" xfId="23464"/>
    <cellStyle name="Normal 2 55 4 11" xfId="5694"/>
    <cellStyle name="Normal 2 55 4 11 2" xfId="23465"/>
    <cellStyle name="Normal 2 55 4 12" xfId="5695"/>
    <cellStyle name="Normal 2 55 4 12 2" xfId="23466"/>
    <cellStyle name="Normal 2 55 4 13" xfId="5696"/>
    <cellStyle name="Normal 2 55 4 13 2" xfId="23467"/>
    <cellStyle name="Normal 2 55 4 14" xfId="5697"/>
    <cellStyle name="Normal 2 55 4 14 2" xfId="23468"/>
    <cellStyle name="Normal 2 55 4 15" xfId="5698"/>
    <cellStyle name="Normal 2 55 4 15 2" xfId="23469"/>
    <cellStyle name="Normal 2 55 4 16" xfId="23463"/>
    <cellStyle name="Normal 2 55 4 2" xfId="5699"/>
    <cellStyle name="Normal 2 55 4 2 10" xfId="5700"/>
    <cellStyle name="Normal 2 55 4 2 10 2" xfId="23471"/>
    <cellStyle name="Normal 2 55 4 2 11" xfId="5701"/>
    <cellStyle name="Normal 2 55 4 2 11 2" xfId="23472"/>
    <cellStyle name="Normal 2 55 4 2 12" xfId="5702"/>
    <cellStyle name="Normal 2 55 4 2 12 2" xfId="23473"/>
    <cellStyle name="Normal 2 55 4 2 13" xfId="5703"/>
    <cellStyle name="Normal 2 55 4 2 13 2" xfId="23474"/>
    <cellStyle name="Normal 2 55 4 2 14" xfId="5704"/>
    <cellStyle name="Normal 2 55 4 2 14 2" xfId="23475"/>
    <cellStyle name="Normal 2 55 4 2 15" xfId="23470"/>
    <cellStyle name="Normal 2 55 4 2 2" xfId="5705"/>
    <cellStyle name="Normal 2 55 4 2 2 2" xfId="23476"/>
    <cellStyle name="Normal 2 55 4 2 3" xfId="5706"/>
    <cellStyle name="Normal 2 55 4 2 3 2" xfId="23477"/>
    <cellStyle name="Normal 2 55 4 2 4" xfId="5707"/>
    <cellStyle name="Normal 2 55 4 2 4 2" xfId="23478"/>
    <cellStyle name="Normal 2 55 4 2 5" xfId="5708"/>
    <cellStyle name="Normal 2 55 4 2 5 2" xfId="23479"/>
    <cellStyle name="Normal 2 55 4 2 6" xfId="5709"/>
    <cellStyle name="Normal 2 55 4 2 6 2" xfId="23480"/>
    <cellStyle name="Normal 2 55 4 2 7" xfId="5710"/>
    <cellStyle name="Normal 2 55 4 2 7 2" xfId="23481"/>
    <cellStyle name="Normal 2 55 4 2 8" xfId="5711"/>
    <cellStyle name="Normal 2 55 4 2 8 2" xfId="23482"/>
    <cellStyle name="Normal 2 55 4 2 9" xfId="5712"/>
    <cellStyle name="Normal 2 55 4 2 9 2" xfId="23483"/>
    <cellStyle name="Normal 2 55 4 3" xfId="5713"/>
    <cellStyle name="Normal 2 55 4 3 2" xfId="23484"/>
    <cellStyle name="Normal 2 55 4 4" xfId="5714"/>
    <cellStyle name="Normal 2 55 4 4 2" xfId="23485"/>
    <cellStyle name="Normal 2 55 4 5" xfId="5715"/>
    <cellStyle name="Normal 2 55 4 5 2" xfId="23486"/>
    <cellStyle name="Normal 2 55 4 6" xfId="5716"/>
    <cellStyle name="Normal 2 55 4 6 2" xfId="23487"/>
    <cellStyle name="Normal 2 55 4 7" xfId="5717"/>
    <cellStyle name="Normal 2 55 4 7 2" xfId="23488"/>
    <cellStyle name="Normal 2 55 4 8" xfId="5718"/>
    <cellStyle name="Normal 2 55 4 8 2" xfId="23489"/>
    <cellStyle name="Normal 2 55 4 9" xfId="5719"/>
    <cellStyle name="Normal 2 55 4 9 2" xfId="23490"/>
    <cellStyle name="Normal 2 55 5" xfId="5720"/>
    <cellStyle name="Normal 2 55 5 10" xfId="5721"/>
    <cellStyle name="Normal 2 55 5 10 2" xfId="23492"/>
    <cellStyle name="Normal 2 55 5 11" xfId="5722"/>
    <cellStyle name="Normal 2 55 5 11 2" xfId="23493"/>
    <cellStyle name="Normal 2 55 5 12" xfId="5723"/>
    <cellStyle name="Normal 2 55 5 12 2" xfId="23494"/>
    <cellStyle name="Normal 2 55 5 13" xfId="5724"/>
    <cellStyle name="Normal 2 55 5 13 2" xfId="23495"/>
    <cellStyle name="Normal 2 55 5 14" xfId="5725"/>
    <cellStyle name="Normal 2 55 5 14 2" xfId="23496"/>
    <cellStyle name="Normal 2 55 5 15" xfId="23491"/>
    <cellStyle name="Normal 2 55 5 2" xfId="5726"/>
    <cellStyle name="Normal 2 55 5 2 2" xfId="23497"/>
    <cellStyle name="Normal 2 55 5 3" xfId="5727"/>
    <cellStyle name="Normal 2 55 5 3 2" xfId="23498"/>
    <cellStyle name="Normal 2 55 5 4" xfId="5728"/>
    <cellStyle name="Normal 2 55 5 4 2" xfId="23499"/>
    <cellStyle name="Normal 2 55 5 5" xfId="5729"/>
    <cellStyle name="Normal 2 55 5 5 2" xfId="23500"/>
    <cellStyle name="Normal 2 55 5 6" xfId="5730"/>
    <cellStyle name="Normal 2 55 5 6 2" xfId="23501"/>
    <cellStyle name="Normal 2 55 5 7" xfId="5731"/>
    <cellStyle name="Normal 2 55 5 7 2" xfId="23502"/>
    <cellStyle name="Normal 2 55 5 8" xfId="5732"/>
    <cellStyle name="Normal 2 55 5 8 2" xfId="23503"/>
    <cellStyle name="Normal 2 55 5 9" xfId="5733"/>
    <cellStyle name="Normal 2 55 5 9 2" xfId="23504"/>
    <cellStyle name="Normal 2 55 6" xfId="5734"/>
    <cellStyle name="Normal 2 55 6 10" xfId="5735"/>
    <cellStyle name="Normal 2 55 6 10 2" xfId="23506"/>
    <cellStyle name="Normal 2 55 6 11" xfId="5736"/>
    <cellStyle name="Normal 2 55 6 11 2" xfId="23507"/>
    <cellStyle name="Normal 2 55 6 12" xfId="5737"/>
    <cellStyle name="Normal 2 55 6 12 2" xfId="23508"/>
    <cellStyle name="Normal 2 55 6 13" xfId="5738"/>
    <cellStyle name="Normal 2 55 6 13 2" xfId="23509"/>
    <cellStyle name="Normal 2 55 6 14" xfId="5739"/>
    <cellStyle name="Normal 2 55 6 14 2" xfId="23510"/>
    <cellStyle name="Normal 2 55 6 15" xfId="23505"/>
    <cellStyle name="Normal 2 55 6 2" xfId="5740"/>
    <cellStyle name="Normal 2 55 6 2 2" xfId="23511"/>
    <cellStyle name="Normal 2 55 6 3" xfId="5741"/>
    <cellStyle name="Normal 2 55 6 3 2" xfId="23512"/>
    <cellStyle name="Normal 2 55 6 4" xfId="5742"/>
    <cellStyle name="Normal 2 55 6 4 2" xfId="23513"/>
    <cellStyle name="Normal 2 55 6 5" xfId="5743"/>
    <cellStyle name="Normal 2 55 6 5 2" xfId="23514"/>
    <cellStyle name="Normal 2 55 6 6" xfId="5744"/>
    <cellStyle name="Normal 2 55 6 6 2" xfId="23515"/>
    <cellStyle name="Normal 2 55 6 7" xfId="5745"/>
    <cellStyle name="Normal 2 55 6 7 2" xfId="23516"/>
    <cellStyle name="Normal 2 55 6 8" xfId="5746"/>
    <cellStyle name="Normal 2 55 6 8 2" xfId="23517"/>
    <cellStyle name="Normal 2 55 6 9" xfId="5747"/>
    <cellStyle name="Normal 2 55 6 9 2" xfId="23518"/>
    <cellStyle name="Normal 2 55 7" xfId="5748"/>
    <cellStyle name="Normal 2 55 7 10" xfId="5749"/>
    <cellStyle name="Normal 2 55 7 10 2" xfId="23520"/>
    <cellStyle name="Normal 2 55 7 11" xfId="5750"/>
    <cellStyle name="Normal 2 55 7 11 2" xfId="23521"/>
    <cellStyle name="Normal 2 55 7 12" xfId="5751"/>
    <cellStyle name="Normal 2 55 7 12 2" xfId="23522"/>
    <cellStyle name="Normal 2 55 7 13" xfId="5752"/>
    <cellStyle name="Normal 2 55 7 13 2" xfId="23523"/>
    <cellStyle name="Normal 2 55 7 14" xfId="5753"/>
    <cellStyle name="Normal 2 55 7 14 2" xfId="23524"/>
    <cellStyle name="Normal 2 55 7 15" xfId="23519"/>
    <cellStyle name="Normal 2 55 7 2" xfId="5754"/>
    <cellStyle name="Normal 2 55 7 2 2" xfId="23525"/>
    <cellStyle name="Normal 2 55 7 3" xfId="5755"/>
    <cellStyle name="Normal 2 55 7 3 2" xfId="23526"/>
    <cellStyle name="Normal 2 55 7 4" xfId="5756"/>
    <cellStyle name="Normal 2 55 7 4 2" xfId="23527"/>
    <cellStyle name="Normal 2 55 7 5" xfId="5757"/>
    <cellStyle name="Normal 2 55 7 5 2" xfId="23528"/>
    <cellStyle name="Normal 2 55 7 6" xfId="5758"/>
    <cellStyle name="Normal 2 55 7 6 2" xfId="23529"/>
    <cellStyle name="Normal 2 55 7 7" xfId="5759"/>
    <cellStyle name="Normal 2 55 7 7 2" xfId="23530"/>
    <cellStyle name="Normal 2 55 7 8" xfId="5760"/>
    <cellStyle name="Normal 2 55 7 8 2" xfId="23531"/>
    <cellStyle name="Normal 2 55 7 9" xfId="5761"/>
    <cellStyle name="Normal 2 55 7 9 2" xfId="23532"/>
    <cellStyle name="Normal 2 55 8" xfId="5762"/>
    <cellStyle name="Normal 2 55 8 10" xfId="5763"/>
    <cellStyle name="Normal 2 55 8 10 2" xfId="23534"/>
    <cellStyle name="Normal 2 55 8 11" xfId="5764"/>
    <cellStyle name="Normal 2 55 8 11 2" xfId="23535"/>
    <cellStyle name="Normal 2 55 8 12" xfId="5765"/>
    <cellStyle name="Normal 2 55 8 12 2" xfId="23536"/>
    <cellStyle name="Normal 2 55 8 13" xfId="5766"/>
    <cellStyle name="Normal 2 55 8 13 2" xfId="23537"/>
    <cellStyle name="Normal 2 55 8 14" xfId="5767"/>
    <cellStyle name="Normal 2 55 8 14 2" xfId="23538"/>
    <cellStyle name="Normal 2 55 8 15" xfId="23533"/>
    <cellStyle name="Normal 2 55 8 2" xfId="5768"/>
    <cellStyle name="Normal 2 55 8 2 2" xfId="23539"/>
    <cellStyle name="Normal 2 55 8 3" xfId="5769"/>
    <cellStyle name="Normal 2 55 8 3 2" xfId="23540"/>
    <cellStyle name="Normal 2 55 8 4" xfId="5770"/>
    <cellStyle name="Normal 2 55 8 4 2" xfId="23541"/>
    <cellStyle name="Normal 2 55 8 5" xfId="5771"/>
    <cellStyle name="Normal 2 55 8 5 2" xfId="23542"/>
    <cellStyle name="Normal 2 55 8 6" xfId="5772"/>
    <cellStyle name="Normal 2 55 8 6 2" xfId="23543"/>
    <cellStyle name="Normal 2 55 8 7" xfId="5773"/>
    <cellStyle name="Normal 2 55 8 7 2" xfId="23544"/>
    <cellStyle name="Normal 2 55 8 8" xfId="5774"/>
    <cellStyle name="Normal 2 55 8 8 2" xfId="23545"/>
    <cellStyle name="Normal 2 55 8 9" xfId="5775"/>
    <cellStyle name="Normal 2 55 8 9 2" xfId="23546"/>
    <cellStyle name="Normal 2 55 9" xfId="5776"/>
    <cellStyle name="Normal 2 55 9 10" xfId="5777"/>
    <cellStyle name="Normal 2 55 9 10 2" xfId="23548"/>
    <cellStyle name="Normal 2 55 9 11" xfId="5778"/>
    <cellStyle name="Normal 2 55 9 11 2" xfId="23549"/>
    <cellStyle name="Normal 2 55 9 12" xfId="5779"/>
    <cellStyle name="Normal 2 55 9 12 2" xfId="23550"/>
    <cellStyle name="Normal 2 55 9 13" xfId="5780"/>
    <cellStyle name="Normal 2 55 9 13 2" xfId="23551"/>
    <cellStyle name="Normal 2 55 9 14" xfId="5781"/>
    <cellStyle name="Normal 2 55 9 14 2" xfId="23552"/>
    <cellStyle name="Normal 2 55 9 15" xfId="23547"/>
    <cellStyle name="Normal 2 55 9 2" xfId="5782"/>
    <cellStyle name="Normal 2 55 9 2 2" xfId="23553"/>
    <cellStyle name="Normal 2 55 9 3" xfId="5783"/>
    <cellStyle name="Normal 2 55 9 3 2" xfId="23554"/>
    <cellStyle name="Normal 2 55 9 4" xfId="5784"/>
    <cellStyle name="Normal 2 55 9 4 2" xfId="23555"/>
    <cellStyle name="Normal 2 55 9 5" xfId="5785"/>
    <cellStyle name="Normal 2 55 9 5 2" xfId="23556"/>
    <cellStyle name="Normal 2 55 9 6" xfId="5786"/>
    <cellStyle name="Normal 2 55 9 6 2" xfId="23557"/>
    <cellStyle name="Normal 2 55 9 7" xfId="5787"/>
    <cellStyle name="Normal 2 55 9 7 2" xfId="23558"/>
    <cellStyle name="Normal 2 55 9 8" xfId="5788"/>
    <cellStyle name="Normal 2 55 9 8 2" xfId="23559"/>
    <cellStyle name="Normal 2 55 9 9" xfId="5789"/>
    <cellStyle name="Normal 2 55 9 9 2" xfId="23560"/>
    <cellStyle name="Normal 2 56" xfId="5790"/>
    <cellStyle name="Normal 2 56 10" xfId="5791"/>
    <cellStyle name="Normal 2 56 10 10" xfId="5792"/>
    <cellStyle name="Normal 2 56 10 10 2" xfId="23563"/>
    <cellStyle name="Normal 2 56 10 11" xfId="5793"/>
    <cellStyle name="Normal 2 56 10 11 2" xfId="23564"/>
    <cellStyle name="Normal 2 56 10 12" xfId="5794"/>
    <cellStyle name="Normal 2 56 10 12 2" xfId="23565"/>
    <cellStyle name="Normal 2 56 10 13" xfId="5795"/>
    <cellStyle name="Normal 2 56 10 13 2" xfId="23566"/>
    <cellStyle name="Normal 2 56 10 14" xfId="5796"/>
    <cellStyle name="Normal 2 56 10 14 2" xfId="23567"/>
    <cellStyle name="Normal 2 56 10 15" xfId="23562"/>
    <cellStyle name="Normal 2 56 10 2" xfId="5797"/>
    <cellStyle name="Normal 2 56 10 2 2" xfId="23568"/>
    <cellStyle name="Normal 2 56 10 3" xfId="5798"/>
    <cellStyle name="Normal 2 56 10 3 2" xfId="23569"/>
    <cellStyle name="Normal 2 56 10 4" xfId="5799"/>
    <cellStyle name="Normal 2 56 10 4 2" xfId="23570"/>
    <cellStyle name="Normal 2 56 10 5" xfId="5800"/>
    <cellStyle name="Normal 2 56 10 5 2" xfId="23571"/>
    <cellStyle name="Normal 2 56 10 6" xfId="5801"/>
    <cellStyle name="Normal 2 56 10 6 2" xfId="23572"/>
    <cellStyle name="Normal 2 56 10 7" xfId="5802"/>
    <cellStyle name="Normal 2 56 10 7 2" xfId="23573"/>
    <cellStyle name="Normal 2 56 10 8" xfId="5803"/>
    <cellStyle name="Normal 2 56 10 8 2" xfId="23574"/>
    <cellStyle name="Normal 2 56 10 9" xfId="5804"/>
    <cellStyle name="Normal 2 56 10 9 2" xfId="23575"/>
    <cellStyle name="Normal 2 56 11" xfId="5805"/>
    <cellStyle name="Normal 2 56 11 2" xfId="23576"/>
    <cellStyle name="Normal 2 56 12" xfId="5806"/>
    <cellStyle name="Normal 2 56 12 2" xfId="23577"/>
    <cellStyle name="Normal 2 56 13" xfId="5807"/>
    <cellStyle name="Normal 2 56 13 2" xfId="23578"/>
    <cellStyle name="Normal 2 56 14" xfId="5808"/>
    <cellStyle name="Normal 2 56 14 2" xfId="23579"/>
    <cellStyle name="Normal 2 56 15" xfId="5809"/>
    <cellStyle name="Normal 2 56 15 2" xfId="23580"/>
    <cellStyle name="Normal 2 56 16" xfId="5810"/>
    <cellStyle name="Normal 2 56 16 2" xfId="23581"/>
    <cellStyle name="Normal 2 56 17" xfId="5811"/>
    <cellStyle name="Normal 2 56 17 2" xfId="23582"/>
    <cellStyle name="Normal 2 56 18" xfId="5812"/>
    <cellStyle name="Normal 2 56 18 2" xfId="23583"/>
    <cellStyle name="Normal 2 56 19" xfId="5813"/>
    <cellStyle name="Normal 2 56 19 2" xfId="23584"/>
    <cellStyle name="Normal 2 56 2" xfId="5814"/>
    <cellStyle name="Normal 2 56 2 10" xfId="5815"/>
    <cellStyle name="Normal 2 56 2 10 2" xfId="23586"/>
    <cellStyle name="Normal 2 56 2 11" xfId="5816"/>
    <cellStyle name="Normal 2 56 2 11 2" xfId="23587"/>
    <cellStyle name="Normal 2 56 2 12" xfId="5817"/>
    <cellStyle name="Normal 2 56 2 12 2" xfId="23588"/>
    <cellStyle name="Normal 2 56 2 13" xfId="5818"/>
    <cellStyle name="Normal 2 56 2 13 2" xfId="23589"/>
    <cellStyle name="Normal 2 56 2 14" xfId="5819"/>
    <cellStyle name="Normal 2 56 2 14 2" xfId="23590"/>
    <cellStyle name="Normal 2 56 2 15" xfId="5820"/>
    <cellStyle name="Normal 2 56 2 15 2" xfId="23591"/>
    <cellStyle name="Normal 2 56 2 16" xfId="23585"/>
    <cellStyle name="Normal 2 56 2 2" xfId="5821"/>
    <cellStyle name="Normal 2 56 2 2 10" xfId="5822"/>
    <cellStyle name="Normal 2 56 2 2 10 2" xfId="23593"/>
    <cellStyle name="Normal 2 56 2 2 11" xfId="5823"/>
    <cellStyle name="Normal 2 56 2 2 11 2" xfId="23594"/>
    <cellStyle name="Normal 2 56 2 2 12" xfId="5824"/>
    <cellStyle name="Normal 2 56 2 2 12 2" xfId="23595"/>
    <cellStyle name="Normal 2 56 2 2 13" xfId="5825"/>
    <cellStyle name="Normal 2 56 2 2 13 2" xfId="23596"/>
    <cellStyle name="Normal 2 56 2 2 14" xfId="5826"/>
    <cellStyle name="Normal 2 56 2 2 14 2" xfId="23597"/>
    <cellStyle name="Normal 2 56 2 2 15" xfId="23592"/>
    <cellStyle name="Normal 2 56 2 2 2" xfId="5827"/>
    <cellStyle name="Normal 2 56 2 2 2 2" xfId="23598"/>
    <cellStyle name="Normal 2 56 2 2 3" xfId="5828"/>
    <cellStyle name="Normal 2 56 2 2 3 2" xfId="23599"/>
    <cellStyle name="Normal 2 56 2 2 4" xfId="5829"/>
    <cellStyle name="Normal 2 56 2 2 4 2" xfId="23600"/>
    <cellStyle name="Normal 2 56 2 2 5" xfId="5830"/>
    <cellStyle name="Normal 2 56 2 2 5 2" xfId="23601"/>
    <cellStyle name="Normal 2 56 2 2 6" xfId="5831"/>
    <cellStyle name="Normal 2 56 2 2 6 2" xfId="23602"/>
    <cellStyle name="Normal 2 56 2 2 7" xfId="5832"/>
    <cellStyle name="Normal 2 56 2 2 7 2" xfId="23603"/>
    <cellStyle name="Normal 2 56 2 2 8" xfId="5833"/>
    <cellStyle name="Normal 2 56 2 2 8 2" xfId="23604"/>
    <cellStyle name="Normal 2 56 2 2 9" xfId="5834"/>
    <cellStyle name="Normal 2 56 2 2 9 2" xfId="23605"/>
    <cellStyle name="Normal 2 56 2 3" xfId="5835"/>
    <cellStyle name="Normal 2 56 2 3 2" xfId="23606"/>
    <cellStyle name="Normal 2 56 2 4" xfId="5836"/>
    <cellStyle name="Normal 2 56 2 4 2" xfId="23607"/>
    <cellStyle name="Normal 2 56 2 5" xfId="5837"/>
    <cellStyle name="Normal 2 56 2 5 2" xfId="23608"/>
    <cellStyle name="Normal 2 56 2 6" xfId="5838"/>
    <cellStyle name="Normal 2 56 2 6 2" xfId="23609"/>
    <cellStyle name="Normal 2 56 2 7" xfId="5839"/>
    <cellStyle name="Normal 2 56 2 7 2" xfId="23610"/>
    <cellStyle name="Normal 2 56 2 8" xfId="5840"/>
    <cellStyle name="Normal 2 56 2 8 2" xfId="23611"/>
    <cellStyle name="Normal 2 56 2 9" xfId="5841"/>
    <cellStyle name="Normal 2 56 2 9 2" xfId="23612"/>
    <cellStyle name="Normal 2 56 20" xfId="5842"/>
    <cellStyle name="Normal 2 56 20 2" xfId="23613"/>
    <cellStyle name="Normal 2 56 21" xfId="5843"/>
    <cellStyle name="Normal 2 56 21 2" xfId="23614"/>
    <cellStyle name="Normal 2 56 22" xfId="5844"/>
    <cellStyle name="Normal 2 56 22 2" xfId="23615"/>
    <cellStyle name="Normal 2 56 23" xfId="5845"/>
    <cellStyle name="Normal 2 56 23 2" xfId="23616"/>
    <cellStyle name="Normal 2 56 24" xfId="23561"/>
    <cellStyle name="Normal 2 56 3" xfId="5846"/>
    <cellStyle name="Normal 2 56 3 10" xfId="5847"/>
    <cellStyle name="Normal 2 56 3 10 2" xfId="23618"/>
    <cellStyle name="Normal 2 56 3 11" xfId="5848"/>
    <cellStyle name="Normal 2 56 3 11 2" xfId="23619"/>
    <cellStyle name="Normal 2 56 3 12" xfId="5849"/>
    <cellStyle name="Normal 2 56 3 12 2" xfId="23620"/>
    <cellStyle name="Normal 2 56 3 13" xfId="5850"/>
    <cellStyle name="Normal 2 56 3 13 2" xfId="23621"/>
    <cellStyle name="Normal 2 56 3 14" xfId="5851"/>
    <cellStyle name="Normal 2 56 3 14 2" xfId="23622"/>
    <cellStyle name="Normal 2 56 3 15" xfId="5852"/>
    <cellStyle name="Normal 2 56 3 15 2" xfId="23623"/>
    <cellStyle name="Normal 2 56 3 16" xfId="23617"/>
    <cellStyle name="Normal 2 56 3 2" xfId="5853"/>
    <cellStyle name="Normal 2 56 3 2 10" xfId="5854"/>
    <cellStyle name="Normal 2 56 3 2 10 2" xfId="23625"/>
    <cellStyle name="Normal 2 56 3 2 11" xfId="5855"/>
    <cellStyle name="Normal 2 56 3 2 11 2" xfId="23626"/>
    <cellStyle name="Normal 2 56 3 2 12" xfId="5856"/>
    <cellStyle name="Normal 2 56 3 2 12 2" xfId="23627"/>
    <cellStyle name="Normal 2 56 3 2 13" xfId="5857"/>
    <cellStyle name="Normal 2 56 3 2 13 2" xfId="23628"/>
    <cellStyle name="Normal 2 56 3 2 14" xfId="5858"/>
    <cellStyle name="Normal 2 56 3 2 14 2" xfId="23629"/>
    <cellStyle name="Normal 2 56 3 2 15" xfId="23624"/>
    <cellStyle name="Normal 2 56 3 2 2" xfId="5859"/>
    <cellStyle name="Normal 2 56 3 2 2 2" xfId="23630"/>
    <cellStyle name="Normal 2 56 3 2 3" xfId="5860"/>
    <cellStyle name="Normal 2 56 3 2 3 2" xfId="23631"/>
    <cellStyle name="Normal 2 56 3 2 4" xfId="5861"/>
    <cellStyle name="Normal 2 56 3 2 4 2" xfId="23632"/>
    <cellStyle name="Normal 2 56 3 2 5" xfId="5862"/>
    <cellStyle name="Normal 2 56 3 2 5 2" xfId="23633"/>
    <cellStyle name="Normal 2 56 3 2 6" xfId="5863"/>
    <cellStyle name="Normal 2 56 3 2 6 2" xfId="23634"/>
    <cellStyle name="Normal 2 56 3 2 7" xfId="5864"/>
    <cellStyle name="Normal 2 56 3 2 7 2" xfId="23635"/>
    <cellStyle name="Normal 2 56 3 2 8" xfId="5865"/>
    <cellStyle name="Normal 2 56 3 2 8 2" xfId="23636"/>
    <cellStyle name="Normal 2 56 3 2 9" xfId="5866"/>
    <cellStyle name="Normal 2 56 3 2 9 2" xfId="23637"/>
    <cellStyle name="Normal 2 56 3 3" xfId="5867"/>
    <cellStyle name="Normal 2 56 3 3 2" xfId="23638"/>
    <cellStyle name="Normal 2 56 3 4" xfId="5868"/>
    <cellStyle name="Normal 2 56 3 4 2" xfId="23639"/>
    <cellStyle name="Normal 2 56 3 5" xfId="5869"/>
    <cellStyle name="Normal 2 56 3 5 2" xfId="23640"/>
    <cellStyle name="Normal 2 56 3 6" xfId="5870"/>
    <cellStyle name="Normal 2 56 3 6 2" xfId="23641"/>
    <cellStyle name="Normal 2 56 3 7" xfId="5871"/>
    <cellStyle name="Normal 2 56 3 7 2" xfId="23642"/>
    <cellStyle name="Normal 2 56 3 8" xfId="5872"/>
    <cellStyle name="Normal 2 56 3 8 2" xfId="23643"/>
    <cellStyle name="Normal 2 56 3 9" xfId="5873"/>
    <cellStyle name="Normal 2 56 3 9 2" xfId="23644"/>
    <cellStyle name="Normal 2 56 4" xfId="5874"/>
    <cellStyle name="Normal 2 56 4 10" xfId="5875"/>
    <cellStyle name="Normal 2 56 4 10 2" xfId="23646"/>
    <cellStyle name="Normal 2 56 4 11" xfId="5876"/>
    <cellStyle name="Normal 2 56 4 11 2" xfId="23647"/>
    <cellStyle name="Normal 2 56 4 12" xfId="5877"/>
    <cellStyle name="Normal 2 56 4 12 2" xfId="23648"/>
    <cellStyle name="Normal 2 56 4 13" xfId="5878"/>
    <cellStyle name="Normal 2 56 4 13 2" xfId="23649"/>
    <cellStyle name="Normal 2 56 4 14" xfId="5879"/>
    <cellStyle name="Normal 2 56 4 14 2" xfId="23650"/>
    <cellStyle name="Normal 2 56 4 15" xfId="5880"/>
    <cellStyle name="Normal 2 56 4 15 2" xfId="23651"/>
    <cellStyle name="Normal 2 56 4 16" xfId="23645"/>
    <cellStyle name="Normal 2 56 4 2" xfId="5881"/>
    <cellStyle name="Normal 2 56 4 2 10" xfId="5882"/>
    <cellStyle name="Normal 2 56 4 2 10 2" xfId="23653"/>
    <cellStyle name="Normal 2 56 4 2 11" xfId="5883"/>
    <cellStyle name="Normal 2 56 4 2 11 2" xfId="23654"/>
    <cellStyle name="Normal 2 56 4 2 12" xfId="5884"/>
    <cellStyle name="Normal 2 56 4 2 12 2" xfId="23655"/>
    <cellStyle name="Normal 2 56 4 2 13" xfId="5885"/>
    <cellStyle name="Normal 2 56 4 2 13 2" xfId="23656"/>
    <cellStyle name="Normal 2 56 4 2 14" xfId="5886"/>
    <cellStyle name="Normal 2 56 4 2 14 2" xfId="23657"/>
    <cellStyle name="Normal 2 56 4 2 15" xfId="23652"/>
    <cellStyle name="Normal 2 56 4 2 2" xfId="5887"/>
    <cellStyle name="Normal 2 56 4 2 2 2" xfId="23658"/>
    <cellStyle name="Normal 2 56 4 2 3" xfId="5888"/>
    <cellStyle name="Normal 2 56 4 2 3 2" xfId="23659"/>
    <cellStyle name="Normal 2 56 4 2 4" xfId="5889"/>
    <cellStyle name="Normal 2 56 4 2 4 2" xfId="23660"/>
    <cellStyle name="Normal 2 56 4 2 5" xfId="5890"/>
    <cellStyle name="Normal 2 56 4 2 5 2" xfId="23661"/>
    <cellStyle name="Normal 2 56 4 2 6" xfId="5891"/>
    <cellStyle name="Normal 2 56 4 2 6 2" xfId="23662"/>
    <cellStyle name="Normal 2 56 4 2 7" xfId="5892"/>
    <cellStyle name="Normal 2 56 4 2 7 2" xfId="23663"/>
    <cellStyle name="Normal 2 56 4 2 8" xfId="5893"/>
    <cellStyle name="Normal 2 56 4 2 8 2" xfId="23664"/>
    <cellStyle name="Normal 2 56 4 2 9" xfId="5894"/>
    <cellStyle name="Normal 2 56 4 2 9 2" xfId="23665"/>
    <cellStyle name="Normal 2 56 4 3" xfId="5895"/>
    <cellStyle name="Normal 2 56 4 3 2" xfId="23666"/>
    <cellStyle name="Normal 2 56 4 4" xfId="5896"/>
    <cellStyle name="Normal 2 56 4 4 2" xfId="23667"/>
    <cellStyle name="Normal 2 56 4 5" xfId="5897"/>
    <cellStyle name="Normal 2 56 4 5 2" xfId="23668"/>
    <cellStyle name="Normal 2 56 4 6" xfId="5898"/>
    <cellStyle name="Normal 2 56 4 6 2" xfId="23669"/>
    <cellStyle name="Normal 2 56 4 7" xfId="5899"/>
    <cellStyle name="Normal 2 56 4 7 2" xfId="23670"/>
    <cellStyle name="Normal 2 56 4 8" xfId="5900"/>
    <cellStyle name="Normal 2 56 4 8 2" xfId="23671"/>
    <cellStyle name="Normal 2 56 4 9" xfId="5901"/>
    <cellStyle name="Normal 2 56 4 9 2" xfId="23672"/>
    <cellStyle name="Normal 2 56 5" xfId="5902"/>
    <cellStyle name="Normal 2 56 5 10" xfId="5903"/>
    <cellStyle name="Normal 2 56 5 10 2" xfId="23674"/>
    <cellStyle name="Normal 2 56 5 11" xfId="5904"/>
    <cellStyle name="Normal 2 56 5 11 2" xfId="23675"/>
    <cellStyle name="Normal 2 56 5 12" xfId="5905"/>
    <cellStyle name="Normal 2 56 5 12 2" xfId="23676"/>
    <cellStyle name="Normal 2 56 5 13" xfId="5906"/>
    <cellStyle name="Normal 2 56 5 13 2" xfId="23677"/>
    <cellStyle name="Normal 2 56 5 14" xfId="5907"/>
    <cellStyle name="Normal 2 56 5 14 2" xfId="23678"/>
    <cellStyle name="Normal 2 56 5 15" xfId="23673"/>
    <cellStyle name="Normal 2 56 5 2" xfId="5908"/>
    <cellStyle name="Normal 2 56 5 2 2" xfId="23679"/>
    <cellStyle name="Normal 2 56 5 3" xfId="5909"/>
    <cellStyle name="Normal 2 56 5 3 2" xfId="23680"/>
    <cellStyle name="Normal 2 56 5 4" xfId="5910"/>
    <cellStyle name="Normal 2 56 5 4 2" xfId="23681"/>
    <cellStyle name="Normal 2 56 5 5" xfId="5911"/>
    <cellStyle name="Normal 2 56 5 5 2" xfId="23682"/>
    <cellStyle name="Normal 2 56 5 6" xfId="5912"/>
    <cellStyle name="Normal 2 56 5 6 2" xfId="23683"/>
    <cellStyle name="Normal 2 56 5 7" xfId="5913"/>
    <cellStyle name="Normal 2 56 5 7 2" xfId="23684"/>
    <cellStyle name="Normal 2 56 5 8" xfId="5914"/>
    <cellStyle name="Normal 2 56 5 8 2" xfId="23685"/>
    <cellStyle name="Normal 2 56 5 9" xfId="5915"/>
    <cellStyle name="Normal 2 56 5 9 2" xfId="23686"/>
    <cellStyle name="Normal 2 56 6" xfId="5916"/>
    <cellStyle name="Normal 2 56 6 10" xfId="5917"/>
    <cellStyle name="Normal 2 56 6 10 2" xfId="23688"/>
    <cellStyle name="Normal 2 56 6 11" xfId="5918"/>
    <cellStyle name="Normal 2 56 6 11 2" xfId="23689"/>
    <cellStyle name="Normal 2 56 6 12" xfId="5919"/>
    <cellStyle name="Normal 2 56 6 12 2" xfId="23690"/>
    <cellStyle name="Normal 2 56 6 13" xfId="5920"/>
    <cellStyle name="Normal 2 56 6 13 2" xfId="23691"/>
    <cellStyle name="Normal 2 56 6 14" xfId="5921"/>
    <cellStyle name="Normal 2 56 6 14 2" xfId="23692"/>
    <cellStyle name="Normal 2 56 6 15" xfId="23687"/>
    <cellStyle name="Normal 2 56 6 2" xfId="5922"/>
    <cellStyle name="Normal 2 56 6 2 2" xfId="23693"/>
    <cellStyle name="Normal 2 56 6 3" xfId="5923"/>
    <cellStyle name="Normal 2 56 6 3 2" xfId="23694"/>
    <cellStyle name="Normal 2 56 6 4" xfId="5924"/>
    <cellStyle name="Normal 2 56 6 4 2" xfId="23695"/>
    <cellStyle name="Normal 2 56 6 5" xfId="5925"/>
    <cellStyle name="Normal 2 56 6 5 2" xfId="23696"/>
    <cellStyle name="Normal 2 56 6 6" xfId="5926"/>
    <cellStyle name="Normal 2 56 6 6 2" xfId="23697"/>
    <cellStyle name="Normal 2 56 6 7" xfId="5927"/>
    <cellStyle name="Normal 2 56 6 7 2" xfId="23698"/>
    <cellStyle name="Normal 2 56 6 8" xfId="5928"/>
    <cellStyle name="Normal 2 56 6 8 2" xfId="23699"/>
    <cellStyle name="Normal 2 56 6 9" xfId="5929"/>
    <cellStyle name="Normal 2 56 6 9 2" xfId="23700"/>
    <cellStyle name="Normal 2 56 7" xfId="5930"/>
    <cellStyle name="Normal 2 56 7 10" xfId="5931"/>
    <cellStyle name="Normal 2 56 7 10 2" xfId="23702"/>
    <cellStyle name="Normal 2 56 7 11" xfId="5932"/>
    <cellStyle name="Normal 2 56 7 11 2" xfId="23703"/>
    <cellStyle name="Normal 2 56 7 12" xfId="5933"/>
    <cellStyle name="Normal 2 56 7 12 2" xfId="23704"/>
    <cellStyle name="Normal 2 56 7 13" xfId="5934"/>
    <cellStyle name="Normal 2 56 7 13 2" xfId="23705"/>
    <cellStyle name="Normal 2 56 7 14" xfId="5935"/>
    <cellStyle name="Normal 2 56 7 14 2" xfId="23706"/>
    <cellStyle name="Normal 2 56 7 15" xfId="23701"/>
    <cellStyle name="Normal 2 56 7 2" xfId="5936"/>
    <cellStyle name="Normal 2 56 7 2 2" xfId="23707"/>
    <cellStyle name="Normal 2 56 7 3" xfId="5937"/>
    <cellStyle name="Normal 2 56 7 3 2" xfId="23708"/>
    <cellStyle name="Normal 2 56 7 4" xfId="5938"/>
    <cellStyle name="Normal 2 56 7 4 2" xfId="23709"/>
    <cellStyle name="Normal 2 56 7 5" xfId="5939"/>
    <cellStyle name="Normal 2 56 7 5 2" xfId="23710"/>
    <cellStyle name="Normal 2 56 7 6" xfId="5940"/>
    <cellStyle name="Normal 2 56 7 6 2" xfId="23711"/>
    <cellStyle name="Normal 2 56 7 7" xfId="5941"/>
    <cellStyle name="Normal 2 56 7 7 2" xfId="23712"/>
    <cellStyle name="Normal 2 56 7 8" xfId="5942"/>
    <cellStyle name="Normal 2 56 7 8 2" xfId="23713"/>
    <cellStyle name="Normal 2 56 7 9" xfId="5943"/>
    <cellStyle name="Normal 2 56 7 9 2" xfId="23714"/>
    <cellStyle name="Normal 2 56 8" xfId="5944"/>
    <cellStyle name="Normal 2 56 8 10" xfId="5945"/>
    <cellStyle name="Normal 2 56 8 10 2" xfId="23716"/>
    <cellStyle name="Normal 2 56 8 11" xfId="5946"/>
    <cellStyle name="Normal 2 56 8 11 2" xfId="23717"/>
    <cellStyle name="Normal 2 56 8 12" xfId="5947"/>
    <cellStyle name="Normal 2 56 8 12 2" xfId="23718"/>
    <cellStyle name="Normal 2 56 8 13" xfId="5948"/>
    <cellStyle name="Normal 2 56 8 13 2" xfId="23719"/>
    <cellStyle name="Normal 2 56 8 14" xfId="5949"/>
    <cellStyle name="Normal 2 56 8 14 2" xfId="23720"/>
    <cellStyle name="Normal 2 56 8 15" xfId="23715"/>
    <cellStyle name="Normal 2 56 8 2" xfId="5950"/>
    <cellStyle name="Normal 2 56 8 2 2" xfId="23721"/>
    <cellStyle name="Normal 2 56 8 3" xfId="5951"/>
    <cellStyle name="Normal 2 56 8 3 2" xfId="23722"/>
    <cellStyle name="Normal 2 56 8 4" xfId="5952"/>
    <cellStyle name="Normal 2 56 8 4 2" xfId="23723"/>
    <cellStyle name="Normal 2 56 8 5" xfId="5953"/>
    <cellStyle name="Normal 2 56 8 5 2" xfId="23724"/>
    <cellStyle name="Normal 2 56 8 6" xfId="5954"/>
    <cellStyle name="Normal 2 56 8 6 2" xfId="23725"/>
    <cellStyle name="Normal 2 56 8 7" xfId="5955"/>
    <cellStyle name="Normal 2 56 8 7 2" xfId="23726"/>
    <cellStyle name="Normal 2 56 8 8" xfId="5956"/>
    <cellStyle name="Normal 2 56 8 8 2" xfId="23727"/>
    <cellStyle name="Normal 2 56 8 9" xfId="5957"/>
    <cellStyle name="Normal 2 56 8 9 2" xfId="23728"/>
    <cellStyle name="Normal 2 56 9" xfId="5958"/>
    <cellStyle name="Normal 2 56 9 10" xfId="5959"/>
    <cellStyle name="Normal 2 56 9 10 2" xfId="23730"/>
    <cellStyle name="Normal 2 56 9 11" xfId="5960"/>
    <cellStyle name="Normal 2 56 9 11 2" xfId="23731"/>
    <cellStyle name="Normal 2 56 9 12" xfId="5961"/>
    <cellStyle name="Normal 2 56 9 12 2" xfId="23732"/>
    <cellStyle name="Normal 2 56 9 13" xfId="5962"/>
    <cellStyle name="Normal 2 56 9 13 2" xfId="23733"/>
    <cellStyle name="Normal 2 56 9 14" xfId="5963"/>
    <cellStyle name="Normal 2 56 9 14 2" xfId="23734"/>
    <cellStyle name="Normal 2 56 9 15" xfId="23729"/>
    <cellStyle name="Normal 2 56 9 2" xfId="5964"/>
    <cellStyle name="Normal 2 56 9 2 2" xfId="23735"/>
    <cellStyle name="Normal 2 56 9 3" xfId="5965"/>
    <cellStyle name="Normal 2 56 9 3 2" xfId="23736"/>
    <cellStyle name="Normal 2 56 9 4" xfId="5966"/>
    <cellStyle name="Normal 2 56 9 4 2" xfId="23737"/>
    <cellStyle name="Normal 2 56 9 5" xfId="5967"/>
    <cellStyle name="Normal 2 56 9 5 2" xfId="23738"/>
    <cellStyle name="Normal 2 56 9 6" xfId="5968"/>
    <cellStyle name="Normal 2 56 9 6 2" xfId="23739"/>
    <cellStyle name="Normal 2 56 9 7" xfId="5969"/>
    <cellStyle name="Normal 2 56 9 7 2" xfId="23740"/>
    <cellStyle name="Normal 2 56 9 8" xfId="5970"/>
    <cellStyle name="Normal 2 56 9 8 2" xfId="23741"/>
    <cellStyle name="Normal 2 56 9 9" xfId="5971"/>
    <cellStyle name="Normal 2 56 9 9 2" xfId="23742"/>
    <cellStyle name="Normal 2 57" xfId="5972"/>
    <cellStyle name="Normal 2 57 10" xfId="5973"/>
    <cellStyle name="Normal 2 57 10 10" xfId="5974"/>
    <cellStyle name="Normal 2 57 10 10 2" xfId="23745"/>
    <cellStyle name="Normal 2 57 10 11" xfId="5975"/>
    <cellStyle name="Normal 2 57 10 11 2" xfId="23746"/>
    <cellStyle name="Normal 2 57 10 12" xfId="5976"/>
    <cellStyle name="Normal 2 57 10 12 2" xfId="23747"/>
    <cellStyle name="Normal 2 57 10 13" xfId="5977"/>
    <cellStyle name="Normal 2 57 10 13 2" xfId="23748"/>
    <cellStyle name="Normal 2 57 10 14" xfId="5978"/>
    <cellStyle name="Normal 2 57 10 14 2" xfId="23749"/>
    <cellStyle name="Normal 2 57 10 15" xfId="23744"/>
    <cellStyle name="Normal 2 57 10 2" xfId="5979"/>
    <cellStyle name="Normal 2 57 10 2 2" xfId="23750"/>
    <cellStyle name="Normal 2 57 10 3" xfId="5980"/>
    <cellStyle name="Normal 2 57 10 3 2" xfId="23751"/>
    <cellStyle name="Normal 2 57 10 4" xfId="5981"/>
    <cellStyle name="Normal 2 57 10 4 2" xfId="23752"/>
    <cellStyle name="Normal 2 57 10 5" xfId="5982"/>
    <cellStyle name="Normal 2 57 10 5 2" xfId="23753"/>
    <cellStyle name="Normal 2 57 10 6" xfId="5983"/>
    <cellStyle name="Normal 2 57 10 6 2" xfId="23754"/>
    <cellStyle name="Normal 2 57 10 7" xfId="5984"/>
    <cellStyle name="Normal 2 57 10 7 2" xfId="23755"/>
    <cellStyle name="Normal 2 57 10 8" xfId="5985"/>
    <cellStyle name="Normal 2 57 10 8 2" xfId="23756"/>
    <cellStyle name="Normal 2 57 10 9" xfId="5986"/>
    <cellStyle name="Normal 2 57 10 9 2" xfId="23757"/>
    <cellStyle name="Normal 2 57 11" xfId="5987"/>
    <cellStyle name="Normal 2 57 11 2" xfId="23758"/>
    <cellStyle name="Normal 2 57 12" xfId="5988"/>
    <cellStyle name="Normal 2 57 12 2" xfId="23759"/>
    <cellStyle name="Normal 2 57 13" xfId="5989"/>
    <cellStyle name="Normal 2 57 13 2" xfId="23760"/>
    <cellStyle name="Normal 2 57 14" xfId="5990"/>
    <cellStyle name="Normal 2 57 14 2" xfId="23761"/>
    <cellStyle name="Normal 2 57 15" xfId="5991"/>
    <cellStyle name="Normal 2 57 15 2" xfId="23762"/>
    <cellStyle name="Normal 2 57 16" xfId="5992"/>
    <cellStyle name="Normal 2 57 16 2" xfId="23763"/>
    <cellStyle name="Normal 2 57 17" xfId="5993"/>
    <cellStyle name="Normal 2 57 17 2" xfId="23764"/>
    <cellStyle name="Normal 2 57 18" xfId="5994"/>
    <cellStyle name="Normal 2 57 18 2" xfId="23765"/>
    <cellStyle name="Normal 2 57 19" xfId="5995"/>
    <cellStyle name="Normal 2 57 19 2" xfId="23766"/>
    <cellStyle name="Normal 2 57 2" xfId="5996"/>
    <cellStyle name="Normal 2 57 2 10" xfId="5997"/>
    <cellStyle name="Normal 2 57 2 10 2" xfId="23768"/>
    <cellStyle name="Normal 2 57 2 11" xfId="5998"/>
    <cellStyle name="Normal 2 57 2 11 2" xfId="23769"/>
    <cellStyle name="Normal 2 57 2 12" xfId="5999"/>
    <cellStyle name="Normal 2 57 2 12 2" xfId="23770"/>
    <cellStyle name="Normal 2 57 2 13" xfId="6000"/>
    <cellStyle name="Normal 2 57 2 13 2" xfId="23771"/>
    <cellStyle name="Normal 2 57 2 14" xfId="6001"/>
    <cellStyle name="Normal 2 57 2 14 2" xfId="23772"/>
    <cellStyle name="Normal 2 57 2 15" xfId="6002"/>
    <cellStyle name="Normal 2 57 2 15 2" xfId="23773"/>
    <cellStyle name="Normal 2 57 2 16" xfId="23767"/>
    <cellStyle name="Normal 2 57 2 2" xfId="6003"/>
    <cellStyle name="Normal 2 57 2 2 10" xfId="6004"/>
    <cellStyle name="Normal 2 57 2 2 10 2" xfId="23775"/>
    <cellStyle name="Normal 2 57 2 2 11" xfId="6005"/>
    <cellStyle name="Normal 2 57 2 2 11 2" xfId="23776"/>
    <cellStyle name="Normal 2 57 2 2 12" xfId="6006"/>
    <cellStyle name="Normal 2 57 2 2 12 2" xfId="23777"/>
    <cellStyle name="Normal 2 57 2 2 13" xfId="6007"/>
    <cellStyle name="Normal 2 57 2 2 13 2" xfId="23778"/>
    <cellStyle name="Normal 2 57 2 2 14" xfId="6008"/>
    <cellStyle name="Normal 2 57 2 2 14 2" xfId="23779"/>
    <cellStyle name="Normal 2 57 2 2 15" xfId="23774"/>
    <cellStyle name="Normal 2 57 2 2 2" xfId="6009"/>
    <cellStyle name="Normal 2 57 2 2 2 2" xfId="23780"/>
    <cellStyle name="Normal 2 57 2 2 3" xfId="6010"/>
    <cellStyle name="Normal 2 57 2 2 3 2" xfId="23781"/>
    <cellStyle name="Normal 2 57 2 2 4" xfId="6011"/>
    <cellStyle name="Normal 2 57 2 2 4 2" xfId="23782"/>
    <cellStyle name="Normal 2 57 2 2 5" xfId="6012"/>
    <cellStyle name="Normal 2 57 2 2 5 2" xfId="23783"/>
    <cellStyle name="Normal 2 57 2 2 6" xfId="6013"/>
    <cellStyle name="Normal 2 57 2 2 6 2" xfId="23784"/>
    <cellStyle name="Normal 2 57 2 2 7" xfId="6014"/>
    <cellStyle name="Normal 2 57 2 2 7 2" xfId="23785"/>
    <cellStyle name="Normal 2 57 2 2 8" xfId="6015"/>
    <cellStyle name="Normal 2 57 2 2 8 2" xfId="23786"/>
    <cellStyle name="Normal 2 57 2 2 9" xfId="6016"/>
    <cellStyle name="Normal 2 57 2 2 9 2" xfId="23787"/>
    <cellStyle name="Normal 2 57 2 3" xfId="6017"/>
    <cellStyle name="Normal 2 57 2 3 2" xfId="23788"/>
    <cellStyle name="Normal 2 57 2 4" xfId="6018"/>
    <cellStyle name="Normal 2 57 2 4 2" xfId="23789"/>
    <cellStyle name="Normal 2 57 2 5" xfId="6019"/>
    <cellStyle name="Normal 2 57 2 5 2" xfId="23790"/>
    <cellStyle name="Normal 2 57 2 6" xfId="6020"/>
    <cellStyle name="Normal 2 57 2 6 2" xfId="23791"/>
    <cellStyle name="Normal 2 57 2 7" xfId="6021"/>
    <cellStyle name="Normal 2 57 2 7 2" xfId="23792"/>
    <cellStyle name="Normal 2 57 2 8" xfId="6022"/>
    <cellStyle name="Normal 2 57 2 8 2" xfId="23793"/>
    <cellStyle name="Normal 2 57 2 9" xfId="6023"/>
    <cellStyle name="Normal 2 57 2 9 2" xfId="23794"/>
    <cellStyle name="Normal 2 57 20" xfId="6024"/>
    <cellStyle name="Normal 2 57 20 2" xfId="23795"/>
    <cellStyle name="Normal 2 57 21" xfId="6025"/>
    <cellStyle name="Normal 2 57 21 2" xfId="23796"/>
    <cellStyle name="Normal 2 57 22" xfId="6026"/>
    <cellStyle name="Normal 2 57 22 2" xfId="23797"/>
    <cellStyle name="Normal 2 57 23" xfId="6027"/>
    <cellStyle name="Normal 2 57 23 2" xfId="23798"/>
    <cellStyle name="Normal 2 57 24" xfId="23743"/>
    <cellStyle name="Normal 2 57 3" xfId="6028"/>
    <cellStyle name="Normal 2 57 3 10" xfId="6029"/>
    <cellStyle name="Normal 2 57 3 10 2" xfId="23800"/>
    <cellStyle name="Normal 2 57 3 11" xfId="6030"/>
    <cellStyle name="Normal 2 57 3 11 2" xfId="23801"/>
    <cellStyle name="Normal 2 57 3 12" xfId="6031"/>
    <cellStyle name="Normal 2 57 3 12 2" xfId="23802"/>
    <cellStyle name="Normal 2 57 3 13" xfId="6032"/>
    <cellStyle name="Normal 2 57 3 13 2" xfId="23803"/>
    <cellStyle name="Normal 2 57 3 14" xfId="6033"/>
    <cellStyle name="Normal 2 57 3 14 2" xfId="23804"/>
    <cellStyle name="Normal 2 57 3 15" xfId="6034"/>
    <cellStyle name="Normal 2 57 3 15 2" xfId="23805"/>
    <cellStyle name="Normal 2 57 3 16" xfId="23799"/>
    <cellStyle name="Normal 2 57 3 2" xfId="6035"/>
    <cellStyle name="Normal 2 57 3 2 10" xfId="6036"/>
    <cellStyle name="Normal 2 57 3 2 10 2" xfId="23807"/>
    <cellStyle name="Normal 2 57 3 2 11" xfId="6037"/>
    <cellStyle name="Normal 2 57 3 2 11 2" xfId="23808"/>
    <cellStyle name="Normal 2 57 3 2 12" xfId="6038"/>
    <cellStyle name="Normal 2 57 3 2 12 2" xfId="23809"/>
    <cellStyle name="Normal 2 57 3 2 13" xfId="6039"/>
    <cellStyle name="Normal 2 57 3 2 13 2" xfId="23810"/>
    <cellStyle name="Normal 2 57 3 2 14" xfId="6040"/>
    <cellStyle name="Normal 2 57 3 2 14 2" xfId="23811"/>
    <cellStyle name="Normal 2 57 3 2 15" xfId="23806"/>
    <cellStyle name="Normal 2 57 3 2 2" xfId="6041"/>
    <cellStyle name="Normal 2 57 3 2 2 2" xfId="23812"/>
    <cellStyle name="Normal 2 57 3 2 3" xfId="6042"/>
    <cellStyle name="Normal 2 57 3 2 3 2" xfId="23813"/>
    <cellStyle name="Normal 2 57 3 2 4" xfId="6043"/>
    <cellStyle name="Normal 2 57 3 2 4 2" xfId="23814"/>
    <cellStyle name="Normal 2 57 3 2 5" xfId="6044"/>
    <cellStyle name="Normal 2 57 3 2 5 2" xfId="23815"/>
    <cellStyle name="Normal 2 57 3 2 6" xfId="6045"/>
    <cellStyle name="Normal 2 57 3 2 6 2" xfId="23816"/>
    <cellStyle name="Normal 2 57 3 2 7" xfId="6046"/>
    <cellStyle name="Normal 2 57 3 2 7 2" xfId="23817"/>
    <cellStyle name="Normal 2 57 3 2 8" xfId="6047"/>
    <cellStyle name="Normal 2 57 3 2 8 2" xfId="23818"/>
    <cellStyle name="Normal 2 57 3 2 9" xfId="6048"/>
    <cellStyle name="Normal 2 57 3 2 9 2" xfId="23819"/>
    <cellStyle name="Normal 2 57 3 3" xfId="6049"/>
    <cellStyle name="Normal 2 57 3 3 2" xfId="23820"/>
    <cellStyle name="Normal 2 57 3 4" xfId="6050"/>
    <cellStyle name="Normal 2 57 3 4 2" xfId="23821"/>
    <cellStyle name="Normal 2 57 3 5" xfId="6051"/>
    <cellStyle name="Normal 2 57 3 5 2" xfId="23822"/>
    <cellStyle name="Normal 2 57 3 6" xfId="6052"/>
    <cellStyle name="Normal 2 57 3 6 2" xfId="23823"/>
    <cellStyle name="Normal 2 57 3 7" xfId="6053"/>
    <cellStyle name="Normal 2 57 3 7 2" xfId="23824"/>
    <cellStyle name="Normal 2 57 3 8" xfId="6054"/>
    <cellStyle name="Normal 2 57 3 8 2" xfId="23825"/>
    <cellStyle name="Normal 2 57 3 9" xfId="6055"/>
    <cellStyle name="Normal 2 57 3 9 2" xfId="23826"/>
    <cellStyle name="Normal 2 57 4" xfId="6056"/>
    <cellStyle name="Normal 2 57 4 10" xfId="6057"/>
    <cellStyle name="Normal 2 57 4 10 2" xfId="23828"/>
    <cellStyle name="Normal 2 57 4 11" xfId="6058"/>
    <cellStyle name="Normal 2 57 4 11 2" xfId="23829"/>
    <cellStyle name="Normal 2 57 4 12" xfId="6059"/>
    <cellStyle name="Normal 2 57 4 12 2" xfId="23830"/>
    <cellStyle name="Normal 2 57 4 13" xfId="6060"/>
    <cellStyle name="Normal 2 57 4 13 2" xfId="23831"/>
    <cellStyle name="Normal 2 57 4 14" xfId="6061"/>
    <cellStyle name="Normal 2 57 4 14 2" xfId="23832"/>
    <cellStyle name="Normal 2 57 4 15" xfId="6062"/>
    <cellStyle name="Normal 2 57 4 15 2" xfId="23833"/>
    <cellStyle name="Normal 2 57 4 16" xfId="23827"/>
    <cellStyle name="Normal 2 57 4 2" xfId="6063"/>
    <cellStyle name="Normal 2 57 4 2 10" xfId="6064"/>
    <cellStyle name="Normal 2 57 4 2 10 2" xfId="23835"/>
    <cellStyle name="Normal 2 57 4 2 11" xfId="6065"/>
    <cellStyle name="Normal 2 57 4 2 11 2" xfId="23836"/>
    <cellStyle name="Normal 2 57 4 2 12" xfId="6066"/>
    <cellStyle name="Normal 2 57 4 2 12 2" xfId="23837"/>
    <cellStyle name="Normal 2 57 4 2 13" xfId="6067"/>
    <cellStyle name="Normal 2 57 4 2 13 2" xfId="23838"/>
    <cellStyle name="Normal 2 57 4 2 14" xfId="6068"/>
    <cellStyle name="Normal 2 57 4 2 14 2" xfId="23839"/>
    <cellStyle name="Normal 2 57 4 2 15" xfId="23834"/>
    <cellStyle name="Normal 2 57 4 2 2" xfId="6069"/>
    <cellStyle name="Normal 2 57 4 2 2 2" xfId="23840"/>
    <cellStyle name="Normal 2 57 4 2 3" xfId="6070"/>
    <cellStyle name="Normal 2 57 4 2 3 2" xfId="23841"/>
    <cellStyle name="Normal 2 57 4 2 4" xfId="6071"/>
    <cellStyle name="Normal 2 57 4 2 4 2" xfId="23842"/>
    <cellStyle name="Normal 2 57 4 2 5" xfId="6072"/>
    <cellStyle name="Normal 2 57 4 2 5 2" xfId="23843"/>
    <cellStyle name="Normal 2 57 4 2 6" xfId="6073"/>
    <cellStyle name="Normal 2 57 4 2 6 2" xfId="23844"/>
    <cellStyle name="Normal 2 57 4 2 7" xfId="6074"/>
    <cellStyle name="Normal 2 57 4 2 7 2" xfId="23845"/>
    <cellStyle name="Normal 2 57 4 2 8" xfId="6075"/>
    <cellStyle name="Normal 2 57 4 2 8 2" xfId="23846"/>
    <cellStyle name="Normal 2 57 4 2 9" xfId="6076"/>
    <cellStyle name="Normal 2 57 4 2 9 2" xfId="23847"/>
    <cellStyle name="Normal 2 57 4 3" xfId="6077"/>
    <cellStyle name="Normal 2 57 4 3 2" xfId="23848"/>
    <cellStyle name="Normal 2 57 4 4" xfId="6078"/>
    <cellStyle name="Normal 2 57 4 4 2" xfId="23849"/>
    <cellStyle name="Normal 2 57 4 5" xfId="6079"/>
    <cellStyle name="Normal 2 57 4 5 2" xfId="23850"/>
    <cellStyle name="Normal 2 57 4 6" xfId="6080"/>
    <cellStyle name="Normal 2 57 4 6 2" xfId="23851"/>
    <cellStyle name="Normal 2 57 4 7" xfId="6081"/>
    <cellStyle name="Normal 2 57 4 7 2" xfId="23852"/>
    <cellStyle name="Normal 2 57 4 8" xfId="6082"/>
    <cellStyle name="Normal 2 57 4 8 2" xfId="23853"/>
    <cellStyle name="Normal 2 57 4 9" xfId="6083"/>
    <cellStyle name="Normal 2 57 4 9 2" xfId="23854"/>
    <cellStyle name="Normal 2 57 5" xfId="6084"/>
    <cellStyle name="Normal 2 57 5 10" xfId="6085"/>
    <cellStyle name="Normal 2 57 5 10 2" xfId="23856"/>
    <cellStyle name="Normal 2 57 5 11" xfId="6086"/>
    <cellStyle name="Normal 2 57 5 11 2" xfId="23857"/>
    <cellStyle name="Normal 2 57 5 12" xfId="6087"/>
    <cellStyle name="Normal 2 57 5 12 2" xfId="23858"/>
    <cellStyle name="Normal 2 57 5 13" xfId="6088"/>
    <cellStyle name="Normal 2 57 5 13 2" xfId="23859"/>
    <cellStyle name="Normal 2 57 5 14" xfId="6089"/>
    <cellStyle name="Normal 2 57 5 14 2" xfId="23860"/>
    <cellStyle name="Normal 2 57 5 15" xfId="23855"/>
    <cellStyle name="Normal 2 57 5 2" xfId="6090"/>
    <cellStyle name="Normal 2 57 5 2 2" xfId="23861"/>
    <cellStyle name="Normal 2 57 5 3" xfId="6091"/>
    <cellStyle name="Normal 2 57 5 3 2" xfId="23862"/>
    <cellStyle name="Normal 2 57 5 4" xfId="6092"/>
    <cellStyle name="Normal 2 57 5 4 2" xfId="23863"/>
    <cellStyle name="Normal 2 57 5 5" xfId="6093"/>
    <cellStyle name="Normal 2 57 5 5 2" xfId="23864"/>
    <cellStyle name="Normal 2 57 5 6" xfId="6094"/>
    <cellStyle name="Normal 2 57 5 6 2" xfId="23865"/>
    <cellStyle name="Normal 2 57 5 7" xfId="6095"/>
    <cellStyle name="Normal 2 57 5 7 2" xfId="23866"/>
    <cellStyle name="Normal 2 57 5 8" xfId="6096"/>
    <cellStyle name="Normal 2 57 5 8 2" xfId="23867"/>
    <cellStyle name="Normal 2 57 5 9" xfId="6097"/>
    <cellStyle name="Normal 2 57 5 9 2" xfId="23868"/>
    <cellStyle name="Normal 2 57 6" xfId="6098"/>
    <cellStyle name="Normal 2 57 6 10" xfId="6099"/>
    <cellStyle name="Normal 2 57 6 10 2" xfId="23870"/>
    <cellStyle name="Normal 2 57 6 11" xfId="6100"/>
    <cellStyle name="Normal 2 57 6 11 2" xfId="23871"/>
    <cellStyle name="Normal 2 57 6 12" xfId="6101"/>
    <cellStyle name="Normal 2 57 6 12 2" xfId="23872"/>
    <cellStyle name="Normal 2 57 6 13" xfId="6102"/>
    <cellStyle name="Normal 2 57 6 13 2" xfId="23873"/>
    <cellStyle name="Normal 2 57 6 14" xfId="6103"/>
    <cellStyle name="Normal 2 57 6 14 2" xfId="23874"/>
    <cellStyle name="Normal 2 57 6 15" xfId="23869"/>
    <cellStyle name="Normal 2 57 6 2" xfId="6104"/>
    <cellStyle name="Normal 2 57 6 2 2" xfId="23875"/>
    <cellStyle name="Normal 2 57 6 3" xfId="6105"/>
    <cellStyle name="Normal 2 57 6 3 2" xfId="23876"/>
    <cellStyle name="Normal 2 57 6 4" xfId="6106"/>
    <cellStyle name="Normal 2 57 6 4 2" xfId="23877"/>
    <cellStyle name="Normal 2 57 6 5" xfId="6107"/>
    <cellStyle name="Normal 2 57 6 5 2" xfId="23878"/>
    <cellStyle name="Normal 2 57 6 6" xfId="6108"/>
    <cellStyle name="Normal 2 57 6 6 2" xfId="23879"/>
    <cellStyle name="Normal 2 57 6 7" xfId="6109"/>
    <cellStyle name="Normal 2 57 6 7 2" xfId="23880"/>
    <cellStyle name="Normal 2 57 6 8" xfId="6110"/>
    <cellStyle name="Normal 2 57 6 8 2" xfId="23881"/>
    <cellStyle name="Normal 2 57 6 9" xfId="6111"/>
    <cellStyle name="Normal 2 57 6 9 2" xfId="23882"/>
    <cellStyle name="Normal 2 57 7" xfId="6112"/>
    <cellStyle name="Normal 2 57 7 10" xfId="6113"/>
    <cellStyle name="Normal 2 57 7 10 2" xfId="23884"/>
    <cellStyle name="Normal 2 57 7 11" xfId="6114"/>
    <cellStyle name="Normal 2 57 7 11 2" xfId="23885"/>
    <cellStyle name="Normal 2 57 7 12" xfId="6115"/>
    <cellStyle name="Normal 2 57 7 12 2" xfId="23886"/>
    <cellStyle name="Normal 2 57 7 13" xfId="6116"/>
    <cellStyle name="Normal 2 57 7 13 2" xfId="23887"/>
    <cellStyle name="Normal 2 57 7 14" xfId="6117"/>
    <cellStyle name="Normal 2 57 7 14 2" xfId="23888"/>
    <cellStyle name="Normal 2 57 7 15" xfId="23883"/>
    <cellStyle name="Normal 2 57 7 2" xfId="6118"/>
    <cellStyle name="Normal 2 57 7 2 2" xfId="23889"/>
    <cellStyle name="Normal 2 57 7 3" xfId="6119"/>
    <cellStyle name="Normal 2 57 7 3 2" xfId="23890"/>
    <cellStyle name="Normal 2 57 7 4" xfId="6120"/>
    <cellStyle name="Normal 2 57 7 4 2" xfId="23891"/>
    <cellStyle name="Normal 2 57 7 5" xfId="6121"/>
    <cellStyle name="Normal 2 57 7 5 2" xfId="23892"/>
    <cellStyle name="Normal 2 57 7 6" xfId="6122"/>
    <cellStyle name="Normal 2 57 7 6 2" xfId="23893"/>
    <cellStyle name="Normal 2 57 7 7" xfId="6123"/>
    <cellStyle name="Normal 2 57 7 7 2" xfId="23894"/>
    <cellStyle name="Normal 2 57 7 8" xfId="6124"/>
    <cellStyle name="Normal 2 57 7 8 2" xfId="23895"/>
    <cellStyle name="Normal 2 57 7 9" xfId="6125"/>
    <cellStyle name="Normal 2 57 7 9 2" xfId="23896"/>
    <cellStyle name="Normal 2 57 8" xfId="6126"/>
    <cellStyle name="Normal 2 57 8 10" xfId="6127"/>
    <cellStyle name="Normal 2 57 8 10 2" xfId="23898"/>
    <cellStyle name="Normal 2 57 8 11" xfId="6128"/>
    <cellStyle name="Normal 2 57 8 11 2" xfId="23899"/>
    <cellStyle name="Normal 2 57 8 12" xfId="6129"/>
    <cellStyle name="Normal 2 57 8 12 2" xfId="23900"/>
    <cellStyle name="Normal 2 57 8 13" xfId="6130"/>
    <cellStyle name="Normal 2 57 8 13 2" xfId="23901"/>
    <cellStyle name="Normal 2 57 8 14" xfId="6131"/>
    <cellStyle name="Normal 2 57 8 14 2" xfId="23902"/>
    <cellStyle name="Normal 2 57 8 15" xfId="23897"/>
    <cellStyle name="Normal 2 57 8 2" xfId="6132"/>
    <cellStyle name="Normal 2 57 8 2 2" xfId="23903"/>
    <cellStyle name="Normal 2 57 8 3" xfId="6133"/>
    <cellStyle name="Normal 2 57 8 3 2" xfId="23904"/>
    <cellStyle name="Normal 2 57 8 4" xfId="6134"/>
    <cellStyle name="Normal 2 57 8 4 2" xfId="23905"/>
    <cellStyle name="Normal 2 57 8 5" xfId="6135"/>
    <cellStyle name="Normal 2 57 8 5 2" xfId="23906"/>
    <cellStyle name="Normal 2 57 8 6" xfId="6136"/>
    <cellStyle name="Normal 2 57 8 6 2" xfId="23907"/>
    <cellStyle name="Normal 2 57 8 7" xfId="6137"/>
    <cellStyle name="Normal 2 57 8 7 2" xfId="23908"/>
    <cellStyle name="Normal 2 57 8 8" xfId="6138"/>
    <cellStyle name="Normal 2 57 8 8 2" xfId="23909"/>
    <cellStyle name="Normal 2 57 8 9" xfId="6139"/>
    <cellStyle name="Normal 2 57 8 9 2" xfId="23910"/>
    <cellStyle name="Normal 2 57 9" xfId="6140"/>
    <cellStyle name="Normal 2 57 9 10" xfId="6141"/>
    <cellStyle name="Normal 2 57 9 10 2" xfId="23912"/>
    <cellStyle name="Normal 2 57 9 11" xfId="6142"/>
    <cellStyle name="Normal 2 57 9 11 2" xfId="23913"/>
    <cellStyle name="Normal 2 57 9 12" xfId="6143"/>
    <cellStyle name="Normal 2 57 9 12 2" xfId="23914"/>
    <cellStyle name="Normal 2 57 9 13" xfId="6144"/>
    <cellStyle name="Normal 2 57 9 13 2" xfId="23915"/>
    <cellStyle name="Normal 2 57 9 14" xfId="6145"/>
    <cellStyle name="Normal 2 57 9 14 2" xfId="23916"/>
    <cellStyle name="Normal 2 57 9 15" xfId="23911"/>
    <cellStyle name="Normal 2 57 9 2" xfId="6146"/>
    <cellStyle name="Normal 2 57 9 2 2" xfId="23917"/>
    <cellStyle name="Normal 2 57 9 3" xfId="6147"/>
    <cellStyle name="Normal 2 57 9 3 2" xfId="23918"/>
    <cellStyle name="Normal 2 57 9 4" xfId="6148"/>
    <cellStyle name="Normal 2 57 9 4 2" xfId="23919"/>
    <cellStyle name="Normal 2 57 9 5" xfId="6149"/>
    <cellStyle name="Normal 2 57 9 5 2" xfId="23920"/>
    <cellStyle name="Normal 2 57 9 6" xfId="6150"/>
    <cellStyle name="Normal 2 57 9 6 2" xfId="23921"/>
    <cellStyle name="Normal 2 57 9 7" xfId="6151"/>
    <cellStyle name="Normal 2 57 9 7 2" xfId="23922"/>
    <cellStyle name="Normal 2 57 9 8" xfId="6152"/>
    <cellStyle name="Normal 2 57 9 8 2" xfId="23923"/>
    <cellStyle name="Normal 2 57 9 9" xfId="6153"/>
    <cellStyle name="Normal 2 57 9 9 2" xfId="23924"/>
    <cellStyle name="Normal 2 58" xfId="6154"/>
    <cellStyle name="Normal 2 58 10" xfId="6155"/>
    <cellStyle name="Normal 2 58 10 10" xfId="6156"/>
    <cellStyle name="Normal 2 58 10 10 2" xfId="23927"/>
    <cellStyle name="Normal 2 58 10 11" xfId="6157"/>
    <cellStyle name="Normal 2 58 10 11 2" xfId="23928"/>
    <cellStyle name="Normal 2 58 10 12" xfId="6158"/>
    <cellStyle name="Normal 2 58 10 12 2" xfId="23929"/>
    <cellStyle name="Normal 2 58 10 13" xfId="6159"/>
    <cellStyle name="Normal 2 58 10 13 2" xfId="23930"/>
    <cellStyle name="Normal 2 58 10 14" xfId="6160"/>
    <cellStyle name="Normal 2 58 10 14 2" xfId="23931"/>
    <cellStyle name="Normal 2 58 10 15" xfId="23926"/>
    <cellStyle name="Normal 2 58 10 2" xfId="6161"/>
    <cellStyle name="Normal 2 58 10 2 2" xfId="23932"/>
    <cellStyle name="Normal 2 58 10 3" xfId="6162"/>
    <cellStyle name="Normal 2 58 10 3 2" xfId="23933"/>
    <cellStyle name="Normal 2 58 10 4" xfId="6163"/>
    <cellStyle name="Normal 2 58 10 4 2" xfId="23934"/>
    <cellStyle name="Normal 2 58 10 5" xfId="6164"/>
    <cellStyle name="Normal 2 58 10 5 2" xfId="23935"/>
    <cellStyle name="Normal 2 58 10 6" xfId="6165"/>
    <cellStyle name="Normal 2 58 10 6 2" xfId="23936"/>
    <cellStyle name="Normal 2 58 10 7" xfId="6166"/>
    <cellStyle name="Normal 2 58 10 7 2" xfId="23937"/>
    <cellStyle name="Normal 2 58 10 8" xfId="6167"/>
    <cellStyle name="Normal 2 58 10 8 2" xfId="23938"/>
    <cellStyle name="Normal 2 58 10 9" xfId="6168"/>
    <cellStyle name="Normal 2 58 10 9 2" xfId="23939"/>
    <cellStyle name="Normal 2 58 11" xfId="6169"/>
    <cellStyle name="Normal 2 58 11 2" xfId="23940"/>
    <cellStyle name="Normal 2 58 12" xfId="6170"/>
    <cellStyle name="Normal 2 58 12 2" xfId="23941"/>
    <cellStyle name="Normal 2 58 13" xfId="6171"/>
    <cellStyle name="Normal 2 58 13 2" xfId="23942"/>
    <cellStyle name="Normal 2 58 14" xfId="6172"/>
    <cellStyle name="Normal 2 58 14 2" xfId="23943"/>
    <cellStyle name="Normal 2 58 15" xfId="6173"/>
    <cellStyle name="Normal 2 58 15 2" xfId="23944"/>
    <cellStyle name="Normal 2 58 16" xfId="6174"/>
    <cellStyle name="Normal 2 58 16 2" xfId="23945"/>
    <cellStyle name="Normal 2 58 17" xfId="6175"/>
    <cellStyle name="Normal 2 58 17 2" xfId="23946"/>
    <cellStyle name="Normal 2 58 18" xfId="6176"/>
    <cellStyle name="Normal 2 58 18 2" xfId="23947"/>
    <cellStyle name="Normal 2 58 19" xfId="6177"/>
    <cellStyle name="Normal 2 58 19 2" xfId="23948"/>
    <cellStyle name="Normal 2 58 2" xfId="6178"/>
    <cellStyle name="Normal 2 58 2 10" xfId="6179"/>
    <cellStyle name="Normal 2 58 2 10 2" xfId="23950"/>
    <cellStyle name="Normal 2 58 2 11" xfId="6180"/>
    <cellStyle name="Normal 2 58 2 11 2" xfId="23951"/>
    <cellStyle name="Normal 2 58 2 12" xfId="6181"/>
    <cellStyle name="Normal 2 58 2 12 2" xfId="23952"/>
    <cellStyle name="Normal 2 58 2 13" xfId="6182"/>
    <cellStyle name="Normal 2 58 2 13 2" xfId="23953"/>
    <cellStyle name="Normal 2 58 2 14" xfId="6183"/>
    <cellStyle name="Normal 2 58 2 14 2" xfId="23954"/>
    <cellStyle name="Normal 2 58 2 15" xfId="6184"/>
    <cellStyle name="Normal 2 58 2 15 2" xfId="23955"/>
    <cellStyle name="Normal 2 58 2 16" xfId="23949"/>
    <cellStyle name="Normal 2 58 2 2" xfId="6185"/>
    <cellStyle name="Normal 2 58 2 2 10" xfId="6186"/>
    <cellStyle name="Normal 2 58 2 2 10 2" xfId="23957"/>
    <cellStyle name="Normal 2 58 2 2 11" xfId="6187"/>
    <cellStyle name="Normal 2 58 2 2 11 2" xfId="23958"/>
    <cellStyle name="Normal 2 58 2 2 12" xfId="6188"/>
    <cellStyle name="Normal 2 58 2 2 12 2" xfId="23959"/>
    <cellStyle name="Normal 2 58 2 2 13" xfId="6189"/>
    <cellStyle name="Normal 2 58 2 2 13 2" xfId="23960"/>
    <cellStyle name="Normal 2 58 2 2 14" xfId="6190"/>
    <cellStyle name="Normal 2 58 2 2 14 2" xfId="23961"/>
    <cellStyle name="Normal 2 58 2 2 15" xfId="23956"/>
    <cellStyle name="Normal 2 58 2 2 2" xfId="6191"/>
    <cellStyle name="Normal 2 58 2 2 2 2" xfId="23962"/>
    <cellStyle name="Normal 2 58 2 2 3" xfId="6192"/>
    <cellStyle name="Normal 2 58 2 2 3 2" xfId="23963"/>
    <cellStyle name="Normal 2 58 2 2 4" xfId="6193"/>
    <cellStyle name="Normal 2 58 2 2 4 2" xfId="23964"/>
    <cellStyle name="Normal 2 58 2 2 5" xfId="6194"/>
    <cellStyle name="Normal 2 58 2 2 5 2" xfId="23965"/>
    <cellStyle name="Normal 2 58 2 2 6" xfId="6195"/>
    <cellStyle name="Normal 2 58 2 2 6 2" xfId="23966"/>
    <cellStyle name="Normal 2 58 2 2 7" xfId="6196"/>
    <cellStyle name="Normal 2 58 2 2 7 2" xfId="23967"/>
    <cellStyle name="Normal 2 58 2 2 8" xfId="6197"/>
    <cellStyle name="Normal 2 58 2 2 8 2" xfId="23968"/>
    <cellStyle name="Normal 2 58 2 2 9" xfId="6198"/>
    <cellStyle name="Normal 2 58 2 2 9 2" xfId="23969"/>
    <cellStyle name="Normal 2 58 2 3" xfId="6199"/>
    <cellStyle name="Normal 2 58 2 3 2" xfId="23970"/>
    <cellStyle name="Normal 2 58 2 4" xfId="6200"/>
    <cellStyle name="Normal 2 58 2 4 2" xfId="23971"/>
    <cellStyle name="Normal 2 58 2 5" xfId="6201"/>
    <cellStyle name="Normal 2 58 2 5 2" xfId="23972"/>
    <cellStyle name="Normal 2 58 2 6" xfId="6202"/>
    <cellStyle name="Normal 2 58 2 6 2" xfId="23973"/>
    <cellStyle name="Normal 2 58 2 7" xfId="6203"/>
    <cellStyle name="Normal 2 58 2 7 2" xfId="23974"/>
    <cellStyle name="Normal 2 58 2 8" xfId="6204"/>
    <cellStyle name="Normal 2 58 2 8 2" xfId="23975"/>
    <cellStyle name="Normal 2 58 2 9" xfId="6205"/>
    <cellStyle name="Normal 2 58 2 9 2" xfId="23976"/>
    <cellStyle name="Normal 2 58 20" xfId="6206"/>
    <cellStyle name="Normal 2 58 20 2" xfId="23977"/>
    <cellStyle name="Normal 2 58 21" xfId="6207"/>
    <cellStyle name="Normal 2 58 21 2" xfId="23978"/>
    <cellStyle name="Normal 2 58 22" xfId="6208"/>
    <cellStyle name="Normal 2 58 22 2" xfId="23979"/>
    <cellStyle name="Normal 2 58 23" xfId="6209"/>
    <cellStyle name="Normal 2 58 23 2" xfId="23980"/>
    <cellStyle name="Normal 2 58 24" xfId="23925"/>
    <cellStyle name="Normal 2 58 3" xfId="6210"/>
    <cellStyle name="Normal 2 58 3 10" xfId="6211"/>
    <cellStyle name="Normal 2 58 3 10 2" xfId="23982"/>
    <cellStyle name="Normal 2 58 3 11" xfId="6212"/>
    <cellStyle name="Normal 2 58 3 11 2" xfId="23983"/>
    <cellStyle name="Normal 2 58 3 12" xfId="6213"/>
    <cellStyle name="Normal 2 58 3 12 2" xfId="23984"/>
    <cellStyle name="Normal 2 58 3 13" xfId="6214"/>
    <cellStyle name="Normal 2 58 3 13 2" xfId="23985"/>
    <cellStyle name="Normal 2 58 3 14" xfId="6215"/>
    <cellStyle name="Normal 2 58 3 14 2" xfId="23986"/>
    <cellStyle name="Normal 2 58 3 15" xfId="6216"/>
    <cellStyle name="Normal 2 58 3 15 2" xfId="23987"/>
    <cellStyle name="Normal 2 58 3 16" xfId="23981"/>
    <cellStyle name="Normal 2 58 3 2" xfId="6217"/>
    <cellStyle name="Normal 2 58 3 2 10" xfId="6218"/>
    <cellStyle name="Normal 2 58 3 2 10 2" xfId="23989"/>
    <cellStyle name="Normal 2 58 3 2 11" xfId="6219"/>
    <cellStyle name="Normal 2 58 3 2 11 2" xfId="23990"/>
    <cellStyle name="Normal 2 58 3 2 12" xfId="6220"/>
    <cellStyle name="Normal 2 58 3 2 12 2" xfId="23991"/>
    <cellStyle name="Normal 2 58 3 2 13" xfId="6221"/>
    <cellStyle name="Normal 2 58 3 2 13 2" xfId="23992"/>
    <cellStyle name="Normal 2 58 3 2 14" xfId="6222"/>
    <cellStyle name="Normal 2 58 3 2 14 2" xfId="23993"/>
    <cellStyle name="Normal 2 58 3 2 15" xfId="23988"/>
    <cellStyle name="Normal 2 58 3 2 2" xfId="6223"/>
    <cellStyle name="Normal 2 58 3 2 2 2" xfId="23994"/>
    <cellStyle name="Normal 2 58 3 2 3" xfId="6224"/>
    <cellStyle name="Normal 2 58 3 2 3 2" xfId="23995"/>
    <cellStyle name="Normal 2 58 3 2 4" xfId="6225"/>
    <cellStyle name="Normal 2 58 3 2 4 2" xfId="23996"/>
    <cellStyle name="Normal 2 58 3 2 5" xfId="6226"/>
    <cellStyle name="Normal 2 58 3 2 5 2" xfId="23997"/>
    <cellStyle name="Normal 2 58 3 2 6" xfId="6227"/>
    <cellStyle name="Normal 2 58 3 2 6 2" xfId="23998"/>
    <cellStyle name="Normal 2 58 3 2 7" xfId="6228"/>
    <cellStyle name="Normal 2 58 3 2 7 2" xfId="23999"/>
    <cellStyle name="Normal 2 58 3 2 8" xfId="6229"/>
    <cellStyle name="Normal 2 58 3 2 8 2" xfId="24000"/>
    <cellStyle name="Normal 2 58 3 2 9" xfId="6230"/>
    <cellStyle name="Normal 2 58 3 2 9 2" xfId="24001"/>
    <cellStyle name="Normal 2 58 3 3" xfId="6231"/>
    <cellStyle name="Normal 2 58 3 3 2" xfId="24002"/>
    <cellStyle name="Normal 2 58 3 4" xfId="6232"/>
    <cellStyle name="Normal 2 58 3 4 2" xfId="24003"/>
    <cellStyle name="Normal 2 58 3 5" xfId="6233"/>
    <cellStyle name="Normal 2 58 3 5 2" xfId="24004"/>
    <cellStyle name="Normal 2 58 3 6" xfId="6234"/>
    <cellStyle name="Normal 2 58 3 6 2" xfId="24005"/>
    <cellStyle name="Normal 2 58 3 7" xfId="6235"/>
    <cellStyle name="Normal 2 58 3 7 2" xfId="24006"/>
    <cellStyle name="Normal 2 58 3 8" xfId="6236"/>
    <cellStyle name="Normal 2 58 3 8 2" xfId="24007"/>
    <cellStyle name="Normal 2 58 3 9" xfId="6237"/>
    <cellStyle name="Normal 2 58 3 9 2" xfId="24008"/>
    <cellStyle name="Normal 2 58 4" xfId="6238"/>
    <cellStyle name="Normal 2 58 4 10" xfId="6239"/>
    <cellStyle name="Normal 2 58 4 10 2" xfId="24010"/>
    <cellStyle name="Normal 2 58 4 11" xfId="6240"/>
    <cellStyle name="Normal 2 58 4 11 2" xfId="24011"/>
    <cellStyle name="Normal 2 58 4 12" xfId="6241"/>
    <cellStyle name="Normal 2 58 4 12 2" xfId="24012"/>
    <cellStyle name="Normal 2 58 4 13" xfId="6242"/>
    <cellStyle name="Normal 2 58 4 13 2" xfId="24013"/>
    <cellStyle name="Normal 2 58 4 14" xfId="6243"/>
    <cellStyle name="Normal 2 58 4 14 2" xfId="24014"/>
    <cellStyle name="Normal 2 58 4 15" xfId="6244"/>
    <cellStyle name="Normal 2 58 4 15 2" xfId="24015"/>
    <cellStyle name="Normal 2 58 4 16" xfId="24009"/>
    <cellStyle name="Normal 2 58 4 2" xfId="6245"/>
    <cellStyle name="Normal 2 58 4 2 10" xfId="6246"/>
    <cellStyle name="Normal 2 58 4 2 10 2" xfId="24017"/>
    <cellStyle name="Normal 2 58 4 2 11" xfId="6247"/>
    <cellStyle name="Normal 2 58 4 2 11 2" xfId="24018"/>
    <cellStyle name="Normal 2 58 4 2 12" xfId="6248"/>
    <cellStyle name="Normal 2 58 4 2 12 2" xfId="24019"/>
    <cellStyle name="Normal 2 58 4 2 13" xfId="6249"/>
    <cellStyle name="Normal 2 58 4 2 13 2" xfId="24020"/>
    <cellStyle name="Normal 2 58 4 2 14" xfId="6250"/>
    <cellStyle name="Normal 2 58 4 2 14 2" xfId="24021"/>
    <cellStyle name="Normal 2 58 4 2 15" xfId="24016"/>
    <cellStyle name="Normal 2 58 4 2 2" xfId="6251"/>
    <cellStyle name="Normal 2 58 4 2 2 2" xfId="24022"/>
    <cellStyle name="Normal 2 58 4 2 3" xfId="6252"/>
    <cellStyle name="Normal 2 58 4 2 3 2" xfId="24023"/>
    <cellStyle name="Normal 2 58 4 2 4" xfId="6253"/>
    <cellStyle name="Normal 2 58 4 2 4 2" xfId="24024"/>
    <cellStyle name="Normal 2 58 4 2 5" xfId="6254"/>
    <cellStyle name="Normal 2 58 4 2 5 2" xfId="24025"/>
    <cellStyle name="Normal 2 58 4 2 6" xfId="6255"/>
    <cellStyle name="Normal 2 58 4 2 6 2" xfId="24026"/>
    <cellStyle name="Normal 2 58 4 2 7" xfId="6256"/>
    <cellStyle name="Normal 2 58 4 2 7 2" xfId="24027"/>
    <cellStyle name="Normal 2 58 4 2 8" xfId="6257"/>
    <cellStyle name="Normal 2 58 4 2 8 2" xfId="24028"/>
    <cellStyle name="Normal 2 58 4 2 9" xfId="6258"/>
    <cellStyle name="Normal 2 58 4 2 9 2" xfId="24029"/>
    <cellStyle name="Normal 2 58 4 3" xfId="6259"/>
    <cellStyle name="Normal 2 58 4 3 2" xfId="24030"/>
    <cellStyle name="Normal 2 58 4 4" xfId="6260"/>
    <cellStyle name="Normal 2 58 4 4 2" xfId="24031"/>
    <cellStyle name="Normal 2 58 4 5" xfId="6261"/>
    <cellStyle name="Normal 2 58 4 5 2" xfId="24032"/>
    <cellStyle name="Normal 2 58 4 6" xfId="6262"/>
    <cellStyle name="Normal 2 58 4 6 2" xfId="24033"/>
    <cellStyle name="Normal 2 58 4 7" xfId="6263"/>
    <cellStyle name="Normal 2 58 4 7 2" xfId="24034"/>
    <cellStyle name="Normal 2 58 4 8" xfId="6264"/>
    <cellStyle name="Normal 2 58 4 8 2" xfId="24035"/>
    <cellStyle name="Normal 2 58 4 9" xfId="6265"/>
    <cellStyle name="Normal 2 58 4 9 2" xfId="24036"/>
    <cellStyle name="Normal 2 58 5" xfId="6266"/>
    <cellStyle name="Normal 2 58 5 10" xfId="6267"/>
    <cellStyle name="Normal 2 58 5 10 2" xfId="24038"/>
    <cellStyle name="Normal 2 58 5 11" xfId="6268"/>
    <cellStyle name="Normal 2 58 5 11 2" xfId="24039"/>
    <cellStyle name="Normal 2 58 5 12" xfId="6269"/>
    <cellStyle name="Normal 2 58 5 12 2" xfId="24040"/>
    <cellStyle name="Normal 2 58 5 13" xfId="6270"/>
    <cellStyle name="Normal 2 58 5 13 2" xfId="24041"/>
    <cellStyle name="Normal 2 58 5 14" xfId="6271"/>
    <cellStyle name="Normal 2 58 5 14 2" xfId="24042"/>
    <cellStyle name="Normal 2 58 5 15" xfId="24037"/>
    <cellStyle name="Normal 2 58 5 2" xfId="6272"/>
    <cellStyle name="Normal 2 58 5 2 2" xfId="24043"/>
    <cellStyle name="Normal 2 58 5 3" xfId="6273"/>
    <cellStyle name="Normal 2 58 5 3 2" xfId="24044"/>
    <cellStyle name="Normal 2 58 5 4" xfId="6274"/>
    <cellStyle name="Normal 2 58 5 4 2" xfId="24045"/>
    <cellStyle name="Normal 2 58 5 5" xfId="6275"/>
    <cellStyle name="Normal 2 58 5 5 2" xfId="24046"/>
    <cellStyle name="Normal 2 58 5 6" xfId="6276"/>
    <cellStyle name="Normal 2 58 5 6 2" xfId="24047"/>
    <cellStyle name="Normal 2 58 5 7" xfId="6277"/>
    <cellStyle name="Normal 2 58 5 7 2" xfId="24048"/>
    <cellStyle name="Normal 2 58 5 8" xfId="6278"/>
    <cellStyle name="Normal 2 58 5 8 2" xfId="24049"/>
    <cellStyle name="Normal 2 58 5 9" xfId="6279"/>
    <cellStyle name="Normal 2 58 5 9 2" xfId="24050"/>
    <cellStyle name="Normal 2 58 6" xfId="6280"/>
    <cellStyle name="Normal 2 58 6 10" xfId="6281"/>
    <cellStyle name="Normal 2 58 6 10 2" xfId="24052"/>
    <cellStyle name="Normal 2 58 6 11" xfId="6282"/>
    <cellStyle name="Normal 2 58 6 11 2" xfId="24053"/>
    <cellStyle name="Normal 2 58 6 12" xfId="6283"/>
    <cellStyle name="Normal 2 58 6 12 2" xfId="24054"/>
    <cellStyle name="Normal 2 58 6 13" xfId="6284"/>
    <cellStyle name="Normal 2 58 6 13 2" xfId="24055"/>
    <cellStyle name="Normal 2 58 6 14" xfId="6285"/>
    <cellStyle name="Normal 2 58 6 14 2" xfId="24056"/>
    <cellStyle name="Normal 2 58 6 15" xfId="24051"/>
    <cellStyle name="Normal 2 58 6 2" xfId="6286"/>
    <cellStyle name="Normal 2 58 6 2 2" xfId="24057"/>
    <cellStyle name="Normal 2 58 6 3" xfId="6287"/>
    <cellStyle name="Normal 2 58 6 3 2" xfId="24058"/>
    <cellStyle name="Normal 2 58 6 4" xfId="6288"/>
    <cellStyle name="Normal 2 58 6 4 2" xfId="24059"/>
    <cellStyle name="Normal 2 58 6 5" xfId="6289"/>
    <cellStyle name="Normal 2 58 6 5 2" xfId="24060"/>
    <cellStyle name="Normal 2 58 6 6" xfId="6290"/>
    <cellStyle name="Normal 2 58 6 6 2" xfId="24061"/>
    <cellStyle name="Normal 2 58 6 7" xfId="6291"/>
    <cellStyle name="Normal 2 58 6 7 2" xfId="24062"/>
    <cellStyle name="Normal 2 58 6 8" xfId="6292"/>
    <cellStyle name="Normal 2 58 6 8 2" xfId="24063"/>
    <cellStyle name="Normal 2 58 6 9" xfId="6293"/>
    <cellStyle name="Normal 2 58 6 9 2" xfId="24064"/>
    <cellStyle name="Normal 2 58 7" xfId="6294"/>
    <cellStyle name="Normal 2 58 7 10" xfId="6295"/>
    <cellStyle name="Normal 2 58 7 10 2" xfId="24066"/>
    <cellStyle name="Normal 2 58 7 11" xfId="6296"/>
    <cellStyle name="Normal 2 58 7 11 2" xfId="24067"/>
    <cellStyle name="Normal 2 58 7 12" xfId="6297"/>
    <cellStyle name="Normal 2 58 7 12 2" xfId="24068"/>
    <cellStyle name="Normal 2 58 7 13" xfId="6298"/>
    <cellStyle name="Normal 2 58 7 13 2" xfId="24069"/>
    <cellStyle name="Normal 2 58 7 14" xfId="6299"/>
    <cellStyle name="Normal 2 58 7 14 2" xfId="24070"/>
    <cellStyle name="Normal 2 58 7 15" xfId="24065"/>
    <cellStyle name="Normal 2 58 7 2" xfId="6300"/>
    <cellStyle name="Normal 2 58 7 2 2" xfId="24071"/>
    <cellStyle name="Normal 2 58 7 3" xfId="6301"/>
    <cellStyle name="Normal 2 58 7 3 2" xfId="24072"/>
    <cellStyle name="Normal 2 58 7 4" xfId="6302"/>
    <cellStyle name="Normal 2 58 7 4 2" xfId="24073"/>
    <cellStyle name="Normal 2 58 7 5" xfId="6303"/>
    <cellStyle name="Normal 2 58 7 5 2" xfId="24074"/>
    <cellStyle name="Normal 2 58 7 6" xfId="6304"/>
    <cellStyle name="Normal 2 58 7 6 2" xfId="24075"/>
    <cellStyle name="Normal 2 58 7 7" xfId="6305"/>
    <cellStyle name="Normal 2 58 7 7 2" xfId="24076"/>
    <cellStyle name="Normal 2 58 7 8" xfId="6306"/>
    <cellStyle name="Normal 2 58 7 8 2" xfId="24077"/>
    <cellStyle name="Normal 2 58 7 9" xfId="6307"/>
    <cellStyle name="Normal 2 58 7 9 2" xfId="24078"/>
    <cellStyle name="Normal 2 58 8" xfId="6308"/>
    <cellStyle name="Normal 2 58 8 10" xfId="6309"/>
    <cellStyle name="Normal 2 58 8 10 2" xfId="24080"/>
    <cellStyle name="Normal 2 58 8 11" xfId="6310"/>
    <cellStyle name="Normal 2 58 8 11 2" xfId="24081"/>
    <cellStyle name="Normal 2 58 8 12" xfId="6311"/>
    <cellStyle name="Normal 2 58 8 12 2" xfId="24082"/>
    <cellStyle name="Normal 2 58 8 13" xfId="6312"/>
    <cellStyle name="Normal 2 58 8 13 2" xfId="24083"/>
    <cellStyle name="Normal 2 58 8 14" xfId="6313"/>
    <cellStyle name="Normal 2 58 8 14 2" xfId="24084"/>
    <cellStyle name="Normal 2 58 8 15" xfId="24079"/>
    <cellStyle name="Normal 2 58 8 2" xfId="6314"/>
    <cellStyle name="Normal 2 58 8 2 2" xfId="24085"/>
    <cellStyle name="Normal 2 58 8 3" xfId="6315"/>
    <cellStyle name="Normal 2 58 8 3 2" xfId="24086"/>
    <cellStyle name="Normal 2 58 8 4" xfId="6316"/>
    <cellStyle name="Normal 2 58 8 4 2" xfId="24087"/>
    <cellStyle name="Normal 2 58 8 5" xfId="6317"/>
    <cellStyle name="Normal 2 58 8 5 2" xfId="24088"/>
    <cellStyle name="Normal 2 58 8 6" xfId="6318"/>
    <cellStyle name="Normal 2 58 8 6 2" xfId="24089"/>
    <cellStyle name="Normal 2 58 8 7" xfId="6319"/>
    <cellStyle name="Normal 2 58 8 7 2" xfId="24090"/>
    <cellStyle name="Normal 2 58 8 8" xfId="6320"/>
    <cellStyle name="Normal 2 58 8 8 2" xfId="24091"/>
    <cellStyle name="Normal 2 58 8 9" xfId="6321"/>
    <cellStyle name="Normal 2 58 8 9 2" xfId="24092"/>
    <cellStyle name="Normal 2 58 9" xfId="6322"/>
    <cellStyle name="Normal 2 58 9 10" xfId="6323"/>
    <cellStyle name="Normal 2 58 9 10 2" xfId="24094"/>
    <cellStyle name="Normal 2 58 9 11" xfId="6324"/>
    <cellStyle name="Normal 2 58 9 11 2" xfId="24095"/>
    <cellStyle name="Normal 2 58 9 12" xfId="6325"/>
    <cellStyle name="Normal 2 58 9 12 2" xfId="24096"/>
    <cellStyle name="Normal 2 58 9 13" xfId="6326"/>
    <cellStyle name="Normal 2 58 9 13 2" xfId="24097"/>
    <cellStyle name="Normal 2 58 9 14" xfId="6327"/>
    <cellStyle name="Normal 2 58 9 14 2" xfId="24098"/>
    <cellStyle name="Normal 2 58 9 15" xfId="24093"/>
    <cellStyle name="Normal 2 58 9 2" xfId="6328"/>
    <cellStyle name="Normal 2 58 9 2 2" xfId="24099"/>
    <cellStyle name="Normal 2 58 9 3" xfId="6329"/>
    <cellStyle name="Normal 2 58 9 3 2" xfId="24100"/>
    <cellStyle name="Normal 2 58 9 4" xfId="6330"/>
    <cellStyle name="Normal 2 58 9 4 2" xfId="24101"/>
    <cellStyle name="Normal 2 58 9 5" xfId="6331"/>
    <cellStyle name="Normal 2 58 9 5 2" xfId="24102"/>
    <cellStyle name="Normal 2 58 9 6" xfId="6332"/>
    <cellStyle name="Normal 2 58 9 6 2" xfId="24103"/>
    <cellStyle name="Normal 2 58 9 7" xfId="6333"/>
    <cellStyle name="Normal 2 58 9 7 2" xfId="24104"/>
    <cellStyle name="Normal 2 58 9 8" xfId="6334"/>
    <cellStyle name="Normal 2 58 9 8 2" xfId="24105"/>
    <cellStyle name="Normal 2 58 9 9" xfId="6335"/>
    <cellStyle name="Normal 2 58 9 9 2" xfId="24106"/>
    <cellStyle name="Normal 2 59" xfId="6336"/>
    <cellStyle name="Normal 2 59 10" xfId="6337"/>
    <cellStyle name="Normal 2 59 10 10" xfId="6338"/>
    <cellStyle name="Normal 2 59 10 10 2" xfId="24109"/>
    <cellStyle name="Normal 2 59 10 11" xfId="6339"/>
    <cellStyle name="Normal 2 59 10 11 2" xfId="24110"/>
    <cellStyle name="Normal 2 59 10 12" xfId="6340"/>
    <cellStyle name="Normal 2 59 10 12 2" xfId="24111"/>
    <cellStyle name="Normal 2 59 10 13" xfId="6341"/>
    <cellStyle name="Normal 2 59 10 13 2" xfId="24112"/>
    <cellStyle name="Normal 2 59 10 14" xfId="6342"/>
    <cellStyle name="Normal 2 59 10 14 2" xfId="24113"/>
    <cellStyle name="Normal 2 59 10 15" xfId="24108"/>
    <cellStyle name="Normal 2 59 10 2" xfId="6343"/>
    <cellStyle name="Normal 2 59 10 2 2" xfId="24114"/>
    <cellStyle name="Normal 2 59 10 3" xfId="6344"/>
    <cellStyle name="Normal 2 59 10 3 2" xfId="24115"/>
    <cellStyle name="Normal 2 59 10 4" xfId="6345"/>
    <cellStyle name="Normal 2 59 10 4 2" xfId="24116"/>
    <cellStyle name="Normal 2 59 10 5" xfId="6346"/>
    <cellStyle name="Normal 2 59 10 5 2" xfId="24117"/>
    <cellStyle name="Normal 2 59 10 6" xfId="6347"/>
    <cellStyle name="Normal 2 59 10 6 2" xfId="24118"/>
    <cellStyle name="Normal 2 59 10 7" xfId="6348"/>
    <cellStyle name="Normal 2 59 10 7 2" xfId="24119"/>
    <cellStyle name="Normal 2 59 10 8" xfId="6349"/>
    <cellStyle name="Normal 2 59 10 8 2" xfId="24120"/>
    <cellStyle name="Normal 2 59 10 9" xfId="6350"/>
    <cellStyle name="Normal 2 59 10 9 2" xfId="24121"/>
    <cellStyle name="Normal 2 59 11" xfId="6351"/>
    <cellStyle name="Normal 2 59 11 2" xfId="24122"/>
    <cellStyle name="Normal 2 59 12" xfId="6352"/>
    <cellStyle name="Normal 2 59 12 2" xfId="24123"/>
    <cellStyle name="Normal 2 59 13" xfId="6353"/>
    <cellStyle name="Normal 2 59 13 2" xfId="24124"/>
    <cellStyle name="Normal 2 59 14" xfId="6354"/>
    <cellStyle name="Normal 2 59 14 2" xfId="24125"/>
    <cellStyle name="Normal 2 59 15" xfId="6355"/>
    <cellStyle name="Normal 2 59 15 2" xfId="24126"/>
    <cellStyle name="Normal 2 59 16" xfId="6356"/>
    <cellStyle name="Normal 2 59 16 2" xfId="24127"/>
    <cellStyle name="Normal 2 59 17" xfId="6357"/>
    <cellStyle name="Normal 2 59 17 2" xfId="24128"/>
    <cellStyle name="Normal 2 59 18" xfId="6358"/>
    <cellStyle name="Normal 2 59 18 2" xfId="24129"/>
    <cellStyle name="Normal 2 59 19" xfId="6359"/>
    <cellStyle name="Normal 2 59 19 2" xfId="24130"/>
    <cellStyle name="Normal 2 59 2" xfId="6360"/>
    <cellStyle name="Normal 2 59 2 10" xfId="6361"/>
    <cellStyle name="Normal 2 59 2 10 2" xfId="24132"/>
    <cellStyle name="Normal 2 59 2 11" xfId="6362"/>
    <cellStyle name="Normal 2 59 2 11 2" xfId="24133"/>
    <cellStyle name="Normal 2 59 2 12" xfId="6363"/>
    <cellStyle name="Normal 2 59 2 12 2" xfId="24134"/>
    <cellStyle name="Normal 2 59 2 13" xfId="6364"/>
    <cellStyle name="Normal 2 59 2 13 2" xfId="24135"/>
    <cellStyle name="Normal 2 59 2 14" xfId="6365"/>
    <cellStyle name="Normal 2 59 2 14 2" xfId="24136"/>
    <cellStyle name="Normal 2 59 2 15" xfId="6366"/>
    <cellStyle name="Normal 2 59 2 15 2" xfId="24137"/>
    <cellStyle name="Normal 2 59 2 16" xfId="24131"/>
    <cellStyle name="Normal 2 59 2 2" xfId="6367"/>
    <cellStyle name="Normal 2 59 2 2 10" xfId="6368"/>
    <cellStyle name="Normal 2 59 2 2 10 2" xfId="24139"/>
    <cellStyle name="Normal 2 59 2 2 11" xfId="6369"/>
    <cellStyle name="Normal 2 59 2 2 11 2" xfId="24140"/>
    <cellStyle name="Normal 2 59 2 2 12" xfId="6370"/>
    <cellStyle name="Normal 2 59 2 2 12 2" xfId="24141"/>
    <cellStyle name="Normal 2 59 2 2 13" xfId="6371"/>
    <cellStyle name="Normal 2 59 2 2 13 2" xfId="24142"/>
    <cellStyle name="Normal 2 59 2 2 14" xfId="6372"/>
    <cellStyle name="Normal 2 59 2 2 14 2" xfId="24143"/>
    <cellStyle name="Normal 2 59 2 2 15" xfId="24138"/>
    <cellStyle name="Normal 2 59 2 2 2" xfId="6373"/>
    <cellStyle name="Normal 2 59 2 2 2 2" xfId="24144"/>
    <cellStyle name="Normal 2 59 2 2 3" xfId="6374"/>
    <cellStyle name="Normal 2 59 2 2 3 2" xfId="24145"/>
    <cellStyle name="Normal 2 59 2 2 4" xfId="6375"/>
    <cellStyle name="Normal 2 59 2 2 4 2" xfId="24146"/>
    <cellStyle name="Normal 2 59 2 2 5" xfId="6376"/>
    <cellStyle name="Normal 2 59 2 2 5 2" xfId="24147"/>
    <cellStyle name="Normal 2 59 2 2 6" xfId="6377"/>
    <cellStyle name="Normal 2 59 2 2 6 2" xfId="24148"/>
    <cellStyle name="Normal 2 59 2 2 7" xfId="6378"/>
    <cellStyle name="Normal 2 59 2 2 7 2" xfId="24149"/>
    <cellStyle name="Normal 2 59 2 2 8" xfId="6379"/>
    <cellStyle name="Normal 2 59 2 2 8 2" xfId="24150"/>
    <cellStyle name="Normal 2 59 2 2 9" xfId="6380"/>
    <cellStyle name="Normal 2 59 2 2 9 2" xfId="24151"/>
    <cellStyle name="Normal 2 59 2 3" xfId="6381"/>
    <cellStyle name="Normal 2 59 2 3 2" xfId="24152"/>
    <cellStyle name="Normal 2 59 2 4" xfId="6382"/>
    <cellStyle name="Normal 2 59 2 4 2" xfId="24153"/>
    <cellStyle name="Normal 2 59 2 5" xfId="6383"/>
    <cellStyle name="Normal 2 59 2 5 2" xfId="24154"/>
    <cellStyle name="Normal 2 59 2 6" xfId="6384"/>
    <cellStyle name="Normal 2 59 2 6 2" xfId="24155"/>
    <cellStyle name="Normal 2 59 2 7" xfId="6385"/>
    <cellStyle name="Normal 2 59 2 7 2" xfId="24156"/>
    <cellStyle name="Normal 2 59 2 8" xfId="6386"/>
    <cellStyle name="Normal 2 59 2 8 2" xfId="24157"/>
    <cellStyle name="Normal 2 59 2 9" xfId="6387"/>
    <cellStyle name="Normal 2 59 2 9 2" xfId="24158"/>
    <cellStyle name="Normal 2 59 20" xfId="6388"/>
    <cellStyle name="Normal 2 59 20 2" xfId="24159"/>
    <cellStyle name="Normal 2 59 21" xfId="6389"/>
    <cellStyle name="Normal 2 59 21 2" xfId="24160"/>
    <cellStyle name="Normal 2 59 22" xfId="6390"/>
    <cellStyle name="Normal 2 59 22 2" xfId="24161"/>
    <cellStyle name="Normal 2 59 23" xfId="6391"/>
    <cellStyle name="Normal 2 59 23 2" xfId="24162"/>
    <cellStyle name="Normal 2 59 24" xfId="24107"/>
    <cellStyle name="Normal 2 59 3" xfId="6392"/>
    <cellStyle name="Normal 2 59 3 10" xfId="6393"/>
    <cellStyle name="Normal 2 59 3 10 2" xfId="24164"/>
    <cellStyle name="Normal 2 59 3 11" xfId="6394"/>
    <cellStyle name="Normal 2 59 3 11 2" xfId="24165"/>
    <cellStyle name="Normal 2 59 3 12" xfId="6395"/>
    <cellStyle name="Normal 2 59 3 12 2" xfId="24166"/>
    <cellStyle name="Normal 2 59 3 13" xfId="6396"/>
    <cellStyle name="Normal 2 59 3 13 2" xfId="24167"/>
    <cellStyle name="Normal 2 59 3 14" xfId="6397"/>
    <cellStyle name="Normal 2 59 3 14 2" xfId="24168"/>
    <cellStyle name="Normal 2 59 3 15" xfId="6398"/>
    <cellStyle name="Normal 2 59 3 15 2" xfId="24169"/>
    <cellStyle name="Normal 2 59 3 16" xfId="24163"/>
    <cellStyle name="Normal 2 59 3 2" xfId="6399"/>
    <cellStyle name="Normal 2 59 3 2 10" xfId="6400"/>
    <cellStyle name="Normal 2 59 3 2 10 2" xfId="24171"/>
    <cellStyle name="Normal 2 59 3 2 11" xfId="6401"/>
    <cellStyle name="Normal 2 59 3 2 11 2" xfId="24172"/>
    <cellStyle name="Normal 2 59 3 2 12" xfId="6402"/>
    <cellStyle name="Normal 2 59 3 2 12 2" xfId="24173"/>
    <cellStyle name="Normal 2 59 3 2 13" xfId="6403"/>
    <cellStyle name="Normal 2 59 3 2 13 2" xfId="24174"/>
    <cellStyle name="Normal 2 59 3 2 14" xfId="6404"/>
    <cellStyle name="Normal 2 59 3 2 14 2" xfId="24175"/>
    <cellStyle name="Normal 2 59 3 2 15" xfId="24170"/>
    <cellStyle name="Normal 2 59 3 2 2" xfId="6405"/>
    <cellStyle name="Normal 2 59 3 2 2 2" xfId="24176"/>
    <cellStyle name="Normal 2 59 3 2 3" xfId="6406"/>
    <cellStyle name="Normal 2 59 3 2 3 2" xfId="24177"/>
    <cellStyle name="Normal 2 59 3 2 4" xfId="6407"/>
    <cellStyle name="Normal 2 59 3 2 4 2" xfId="24178"/>
    <cellStyle name="Normal 2 59 3 2 5" xfId="6408"/>
    <cellStyle name="Normal 2 59 3 2 5 2" xfId="24179"/>
    <cellStyle name="Normal 2 59 3 2 6" xfId="6409"/>
    <cellStyle name="Normal 2 59 3 2 6 2" xfId="24180"/>
    <cellStyle name="Normal 2 59 3 2 7" xfId="6410"/>
    <cellStyle name="Normal 2 59 3 2 7 2" xfId="24181"/>
    <cellStyle name="Normal 2 59 3 2 8" xfId="6411"/>
    <cellStyle name="Normal 2 59 3 2 8 2" xfId="24182"/>
    <cellStyle name="Normal 2 59 3 2 9" xfId="6412"/>
    <cellStyle name="Normal 2 59 3 2 9 2" xfId="24183"/>
    <cellStyle name="Normal 2 59 3 3" xfId="6413"/>
    <cellStyle name="Normal 2 59 3 3 2" xfId="24184"/>
    <cellStyle name="Normal 2 59 3 4" xfId="6414"/>
    <cellStyle name="Normal 2 59 3 4 2" xfId="24185"/>
    <cellStyle name="Normal 2 59 3 5" xfId="6415"/>
    <cellStyle name="Normal 2 59 3 5 2" xfId="24186"/>
    <cellStyle name="Normal 2 59 3 6" xfId="6416"/>
    <cellStyle name="Normal 2 59 3 6 2" xfId="24187"/>
    <cellStyle name="Normal 2 59 3 7" xfId="6417"/>
    <cellStyle name="Normal 2 59 3 7 2" xfId="24188"/>
    <cellStyle name="Normal 2 59 3 8" xfId="6418"/>
    <cellStyle name="Normal 2 59 3 8 2" xfId="24189"/>
    <cellStyle name="Normal 2 59 3 9" xfId="6419"/>
    <cellStyle name="Normal 2 59 3 9 2" xfId="24190"/>
    <cellStyle name="Normal 2 59 4" xfId="6420"/>
    <cellStyle name="Normal 2 59 4 10" xfId="6421"/>
    <cellStyle name="Normal 2 59 4 10 2" xfId="24192"/>
    <cellStyle name="Normal 2 59 4 11" xfId="6422"/>
    <cellStyle name="Normal 2 59 4 11 2" xfId="24193"/>
    <cellStyle name="Normal 2 59 4 12" xfId="6423"/>
    <cellStyle name="Normal 2 59 4 12 2" xfId="24194"/>
    <cellStyle name="Normal 2 59 4 13" xfId="6424"/>
    <cellStyle name="Normal 2 59 4 13 2" xfId="24195"/>
    <cellStyle name="Normal 2 59 4 14" xfId="6425"/>
    <cellStyle name="Normal 2 59 4 14 2" xfId="24196"/>
    <cellStyle name="Normal 2 59 4 15" xfId="6426"/>
    <cellStyle name="Normal 2 59 4 15 2" xfId="24197"/>
    <cellStyle name="Normal 2 59 4 16" xfId="24191"/>
    <cellStyle name="Normal 2 59 4 2" xfId="6427"/>
    <cellStyle name="Normal 2 59 4 2 10" xfId="6428"/>
    <cellStyle name="Normal 2 59 4 2 10 2" xfId="24199"/>
    <cellStyle name="Normal 2 59 4 2 11" xfId="6429"/>
    <cellStyle name="Normal 2 59 4 2 11 2" xfId="24200"/>
    <cellStyle name="Normal 2 59 4 2 12" xfId="6430"/>
    <cellStyle name="Normal 2 59 4 2 12 2" xfId="24201"/>
    <cellStyle name="Normal 2 59 4 2 13" xfId="6431"/>
    <cellStyle name="Normal 2 59 4 2 13 2" xfId="24202"/>
    <cellStyle name="Normal 2 59 4 2 14" xfId="6432"/>
    <cellStyle name="Normal 2 59 4 2 14 2" xfId="24203"/>
    <cellStyle name="Normal 2 59 4 2 15" xfId="24198"/>
    <cellStyle name="Normal 2 59 4 2 2" xfId="6433"/>
    <cellStyle name="Normal 2 59 4 2 2 2" xfId="24204"/>
    <cellStyle name="Normal 2 59 4 2 3" xfId="6434"/>
    <cellStyle name="Normal 2 59 4 2 3 2" xfId="24205"/>
    <cellStyle name="Normal 2 59 4 2 4" xfId="6435"/>
    <cellStyle name="Normal 2 59 4 2 4 2" xfId="24206"/>
    <cellStyle name="Normal 2 59 4 2 5" xfId="6436"/>
    <cellStyle name="Normal 2 59 4 2 5 2" xfId="24207"/>
    <cellStyle name="Normal 2 59 4 2 6" xfId="6437"/>
    <cellStyle name="Normal 2 59 4 2 6 2" xfId="24208"/>
    <cellStyle name="Normal 2 59 4 2 7" xfId="6438"/>
    <cellStyle name="Normal 2 59 4 2 7 2" xfId="24209"/>
    <cellStyle name="Normal 2 59 4 2 8" xfId="6439"/>
    <cellStyle name="Normal 2 59 4 2 8 2" xfId="24210"/>
    <cellStyle name="Normal 2 59 4 2 9" xfId="6440"/>
    <cellStyle name="Normal 2 59 4 2 9 2" xfId="24211"/>
    <cellStyle name="Normal 2 59 4 3" xfId="6441"/>
    <cellStyle name="Normal 2 59 4 3 2" xfId="24212"/>
    <cellStyle name="Normal 2 59 4 4" xfId="6442"/>
    <cellStyle name="Normal 2 59 4 4 2" xfId="24213"/>
    <cellStyle name="Normal 2 59 4 5" xfId="6443"/>
    <cellStyle name="Normal 2 59 4 5 2" xfId="24214"/>
    <cellStyle name="Normal 2 59 4 6" xfId="6444"/>
    <cellStyle name="Normal 2 59 4 6 2" xfId="24215"/>
    <cellStyle name="Normal 2 59 4 7" xfId="6445"/>
    <cellStyle name="Normal 2 59 4 7 2" xfId="24216"/>
    <cellStyle name="Normal 2 59 4 8" xfId="6446"/>
    <cellStyle name="Normal 2 59 4 8 2" xfId="24217"/>
    <cellStyle name="Normal 2 59 4 9" xfId="6447"/>
    <cellStyle name="Normal 2 59 4 9 2" xfId="24218"/>
    <cellStyle name="Normal 2 59 5" xfId="6448"/>
    <cellStyle name="Normal 2 59 5 10" xfId="6449"/>
    <cellStyle name="Normal 2 59 5 10 2" xfId="24220"/>
    <cellStyle name="Normal 2 59 5 11" xfId="6450"/>
    <cellStyle name="Normal 2 59 5 11 2" xfId="24221"/>
    <cellStyle name="Normal 2 59 5 12" xfId="6451"/>
    <cellStyle name="Normal 2 59 5 12 2" xfId="24222"/>
    <cellStyle name="Normal 2 59 5 13" xfId="6452"/>
    <cellStyle name="Normal 2 59 5 13 2" xfId="24223"/>
    <cellStyle name="Normal 2 59 5 14" xfId="6453"/>
    <cellStyle name="Normal 2 59 5 14 2" xfId="24224"/>
    <cellStyle name="Normal 2 59 5 15" xfId="24219"/>
    <cellStyle name="Normal 2 59 5 2" xfId="6454"/>
    <cellStyle name="Normal 2 59 5 2 2" xfId="24225"/>
    <cellStyle name="Normal 2 59 5 3" xfId="6455"/>
    <cellStyle name="Normal 2 59 5 3 2" xfId="24226"/>
    <cellStyle name="Normal 2 59 5 4" xfId="6456"/>
    <cellStyle name="Normal 2 59 5 4 2" xfId="24227"/>
    <cellStyle name="Normal 2 59 5 5" xfId="6457"/>
    <cellStyle name="Normal 2 59 5 5 2" xfId="24228"/>
    <cellStyle name="Normal 2 59 5 6" xfId="6458"/>
    <cellStyle name="Normal 2 59 5 6 2" xfId="24229"/>
    <cellStyle name="Normal 2 59 5 7" xfId="6459"/>
    <cellStyle name="Normal 2 59 5 7 2" xfId="24230"/>
    <cellStyle name="Normal 2 59 5 8" xfId="6460"/>
    <cellStyle name="Normal 2 59 5 8 2" xfId="24231"/>
    <cellStyle name="Normal 2 59 5 9" xfId="6461"/>
    <cellStyle name="Normal 2 59 5 9 2" xfId="24232"/>
    <cellStyle name="Normal 2 59 6" xfId="6462"/>
    <cellStyle name="Normal 2 59 6 10" xfId="6463"/>
    <cellStyle name="Normal 2 59 6 10 2" xfId="24234"/>
    <cellStyle name="Normal 2 59 6 11" xfId="6464"/>
    <cellStyle name="Normal 2 59 6 11 2" xfId="24235"/>
    <cellStyle name="Normal 2 59 6 12" xfId="6465"/>
    <cellStyle name="Normal 2 59 6 12 2" xfId="24236"/>
    <cellStyle name="Normal 2 59 6 13" xfId="6466"/>
    <cellStyle name="Normal 2 59 6 13 2" xfId="24237"/>
    <cellStyle name="Normal 2 59 6 14" xfId="6467"/>
    <cellStyle name="Normal 2 59 6 14 2" xfId="24238"/>
    <cellStyle name="Normal 2 59 6 15" xfId="24233"/>
    <cellStyle name="Normal 2 59 6 2" xfId="6468"/>
    <cellStyle name="Normal 2 59 6 2 2" xfId="24239"/>
    <cellStyle name="Normal 2 59 6 3" xfId="6469"/>
    <cellStyle name="Normal 2 59 6 3 2" xfId="24240"/>
    <cellStyle name="Normal 2 59 6 4" xfId="6470"/>
    <cellStyle name="Normal 2 59 6 4 2" xfId="24241"/>
    <cellStyle name="Normal 2 59 6 5" xfId="6471"/>
    <cellStyle name="Normal 2 59 6 5 2" xfId="24242"/>
    <cellStyle name="Normal 2 59 6 6" xfId="6472"/>
    <cellStyle name="Normal 2 59 6 6 2" xfId="24243"/>
    <cellStyle name="Normal 2 59 6 7" xfId="6473"/>
    <cellStyle name="Normal 2 59 6 7 2" xfId="24244"/>
    <cellStyle name="Normal 2 59 6 8" xfId="6474"/>
    <cellStyle name="Normal 2 59 6 8 2" xfId="24245"/>
    <cellStyle name="Normal 2 59 6 9" xfId="6475"/>
    <cellStyle name="Normal 2 59 6 9 2" xfId="24246"/>
    <cellStyle name="Normal 2 59 7" xfId="6476"/>
    <cellStyle name="Normal 2 59 7 10" xfId="6477"/>
    <cellStyle name="Normal 2 59 7 10 2" xfId="24248"/>
    <cellStyle name="Normal 2 59 7 11" xfId="6478"/>
    <cellStyle name="Normal 2 59 7 11 2" xfId="24249"/>
    <cellStyle name="Normal 2 59 7 12" xfId="6479"/>
    <cellStyle name="Normal 2 59 7 12 2" xfId="24250"/>
    <cellStyle name="Normal 2 59 7 13" xfId="6480"/>
    <cellStyle name="Normal 2 59 7 13 2" xfId="24251"/>
    <cellStyle name="Normal 2 59 7 14" xfId="6481"/>
    <cellStyle name="Normal 2 59 7 14 2" xfId="24252"/>
    <cellStyle name="Normal 2 59 7 15" xfId="24247"/>
    <cellStyle name="Normal 2 59 7 2" xfId="6482"/>
    <cellStyle name="Normal 2 59 7 2 2" xfId="24253"/>
    <cellStyle name="Normal 2 59 7 3" xfId="6483"/>
    <cellStyle name="Normal 2 59 7 3 2" xfId="24254"/>
    <cellStyle name="Normal 2 59 7 4" xfId="6484"/>
    <cellStyle name="Normal 2 59 7 4 2" xfId="24255"/>
    <cellStyle name="Normal 2 59 7 5" xfId="6485"/>
    <cellStyle name="Normal 2 59 7 5 2" xfId="24256"/>
    <cellStyle name="Normal 2 59 7 6" xfId="6486"/>
    <cellStyle name="Normal 2 59 7 6 2" xfId="24257"/>
    <cellStyle name="Normal 2 59 7 7" xfId="6487"/>
    <cellStyle name="Normal 2 59 7 7 2" xfId="24258"/>
    <cellStyle name="Normal 2 59 7 8" xfId="6488"/>
    <cellStyle name="Normal 2 59 7 8 2" xfId="24259"/>
    <cellStyle name="Normal 2 59 7 9" xfId="6489"/>
    <cellStyle name="Normal 2 59 7 9 2" xfId="24260"/>
    <cellStyle name="Normal 2 59 8" xfId="6490"/>
    <cellStyle name="Normal 2 59 8 10" xfId="6491"/>
    <cellStyle name="Normal 2 59 8 10 2" xfId="24262"/>
    <cellStyle name="Normal 2 59 8 11" xfId="6492"/>
    <cellStyle name="Normal 2 59 8 11 2" xfId="24263"/>
    <cellStyle name="Normal 2 59 8 12" xfId="6493"/>
    <cellStyle name="Normal 2 59 8 12 2" xfId="24264"/>
    <cellStyle name="Normal 2 59 8 13" xfId="6494"/>
    <cellStyle name="Normal 2 59 8 13 2" xfId="24265"/>
    <cellStyle name="Normal 2 59 8 14" xfId="6495"/>
    <cellStyle name="Normal 2 59 8 14 2" xfId="24266"/>
    <cellStyle name="Normal 2 59 8 15" xfId="24261"/>
    <cellStyle name="Normal 2 59 8 2" xfId="6496"/>
    <cellStyle name="Normal 2 59 8 2 2" xfId="24267"/>
    <cellStyle name="Normal 2 59 8 3" xfId="6497"/>
    <cellStyle name="Normal 2 59 8 3 2" xfId="24268"/>
    <cellStyle name="Normal 2 59 8 4" xfId="6498"/>
    <cellStyle name="Normal 2 59 8 4 2" xfId="24269"/>
    <cellStyle name="Normal 2 59 8 5" xfId="6499"/>
    <cellStyle name="Normal 2 59 8 5 2" xfId="24270"/>
    <cellStyle name="Normal 2 59 8 6" xfId="6500"/>
    <cellStyle name="Normal 2 59 8 6 2" xfId="24271"/>
    <cellStyle name="Normal 2 59 8 7" xfId="6501"/>
    <cellStyle name="Normal 2 59 8 7 2" xfId="24272"/>
    <cellStyle name="Normal 2 59 8 8" xfId="6502"/>
    <cellStyle name="Normal 2 59 8 8 2" xfId="24273"/>
    <cellStyle name="Normal 2 59 8 9" xfId="6503"/>
    <cellStyle name="Normal 2 59 8 9 2" xfId="24274"/>
    <cellStyle name="Normal 2 59 9" xfId="6504"/>
    <cellStyle name="Normal 2 59 9 10" xfId="6505"/>
    <cellStyle name="Normal 2 59 9 10 2" xfId="24276"/>
    <cellStyle name="Normal 2 59 9 11" xfId="6506"/>
    <cellStyle name="Normal 2 59 9 11 2" xfId="24277"/>
    <cellStyle name="Normal 2 59 9 12" xfId="6507"/>
    <cellStyle name="Normal 2 59 9 12 2" xfId="24278"/>
    <cellStyle name="Normal 2 59 9 13" xfId="6508"/>
    <cellStyle name="Normal 2 59 9 13 2" xfId="24279"/>
    <cellStyle name="Normal 2 59 9 14" xfId="6509"/>
    <cellStyle name="Normal 2 59 9 14 2" xfId="24280"/>
    <cellStyle name="Normal 2 59 9 15" xfId="24275"/>
    <cellStyle name="Normal 2 59 9 2" xfId="6510"/>
    <cellStyle name="Normal 2 59 9 2 2" xfId="24281"/>
    <cellStyle name="Normal 2 59 9 3" xfId="6511"/>
    <cellStyle name="Normal 2 59 9 3 2" xfId="24282"/>
    <cellStyle name="Normal 2 59 9 4" xfId="6512"/>
    <cellStyle name="Normal 2 59 9 4 2" xfId="24283"/>
    <cellStyle name="Normal 2 59 9 5" xfId="6513"/>
    <cellStyle name="Normal 2 59 9 5 2" xfId="24284"/>
    <cellStyle name="Normal 2 59 9 6" xfId="6514"/>
    <cellStyle name="Normal 2 59 9 6 2" xfId="24285"/>
    <cellStyle name="Normal 2 59 9 7" xfId="6515"/>
    <cellStyle name="Normal 2 59 9 7 2" xfId="24286"/>
    <cellStyle name="Normal 2 59 9 8" xfId="6516"/>
    <cellStyle name="Normal 2 59 9 8 2" xfId="24287"/>
    <cellStyle name="Normal 2 59 9 9" xfId="6517"/>
    <cellStyle name="Normal 2 59 9 9 2" xfId="24288"/>
    <cellStyle name="Normal 2 6" xfId="136"/>
    <cellStyle name="Normal 2 6 2" xfId="198"/>
    <cellStyle name="Normal 2 6 2 2" xfId="6520"/>
    <cellStyle name="Normal 2 6 2 2 2" xfId="6521"/>
    <cellStyle name="Normal 2 6 2 3" xfId="6522"/>
    <cellStyle name="Normal 2 6 2 3 2" xfId="6523"/>
    <cellStyle name="Normal 2 6 2 4" xfId="6524"/>
    <cellStyle name="Normal 2 6 2 4 2" xfId="6525"/>
    <cellStyle name="Normal 2 6 2 5" xfId="6526"/>
    <cellStyle name="Normal 2 6 2 5 2" xfId="6527"/>
    <cellStyle name="Normal 2 6 2 6" xfId="6528"/>
    <cellStyle name="Normal 2 6 2 6 2" xfId="6529"/>
    <cellStyle name="Normal 2 6 2 7" xfId="6530"/>
    <cellStyle name="Normal 2 6 2 7 2" xfId="6531"/>
    <cellStyle name="Normal 2 6 2 8" xfId="6519"/>
    <cellStyle name="Normal 2 6 3" xfId="179"/>
    <cellStyle name="Normal 2 6 3 2" xfId="556"/>
    <cellStyle name="Normal 2 6 3 3" xfId="6532"/>
    <cellStyle name="Normal 2 6 4" xfId="467"/>
    <cellStyle name="Normal 2 6 4 2" xfId="6533"/>
    <cellStyle name="Normal 2 6 5" xfId="6534"/>
    <cellStyle name="Normal 2 6 6" xfId="6535"/>
    <cellStyle name="Normal 2 6 7" xfId="6536"/>
    <cellStyle name="Normal 2 6 8" xfId="6537"/>
    <cellStyle name="Normal 2 6 9" xfId="6518"/>
    <cellStyle name="Normal 2 60" xfId="6538"/>
    <cellStyle name="Normal 2 60 10" xfId="6539"/>
    <cellStyle name="Normal 2 60 10 10" xfId="6540"/>
    <cellStyle name="Normal 2 60 10 10 2" xfId="24291"/>
    <cellStyle name="Normal 2 60 10 11" xfId="6541"/>
    <cellStyle name="Normal 2 60 10 11 2" xfId="24292"/>
    <cellStyle name="Normal 2 60 10 12" xfId="6542"/>
    <cellStyle name="Normal 2 60 10 12 2" xfId="24293"/>
    <cellStyle name="Normal 2 60 10 13" xfId="6543"/>
    <cellStyle name="Normal 2 60 10 13 2" xfId="24294"/>
    <cellStyle name="Normal 2 60 10 14" xfId="6544"/>
    <cellStyle name="Normal 2 60 10 14 2" xfId="24295"/>
    <cellStyle name="Normal 2 60 10 15" xfId="24290"/>
    <cellStyle name="Normal 2 60 10 2" xfId="6545"/>
    <cellStyle name="Normal 2 60 10 2 2" xfId="24296"/>
    <cellStyle name="Normal 2 60 10 3" xfId="6546"/>
    <cellStyle name="Normal 2 60 10 3 2" xfId="24297"/>
    <cellStyle name="Normal 2 60 10 4" xfId="6547"/>
    <cellStyle name="Normal 2 60 10 4 2" xfId="24298"/>
    <cellStyle name="Normal 2 60 10 5" xfId="6548"/>
    <cellStyle name="Normal 2 60 10 5 2" xfId="24299"/>
    <cellStyle name="Normal 2 60 10 6" xfId="6549"/>
    <cellStyle name="Normal 2 60 10 6 2" xfId="24300"/>
    <cellStyle name="Normal 2 60 10 7" xfId="6550"/>
    <cellStyle name="Normal 2 60 10 7 2" xfId="24301"/>
    <cellStyle name="Normal 2 60 10 8" xfId="6551"/>
    <cellStyle name="Normal 2 60 10 8 2" xfId="24302"/>
    <cellStyle name="Normal 2 60 10 9" xfId="6552"/>
    <cellStyle name="Normal 2 60 10 9 2" xfId="24303"/>
    <cellStyle name="Normal 2 60 11" xfId="6553"/>
    <cellStyle name="Normal 2 60 11 2" xfId="24304"/>
    <cellStyle name="Normal 2 60 12" xfId="6554"/>
    <cellStyle name="Normal 2 60 12 2" xfId="24305"/>
    <cellStyle name="Normal 2 60 13" xfId="6555"/>
    <cellStyle name="Normal 2 60 13 2" xfId="24306"/>
    <cellStyle name="Normal 2 60 14" xfId="6556"/>
    <cellStyle name="Normal 2 60 14 2" xfId="24307"/>
    <cellStyle name="Normal 2 60 15" xfId="6557"/>
    <cellStyle name="Normal 2 60 15 2" xfId="24308"/>
    <cellStyle name="Normal 2 60 16" xfId="6558"/>
    <cellStyle name="Normal 2 60 16 2" xfId="24309"/>
    <cellStyle name="Normal 2 60 17" xfId="6559"/>
    <cellStyle name="Normal 2 60 17 2" xfId="24310"/>
    <cellStyle name="Normal 2 60 18" xfId="6560"/>
    <cellStyle name="Normal 2 60 18 2" xfId="24311"/>
    <cellStyle name="Normal 2 60 19" xfId="6561"/>
    <cellStyle name="Normal 2 60 19 2" xfId="24312"/>
    <cellStyle name="Normal 2 60 2" xfId="6562"/>
    <cellStyle name="Normal 2 60 2 10" xfId="6563"/>
    <cellStyle name="Normal 2 60 2 10 2" xfId="24314"/>
    <cellStyle name="Normal 2 60 2 11" xfId="6564"/>
    <cellStyle name="Normal 2 60 2 11 2" xfId="24315"/>
    <cellStyle name="Normal 2 60 2 12" xfId="6565"/>
    <cellStyle name="Normal 2 60 2 12 2" xfId="24316"/>
    <cellStyle name="Normal 2 60 2 13" xfId="6566"/>
    <cellStyle name="Normal 2 60 2 13 2" xfId="24317"/>
    <cellStyle name="Normal 2 60 2 14" xfId="6567"/>
    <cellStyle name="Normal 2 60 2 14 2" xfId="24318"/>
    <cellStyle name="Normal 2 60 2 15" xfId="6568"/>
    <cellStyle name="Normal 2 60 2 15 2" xfId="24319"/>
    <cellStyle name="Normal 2 60 2 16" xfId="24313"/>
    <cellStyle name="Normal 2 60 2 2" xfId="6569"/>
    <cellStyle name="Normal 2 60 2 2 10" xfId="6570"/>
    <cellStyle name="Normal 2 60 2 2 10 2" xfId="24321"/>
    <cellStyle name="Normal 2 60 2 2 11" xfId="6571"/>
    <cellStyle name="Normal 2 60 2 2 11 2" xfId="24322"/>
    <cellStyle name="Normal 2 60 2 2 12" xfId="6572"/>
    <cellStyle name="Normal 2 60 2 2 12 2" xfId="24323"/>
    <cellStyle name="Normal 2 60 2 2 13" xfId="6573"/>
    <cellStyle name="Normal 2 60 2 2 13 2" xfId="24324"/>
    <cellStyle name="Normal 2 60 2 2 14" xfId="6574"/>
    <cellStyle name="Normal 2 60 2 2 14 2" xfId="24325"/>
    <cellStyle name="Normal 2 60 2 2 15" xfId="24320"/>
    <cellStyle name="Normal 2 60 2 2 2" xfId="6575"/>
    <cellStyle name="Normal 2 60 2 2 2 2" xfId="24326"/>
    <cellStyle name="Normal 2 60 2 2 3" xfId="6576"/>
    <cellStyle name="Normal 2 60 2 2 3 2" xfId="24327"/>
    <cellStyle name="Normal 2 60 2 2 4" xfId="6577"/>
    <cellStyle name="Normal 2 60 2 2 4 2" xfId="24328"/>
    <cellStyle name="Normal 2 60 2 2 5" xfId="6578"/>
    <cellStyle name="Normal 2 60 2 2 5 2" xfId="24329"/>
    <cellStyle name="Normal 2 60 2 2 6" xfId="6579"/>
    <cellStyle name="Normal 2 60 2 2 6 2" xfId="24330"/>
    <cellStyle name="Normal 2 60 2 2 7" xfId="6580"/>
    <cellStyle name="Normal 2 60 2 2 7 2" xfId="24331"/>
    <cellStyle name="Normal 2 60 2 2 8" xfId="6581"/>
    <cellStyle name="Normal 2 60 2 2 8 2" xfId="24332"/>
    <cellStyle name="Normal 2 60 2 2 9" xfId="6582"/>
    <cellStyle name="Normal 2 60 2 2 9 2" xfId="24333"/>
    <cellStyle name="Normal 2 60 2 3" xfId="6583"/>
    <cellStyle name="Normal 2 60 2 3 2" xfId="24334"/>
    <cellStyle name="Normal 2 60 2 4" xfId="6584"/>
    <cellStyle name="Normal 2 60 2 4 2" xfId="24335"/>
    <cellStyle name="Normal 2 60 2 5" xfId="6585"/>
    <cellStyle name="Normal 2 60 2 5 2" xfId="24336"/>
    <cellStyle name="Normal 2 60 2 6" xfId="6586"/>
    <cellStyle name="Normal 2 60 2 6 2" xfId="24337"/>
    <cellStyle name="Normal 2 60 2 7" xfId="6587"/>
    <cellStyle name="Normal 2 60 2 7 2" xfId="24338"/>
    <cellStyle name="Normal 2 60 2 8" xfId="6588"/>
    <cellStyle name="Normal 2 60 2 8 2" xfId="24339"/>
    <cellStyle name="Normal 2 60 2 9" xfId="6589"/>
    <cellStyle name="Normal 2 60 2 9 2" xfId="24340"/>
    <cellStyle name="Normal 2 60 20" xfId="6590"/>
    <cellStyle name="Normal 2 60 20 2" xfId="24341"/>
    <cellStyle name="Normal 2 60 21" xfId="6591"/>
    <cellStyle name="Normal 2 60 21 2" xfId="24342"/>
    <cellStyle name="Normal 2 60 22" xfId="6592"/>
    <cellStyle name="Normal 2 60 22 2" xfId="24343"/>
    <cellStyle name="Normal 2 60 23" xfId="6593"/>
    <cellStyle name="Normal 2 60 23 2" xfId="24344"/>
    <cellStyle name="Normal 2 60 24" xfId="24289"/>
    <cellStyle name="Normal 2 60 3" xfId="6594"/>
    <cellStyle name="Normal 2 60 3 10" xfId="6595"/>
    <cellStyle name="Normal 2 60 3 10 2" xfId="24346"/>
    <cellStyle name="Normal 2 60 3 11" xfId="6596"/>
    <cellStyle name="Normal 2 60 3 11 2" xfId="24347"/>
    <cellStyle name="Normal 2 60 3 12" xfId="6597"/>
    <cellStyle name="Normal 2 60 3 12 2" xfId="24348"/>
    <cellStyle name="Normal 2 60 3 13" xfId="6598"/>
    <cellStyle name="Normal 2 60 3 13 2" xfId="24349"/>
    <cellStyle name="Normal 2 60 3 14" xfId="6599"/>
    <cellStyle name="Normal 2 60 3 14 2" xfId="24350"/>
    <cellStyle name="Normal 2 60 3 15" xfId="6600"/>
    <cellStyle name="Normal 2 60 3 15 2" xfId="24351"/>
    <cellStyle name="Normal 2 60 3 16" xfId="24345"/>
    <cellStyle name="Normal 2 60 3 2" xfId="6601"/>
    <cellStyle name="Normal 2 60 3 2 10" xfId="6602"/>
    <cellStyle name="Normal 2 60 3 2 10 2" xfId="24353"/>
    <cellStyle name="Normal 2 60 3 2 11" xfId="6603"/>
    <cellStyle name="Normal 2 60 3 2 11 2" xfId="24354"/>
    <cellStyle name="Normal 2 60 3 2 12" xfId="6604"/>
    <cellStyle name="Normal 2 60 3 2 12 2" xfId="24355"/>
    <cellStyle name="Normal 2 60 3 2 13" xfId="6605"/>
    <cellStyle name="Normal 2 60 3 2 13 2" xfId="24356"/>
    <cellStyle name="Normal 2 60 3 2 14" xfId="6606"/>
    <cellStyle name="Normal 2 60 3 2 14 2" xfId="24357"/>
    <cellStyle name="Normal 2 60 3 2 15" xfId="24352"/>
    <cellStyle name="Normal 2 60 3 2 2" xfId="6607"/>
    <cellStyle name="Normal 2 60 3 2 2 2" xfId="24358"/>
    <cellStyle name="Normal 2 60 3 2 3" xfId="6608"/>
    <cellStyle name="Normal 2 60 3 2 3 2" xfId="24359"/>
    <cellStyle name="Normal 2 60 3 2 4" xfId="6609"/>
    <cellStyle name="Normal 2 60 3 2 4 2" xfId="24360"/>
    <cellStyle name="Normal 2 60 3 2 5" xfId="6610"/>
    <cellStyle name="Normal 2 60 3 2 5 2" xfId="24361"/>
    <cellStyle name="Normal 2 60 3 2 6" xfId="6611"/>
    <cellStyle name="Normal 2 60 3 2 6 2" xfId="24362"/>
    <cellStyle name="Normal 2 60 3 2 7" xfId="6612"/>
    <cellStyle name="Normal 2 60 3 2 7 2" xfId="24363"/>
    <cellStyle name="Normal 2 60 3 2 8" xfId="6613"/>
    <cellStyle name="Normal 2 60 3 2 8 2" xfId="24364"/>
    <cellStyle name="Normal 2 60 3 2 9" xfId="6614"/>
    <cellStyle name="Normal 2 60 3 2 9 2" xfId="24365"/>
    <cellStyle name="Normal 2 60 3 3" xfId="6615"/>
    <cellStyle name="Normal 2 60 3 3 2" xfId="24366"/>
    <cellStyle name="Normal 2 60 3 4" xfId="6616"/>
    <cellStyle name="Normal 2 60 3 4 2" xfId="24367"/>
    <cellStyle name="Normal 2 60 3 5" xfId="6617"/>
    <cellStyle name="Normal 2 60 3 5 2" xfId="24368"/>
    <cellStyle name="Normal 2 60 3 6" xfId="6618"/>
    <cellStyle name="Normal 2 60 3 6 2" xfId="24369"/>
    <cellStyle name="Normal 2 60 3 7" xfId="6619"/>
    <cellStyle name="Normal 2 60 3 7 2" xfId="24370"/>
    <cellStyle name="Normal 2 60 3 8" xfId="6620"/>
    <cellStyle name="Normal 2 60 3 8 2" xfId="24371"/>
    <cellStyle name="Normal 2 60 3 9" xfId="6621"/>
    <cellStyle name="Normal 2 60 3 9 2" xfId="24372"/>
    <cellStyle name="Normal 2 60 4" xfId="6622"/>
    <cellStyle name="Normal 2 60 4 10" xfId="6623"/>
    <cellStyle name="Normal 2 60 4 10 2" xfId="24374"/>
    <cellStyle name="Normal 2 60 4 11" xfId="6624"/>
    <cellStyle name="Normal 2 60 4 11 2" xfId="24375"/>
    <cellStyle name="Normal 2 60 4 12" xfId="6625"/>
    <cellStyle name="Normal 2 60 4 12 2" xfId="24376"/>
    <cellStyle name="Normal 2 60 4 13" xfId="6626"/>
    <cellStyle name="Normal 2 60 4 13 2" xfId="24377"/>
    <cellStyle name="Normal 2 60 4 14" xfId="6627"/>
    <cellStyle name="Normal 2 60 4 14 2" xfId="24378"/>
    <cellStyle name="Normal 2 60 4 15" xfId="6628"/>
    <cellStyle name="Normal 2 60 4 15 2" xfId="24379"/>
    <cellStyle name="Normal 2 60 4 16" xfId="24373"/>
    <cellStyle name="Normal 2 60 4 2" xfId="6629"/>
    <cellStyle name="Normal 2 60 4 2 10" xfId="6630"/>
    <cellStyle name="Normal 2 60 4 2 10 2" xfId="24381"/>
    <cellStyle name="Normal 2 60 4 2 11" xfId="6631"/>
    <cellStyle name="Normal 2 60 4 2 11 2" xfId="24382"/>
    <cellStyle name="Normal 2 60 4 2 12" xfId="6632"/>
    <cellStyle name="Normal 2 60 4 2 12 2" xfId="24383"/>
    <cellStyle name="Normal 2 60 4 2 13" xfId="6633"/>
    <cellStyle name="Normal 2 60 4 2 13 2" xfId="24384"/>
    <cellStyle name="Normal 2 60 4 2 14" xfId="6634"/>
    <cellStyle name="Normal 2 60 4 2 14 2" xfId="24385"/>
    <cellStyle name="Normal 2 60 4 2 15" xfId="24380"/>
    <cellStyle name="Normal 2 60 4 2 2" xfId="6635"/>
    <cellStyle name="Normal 2 60 4 2 2 2" xfId="24386"/>
    <cellStyle name="Normal 2 60 4 2 3" xfId="6636"/>
    <cellStyle name="Normal 2 60 4 2 3 2" xfId="24387"/>
    <cellStyle name="Normal 2 60 4 2 4" xfId="6637"/>
    <cellStyle name="Normal 2 60 4 2 4 2" xfId="24388"/>
    <cellStyle name="Normal 2 60 4 2 5" xfId="6638"/>
    <cellStyle name="Normal 2 60 4 2 5 2" xfId="24389"/>
    <cellStyle name="Normal 2 60 4 2 6" xfId="6639"/>
    <cellStyle name="Normal 2 60 4 2 6 2" xfId="24390"/>
    <cellStyle name="Normal 2 60 4 2 7" xfId="6640"/>
    <cellStyle name="Normal 2 60 4 2 7 2" xfId="24391"/>
    <cellStyle name="Normal 2 60 4 2 8" xfId="6641"/>
    <cellStyle name="Normal 2 60 4 2 8 2" xfId="24392"/>
    <cellStyle name="Normal 2 60 4 2 9" xfId="6642"/>
    <cellStyle name="Normal 2 60 4 2 9 2" xfId="24393"/>
    <cellStyle name="Normal 2 60 4 3" xfId="6643"/>
    <cellStyle name="Normal 2 60 4 3 2" xfId="24394"/>
    <cellStyle name="Normal 2 60 4 4" xfId="6644"/>
    <cellStyle name="Normal 2 60 4 4 2" xfId="24395"/>
    <cellStyle name="Normal 2 60 4 5" xfId="6645"/>
    <cellStyle name="Normal 2 60 4 5 2" xfId="24396"/>
    <cellStyle name="Normal 2 60 4 6" xfId="6646"/>
    <cellStyle name="Normal 2 60 4 6 2" xfId="24397"/>
    <cellStyle name="Normal 2 60 4 7" xfId="6647"/>
    <cellStyle name="Normal 2 60 4 7 2" xfId="24398"/>
    <cellStyle name="Normal 2 60 4 8" xfId="6648"/>
    <cellStyle name="Normal 2 60 4 8 2" xfId="24399"/>
    <cellStyle name="Normal 2 60 4 9" xfId="6649"/>
    <cellStyle name="Normal 2 60 4 9 2" xfId="24400"/>
    <cellStyle name="Normal 2 60 5" xfId="6650"/>
    <cellStyle name="Normal 2 60 5 10" xfId="6651"/>
    <cellStyle name="Normal 2 60 5 10 2" xfId="24402"/>
    <cellStyle name="Normal 2 60 5 11" xfId="6652"/>
    <cellStyle name="Normal 2 60 5 11 2" xfId="24403"/>
    <cellStyle name="Normal 2 60 5 12" xfId="6653"/>
    <cellStyle name="Normal 2 60 5 12 2" xfId="24404"/>
    <cellStyle name="Normal 2 60 5 13" xfId="6654"/>
    <cellStyle name="Normal 2 60 5 13 2" xfId="24405"/>
    <cellStyle name="Normal 2 60 5 14" xfId="6655"/>
    <cellStyle name="Normal 2 60 5 14 2" xfId="24406"/>
    <cellStyle name="Normal 2 60 5 15" xfId="24401"/>
    <cellStyle name="Normal 2 60 5 2" xfId="6656"/>
    <cellStyle name="Normal 2 60 5 2 2" xfId="24407"/>
    <cellStyle name="Normal 2 60 5 3" xfId="6657"/>
    <cellStyle name="Normal 2 60 5 3 2" xfId="24408"/>
    <cellStyle name="Normal 2 60 5 4" xfId="6658"/>
    <cellStyle name="Normal 2 60 5 4 2" xfId="24409"/>
    <cellStyle name="Normal 2 60 5 5" xfId="6659"/>
    <cellStyle name="Normal 2 60 5 5 2" xfId="24410"/>
    <cellStyle name="Normal 2 60 5 6" xfId="6660"/>
    <cellStyle name="Normal 2 60 5 6 2" xfId="24411"/>
    <cellStyle name="Normal 2 60 5 7" xfId="6661"/>
    <cellStyle name="Normal 2 60 5 7 2" xfId="24412"/>
    <cellStyle name="Normal 2 60 5 8" xfId="6662"/>
    <cellStyle name="Normal 2 60 5 8 2" xfId="24413"/>
    <cellStyle name="Normal 2 60 5 9" xfId="6663"/>
    <cellStyle name="Normal 2 60 5 9 2" xfId="24414"/>
    <cellStyle name="Normal 2 60 6" xfId="6664"/>
    <cellStyle name="Normal 2 60 6 10" xfId="6665"/>
    <cellStyle name="Normal 2 60 6 10 2" xfId="24416"/>
    <cellStyle name="Normal 2 60 6 11" xfId="6666"/>
    <cellStyle name="Normal 2 60 6 11 2" xfId="24417"/>
    <cellStyle name="Normal 2 60 6 12" xfId="6667"/>
    <cellStyle name="Normal 2 60 6 12 2" xfId="24418"/>
    <cellStyle name="Normal 2 60 6 13" xfId="6668"/>
    <cellStyle name="Normal 2 60 6 13 2" xfId="24419"/>
    <cellStyle name="Normal 2 60 6 14" xfId="6669"/>
    <cellStyle name="Normal 2 60 6 14 2" xfId="24420"/>
    <cellStyle name="Normal 2 60 6 15" xfId="24415"/>
    <cellStyle name="Normal 2 60 6 2" xfId="6670"/>
    <cellStyle name="Normal 2 60 6 2 2" xfId="24421"/>
    <cellStyle name="Normal 2 60 6 3" xfId="6671"/>
    <cellStyle name="Normal 2 60 6 3 2" xfId="24422"/>
    <cellStyle name="Normal 2 60 6 4" xfId="6672"/>
    <cellStyle name="Normal 2 60 6 4 2" xfId="24423"/>
    <cellStyle name="Normal 2 60 6 5" xfId="6673"/>
    <cellStyle name="Normal 2 60 6 5 2" xfId="24424"/>
    <cellStyle name="Normal 2 60 6 6" xfId="6674"/>
    <cellStyle name="Normal 2 60 6 6 2" xfId="24425"/>
    <cellStyle name="Normal 2 60 6 7" xfId="6675"/>
    <cellStyle name="Normal 2 60 6 7 2" xfId="24426"/>
    <cellStyle name="Normal 2 60 6 8" xfId="6676"/>
    <cellStyle name="Normal 2 60 6 8 2" xfId="24427"/>
    <cellStyle name="Normal 2 60 6 9" xfId="6677"/>
    <cellStyle name="Normal 2 60 6 9 2" xfId="24428"/>
    <cellStyle name="Normal 2 60 7" xfId="6678"/>
    <cellStyle name="Normal 2 60 7 10" xfId="6679"/>
    <cellStyle name="Normal 2 60 7 10 2" xfId="24430"/>
    <cellStyle name="Normal 2 60 7 11" xfId="6680"/>
    <cellStyle name="Normal 2 60 7 11 2" xfId="24431"/>
    <cellStyle name="Normal 2 60 7 12" xfId="6681"/>
    <cellStyle name="Normal 2 60 7 12 2" xfId="24432"/>
    <cellStyle name="Normal 2 60 7 13" xfId="6682"/>
    <cellStyle name="Normal 2 60 7 13 2" xfId="24433"/>
    <cellStyle name="Normal 2 60 7 14" xfId="6683"/>
    <cellStyle name="Normal 2 60 7 14 2" xfId="24434"/>
    <cellStyle name="Normal 2 60 7 15" xfId="24429"/>
    <cellStyle name="Normal 2 60 7 2" xfId="6684"/>
    <cellStyle name="Normal 2 60 7 2 2" xfId="24435"/>
    <cellStyle name="Normal 2 60 7 3" xfId="6685"/>
    <cellStyle name="Normal 2 60 7 3 2" xfId="24436"/>
    <cellStyle name="Normal 2 60 7 4" xfId="6686"/>
    <cellStyle name="Normal 2 60 7 4 2" xfId="24437"/>
    <cellStyle name="Normal 2 60 7 5" xfId="6687"/>
    <cellStyle name="Normal 2 60 7 5 2" xfId="24438"/>
    <cellStyle name="Normal 2 60 7 6" xfId="6688"/>
    <cellStyle name="Normal 2 60 7 6 2" xfId="24439"/>
    <cellStyle name="Normal 2 60 7 7" xfId="6689"/>
    <cellStyle name="Normal 2 60 7 7 2" xfId="24440"/>
    <cellStyle name="Normal 2 60 7 8" xfId="6690"/>
    <cellStyle name="Normal 2 60 7 8 2" xfId="24441"/>
    <cellStyle name="Normal 2 60 7 9" xfId="6691"/>
    <cellStyle name="Normal 2 60 7 9 2" xfId="24442"/>
    <cellStyle name="Normal 2 60 8" xfId="6692"/>
    <cellStyle name="Normal 2 60 8 10" xfId="6693"/>
    <cellStyle name="Normal 2 60 8 10 2" xfId="24444"/>
    <cellStyle name="Normal 2 60 8 11" xfId="6694"/>
    <cellStyle name="Normal 2 60 8 11 2" xfId="24445"/>
    <cellStyle name="Normal 2 60 8 12" xfId="6695"/>
    <cellStyle name="Normal 2 60 8 12 2" xfId="24446"/>
    <cellStyle name="Normal 2 60 8 13" xfId="6696"/>
    <cellStyle name="Normal 2 60 8 13 2" xfId="24447"/>
    <cellStyle name="Normal 2 60 8 14" xfId="6697"/>
    <cellStyle name="Normal 2 60 8 14 2" xfId="24448"/>
    <cellStyle name="Normal 2 60 8 15" xfId="24443"/>
    <cellStyle name="Normal 2 60 8 2" xfId="6698"/>
    <cellStyle name="Normal 2 60 8 2 2" xfId="24449"/>
    <cellStyle name="Normal 2 60 8 3" xfId="6699"/>
    <cellStyle name="Normal 2 60 8 3 2" xfId="24450"/>
    <cellStyle name="Normal 2 60 8 4" xfId="6700"/>
    <cellStyle name="Normal 2 60 8 4 2" xfId="24451"/>
    <cellStyle name="Normal 2 60 8 5" xfId="6701"/>
    <cellStyle name="Normal 2 60 8 5 2" xfId="24452"/>
    <cellStyle name="Normal 2 60 8 6" xfId="6702"/>
    <cellStyle name="Normal 2 60 8 6 2" xfId="24453"/>
    <cellStyle name="Normal 2 60 8 7" xfId="6703"/>
    <cellStyle name="Normal 2 60 8 7 2" xfId="24454"/>
    <cellStyle name="Normal 2 60 8 8" xfId="6704"/>
    <cellStyle name="Normal 2 60 8 8 2" xfId="24455"/>
    <cellStyle name="Normal 2 60 8 9" xfId="6705"/>
    <cellStyle name="Normal 2 60 8 9 2" xfId="24456"/>
    <cellStyle name="Normal 2 60 9" xfId="6706"/>
    <cellStyle name="Normal 2 60 9 10" xfId="6707"/>
    <cellStyle name="Normal 2 60 9 10 2" xfId="24458"/>
    <cellStyle name="Normal 2 60 9 11" xfId="6708"/>
    <cellStyle name="Normal 2 60 9 11 2" xfId="24459"/>
    <cellStyle name="Normal 2 60 9 12" xfId="6709"/>
    <cellStyle name="Normal 2 60 9 12 2" xfId="24460"/>
    <cellStyle name="Normal 2 60 9 13" xfId="6710"/>
    <cellStyle name="Normal 2 60 9 13 2" xfId="24461"/>
    <cellStyle name="Normal 2 60 9 14" xfId="6711"/>
    <cellStyle name="Normal 2 60 9 14 2" xfId="24462"/>
    <cellStyle name="Normal 2 60 9 15" xfId="24457"/>
    <cellStyle name="Normal 2 60 9 2" xfId="6712"/>
    <cellStyle name="Normal 2 60 9 2 2" xfId="24463"/>
    <cellStyle name="Normal 2 60 9 3" xfId="6713"/>
    <cellStyle name="Normal 2 60 9 3 2" xfId="24464"/>
    <cellStyle name="Normal 2 60 9 4" xfId="6714"/>
    <cellStyle name="Normal 2 60 9 4 2" xfId="24465"/>
    <cellStyle name="Normal 2 60 9 5" xfId="6715"/>
    <cellStyle name="Normal 2 60 9 5 2" xfId="24466"/>
    <cellStyle name="Normal 2 60 9 6" xfId="6716"/>
    <cellStyle name="Normal 2 60 9 6 2" xfId="24467"/>
    <cellStyle name="Normal 2 60 9 7" xfId="6717"/>
    <cellStyle name="Normal 2 60 9 7 2" xfId="24468"/>
    <cellStyle name="Normal 2 60 9 8" xfId="6718"/>
    <cellStyle name="Normal 2 60 9 8 2" xfId="24469"/>
    <cellStyle name="Normal 2 60 9 9" xfId="6719"/>
    <cellStyle name="Normal 2 60 9 9 2" xfId="24470"/>
    <cellStyle name="Normal 2 61" xfId="6720"/>
    <cellStyle name="Normal 2 61 10" xfId="6721"/>
    <cellStyle name="Normal 2 61 10 10" xfId="6722"/>
    <cellStyle name="Normal 2 61 10 10 2" xfId="24473"/>
    <cellStyle name="Normal 2 61 10 11" xfId="6723"/>
    <cellStyle name="Normal 2 61 10 11 2" xfId="24474"/>
    <cellStyle name="Normal 2 61 10 12" xfId="6724"/>
    <cellStyle name="Normal 2 61 10 12 2" xfId="24475"/>
    <cellStyle name="Normal 2 61 10 13" xfId="6725"/>
    <cellStyle name="Normal 2 61 10 13 2" xfId="24476"/>
    <cellStyle name="Normal 2 61 10 14" xfId="6726"/>
    <cellStyle name="Normal 2 61 10 14 2" xfId="24477"/>
    <cellStyle name="Normal 2 61 10 15" xfId="24472"/>
    <cellStyle name="Normal 2 61 10 2" xfId="6727"/>
    <cellStyle name="Normal 2 61 10 2 2" xfId="24478"/>
    <cellStyle name="Normal 2 61 10 3" xfId="6728"/>
    <cellStyle name="Normal 2 61 10 3 2" xfId="24479"/>
    <cellStyle name="Normal 2 61 10 4" xfId="6729"/>
    <cellStyle name="Normal 2 61 10 4 2" xfId="24480"/>
    <cellStyle name="Normal 2 61 10 5" xfId="6730"/>
    <cellStyle name="Normal 2 61 10 5 2" xfId="24481"/>
    <cellStyle name="Normal 2 61 10 6" xfId="6731"/>
    <cellStyle name="Normal 2 61 10 6 2" xfId="24482"/>
    <cellStyle name="Normal 2 61 10 7" xfId="6732"/>
    <cellStyle name="Normal 2 61 10 7 2" xfId="24483"/>
    <cellStyle name="Normal 2 61 10 8" xfId="6733"/>
    <cellStyle name="Normal 2 61 10 8 2" xfId="24484"/>
    <cellStyle name="Normal 2 61 10 9" xfId="6734"/>
    <cellStyle name="Normal 2 61 10 9 2" xfId="24485"/>
    <cellStyle name="Normal 2 61 11" xfId="6735"/>
    <cellStyle name="Normal 2 61 11 2" xfId="24486"/>
    <cellStyle name="Normal 2 61 12" xfId="6736"/>
    <cellStyle name="Normal 2 61 12 2" xfId="24487"/>
    <cellStyle name="Normal 2 61 13" xfId="6737"/>
    <cellStyle name="Normal 2 61 13 2" xfId="24488"/>
    <cellStyle name="Normal 2 61 14" xfId="6738"/>
    <cellStyle name="Normal 2 61 14 2" xfId="24489"/>
    <cellStyle name="Normal 2 61 15" xfId="6739"/>
    <cellStyle name="Normal 2 61 15 2" xfId="24490"/>
    <cellStyle name="Normal 2 61 16" xfId="6740"/>
    <cellStyle name="Normal 2 61 16 2" xfId="24491"/>
    <cellStyle name="Normal 2 61 17" xfId="6741"/>
    <cellStyle name="Normal 2 61 17 2" xfId="24492"/>
    <cellStyle name="Normal 2 61 18" xfId="6742"/>
    <cellStyle name="Normal 2 61 18 2" xfId="24493"/>
    <cellStyle name="Normal 2 61 19" xfId="6743"/>
    <cellStyle name="Normal 2 61 19 2" xfId="24494"/>
    <cellStyle name="Normal 2 61 2" xfId="6744"/>
    <cellStyle name="Normal 2 61 2 10" xfId="6745"/>
    <cellStyle name="Normal 2 61 2 10 2" xfId="24496"/>
    <cellStyle name="Normal 2 61 2 11" xfId="6746"/>
    <cellStyle name="Normal 2 61 2 11 2" xfId="24497"/>
    <cellStyle name="Normal 2 61 2 12" xfId="6747"/>
    <cellStyle name="Normal 2 61 2 12 2" xfId="24498"/>
    <cellStyle name="Normal 2 61 2 13" xfId="6748"/>
    <cellStyle name="Normal 2 61 2 13 2" xfId="24499"/>
    <cellStyle name="Normal 2 61 2 14" xfId="6749"/>
    <cellStyle name="Normal 2 61 2 14 2" xfId="24500"/>
    <cellStyle name="Normal 2 61 2 15" xfId="6750"/>
    <cellStyle name="Normal 2 61 2 15 2" xfId="24501"/>
    <cellStyle name="Normal 2 61 2 16" xfId="24495"/>
    <cellStyle name="Normal 2 61 2 2" xfId="6751"/>
    <cellStyle name="Normal 2 61 2 2 10" xfId="6752"/>
    <cellStyle name="Normal 2 61 2 2 10 2" xfId="24503"/>
    <cellStyle name="Normal 2 61 2 2 11" xfId="6753"/>
    <cellStyle name="Normal 2 61 2 2 11 2" xfId="24504"/>
    <cellStyle name="Normal 2 61 2 2 12" xfId="6754"/>
    <cellStyle name="Normal 2 61 2 2 12 2" xfId="24505"/>
    <cellStyle name="Normal 2 61 2 2 13" xfId="6755"/>
    <cellStyle name="Normal 2 61 2 2 13 2" xfId="24506"/>
    <cellStyle name="Normal 2 61 2 2 14" xfId="6756"/>
    <cellStyle name="Normal 2 61 2 2 14 2" xfId="24507"/>
    <cellStyle name="Normal 2 61 2 2 15" xfId="24502"/>
    <cellStyle name="Normal 2 61 2 2 2" xfId="6757"/>
    <cellStyle name="Normal 2 61 2 2 2 2" xfId="24508"/>
    <cellStyle name="Normal 2 61 2 2 3" xfId="6758"/>
    <cellStyle name="Normal 2 61 2 2 3 2" xfId="24509"/>
    <cellStyle name="Normal 2 61 2 2 4" xfId="6759"/>
    <cellStyle name="Normal 2 61 2 2 4 2" xfId="24510"/>
    <cellStyle name="Normal 2 61 2 2 5" xfId="6760"/>
    <cellStyle name="Normal 2 61 2 2 5 2" xfId="24511"/>
    <cellStyle name="Normal 2 61 2 2 6" xfId="6761"/>
    <cellStyle name="Normal 2 61 2 2 6 2" xfId="24512"/>
    <cellStyle name="Normal 2 61 2 2 7" xfId="6762"/>
    <cellStyle name="Normal 2 61 2 2 7 2" xfId="24513"/>
    <cellStyle name="Normal 2 61 2 2 8" xfId="6763"/>
    <cellStyle name="Normal 2 61 2 2 8 2" xfId="24514"/>
    <cellStyle name="Normal 2 61 2 2 9" xfId="6764"/>
    <cellStyle name="Normal 2 61 2 2 9 2" xfId="24515"/>
    <cellStyle name="Normal 2 61 2 3" xfId="6765"/>
    <cellStyle name="Normal 2 61 2 3 2" xfId="24516"/>
    <cellStyle name="Normal 2 61 2 4" xfId="6766"/>
    <cellStyle name="Normal 2 61 2 4 2" xfId="24517"/>
    <cellStyle name="Normal 2 61 2 5" xfId="6767"/>
    <cellStyle name="Normal 2 61 2 5 2" xfId="24518"/>
    <cellStyle name="Normal 2 61 2 6" xfId="6768"/>
    <cellStyle name="Normal 2 61 2 6 2" xfId="24519"/>
    <cellStyle name="Normal 2 61 2 7" xfId="6769"/>
    <cellStyle name="Normal 2 61 2 7 2" xfId="24520"/>
    <cellStyle name="Normal 2 61 2 8" xfId="6770"/>
    <cellStyle name="Normal 2 61 2 8 2" xfId="24521"/>
    <cellStyle name="Normal 2 61 2 9" xfId="6771"/>
    <cellStyle name="Normal 2 61 2 9 2" xfId="24522"/>
    <cellStyle name="Normal 2 61 20" xfId="6772"/>
    <cellStyle name="Normal 2 61 20 2" xfId="24523"/>
    <cellStyle name="Normal 2 61 21" xfId="6773"/>
    <cellStyle name="Normal 2 61 21 2" xfId="24524"/>
    <cellStyle name="Normal 2 61 22" xfId="6774"/>
    <cellStyle name="Normal 2 61 22 2" xfId="24525"/>
    <cellStyle name="Normal 2 61 23" xfId="6775"/>
    <cellStyle name="Normal 2 61 23 2" xfId="24526"/>
    <cellStyle name="Normal 2 61 24" xfId="24471"/>
    <cellStyle name="Normal 2 61 3" xfId="6776"/>
    <cellStyle name="Normal 2 61 3 10" xfId="6777"/>
    <cellStyle name="Normal 2 61 3 10 2" xfId="24528"/>
    <cellStyle name="Normal 2 61 3 11" xfId="6778"/>
    <cellStyle name="Normal 2 61 3 11 2" xfId="24529"/>
    <cellStyle name="Normal 2 61 3 12" xfId="6779"/>
    <cellStyle name="Normal 2 61 3 12 2" xfId="24530"/>
    <cellStyle name="Normal 2 61 3 13" xfId="6780"/>
    <cellStyle name="Normal 2 61 3 13 2" xfId="24531"/>
    <cellStyle name="Normal 2 61 3 14" xfId="6781"/>
    <cellStyle name="Normal 2 61 3 14 2" xfId="24532"/>
    <cellStyle name="Normal 2 61 3 15" xfId="6782"/>
    <cellStyle name="Normal 2 61 3 15 2" xfId="24533"/>
    <cellStyle name="Normal 2 61 3 16" xfId="24527"/>
    <cellStyle name="Normal 2 61 3 2" xfId="6783"/>
    <cellStyle name="Normal 2 61 3 2 10" xfId="6784"/>
    <cellStyle name="Normal 2 61 3 2 10 2" xfId="24535"/>
    <cellStyle name="Normal 2 61 3 2 11" xfId="6785"/>
    <cellStyle name="Normal 2 61 3 2 11 2" xfId="24536"/>
    <cellStyle name="Normal 2 61 3 2 12" xfId="6786"/>
    <cellStyle name="Normal 2 61 3 2 12 2" xfId="24537"/>
    <cellStyle name="Normal 2 61 3 2 13" xfId="6787"/>
    <cellStyle name="Normal 2 61 3 2 13 2" xfId="24538"/>
    <cellStyle name="Normal 2 61 3 2 14" xfId="6788"/>
    <cellStyle name="Normal 2 61 3 2 14 2" xfId="24539"/>
    <cellStyle name="Normal 2 61 3 2 15" xfId="24534"/>
    <cellStyle name="Normal 2 61 3 2 2" xfId="6789"/>
    <cellStyle name="Normal 2 61 3 2 2 2" xfId="24540"/>
    <cellStyle name="Normal 2 61 3 2 3" xfId="6790"/>
    <cellStyle name="Normal 2 61 3 2 3 2" xfId="24541"/>
    <cellStyle name="Normal 2 61 3 2 4" xfId="6791"/>
    <cellStyle name="Normal 2 61 3 2 4 2" xfId="24542"/>
    <cellStyle name="Normal 2 61 3 2 5" xfId="6792"/>
    <cellStyle name="Normal 2 61 3 2 5 2" xfId="24543"/>
    <cellStyle name="Normal 2 61 3 2 6" xfId="6793"/>
    <cellStyle name="Normal 2 61 3 2 6 2" xfId="24544"/>
    <cellStyle name="Normal 2 61 3 2 7" xfId="6794"/>
    <cellStyle name="Normal 2 61 3 2 7 2" xfId="24545"/>
    <cellStyle name="Normal 2 61 3 2 8" xfId="6795"/>
    <cellStyle name="Normal 2 61 3 2 8 2" xfId="24546"/>
    <cellStyle name="Normal 2 61 3 2 9" xfId="6796"/>
    <cellStyle name="Normal 2 61 3 2 9 2" xfId="24547"/>
    <cellStyle name="Normal 2 61 3 3" xfId="6797"/>
    <cellStyle name="Normal 2 61 3 3 2" xfId="24548"/>
    <cellStyle name="Normal 2 61 3 4" xfId="6798"/>
    <cellStyle name="Normal 2 61 3 4 2" xfId="24549"/>
    <cellStyle name="Normal 2 61 3 5" xfId="6799"/>
    <cellStyle name="Normal 2 61 3 5 2" xfId="24550"/>
    <cellStyle name="Normal 2 61 3 6" xfId="6800"/>
    <cellStyle name="Normal 2 61 3 6 2" xfId="24551"/>
    <cellStyle name="Normal 2 61 3 7" xfId="6801"/>
    <cellStyle name="Normal 2 61 3 7 2" xfId="24552"/>
    <cellStyle name="Normal 2 61 3 8" xfId="6802"/>
    <cellStyle name="Normal 2 61 3 8 2" xfId="24553"/>
    <cellStyle name="Normal 2 61 3 9" xfId="6803"/>
    <cellStyle name="Normal 2 61 3 9 2" xfId="24554"/>
    <cellStyle name="Normal 2 61 4" xfId="6804"/>
    <cellStyle name="Normal 2 61 4 10" xfId="6805"/>
    <cellStyle name="Normal 2 61 4 10 2" xfId="24556"/>
    <cellStyle name="Normal 2 61 4 11" xfId="6806"/>
    <cellStyle name="Normal 2 61 4 11 2" xfId="24557"/>
    <cellStyle name="Normal 2 61 4 12" xfId="6807"/>
    <cellStyle name="Normal 2 61 4 12 2" xfId="24558"/>
    <cellStyle name="Normal 2 61 4 13" xfId="6808"/>
    <cellStyle name="Normal 2 61 4 13 2" xfId="24559"/>
    <cellStyle name="Normal 2 61 4 14" xfId="6809"/>
    <cellStyle name="Normal 2 61 4 14 2" xfId="24560"/>
    <cellStyle name="Normal 2 61 4 15" xfId="6810"/>
    <cellStyle name="Normal 2 61 4 15 2" xfId="24561"/>
    <cellStyle name="Normal 2 61 4 16" xfId="24555"/>
    <cellStyle name="Normal 2 61 4 2" xfId="6811"/>
    <cellStyle name="Normal 2 61 4 2 10" xfId="6812"/>
    <cellStyle name="Normal 2 61 4 2 10 2" xfId="24563"/>
    <cellStyle name="Normal 2 61 4 2 11" xfId="6813"/>
    <cellStyle name="Normal 2 61 4 2 11 2" xfId="24564"/>
    <cellStyle name="Normal 2 61 4 2 12" xfId="6814"/>
    <cellStyle name="Normal 2 61 4 2 12 2" xfId="24565"/>
    <cellStyle name="Normal 2 61 4 2 13" xfId="6815"/>
    <cellStyle name="Normal 2 61 4 2 13 2" xfId="24566"/>
    <cellStyle name="Normal 2 61 4 2 14" xfId="6816"/>
    <cellStyle name="Normal 2 61 4 2 14 2" xfId="24567"/>
    <cellStyle name="Normal 2 61 4 2 15" xfId="24562"/>
    <cellStyle name="Normal 2 61 4 2 2" xfId="6817"/>
    <cellStyle name="Normal 2 61 4 2 2 2" xfId="24568"/>
    <cellStyle name="Normal 2 61 4 2 3" xfId="6818"/>
    <cellStyle name="Normal 2 61 4 2 3 2" xfId="24569"/>
    <cellStyle name="Normal 2 61 4 2 4" xfId="6819"/>
    <cellStyle name="Normal 2 61 4 2 4 2" xfId="24570"/>
    <cellStyle name="Normal 2 61 4 2 5" xfId="6820"/>
    <cellStyle name="Normal 2 61 4 2 5 2" xfId="24571"/>
    <cellStyle name="Normal 2 61 4 2 6" xfId="6821"/>
    <cellStyle name="Normal 2 61 4 2 6 2" xfId="24572"/>
    <cellStyle name="Normal 2 61 4 2 7" xfId="6822"/>
    <cellStyle name="Normal 2 61 4 2 7 2" xfId="24573"/>
    <cellStyle name="Normal 2 61 4 2 8" xfId="6823"/>
    <cellStyle name="Normal 2 61 4 2 8 2" xfId="24574"/>
    <cellStyle name="Normal 2 61 4 2 9" xfId="6824"/>
    <cellStyle name="Normal 2 61 4 2 9 2" xfId="24575"/>
    <cellStyle name="Normal 2 61 4 3" xfId="6825"/>
    <cellStyle name="Normal 2 61 4 3 2" xfId="24576"/>
    <cellStyle name="Normal 2 61 4 4" xfId="6826"/>
    <cellStyle name="Normal 2 61 4 4 2" xfId="24577"/>
    <cellStyle name="Normal 2 61 4 5" xfId="6827"/>
    <cellStyle name="Normal 2 61 4 5 2" xfId="24578"/>
    <cellStyle name="Normal 2 61 4 6" xfId="6828"/>
    <cellStyle name="Normal 2 61 4 6 2" xfId="24579"/>
    <cellStyle name="Normal 2 61 4 7" xfId="6829"/>
    <cellStyle name="Normal 2 61 4 7 2" xfId="24580"/>
    <cellStyle name="Normal 2 61 4 8" xfId="6830"/>
    <cellStyle name="Normal 2 61 4 8 2" xfId="24581"/>
    <cellStyle name="Normal 2 61 4 9" xfId="6831"/>
    <cellStyle name="Normal 2 61 4 9 2" xfId="24582"/>
    <cellStyle name="Normal 2 61 5" xfId="6832"/>
    <cellStyle name="Normal 2 61 5 10" xfId="6833"/>
    <cellStyle name="Normal 2 61 5 10 2" xfId="24584"/>
    <cellStyle name="Normal 2 61 5 11" xfId="6834"/>
    <cellStyle name="Normal 2 61 5 11 2" xfId="24585"/>
    <cellStyle name="Normal 2 61 5 12" xfId="6835"/>
    <cellStyle name="Normal 2 61 5 12 2" xfId="24586"/>
    <cellStyle name="Normal 2 61 5 13" xfId="6836"/>
    <cellStyle name="Normal 2 61 5 13 2" xfId="24587"/>
    <cellStyle name="Normal 2 61 5 14" xfId="6837"/>
    <cellStyle name="Normal 2 61 5 14 2" xfId="24588"/>
    <cellStyle name="Normal 2 61 5 15" xfId="24583"/>
    <cellStyle name="Normal 2 61 5 2" xfId="6838"/>
    <cellStyle name="Normal 2 61 5 2 2" xfId="24589"/>
    <cellStyle name="Normal 2 61 5 3" xfId="6839"/>
    <cellStyle name="Normal 2 61 5 3 2" xfId="24590"/>
    <cellStyle name="Normal 2 61 5 4" xfId="6840"/>
    <cellStyle name="Normal 2 61 5 4 2" xfId="24591"/>
    <cellStyle name="Normal 2 61 5 5" xfId="6841"/>
    <cellStyle name="Normal 2 61 5 5 2" xfId="24592"/>
    <cellStyle name="Normal 2 61 5 6" xfId="6842"/>
    <cellStyle name="Normal 2 61 5 6 2" xfId="24593"/>
    <cellStyle name="Normal 2 61 5 7" xfId="6843"/>
    <cellStyle name="Normal 2 61 5 7 2" xfId="24594"/>
    <cellStyle name="Normal 2 61 5 8" xfId="6844"/>
    <cellStyle name="Normal 2 61 5 8 2" xfId="24595"/>
    <cellStyle name="Normal 2 61 5 9" xfId="6845"/>
    <cellStyle name="Normal 2 61 5 9 2" xfId="24596"/>
    <cellStyle name="Normal 2 61 6" xfId="6846"/>
    <cellStyle name="Normal 2 61 6 10" xfId="6847"/>
    <cellStyle name="Normal 2 61 6 10 2" xfId="24598"/>
    <cellStyle name="Normal 2 61 6 11" xfId="6848"/>
    <cellStyle name="Normal 2 61 6 11 2" xfId="24599"/>
    <cellStyle name="Normal 2 61 6 12" xfId="6849"/>
    <cellStyle name="Normal 2 61 6 12 2" xfId="24600"/>
    <cellStyle name="Normal 2 61 6 13" xfId="6850"/>
    <cellStyle name="Normal 2 61 6 13 2" xfId="24601"/>
    <cellStyle name="Normal 2 61 6 14" xfId="6851"/>
    <cellStyle name="Normal 2 61 6 14 2" xfId="24602"/>
    <cellStyle name="Normal 2 61 6 15" xfId="24597"/>
    <cellStyle name="Normal 2 61 6 2" xfId="6852"/>
    <cellStyle name="Normal 2 61 6 2 2" xfId="24603"/>
    <cellStyle name="Normal 2 61 6 3" xfId="6853"/>
    <cellStyle name="Normal 2 61 6 3 2" xfId="24604"/>
    <cellStyle name="Normal 2 61 6 4" xfId="6854"/>
    <cellStyle name="Normal 2 61 6 4 2" xfId="24605"/>
    <cellStyle name="Normal 2 61 6 5" xfId="6855"/>
    <cellStyle name="Normal 2 61 6 5 2" xfId="24606"/>
    <cellStyle name="Normal 2 61 6 6" xfId="6856"/>
    <cellStyle name="Normal 2 61 6 6 2" xfId="24607"/>
    <cellStyle name="Normal 2 61 6 7" xfId="6857"/>
    <cellStyle name="Normal 2 61 6 7 2" xfId="24608"/>
    <cellStyle name="Normal 2 61 6 8" xfId="6858"/>
    <cellStyle name="Normal 2 61 6 8 2" xfId="24609"/>
    <cellStyle name="Normal 2 61 6 9" xfId="6859"/>
    <cellStyle name="Normal 2 61 6 9 2" xfId="24610"/>
    <cellStyle name="Normal 2 61 7" xfId="6860"/>
    <cellStyle name="Normal 2 61 7 10" xfId="6861"/>
    <cellStyle name="Normal 2 61 7 10 2" xfId="24612"/>
    <cellStyle name="Normal 2 61 7 11" xfId="6862"/>
    <cellStyle name="Normal 2 61 7 11 2" xfId="24613"/>
    <cellStyle name="Normal 2 61 7 12" xfId="6863"/>
    <cellStyle name="Normal 2 61 7 12 2" xfId="24614"/>
    <cellStyle name="Normal 2 61 7 13" xfId="6864"/>
    <cellStyle name="Normal 2 61 7 13 2" xfId="24615"/>
    <cellStyle name="Normal 2 61 7 14" xfId="6865"/>
    <cellStyle name="Normal 2 61 7 14 2" xfId="24616"/>
    <cellStyle name="Normal 2 61 7 15" xfId="24611"/>
    <cellStyle name="Normal 2 61 7 2" xfId="6866"/>
    <cellStyle name="Normal 2 61 7 2 2" xfId="24617"/>
    <cellStyle name="Normal 2 61 7 3" xfId="6867"/>
    <cellStyle name="Normal 2 61 7 3 2" xfId="24618"/>
    <cellStyle name="Normal 2 61 7 4" xfId="6868"/>
    <cellStyle name="Normal 2 61 7 4 2" xfId="24619"/>
    <cellStyle name="Normal 2 61 7 5" xfId="6869"/>
    <cellStyle name="Normal 2 61 7 5 2" xfId="24620"/>
    <cellStyle name="Normal 2 61 7 6" xfId="6870"/>
    <cellStyle name="Normal 2 61 7 6 2" xfId="24621"/>
    <cellStyle name="Normal 2 61 7 7" xfId="6871"/>
    <cellStyle name="Normal 2 61 7 7 2" xfId="24622"/>
    <cellStyle name="Normal 2 61 7 8" xfId="6872"/>
    <cellStyle name="Normal 2 61 7 8 2" xfId="24623"/>
    <cellStyle name="Normal 2 61 7 9" xfId="6873"/>
    <cellStyle name="Normal 2 61 7 9 2" xfId="24624"/>
    <cellStyle name="Normal 2 61 8" xfId="6874"/>
    <cellStyle name="Normal 2 61 8 10" xfId="6875"/>
    <cellStyle name="Normal 2 61 8 10 2" xfId="24626"/>
    <cellStyle name="Normal 2 61 8 11" xfId="6876"/>
    <cellStyle name="Normal 2 61 8 11 2" xfId="24627"/>
    <cellStyle name="Normal 2 61 8 12" xfId="6877"/>
    <cellStyle name="Normal 2 61 8 12 2" xfId="24628"/>
    <cellStyle name="Normal 2 61 8 13" xfId="6878"/>
    <cellStyle name="Normal 2 61 8 13 2" xfId="24629"/>
    <cellStyle name="Normal 2 61 8 14" xfId="6879"/>
    <cellStyle name="Normal 2 61 8 14 2" xfId="24630"/>
    <cellStyle name="Normal 2 61 8 15" xfId="24625"/>
    <cellStyle name="Normal 2 61 8 2" xfId="6880"/>
    <cellStyle name="Normal 2 61 8 2 2" xfId="24631"/>
    <cellStyle name="Normal 2 61 8 3" xfId="6881"/>
    <cellStyle name="Normal 2 61 8 3 2" xfId="24632"/>
    <cellStyle name="Normal 2 61 8 4" xfId="6882"/>
    <cellStyle name="Normal 2 61 8 4 2" xfId="24633"/>
    <cellStyle name="Normal 2 61 8 5" xfId="6883"/>
    <cellStyle name="Normal 2 61 8 5 2" xfId="24634"/>
    <cellStyle name="Normal 2 61 8 6" xfId="6884"/>
    <cellStyle name="Normal 2 61 8 6 2" xfId="24635"/>
    <cellStyle name="Normal 2 61 8 7" xfId="6885"/>
    <cellStyle name="Normal 2 61 8 7 2" xfId="24636"/>
    <cellStyle name="Normal 2 61 8 8" xfId="6886"/>
    <cellStyle name="Normal 2 61 8 8 2" xfId="24637"/>
    <cellStyle name="Normal 2 61 8 9" xfId="6887"/>
    <cellStyle name="Normal 2 61 8 9 2" xfId="24638"/>
    <cellStyle name="Normal 2 61 9" xfId="6888"/>
    <cellStyle name="Normal 2 61 9 10" xfId="6889"/>
    <cellStyle name="Normal 2 61 9 10 2" xfId="24640"/>
    <cellStyle name="Normal 2 61 9 11" xfId="6890"/>
    <cellStyle name="Normal 2 61 9 11 2" xfId="24641"/>
    <cellStyle name="Normal 2 61 9 12" xfId="6891"/>
    <cellStyle name="Normal 2 61 9 12 2" xfId="24642"/>
    <cellStyle name="Normal 2 61 9 13" xfId="6892"/>
    <cellStyle name="Normal 2 61 9 13 2" xfId="24643"/>
    <cellStyle name="Normal 2 61 9 14" xfId="6893"/>
    <cellStyle name="Normal 2 61 9 14 2" xfId="24644"/>
    <cellStyle name="Normal 2 61 9 15" xfId="24639"/>
    <cellStyle name="Normal 2 61 9 2" xfId="6894"/>
    <cellStyle name="Normal 2 61 9 2 2" xfId="24645"/>
    <cellStyle name="Normal 2 61 9 3" xfId="6895"/>
    <cellStyle name="Normal 2 61 9 3 2" xfId="24646"/>
    <cellStyle name="Normal 2 61 9 4" xfId="6896"/>
    <cellStyle name="Normal 2 61 9 4 2" xfId="24647"/>
    <cellStyle name="Normal 2 61 9 5" xfId="6897"/>
    <cellStyle name="Normal 2 61 9 5 2" xfId="24648"/>
    <cellStyle name="Normal 2 61 9 6" xfId="6898"/>
    <cellStyle name="Normal 2 61 9 6 2" xfId="24649"/>
    <cellStyle name="Normal 2 61 9 7" xfId="6899"/>
    <cellStyle name="Normal 2 61 9 7 2" xfId="24650"/>
    <cellStyle name="Normal 2 61 9 8" xfId="6900"/>
    <cellStyle name="Normal 2 61 9 8 2" xfId="24651"/>
    <cellStyle name="Normal 2 61 9 9" xfId="6901"/>
    <cellStyle name="Normal 2 61 9 9 2" xfId="24652"/>
    <cellStyle name="Normal 2 62" xfId="6902"/>
    <cellStyle name="Normal 2 62 10" xfId="6903"/>
    <cellStyle name="Normal 2 62 10 10" xfId="6904"/>
    <cellStyle name="Normal 2 62 10 10 2" xfId="24655"/>
    <cellStyle name="Normal 2 62 10 11" xfId="6905"/>
    <cellStyle name="Normal 2 62 10 11 2" xfId="24656"/>
    <cellStyle name="Normal 2 62 10 12" xfId="6906"/>
    <cellStyle name="Normal 2 62 10 12 2" xfId="24657"/>
    <cellStyle name="Normal 2 62 10 13" xfId="6907"/>
    <cellStyle name="Normal 2 62 10 13 2" xfId="24658"/>
    <cellStyle name="Normal 2 62 10 14" xfId="6908"/>
    <cellStyle name="Normal 2 62 10 14 2" xfId="24659"/>
    <cellStyle name="Normal 2 62 10 15" xfId="24654"/>
    <cellStyle name="Normal 2 62 10 2" xfId="6909"/>
    <cellStyle name="Normal 2 62 10 2 2" xfId="24660"/>
    <cellStyle name="Normal 2 62 10 3" xfId="6910"/>
    <cellStyle name="Normal 2 62 10 3 2" xfId="24661"/>
    <cellStyle name="Normal 2 62 10 4" xfId="6911"/>
    <cellStyle name="Normal 2 62 10 4 2" xfId="24662"/>
    <cellStyle name="Normal 2 62 10 5" xfId="6912"/>
    <cellStyle name="Normal 2 62 10 5 2" xfId="24663"/>
    <cellStyle name="Normal 2 62 10 6" xfId="6913"/>
    <cellStyle name="Normal 2 62 10 6 2" xfId="24664"/>
    <cellStyle name="Normal 2 62 10 7" xfId="6914"/>
    <cellStyle name="Normal 2 62 10 7 2" xfId="24665"/>
    <cellStyle name="Normal 2 62 10 8" xfId="6915"/>
    <cellStyle name="Normal 2 62 10 8 2" xfId="24666"/>
    <cellStyle name="Normal 2 62 10 9" xfId="6916"/>
    <cellStyle name="Normal 2 62 10 9 2" xfId="24667"/>
    <cellStyle name="Normal 2 62 11" xfId="6917"/>
    <cellStyle name="Normal 2 62 11 2" xfId="24668"/>
    <cellStyle name="Normal 2 62 12" xfId="6918"/>
    <cellStyle name="Normal 2 62 12 2" xfId="24669"/>
    <cellStyle name="Normal 2 62 13" xfId="6919"/>
    <cellStyle name="Normal 2 62 13 2" xfId="24670"/>
    <cellStyle name="Normal 2 62 14" xfId="6920"/>
    <cellStyle name="Normal 2 62 14 2" xfId="24671"/>
    <cellStyle name="Normal 2 62 15" xfId="6921"/>
    <cellStyle name="Normal 2 62 15 2" xfId="24672"/>
    <cellStyle name="Normal 2 62 16" xfId="6922"/>
    <cellStyle name="Normal 2 62 16 2" xfId="24673"/>
    <cellStyle name="Normal 2 62 17" xfId="6923"/>
    <cellStyle name="Normal 2 62 17 2" xfId="24674"/>
    <cellStyle name="Normal 2 62 18" xfId="6924"/>
    <cellStyle name="Normal 2 62 18 2" xfId="24675"/>
    <cellStyle name="Normal 2 62 19" xfId="6925"/>
    <cellStyle name="Normal 2 62 19 2" xfId="24676"/>
    <cellStyle name="Normal 2 62 2" xfId="6926"/>
    <cellStyle name="Normal 2 62 2 10" xfId="6927"/>
    <cellStyle name="Normal 2 62 2 10 2" xfId="24678"/>
    <cellStyle name="Normal 2 62 2 11" xfId="6928"/>
    <cellStyle name="Normal 2 62 2 11 2" xfId="24679"/>
    <cellStyle name="Normal 2 62 2 12" xfId="6929"/>
    <cellStyle name="Normal 2 62 2 12 2" xfId="24680"/>
    <cellStyle name="Normal 2 62 2 13" xfId="6930"/>
    <cellStyle name="Normal 2 62 2 13 2" xfId="24681"/>
    <cellStyle name="Normal 2 62 2 14" xfId="6931"/>
    <cellStyle name="Normal 2 62 2 14 2" xfId="24682"/>
    <cellStyle name="Normal 2 62 2 15" xfId="6932"/>
    <cellStyle name="Normal 2 62 2 15 2" xfId="24683"/>
    <cellStyle name="Normal 2 62 2 16" xfId="24677"/>
    <cellStyle name="Normal 2 62 2 2" xfId="6933"/>
    <cellStyle name="Normal 2 62 2 2 10" xfId="6934"/>
    <cellStyle name="Normal 2 62 2 2 10 2" xfId="24685"/>
    <cellStyle name="Normal 2 62 2 2 11" xfId="6935"/>
    <cellStyle name="Normal 2 62 2 2 11 2" xfId="24686"/>
    <cellStyle name="Normal 2 62 2 2 12" xfId="6936"/>
    <cellStyle name="Normal 2 62 2 2 12 2" xfId="24687"/>
    <cellStyle name="Normal 2 62 2 2 13" xfId="6937"/>
    <cellStyle name="Normal 2 62 2 2 13 2" xfId="24688"/>
    <cellStyle name="Normal 2 62 2 2 14" xfId="6938"/>
    <cellStyle name="Normal 2 62 2 2 14 2" xfId="24689"/>
    <cellStyle name="Normal 2 62 2 2 15" xfId="24684"/>
    <cellStyle name="Normal 2 62 2 2 2" xfId="6939"/>
    <cellStyle name="Normal 2 62 2 2 2 2" xfId="24690"/>
    <cellStyle name="Normal 2 62 2 2 3" xfId="6940"/>
    <cellStyle name="Normal 2 62 2 2 3 2" xfId="24691"/>
    <cellStyle name="Normal 2 62 2 2 4" xfId="6941"/>
    <cellStyle name="Normal 2 62 2 2 4 2" xfId="24692"/>
    <cellStyle name="Normal 2 62 2 2 5" xfId="6942"/>
    <cellStyle name="Normal 2 62 2 2 5 2" xfId="24693"/>
    <cellStyle name="Normal 2 62 2 2 6" xfId="6943"/>
    <cellStyle name="Normal 2 62 2 2 6 2" xfId="24694"/>
    <cellStyle name="Normal 2 62 2 2 7" xfId="6944"/>
    <cellStyle name="Normal 2 62 2 2 7 2" xfId="24695"/>
    <cellStyle name="Normal 2 62 2 2 8" xfId="6945"/>
    <cellStyle name="Normal 2 62 2 2 8 2" xfId="24696"/>
    <cellStyle name="Normal 2 62 2 2 9" xfId="6946"/>
    <cellStyle name="Normal 2 62 2 2 9 2" xfId="24697"/>
    <cellStyle name="Normal 2 62 2 3" xfId="6947"/>
    <cellStyle name="Normal 2 62 2 3 2" xfId="24698"/>
    <cellStyle name="Normal 2 62 2 4" xfId="6948"/>
    <cellStyle name="Normal 2 62 2 4 2" xfId="24699"/>
    <cellStyle name="Normal 2 62 2 5" xfId="6949"/>
    <cellStyle name="Normal 2 62 2 5 2" xfId="24700"/>
    <cellStyle name="Normal 2 62 2 6" xfId="6950"/>
    <cellStyle name="Normal 2 62 2 6 2" xfId="24701"/>
    <cellStyle name="Normal 2 62 2 7" xfId="6951"/>
    <cellStyle name="Normal 2 62 2 7 2" xfId="24702"/>
    <cellStyle name="Normal 2 62 2 8" xfId="6952"/>
    <cellStyle name="Normal 2 62 2 8 2" xfId="24703"/>
    <cellStyle name="Normal 2 62 2 9" xfId="6953"/>
    <cellStyle name="Normal 2 62 2 9 2" xfId="24704"/>
    <cellStyle name="Normal 2 62 20" xfId="6954"/>
    <cellStyle name="Normal 2 62 20 2" xfId="24705"/>
    <cellStyle name="Normal 2 62 21" xfId="6955"/>
    <cellStyle name="Normal 2 62 21 2" xfId="24706"/>
    <cellStyle name="Normal 2 62 22" xfId="6956"/>
    <cellStyle name="Normal 2 62 22 2" xfId="24707"/>
    <cellStyle name="Normal 2 62 23" xfId="6957"/>
    <cellStyle name="Normal 2 62 23 2" xfId="24708"/>
    <cellStyle name="Normal 2 62 24" xfId="24653"/>
    <cellStyle name="Normal 2 62 3" xfId="6958"/>
    <cellStyle name="Normal 2 62 3 10" xfId="6959"/>
    <cellStyle name="Normal 2 62 3 10 2" xfId="24710"/>
    <cellStyle name="Normal 2 62 3 11" xfId="6960"/>
    <cellStyle name="Normal 2 62 3 11 2" xfId="24711"/>
    <cellStyle name="Normal 2 62 3 12" xfId="6961"/>
    <cellStyle name="Normal 2 62 3 12 2" xfId="24712"/>
    <cellStyle name="Normal 2 62 3 13" xfId="6962"/>
    <cellStyle name="Normal 2 62 3 13 2" xfId="24713"/>
    <cellStyle name="Normal 2 62 3 14" xfId="6963"/>
    <cellStyle name="Normal 2 62 3 14 2" xfId="24714"/>
    <cellStyle name="Normal 2 62 3 15" xfId="6964"/>
    <cellStyle name="Normal 2 62 3 15 2" xfId="24715"/>
    <cellStyle name="Normal 2 62 3 16" xfId="24709"/>
    <cellStyle name="Normal 2 62 3 2" xfId="6965"/>
    <cellStyle name="Normal 2 62 3 2 10" xfId="6966"/>
    <cellStyle name="Normal 2 62 3 2 10 2" xfId="24717"/>
    <cellStyle name="Normal 2 62 3 2 11" xfId="6967"/>
    <cellStyle name="Normal 2 62 3 2 11 2" xfId="24718"/>
    <cellStyle name="Normal 2 62 3 2 12" xfId="6968"/>
    <cellStyle name="Normal 2 62 3 2 12 2" xfId="24719"/>
    <cellStyle name="Normal 2 62 3 2 13" xfId="6969"/>
    <cellStyle name="Normal 2 62 3 2 13 2" xfId="24720"/>
    <cellStyle name="Normal 2 62 3 2 14" xfId="6970"/>
    <cellStyle name="Normal 2 62 3 2 14 2" xfId="24721"/>
    <cellStyle name="Normal 2 62 3 2 15" xfId="24716"/>
    <cellStyle name="Normal 2 62 3 2 2" xfId="6971"/>
    <cellStyle name="Normal 2 62 3 2 2 2" xfId="24722"/>
    <cellStyle name="Normal 2 62 3 2 3" xfId="6972"/>
    <cellStyle name="Normal 2 62 3 2 3 2" xfId="24723"/>
    <cellStyle name="Normal 2 62 3 2 4" xfId="6973"/>
    <cellStyle name="Normal 2 62 3 2 4 2" xfId="24724"/>
    <cellStyle name="Normal 2 62 3 2 5" xfId="6974"/>
    <cellStyle name="Normal 2 62 3 2 5 2" xfId="24725"/>
    <cellStyle name="Normal 2 62 3 2 6" xfId="6975"/>
    <cellStyle name="Normal 2 62 3 2 6 2" xfId="24726"/>
    <cellStyle name="Normal 2 62 3 2 7" xfId="6976"/>
    <cellStyle name="Normal 2 62 3 2 7 2" xfId="24727"/>
    <cellStyle name="Normal 2 62 3 2 8" xfId="6977"/>
    <cellStyle name="Normal 2 62 3 2 8 2" xfId="24728"/>
    <cellStyle name="Normal 2 62 3 2 9" xfId="6978"/>
    <cellStyle name="Normal 2 62 3 2 9 2" xfId="24729"/>
    <cellStyle name="Normal 2 62 3 3" xfId="6979"/>
    <cellStyle name="Normal 2 62 3 3 2" xfId="24730"/>
    <cellStyle name="Normal 2 62 3 4" xfId="6980"/>
    <cellStyle name="Normal 2 62 3 4 2" xfId="24731"/>
    <cellStyle name="Normal 2 62 3 5" xfId="6981"/>
    <cellStyle name="Normal 2 62 3 5 2" xfId="24732"/>
    <cellStyle name="Normal 2 62 3 6" xfId="6982"/>
    <cellStyle name="Normal 2 62 3 6 2" xfId="24733"/>
    <cellStyle name="Normal 2 62 3 7" xfId="6983"/>
    <cellStyle name="Normal 2 62 3 7 2" xfId="24734"/>
    <cellStyle name="Normal 2 62 3 8" xfId="6984"/>
    <cellStyle name="Normal 2 62 3 8 2" xfId="24735"/>
    <cellStyle name="Normal 2 62 3 9" xfId="6985"/>
    <cellStyle name="Normal 2 62 3 9 2" xfId="24736"/>
    <cellStyle name="Normal 2 62 4" xfId="6986"/>
    <cellStyle name="Normal 2 62 4 10" xfId="6987"/>
    <cellStyle name="Normal 2 62 4 10 2" xfId="24738"/>
    <cellStyle name="Normal 2 62 4 11" xfId="6988"/>
    <cellStyle name="Normal 2 62 4 11 2" xfId="24739"/>
    <cellStyle name="Normal 2 62 4 12" xfId="6989"/>
    <cellStyle name="Normal 2 62 4 12 2" xfId="24740"/>
    <cellStyle name="Normal 2 62 4 13" xfId="6990"/>
    <cellStyle name="Normal 2 62 4 13 2" xfId="24741"/>
    <cellStyle name="Normal 2 62 4 14" xfId="6991"/>
    <cellStyle name="Normal 2 62 4 14 2" xfId="24742"/>
    <cellStyle name="Normal 2 62 4 15" xfId="6992"/>
    <cellStyle name="Normal 2 62 4 15 2" xfId="24743"/>
    <cellStyle name="Normal 2 62 4 16" xfId="24737"/>
    <cellStyle name="Normal 2 62 4 2" xfId="6993"/>
    <cellStyle name="Normal 2 62 4 2 10" xfId="6994"/>
    <cellStyle name="Normal 2 62 4 2 10 2" xfId="24745"/>
    <cellStyle name="Normal 2 62 4 2 11" xfId="6995"/>
    <cellStyle name="Normal 2 62 4 2 11 2" xfId="24746"/>
    <cellStyle name="Normal 2 62 4 2 12" xfId="6996"/>
    <cellStyle name="Normal 2 62 4 2 12 2" xfId="24747"/>
    <cellStyle name="Normal 2 62 4 2 13" xfId="6997"/>
    <cellStyle name="Normal 2 62 4 2 13 2" xfId="24748"/>
    <cellStyle name="Normal 2 62 4 2 14" xfId="6998"/>
    <cellStyle name="Normal 2 62 4 2 14 2" xfId="24749"/>
    <cellStyle name="Normal 2 62 4 2 15" xfId="24744"/>
    <cellStyle name="Normal 2 62 4 2 2" xfId="6999"/>
    <cellStyle name="Normal 2 62 4 2 2 2" xfId="24750"/>
    <cellStyle name="Normal 2 62 4 2 3" xfId="7000"/>
    <cellStyle name="Normal 2 62 4 2 3 2" xfId="24751"/>
    <cellStyle name="Normal 2 62 4 2 4" xfId="7001"/>
    <cellStyle name="Normal 2 62 4 2 4 2" xfId="24752"/>
    <cellStyle name="Normal 2 62 4 2 5" xfId="7002"/>
    <cellStyle name="Normal 2 62 4 2 5 2" xfId="24753"/>
    <cellStyle name="Normal 2 62 4 2 6" xfId="7003"/>
    <cellStyle name="Normal 2 62 4 2 6 2" xfId="24754"/>
    <cellStyle name="Normal 2 62 4 2 7" xfId="7004"/>
    <cellStyle name="Normal 2 62 4 2 7 2" xfId="24755"/>
    <cellStyle name="Normal 2 62 4 2 8" xfId="7005"/>
    <cellStyle name="Normal 2 62 4 2 8 2" xfId="24756"/>
    <cellStyle name="Normal 2 62 4 2 9" xfId="7006"/>
    <cellStyle name="Normal 2 62 4 2 9 2" xfId="24757"/>
    <cellStyle name="Normal 2 62 4 3" xfId="7007"/>
    <cellStyle name="Normal 2 62 4 3 2" xfId="24758"/>
    <cellStyle name="Normal 2 62 4 4" xfId="7008"/>
    <cellStyle name="Normal 2 62 4 4 2" xfId="24759"/>
    <cellStyle name="Normal 2 62 4 5" xfId="7009"/>
    <cellStyle name="Normal 2 62 4 5 2" xfId="24760"/>
    <cellStyle name="Normal 2 62 4 6" xfId="7010"/>
    <cellStyle name="Normal 2 62 4 6 2" xfId="24761"/>
    <cellStyle name="Normal 2 62 4 7" xfId="7011"/>
    <cellStyle name="Normal 2 62 4 7 2" xfId="24762"/>
    <cellStyle name="Normal 2 62 4 8" xfId="7012"/>
    <cellStyle name="Normal 2 62 4 8 2" xfId="24763"/>
    <cellStyle name="Normal 2 62 4 9" xfId="7013"/>
    <cellStyle name="Normal 2 62 4 9 2" xfId="24764"/>
    <cellStyle name="Normal 2 62 5" xfId="7014"/>
    <cellStyle name="Normal 2 62 5 10" xfId="7015"/>
    <cellStyle name="Normal 2 62 5 10 2" xfId="24766"/>
    <cellStyle name="Normal 2 62 5 11" xfId="7016"/>
    <cellStyle name="Normal 2 62 5 11 2" xfId="24767"/>
    <cellStyle name="Normal 2 62 5 12" xfId="7017"/>
    <cellStyle name="Normal 2 62 5 12 2" xfId="24768"/>
    <cellStyle name="Normal 2 62 5 13" xfId="7018"/>
    <cellStyle name="Normal 2 62 5 13 2" xfId="24769"/>
    <cellStyle name="Normal 2 62 5 14" xfId="7019"/>
    <cellStyle name="Normal 2 62 5 14 2" xfId="24770"/>
    <cellStyle name="Normal 2 62 5 15" xfId="24765"/>
    <cellStyle name="Normal 2 62 5 2" xfId="7020"/>
    <cellStyle name="Normal 2 62 5 2 2" xfId="24771"/>
    <cellStyle name="Normal 2 62 5 3" xfId="7021"/>
    <cellStyle name="Normal 2 62 5 3 2" xfId="24772"/>
    <cellStyle name="Normal 2 62 5 4" xfId="7022"/>
    <cellStyle name="Normal 2 62 5 4 2" xfId="24773"/>
    <cellStyle name="Normal 2 62 5 5" xfId="7023"/>
    <cellStyle name="Normal 2 62 5 5 2" xfId="24774"/>
    <cellStyle name="Normal 2 62 5 6" xfId="7024"/>
    <cellStyle name="Normal 2 62 5 6 2" xfId="24775"/>
    <cellStyle name="Normal 2 62 5 7" xfId="7025"/>
    <cellStyle name="Normal 2 62 5 7 2" xfId="24776"/>
    <cellStyle name="Normal 2 62 5 8" xfId="7026"/>
    <cellStyle name="Normal 2 62 5 8 2" xfId="24777"/>
    <cellStyle name="Normal 2 62 5 9" xfId="7027"/>
    <cellStyle name="Normal 2 62 5 9 2" xfId="24778"/>
    <cellStyle name="Normal 2 62 6" xfId="7028"/>
    <cellStyle name="Normal 2 62 6 10" xfId="7029"/>
    <cellStyle name="Normal 2 62 6 10 2" xfId="24780"/>
    <cellStyle name="Normal 2 62 6 11" xfId="7030"/>
    <cellStyle name="Normal 2 62 6 11 2" xfId="24781"/>
    <cellStyle name="Normal 2 62 6 12" xfId="7031"/>
    <cellStyle name="Normal 2 62 6 12 2" xfId="24782"/>
    <cellStyle name="Normal 2 62 6 13" xfId="7032"/>
    <cellStyle name="Normal 2 62 6 13 2" xfId="24783"/>
    <cellStyle name="Normal 2 62 6 14" xfId="7033"/>
    <cellStyle name="Normal 2 62 6 14 2" xfId="24784"/>
    <cellStyle name="Normal 2 62 6 15" xfId="24779"/>
    <cellStyle name="Normal 2 62 6 2" xfId="7034"/>
    <cellStyle name="Normal 2 62 6 2 2" xfId="24785"/>
    <cellStyle name="Normal 2 62 6 3" xfId="7035"/>
    <cellStyle name="Normal 2 62 6 3 2" xfId="24786"/>
    <cellStyle name="Normal 2 62 6 4" xfId="7036"/>
    <cellStyle name="Normal 2 62 6 4 2" xfId="24787"/>
    <cellStyle name="Normal 2 62 6 5" xfId="7037"/>
    <cellStyle name="Normal 2 62 6 5 2" xfId="24788"/>
    <cellStyle name="Normal 2 62 6 6" xfId="7038"/>
    <cellStyle name="Normal 2 62 6 6 2" xfId="24789"/>
    <cellStyle name="Normal 2 62 6 7" xfId="7039"/>
    <cellStyle name="Normal 2 62 6 7 2" xfId="24790"/>
    <cellStyle name="Normal 2 62 6 8" xfId="7040"/>
    <cellStyle name="Normal 2 62 6 8 2" xfId="24791"/>
    <cellStyle name="Normal 2 62 6 9" xfId="7041"/>
    <cellStyle name="Normal 2 62 6 9 2" xfId="24792"/>
    <cellStyle name="Normal 2 62 7" xfId="7042"/>
    <cellStyle name="Normal 2 62 7 10" xfId="7043"/>
    <cellStyle name="Normal 2 62 7 10 2" xfId="24794"/>
    <cellStyle name="Normal 2 62 7 11" xfId="7044"/>
    <cellStyle name="Normal 2 62 7 11 2" xfId="24795"/>
    <cellStyle name="Normal 2 62 7 12" xfId="7045"/>
    <cellStyle name="Normal 2 62 7 12 2" xfId="24796"/>
    <cellStyle name="Normal 2 62 7 13" xfId="7046"/>
    <cellStyle name="Normal 2 62 7 13 2" xfId="24797"/>
    <cellStyle name="Normal 2 62 7 14" xfId="7047"/>
    <cellStyle name="Normal 2 62 7 14 2" xfId="24798"/>
    <cellStyle name="Normal 2 62 7 15" xfId="24793"/>
    <cellStyle name="Normal 2 62 7 2" xfId="7048"/>
    <cellStyle name="Normal 2 62 7 2 2" xfId="24799"/>
    <cellStyle name="Normal 2 62 7 3" xfId="7049"/>
    <cellStyle name="Normal 2 62 7 3 2" xfId="24800"/>
    <cellStyle name="Normal 2 62 7 4" xfId="7050"/>
    <cellStyle name="Normal 2 62 7 4 2" xfId="24801"/>
    <cellStyle name="Normal 2 62 7 5" xfId="7051"/>
    <cellStyle name="Normal 2 62 7 5 2" xfId="24802"/>
    <cellStyle name="Normal 2 62 7 6" xfId="7052"/>
    <cellStyle name="Normal 2 62 7 6 2" xfId="24803"/>
    <cellStyle name="Normal 2 62 7 7" xfId="7053"/>
    <cellStyle name="Normal 2 62 7 7 2" xfId="24804"/>
    <cellStyle name="Normal 2 62 7 8" xfId="7054"/>
    <cellStyle name="Normal 2 62 7 8 2" xfId="24805"/>
    <cellStyle name="Normal 2 62 7 9" xfId="7055"/>
    <cellStyle name="Normal 2 62 7 9 2" xfId="24806"/>
    <cellStyle name="Normal 2 62 8" xfId="7056"/>
    <cellStyle name="Normal 2 62 8 10" xfId="7057"/>
    <cellStyle name="Normal 2 62 8 10 2" xfId="24808"/>
    <cellStyle name="Normal 2 62 8 11" xfId="7058"/>
    <cellStyle name="Normal 2 62 8 11 2" xfId="24809"/>
    <cellStyle name="Normal 2 62 8 12" xfId="7059"/>
    <cellStyle name="Normal 2 62 8 12 2" xfId="24810"/>
    <cellStyle name="Normal 2 62 8 13" xfId="7060"/>
    <cellStyle name="Normal 2 62 8 13 2" xfId="24811"/>
    <cellStyle name="Normal 2 62 8 14" xfId="7061"/>
    <cellStyle name="Normal 2 62 8 14 2" xfId="24812"/>
    <cellStyle name="Normal 2 62 8 15" xfId="24807"/>
    <cellStyle name="Normal 2 62 8 2" xfId="7062"/>
    <cellStyle name="Normal 2 62 8 2 2" xfId="24813"/>
    <cellStyle name="Normal 2 62 8 3" xfId="7063"/>
    <cellStyle name="Normal 2 62 8 3 2" xfId="24814"/>
    <cellStyle name="Normal 2 62 8 4" xfId="7064"/>
    <cellStyle name="Normal 2 62 8 4 2" xfId="24815"/>
    <cellStyle name="Normal 2 62 8 5" xfId="7065"/>
    <cellStyle name="Normal 2 62 8 5 2" xfId="24816"/>
    <cellStyle name="Normal 2 62 8 6" xfId="7066"/>
    <cellStyle name="Normal 2 62 8 6 2" xfId="24817"/>
    <cellStyle name="Normal 2 62 8 7" xfId="7067"/>
    <cellStyle name="Normal 2 62 8 7 2" xfId="24818"/>
    <cellStyle name="Normal 2 62 8 8" xfId="7068"/>
    <cellStyle name="Normal 2 62 8 8 2" xfId="24819"/>
    <cellStyle name="Normal 2 62 8 9" xfId="7069"/>
    <cellStyle name="Normal 2 62 8 9 2" xfId="24820"/>
    <cellStyle name="Normal 2 62 9" xfId="7070"/>
    <cellStyle name="Normal 2 62 9 10" xfId="7071"/>
    <cellStyle name="Normal 2 62 9 10 2" xfId="24822"/>
    <cellStyle name="Normal 2 62 9 11" xfId="7072"/>
    <cellStyle name="Normal 2 62 9 11 2" xfId="24823"/>
    <cellStyle name="Normal 2 62 9 12" xfId="7073"/>
    <cellStyle name="Normal 2 62 9 12 2" xfId="24824"/>
    <cellStyle name="Normal 2 62 9 13" xfId="7074"/>
    <cellStyle name="Normal 2 62 9 13 2" xfId="24825"/>
    <cellStyle name="Normal 2 62 9 14" xfId="7075"/>
    <cellStyle name="Normal 2 62 9 14 2" xfId="24826"/>
    <cellStyle name="Normal 2 62 9 15" xfId="24821"/>
    <cellStyle name="Normal 2 62 9 2" xfId="7076"/>
    <cellStyle name="Normal 2 62 9 2 2" xfId="24827"/>
    <cellStyle name="Normal 2 62 9 3" xfId="7077"/>
    <cellStyle name="Normal 2 62 9 3 2" xfId="24828"/>
    <cellStyle name="Normal 2 62 9 4" xfId="7078"/>
    <cellStyle name="Normal 2 62 9 4 2" xfId="24829"/>
    <cellStyle name="Normal 2 62 9 5" xfId="7079"/>
    <cellStyle name="Normal 2 62 9 5 2" xfId="24830"/>
    <cellStyle name="Normal 2 62 9 6" xfId="7080"/>
    <cellStyle name="Normal 2 62 9 6 2" xfId="24831"/>
    <cellStyle name="Normal 2 62 9 7" xfId="7081"/>
    <cellStyle name="Normal 2 62 9 7 2" xfId="24832"/>
    <cellStyle name="Normal 2 62 9 8" xfId="7082"/>
    <cellStyle name="Normal 2 62 9 8 2" xfId="24833"/>
    <cellStyle name="Normal 2 62 9 9" xfId="7083"/>
    <cellStyle name="Normal 2 62 9 9 2" xfId="24834"/>
    <cellStyle name="Normal 2 63" xfId="7084"/>
    <cellStyle name="Normal 2 64" xfId="7085"/>
    <cellStyle name="Normal 2 65" xfId="7086"/>
    <cellStyle name="Normal 2 66" xfId="7087"/>
    <cellStyle name="Normal 2 66 10" xfId="7088"/>
    <cellStyle name="Normal 2 66 10 2" xfId="24836"/>
    <cellStyle name="Normal 2 66 11" xfId="7089"/>
    <cellStyle name="Normal 2 66 11 2" xfId="24837"/>
    <cellStyle name="Normal 2 66 12" xfId="7090"/>
    <cellStyle name="Normal 2 66 12 2" xfId="24838"/>
    <cellStyle name="Normal 2 66 13" xfId="7091"/>
    <cellStyle name="Normal 2 66 13 2" xfId="24839"/>
    <cellStyle name="Normal 2 66 14" xfId="7092"/>
    <cellStyle name="Normal 2 66 14 2" xfId="24840"/>
    <cellStyle name="Normal 2 66 15" xfId="7093"/>
    <cellStyle name="Normal 2 66 15 2" xfId="24841"/>
    <cellStyle name="Normal 2 66 16" xfId="24835"/>
    <cellStyle name="Normal 2 66 2" xfId="7094"/>
    <cellStyle name="Normal 2 66 2 10" xfId="7095"/>
    <cellStyle name="Normal 2 66 2 10 2" xfId="24843"/>
    <cellStyle name="Normal 2 66 2 11" xfId="7096"/>
    <cellStyle name="Normal 2 66 2 11 2" xfId="24844"/>
    <cellStyle name="Normal 2 66 2 12" xfId="7097"/>
    <cellStyle name="Normal 2 66 2 12 2" xfId="24845"/>
    <cellStyle name="Normal 2 66 2 13" xfId="7098"/>
    <cellStyle name="Normal 2 66 2 13 2" xfId="24846"/>
    <cellStyle name="Normal 2 66 2 14" xfId="7099"/>
    <cellStyle name="Normal 2 66 2 14 2" xfId="24847"/>
    <cellStyle name="Normal 2 66 2 15" xfId="24842"/>
    <cellStyle name="Normal 2 66 2 2" xfId="7100"/>
    <cellStyle name="Normal 2 66 2 2 2" xfId="24848"/>
    <cellStyle name="Normal 2 66 2 3" xfId="7101"/>
    <cellStyle name="Normal 2 66 2 3 2" xfId="24849"/>
    <cellStyle name="Normal 2 66 2 4" xfId="7102"/>
    <cellStyle name="Normal 2 66 2 4 2" xfId="24850"/>
    <cellStyle name="Normal 2 66 2 5" xfId="7103"/>
    <cellStyle name="Normal 2 66 2 5 2" xfId="24851"/>
    <cellStyle name="Normal 2 66 2 6" xfId="7104"/>
    <cellStyle name="Normal 2 66 2 6 2" xfId="24852"/>
    <cellStyle name="Normal 2 66 2 7" xfId="7105"/>
    <cellStyle name="Normal 2 66 2 7 2" xfId="24853"/>
    <cellStyle name="Normal 2 66 2 8" xfId="7106"/>
    <cellStyle name="Normal 2 66 2 8 2" xfId="24854"/>
    <cellStyle name="Normal 2 66 2 9" xfId="7107"/>
    <cellStyle name="Normal 2 66 2 9 2" xfId="24855"/>
    <cellStyle name="Normal 2 66 3" xfId="7108"/>
    <cellStyle name="Normal 2 66 3 2" xfId="24856"/>
    <cellStyle name="Normal 2 66 4" xfId="7109"/>
    <cellStyle name="Normal 2 66 4 2" xfId="24857"/>
    <cellStyle name="Normal 2 66 5" xfId="7110"/>
    <cellStyle name="Normal 2 66 5 2" xfId="24858"/>
    <cellStyle name="Normal 2 66 6" xfId="7111"/>
    <cellStyle name="Normal 2 66 6 2" xfId="24859"/>
    <cellStyle name="Normal 2 66 7" xfId="7112"/>
    <cellStyle name="Normal 2 66 7 2" xfId="24860"/>
    <cellStyle name="Normal 2 66 8" xfId="7113"/>
    <cellStyle name="Normal 2 66 8 2" xfId="24861"/>
    <cellStyle name="Normal 2 66 9" xfId="7114"/>
    <cellStyle name="Normal 2 66 9 2" xfId="24862"/>
    <cellStyle name="Normal 2 67" xfId="7115"/>
    <cellStyle name="Normal 2 67 10" xfId="7116"/>
    <cellStyle name="Normal 2 67 10 2" xfId="24864"/>
    <cellStyle name="Normal 2 67 11" xfId="7117"/>
    <cellStyle name="Normal 2 67 11 2" xfId="24865"/>
    <cellStyle name="Normal 2 67 12" xfId="7118"/>
    <cellStyle name="Normal 2 67 12 2" xfId="24866"/>
    <cellStyle name="Normal 2 67 13" xfId="7119"/>
    <cellStyle name="Normal 2 67 13 2" xfId="24867"/>
    <cellStyle name="Normal 2 67 14" xfId="7120"/>
    <cellStyle name="Normal 2 67 14 2" xfId="24868"/>
    <cellStyle name="Normal 2 67 15" xfId="7121"/>
    <cellStyle name="Normal 2 67 15 2" xfId="24869"/>
    <cellStyle name="Normal 2 67 16" xfId="24863"/>
    <cellStyle name="Normal 2 67 2" xfId="7122"/>
    <cellStyle name="Normal 2 67 2 10" xfId="7123"/>
    <cellStyle name="Normal 2 67 2 10 2" xfId="24871"/>
    <cellStyle name="Normal 2 67 2 11" xfId="7124"/>
    <cellStyle name="Normal 2 67 2 11 2" xfId="24872"/>
    <cellStyle name="Normal 2 67 2 12" xfId="7125"/>
    <cellStyle name="Normal 2 67 2 12 2" xfId="24873"/>
    <cellStyle name="Normal 2 67 2 13" xfId="7126"/>
    <cellStyle name="Normal 2 67 2 13 2" xfId="24874"/>
    <cellStyle name="Normal 2 67 2 14" xfId="7127"/>
    <cellStyle name="Normal 2 67 2 14 2" xfId="24875"/>
    <cellStyle name="Normal 2 67 2 15" xfId="24870"/>
    <cellStyle name="Normal 2 67 2 2" xfId="7128"/>
    <cellStyle name="Normal 2 67 2 2 2" xfId="24876"/>
    <cellStyle name="Normal 2 67 2 3" xfId="7129"/>
    <cellStyle name="Normal 2 67 2 3 2" xfId="24877"/>
    <cellStyle name="Normal 2 67 2 4" xfId="7130"/>
    <cellStyle name="Normal 2 67 2 4 2" xfId="24878"/>
    <cellStyle name="Normal 2 67 2 5" xfId="7131"/>
    <cellStyle name="Normal 2 67 2 5 2" xfId="24879"/>
    <cellStyle name="Normal 2 67 2 6" xfId="7132"/>
    <cellStyle name="Normal 2 67 2 6 2" xfId="24880"/>
    <cellStyle name="Normal 2 67 2 7" xfId="7133"/>
    <cellStyle name="Normal 2 67 2 7 2" xfId="24881"/>
    <cellStyle name="Normal 2 67 2 8" xfId="7134"/>
    <cellStyle name="Normal 2 67 2 8 2" xfId="24882"/>
    <cellStyle name="Normal 2 67 2 9" xfId="7135"/>
    <cellStyle name="Normal 2 67 2 9 2" xfId="24883"/>
    <cellStyle name="Normal 2 67 3" xfId="7136"/>
    <cellStyle name="Normal 2 67 3 2" xfId="24884"/>
    <cellStyle name="Normal 2 67 4" xfId="7137"/>
    <cellStyle name="Normal 2 67 4 2" xfId="24885"/>
    <cellStyle name="Normal 2 67 5" xfId="7138"/>
    <cellStyle name="Normal 2 67 5 2" xfId="24886"/>
    <cellStyle name="Normal 2 67 6" xfId="7139"/>
    <cellStyle name="Normal 2 67 6 2" xfId="24887"/>
    <cellStyle name="Normal 2 67 7" xfId="7140"/>
    <cellStyle name="Normal 2 67 7 2" xfId="24888"/>
    <cellStyle name="Normal 2 67 8" xfId="7141"/>
    <cellStyle name="Normal 2 67 8 2" xfId="24889"/>
    <cellStyle name="Normal 2 67 9" xfId="7142"/>
    <cellStyle name="Normal 2 67 9 2" xfId="24890"/>
    <cellStyle name="Normal 2 68" xfId="7143"/>
    <cellStyle name="Normal 2 68 10" xfId="7144"/>
    <cellStyle name="Normal 2 68 10 2" xfId="24892"/>
    <cellStyle name="Normal 2 68 11" xfId="7145"/>
    <cellStyle name="Normal 2 68 11 2" xfId="24893"/>
    <cellStyle name="Normal 2 68 12" xfId="7146"/>
    <cellStyle name="Normal 2 68 12 2" xfId="24894"/>
    <cellStyle name="Normal 2 68 13" xfId="7147"/>
    <cellStyle name="Normal 2 68 13 2" xfId="24895"/>
    <cellStyle name="Normal 2 68 14" xfId="7148"/>
    <cellStyle name="Normal 2 68 14 2" xfId="24896"/>
    <cellStyle name="Normal 2 68 15" xfId="7149"/>
    <cellStyle name="Normal 2 68 15 2" xfId="24897"/>
    <cellStyle name="Normal 2 68 16" xfId="24891"/>
    <cellStyle name="Normal 2 68 2" xfId="7150"/>
    <cellStyle name="Normal 2 68 2 10" xfId="7151"/>
    <cellStyle name="Normal 2 68 2 10 2" xfId="24899"/>
    <cellStyle name="Normal 2 68 2 11" xfId="7152"/>
    <cellStyle name="Normal 2 68 2 11 2" xfId="24900"/>
    <cellStyle name="Normal 2 68 2 12" xfId="7153"/>
    <cellStyle name="Normal 2 68 2 12 2" xfId="24901"/>
    <cellStyle name="Normal 2 68 2 13" xfId="7154"/>
    <cellStyle name="Normal 2 68 2 13 2" xfId="24902"/>
    <cellStyle name="Normal 2 68 2 14" xfId="7155"/>
    <cellStyle name="Normal 2 68 2 14 2" xfId="24903"/>
    <cellStyle name="Normal 2 68 2 15" xfId="24898"/>
    <cellStyle name="Normal 2 68 2 2" xfId="7156"/>
    <cellStyle name="Normal 2 68 2 2 2" xfId="24904"/>
    <cellStyle name="Normal 2 68 2 3" xfId="7157"/>
    <cellStyle name="Normal 2 68 2 3 2" xfId="24905"/>
    <cellStyle name="Normal 2 68 2 4" xfId="7158"/>
    <cellStyle name="Normal 2 68 2 4 2" xfId="24906"/>
    <cellStyle name="Normal 2 68 2 5" xfId="7159"/>
    <cellStyle name="Normal 2 68 2 5 2" xfId="24907"/>
    <cellStyle name="Normal 2 68 2 6" xfId="7160"/>
    <cellStyle name="Normal 2 68 2 6 2" xfId="24908"/>
    <cellStyle name="Normal 2 68 2 7" xfId="7161"/>
    <cellStyle name="Normal 2 68 2 7 2" xfId="24909"/>
    <cellStyle name="Normal 2 68 2 8" xfId="7162"/>
    <cellStyle name="Normal 2 68 2 8 2" xfId="24910"/>
    <cellStyle name="Normal 2 68 2 9" xfId="7163"/>
    <cellStyle name="Normal 2 68 2 9 2" xfId="24911"/>
    <cellStyle name="Normal 2 68 3" xfId="7164"/>
    <cellStyle name="Normal 2 68 3 2" xfId="24912"/>
    <cellStyle name="Normal 2 68 4" xfId="7165"/>
    <cellStyle name="Normal 2 68 4 2" xfId="24913"/>
    <cellStyle name="Normal 2 68 5" xfId="7166"/>
    <cellStyle name="Normal 2 68 5 2" xfId="24914"/>
    <cellStyle name="Normal 2 68 6" xfId="7167"/>
    <cellStyle name="Normal 2 68 6 2" xfId="24915"/>
    <cellStyle name="Normal 2 68 7" xfId="7168"/>
    <cellStyle name="Normal 2 68 7 2" xfId="24916"/>
    <cellStyle name="Normal 2 68 8" xfId="7169"/>
    <cellStyle name="Normal 2 68 8 2" xfId="24917"/>
    <cellStyle name="Normal 2 68 9" xfId="7170"/>
    <cellStyle name="Normal 2 68 9 2" xfId="24918"/>
    <cellStyle name="Normal 2 69" xfId="7171"/>
    <cellStyle name="Normal 2 69 10" xfId="7172"/>
    <cellStyle name="Normal 2 69 10 2" xfId="24920"/>
    <cellStyle name="Normal 2 69 11" xfId="7173"/>
    <cellStyle name="Normal 2 69 11 2" xfId="24921"/>
    <cellStyle name="Normal 2 69 12" xfId="7174"/>
    <cellStyle name="Normal 2 69 12 2" xfId="24922"/>
    <cellStyle name="Normal 2 69 13" xfId="7175"/>
    <cellStyle name="Normal 2 69 13 2" xfId="24923"/>
    <cellStyle name="Normal 2 69 14" xfId="7176"/>
    <cellStyle name="Normal 2 69 14 2" xfId="24924"/>
    <cellStyle name="Normal 2 69 15" xfId="24919"/>
    <cellStyle name="Normal 2 69 2" xfId="7177"/>
    <cellStyle name="Normal 2 69 2 2" xfId="24925"/>
    <cellStyle name="Normal 2 69 3" xfId="7178"/>
    <cellStyle name="Normal 2 69 3 2" xfId="24926"/>
    <cellStyle name="Normal 2 69 4" xfId="7179"/>
    <cellStyle name="Normal 2 69 4 2" xfId="24927"/>
    <cellStyle name="Normal 2 69 5" xfId="7180"/>
    <cellStyle name="Normal 2 69 5 2" xfId="24928"/>
    <cellStyle name="Normal 2 69 6" xfId="7181"/>
    <cellStyle name="Normal 2 69 6 2" xfId="24929"/>
    <cellStyle name="Normal 2 69 7" xfId="7182"/>
    <cellStyle name="Normal 2 69 7 2" xfId="24930"/>
    <cellStyle name="Normal 2 69 8" xfId="7183"/>
    <cellStyle name="Normal 2 69 8 2" xfId="24931"/>
    <cellStyle name="Normal 2 69 9" xfId="7184"/>
    <cellStyle name="Normal 2 69 9 2" xfId="24932"/>
    <cellStyle name="Normal 2 7" xfId="303"/>
    <cellStyle name="Normal 2 7 2" xfId="387"/>
    <cellStyle name="Normal 2 7 2 2" xfId="579"/>
    <cellStyle name="Normal 2 7 2 2 2" xfId="7188"/>
    <cellStyle name="Normal 2 7 2 2 3" xfId="7187"/>
    <cellStyle name="Normal 2 7 2 3" xfId="7189"/>
    <cellStyle name="Normal 2 7 2 3 2" xfId="7190"/>
    <cellStyle name="Normal 2 7 2 4" xfId="7191"/>
    <cellStyle name="Normal 2 7 2 4 2" xfId="7192"/>
    <cellStyle name="Normal 2 7 2 5" xfId="7193"/>
    <cellStyle name="Normal 2 7 2 5 2" xfId="7194"/>
    <cellStyle name="Normal 2 7 2 6" xfId="7195"/>
    <cellStyle name="Normal 2 7 2 6 2" xfId="7196"/>
    <cellStyle name="Normal 2 7 2 7" xfId="7197"/>
    <cellStyle name="Normal 2 7 2 7 2" xfId="7198"/>
    <cellStyle name="Normal 2 7 2 8" xfId="7186"/>
    <cellStyle name="Normal 2 7 3" xfId="520"/>
    <cellStyle name="Normal 2 7 3 2" xfId="7199"/>
    <cellStyle name="Normal 2 7 4" xfId="7200"/>
    <cellStyle name="Normal 2 7 5" xfId="7201"/>
    <cellStyle name="Normal 2 7 6" xfId="7202"/>
    <cellStyle name="Normal 2 7 7" xfId="7203"/>
    <cellStyle name="Normal 2 7 8" xfId="7204"/>
    <cellStyle name="Normal 2 7 9" xfId="7185"/>
    <cellStyle name="Normal 2 70" xfId="7205"/>
    <cellStyle name="Normal 2 70 10" xfId="7206"/>
    <cellStyle name="Normal 2 70 10 2" xfId="24934"/>
    <cellStyle name="Normal 2 70 11" xfId="7207"/>
    <cellStyle name="Normal 2 70 11 2" xfId="24935"/>
    <cellStyle name="Normal 2 70 12" xfId="7208"/>
    <cellStyle name="Normal 2 70 12 2" xfId="24936"/>
    <cellStyle name="Normal 2 70 13" xfId="7209"/>
    <cellStyle name="Normal 2 70 13 2" xfId="24937"/>
    <cellStyle name="Normal 2 70 14" xfId="7210"/>
    <cellStyle name="Normal 2 70 14 2" xfId="24938"/>
    <cellStyle name="Normal 2 70 15" xfId="24933"/>
    <cellStyle name="Normal 2 70 2" xfId="7211"/>
    <cellStyle name="Normal 2 70 2 2" xfId="24939"/>
    <cellStyle name="Normal 2 70 3" xfId="7212"/>
    <cellStyle name="Normal 2 70 3 2" xfId="24940"/>
    <cellStyle name="Normal 2 70 4" xfId="7213"/>
    <cellStyle name="Normal 2 70 4 2" xfId="24941"/>
    <cellStyle name="Normal 2 70 5" xfId="7214"/>
    <cellStyle name="Normal 2 70 5 2" xfId="24942"/>
    <cellStyle name="Normal 2 70 6" xfId="7215"/>
    <cellStyle name="Normal 2 70 6 2" xfId="24943"/>
    <cellStyle name="Normal 2 70 7" xfId="7216"/>
    <cellStyle name="Normal 2 70 7 2" xfId="24944"/>
    <cellStyle name="Normal 2 70 8" xfId="7217"/>
    <cellStyle name="Normal 2 70 8 2" xfId="24945"/>
    <cellStyle name="Normal 2 70 9" xfId="7218"/>
    <cellStyle name="Normal 2 70 9 2" xfId="24946"/>
    <cellStyle name="Normal 2 71" xfId="7219"/>
    <cellStyle name="Normal 2 71 10" xfId="7220"/>
    <cellStyle name="Normal 2 71 10 2" xfId="24948"/>
    <cellStyle name="Normal 2 71 11" xfId="7221"/>
    <cellStyle name="Normal 2 71 11 2" xfId="24949"/>
    <cellStyle name="Normal 2 71 12" xfId="7222"/>
    <cellStyle name="Normal 2 71 12 2" xfId="24950"/>
    <cellStyle name="Normal 2 71 13" xfId="7223"/>
    <cellStyle name="Normal 2 71 13 2" xfId="24951"/>
    <cellStyle name="Normal 2 71 14" xfId="7224"/>
    <cellStyle name="Normal 2 71 14 2" xfId="24952"/>
    <cellStyle name="Normal 2 71 15" xfId="24947"/>
    <cellStyle name="Normal 2 71 2" xfId="7225"/>
    <cellStyle name="Normal 2 71 2 2" xfId="24953"/>
    <cellStyle name="Normal 2 71 3" xfId="7226"/>
    <cellStyle name="Normal 2 71 3 2" xfId="24954"/>
    <cellStyle name="Normal 2 71 4" xfId="7227"/>
    <cellStyle name="Normal 2 71 4 2" xfId="24955"/>
    <cellStyle name="Normal 2 71 5" xfId="7228"/>
    <cellStyle name="Normal 2 71 5 2" xfId="24956"/>
    <cellStyle name="Normal 2 71 6" xfId="7229"/>
    <cellStyle name="Normal 2 71 6 2" xfId="24957"/>
    <cellStyle name="Normal 2 71 7" xfId="7230"/>
    <cellStyle name="Normal 2 71 7 2" xfId="24958"/>
    <cellStyle name="Normal 2 71 8" xfId="7231"/>
    <cellStyle name="Normal 2 71 8 2" xfId="24959"/>
    <cellStyle name="Normal 2 71 9" xfId="7232"/>
    <cellStyle name="Normal 2 71 9 2" xfId="24960"/>
    <cellStyle name="Normal 2 72" xfId="7233"/>
    <cellStyle name="Normal 2 72 10" xfId="7234"/>
    <cellStyle name="Normal 2 72 10 2" xfId="24962"/>
    <cellStyle name="Normal 2 72 11" xfId="7235"/>
    <cellStyle name="Normal 2 72 11 2" xfId="24963"/>
    <cellStyle name="Normal 2 72 12" xfId="7236"/>
    <cellStyle name="Normal 2 72 12 2" xfId="24964"/>
    <cellStyle name="Normal 2 72 13" xfId="7237"/>
    <cellStyle name="Normal 2 72 13 2" xfId="24965"/>
    <cellStyle name="Normal 2 72 14" xfId="7238"/>
    <cellStyle name="Normal 2 72 14 2" xfId="24966"/>
    <cellStyle name="Normal 2 72 15" xfId="24961"/>
    <cellStyle name="Normal 2 72 2" xfId="7239"/>
    <cellStyle name="Normal 2 72 2 2" xfId="24967"/>
    <cellStyle name="Normal 2 72 3" xfId="7240"/>
    <cellStyle name="Normal 2 72 3 2" xfId="24968"/>
    <cellStyle name="Normal 2 72 4" xfId="7241"/>
    <cellStyle name="Normal 2 72 4 2" xfId="24969"/>
    <cellStyle name="Normal 2 72 5" xfId="7242"/>
    <cellStyle name="Normal 2 72 5 2" xfId="24970"/>
    <cellStyle name="Normal 2 72 6" xfId="7243"/>
    <cellStyle name="Normal 2 72 6 2" xfId="24971"/>
    <cellStyle name="Normal 2 72 7" xfId="7244"/>
    <cellStyle name="Normal 2 72 7 2" xfId="24972"/>
    <cellStyle name="Normal 2 72 8" xfId="7245"/>
    <cellStyle name="Normal 2 72 8 2" xfId="24973"/>
    <cellStyle name="Normal 2 72 9" xfId="7246"/>
    <cellStyle name="Normal 2 72 9 2" xfId="24974"/>
    <cellStyle name="Normal 2 73" xfId="7247"/>
    <cellStyle name="Normal 2 73 10" xfId="7248"/>
    <cellStyle name="Normal 2 73 10 2" xfId="24976"/>
    <cellStyle name="Normal 2 73 11" xfId="7249"/>
    <cellStyle name="Normal 2 73 11 2" xfId="24977"/>
    <cellStyle name="Normal 2 73 12" xfId="7250"/>
    <cellStyle name="Normal 2 73 12 2" xfId="24978"/>
    <cellStyle name="Normal 2 73 13" xfId="7251"/>
    <cellStyle name="Normal 2 73 13 2" xfId="24979"/>
    <cellStyle name="Normal 2 73 14" xfId="7252"/>
    <cellStyle name="Normal 2 73 14 2" xfId="24980"/>
    <cellStyle name="Normal 2 73 15" xfId="24975"/>
    <cellStyle name="Normal 2 73 2" xfId="7253"/>
    <cellStyle name="Normal 2 73 2 2" xfId="24981"/>
    <cellStyle name="Normal 2 73 3" xfId="7254"/>
    <cellStyle name="Normal 2 73 3 2" xfId="24982"/>
    <cellStyle name="Normal 2 73 4" xfId="7255"/>
    <cellStyle name="Normal 2 73 4 2" xfId="24983"/>
    <cellStyle name="Normal 2 73 5" xfId="7256"/>
    <cellStyle name="Normal 2 73 5 2" xfId="24984"/>
    <cellStyle name="Normal 2 73 6" xfId="7257"/>
    <cellStyle name="Normal 2 73 6 2" xfId="24985"/>
    <cellStyle name="Normal 2 73 7" xfId="7258"/>
    <cellStyle name="Normal 2 73 7 2" xfId="24986"/>
    <cellStyle name="Normal 2 73 8" xfId="7259"/>
    <cellStyle name="Normal 2 73 8 2" xfId="24987"/>
    <cellStyle name="Normal 2 73 9" xfId="7260"/>
    <cellStyle name="Normal 2 73 9 2" xfId="24988"/>
    <cellStyle name="Normal 2 74" xfId="7261"/>
    <cellStyle name="Normal 2 74 10" xfId="7262"/>
    <cellStyle name="Normal 2 74 10 2" xfId="24990"/>
    <cellStyle name="Normal 2 74 11" xfId="7263"/>
    <cellStyle name="Normal 2 74 11 2" xfId="24991"/>
    <cellStyle name="Normal 2 74 12" xfId="7264"/>
    <cellStyle name="Normal 2 74 12 2" xfId="24992"/>
    <cellStyle name="Normal 2 74 13" xfId="7265"/>
    <cellStyle name="Normal 2 74 13 2" xfId="24993"/>
    <cellStyle name="Normal 2 74 14" xfId="7266"/>
    <cellStyle name="Normal 2 74 14 2" xfId="24994"/>
    <cellStyle name="Normal 2 74 15" xfId="24989"/>
    <cellStyle name="Normal 2 74 2" xfId="7267"/>
    <cellStyle name="Normal 2 74 2 2" xfId="24995"/>
    <cellStyle name="Normal 2 74 3" xfId="7268"/>
    <cellStyle name="Normal 2 74 3 2" xfId="24996"/>
    <cellStyle name="Normal 2 74 4" xfId="7269"/>
    <cellStyle name="Normal 2 74 4 2" xfId="24997"/>
    <cellStyle name="Normal 2 74 5" xfId="7270"/>
    <cellStyle name="Normal 2 74 5 2" xfId="24998"/>
    <cellStyle name="Normal 2 74 6" xfId="7271"/>
    <cellStyle name="Normal 2 74 6 2" xfId="24999"/>
    <cellStyle name="Normal 2 74 7" xfId="7272"/>
    <cellStyle name="Normal 2 74 7 2" xfId="25000"/>
    <cellStyle name="Normal 2 74 8" xfId="7273"/>
    <cellStyle name="Normal 2 74 8 2" xfId="25001"/>
    <cellStyle name="Normal 2 74 9" xfId="7274"/>
    <cellStyle name="Normal 2 74 9 2" xfId="25002"/>
    <cellStyle name="Normal 2 75" xfId="7275"/>
    <cellStyle name="Normal 2 75 10" xfId="7276"/>
    <cellStyle name="Normal 2 75 10 2" xfId="25004"/>
    <cellStyle name="Normal 2 75 11" xfId="7277"/>
    <cellStyle name="Normal 2 75 11 2" xfId="25005"/>
    <cellStyle name="Normal 2 75 12" xfId="7278"/>
    <cellStyle name="Normal 2 75 12 2" xfId="25006"/>
    <cellStyle name="Normal 2 75 13" xfId="7279"/>
    <cellStyle name="Normal 2 75 13 2" xfId="25007"/>
    <cellStyle name="Normal 2 75 14" xfId="7280"/>
    <cellStyle name="Normal 2 75 14 2" xfId="25008"/>
    <cellStyle name="Normal 2 75 15" xfId="25003"/>
    <cellStyle name="Normal 2 75 2" xfId="7281"/>
    <cellStyle name="Normal 2 75 2 2" xfId="25009"/>
    <cellStyle name="Normal 2 75 3" xfId="7282"/>
    <cellStyle name="Normal 2 75 3 2" xfId="25010"/>
    <cellStyle name="Normal 2 75 4" xfId="7283"/>
    <cellStyle name="Normal 2 75 4 2" xfId="25011"/>
    <cellStyle name="Normal 2 75 5" xfId="7284"/>
    <cellStyle name="Normal 2 75 5 2" xfId="25012"/>
    <cellStyle name="Normal 2 75 6" xfId="7285"/>
    <cellStyle name="Normal 2 75 6 2" xfId="25013"/>
    <cellStyle name="Normal 2 75 7" xfId="7286"/>
    <cellStyle name="Normal 2 75 7 2" xfId="25014"/>
    <cellStyle name="Normal 2 75 8" xfId="7287"/>
    <cellStyle name="Normal 2 75 8 2" xfId="25015"/>
    <cellStyle name="Normal 2 75 9" xfId="7288"/>
    <cellStyle name="Normal 2 75 9 2" xfId="25016"/>
    <cellStyle name="Normal 2 76" xfId="7289"/>
    <cellStyle name="Normal 2 76 10" xfId="7290"/>
    <cellStyle name="Normal 2 76 10 2" xfId="25018"/>
    <cellStyle name="Normal 2 76 11" xfId="7291"/>
    <cellStyle name="Normal 2 76 11 2" xfId="25019"/>
    <cellStyle name="Normal 2 76 12" xfId="7292"/>
    <cellStyle name="Normal 2 76 12 2" xfId="25020"/>
    <cellStyle name="Normal 2 76 13" xfId="7293"/>
    <cellStyle name="Normal 2 76 13 2" xfId="25021"/>
    <cellStyle name="Normal 2 76 14" xfId="7294"/>
    <cellStyle name="Normal 2 76 14 2" xfId="25022"/>
    <cellStyle name="Normal 2 76 15" xfId="25017"/>
    <cellStyle name="Normal 2 76 2" xfId="7295"/>
    <cellStyle name="Normal 2 76 2 2" xfId="25023"/>
    <cellStyle name="Normal 2 76 3" xfId="7296"/>
    <cellStyle name="Normal 2 76 3 2" xfId="25024"/>
    <cellStyle name="Normal 2 76 4" xfId="7297"/>
    <cellStyle name="Normal 2 76 4 2" xfId="25025"/>
    <cellStyle name="Normal 2 76 5" xfId="7298"/>
    <cellStyle name="Normal 2 76 5 2" xfId="25026"/>
    <cellStyle name="Normal 2 76 6" xfId="7299"/>
    <cellStyle name="Normal 2 76 6 2" xfId="25027"/>
    <cellStyle name="Normal 2 76 7" xfId="7300"/>
    <cellStyle name="Normal 2 76 7 2" xfId="25028"/>
    <cellStyle name="Normal 2 76 8" xfId="7301"/>
    <cellStyle name="Normal 2 76 8 2" xfId="25029"/>
    <cellStyle name="Normal 2 76 9" xfId="7302"/>
    <cellStyle name="Normal 2 76 9 2" xfId="25030"/>
    <cellStyle name="Normal 2 77" xfId="7303"/>
    <cellStyle name="Normal 2 77 10" xfId="7304"/>
    <cellStyle name="Normal 2 77 10 2" xfId="25032"/>
    <cellStyle name="Normal 2 77 11" xfId="7305"/>
    <cellStyle name="Normal 2 77 11 2" xfId="25033"/>
    <cellStyle name="Normal 2 77 12" xfId="7306"/>
    <cellStyle name="Normal 2 77 12 2" xfId="25034"/>
    <cellStyle name="Normal 2 77 13" xfId="7307"/>
    <cellStyle name="Normal 2 77 13 2" xfId="25035"/>
    <cellStyle name="Normal 2 77 14" xfId="7308"/>
    <cellStyle name="Normal 2 77 14 2" xfId="25036"/>
    <cellStyle name="Normal 2 77 15" xfId="25031"/>
    <cellStyle name="Normal 2 77 2" xfId="7309"/>
    <cellStyle name="Normal 2 77 2 2" xfId="25037"/>
    <cellStyle name="Normal 2 77 3" xfId="7310"/>
    <cellStyle name="Normal 2 77 3 2" xfId="25038"/>
    <cellStyle name="Normal 2 77 4" xfId="7311"/>
    <cellStyle name="Normal 2 77 4 2" xfId="25039"/>
    <cellStyle name="Normal 2 77 5" xfId="7312"/>
    <cellStyle name="Normal 2 77 5 2" xfId="25040"/>
    <cellStyle name="Normal 2 77 6" xfId="7313"/>
    <cellStyle name="Normal 2 77 6 2" xfId="25041"/>
    <cellStyle name="Normal 2 77 7" xfId="7314"/>
    <cellStyle name="Normal 2 77 7 2" xfId="25042"/>
    <cellStyle name="Normal 2 77 8" xfId="7315"/>
    <cellStyle name="Normal 2 77 8 2" xfId="25043"/>
    <cellStyle name="Normal 2 77 9" xfId="7316"/>
    <cellStyle name="Normal 2 77 9 2" xfId="25044"/>
    <cellStyle name="Normal 2 78" xfId="7317"/>
    <cellStyle name="Normal 2 78 10" xfId="7318"/>
    <cellStyle name="Normal 2 78 10 2" xfId="25046"/>
    <cellStyle name="Normal 2 78 11" xfId="7319"/>
    <cellStyle name="Normal 2 78 11 2" xfId="25047"/>
    <cellStyle name="Normal 2 78 12" xfId="7320"/>
    <cellStyle name="Normal 2 78 12 2" xfId="25048"/>
    <cellStyle name="Normal 2 78 13" xfId="7321"/>
    <cellStyle name="Normal 2 78 13 2" xfId="25049"/>
    <cellStyle name="Normal 2 78 14" xfId="7322"/>
    <cellStyle name="Normal 2 78 14 2" xfId="25050"/>
    <cellStyle name="Normal 2 78 15" xfId="25045"/>
    <cellStyle name="Normal 2 78 2" xfId="7323"/>
    <cellStyle name="Normal 2 78 2 2" xfId="25051"/>
    <cellStyle name="Normal 2 78 3" xfId="7324"/>
    <cellStyle name="Normal 2 78 3 2" xfId="25052"/>
    <cellStyle name="Normal 2 78 4" xfId="7325"/>
    <cellStyle name="Normal 2 78 4 2" xfId="25053"/>
    <cellStyle name="Normal 2 78 5" xfId="7326"/>
    <cellStyle name="Normal 2 78 5 2" xfId="25054"/>
    <cellStyle name="Normal 2 78 6" xfId="7327"/>
    <cellStyle name="Normal 2 78 6 2" xfId="25055"/>
    <cellStyle name="Normal 2 78 7" xfId="7328"/>
    <cellStyle name="Normal 2 78 7 2" xfId="25056"/>
    <cellStyle name="Normal 2 78 8" xfId="7329"/>
    <cellStyle name="Normal 2 78 8 2" xfId="25057"/>
    <cellStyle name="Normal 2 78 9" xfId="7330"/>
    <cellStyle name="Normal 2 78 9 2" xfId="25058"/>
    <cellStyle name="Normal 2 79" xfId="7331"/>
    <cellStyle name="Normal 2 8" xfId="183"/>
    <cellStyle name="Normal 2 8 2" xfId="557"/>
    <cellStyle name="Normal 2 8 2 2" xfId="7334"/>
    <cellStyle name="Normal 2 8 2 3" xfId="7333"/>
    <cellStyle name="Normal 2 8 3" xfId="7335"/>
    <cellStyle name="Normal 2 8 3 2" xfId="7336"/>
    <cellStyle name="Normal 2 8 4" xfId="7337"/>
    <cellStyle name="Normal 2 8 4 2" xfId="7338"/>
    <cellStyle name="Normal 2 8 5" xfId="7339"/>
    <cellStyle name="Normal 2 8 5 2" xfId="7340"/>
    <cellStyle name="Normal 2 8 6" xfId="7341"/>
    <cellStyle name="Normal 2 8 6 2" xfId="7342"/>
    <cellStyle name="Normal 2 8 7" xfId="7343"/>
    <cellStyle name="Normal 2 8 7 2" xfId="7344"/>
    <cellStyle name="Normal 2 8 8" xfId="7345"/>
    <cellStyle name="Normal 2 8 9" xfId="7332"/>
    <cellStyle name="Normal 2 80" xfId="7346"/>
    <cellStyle name="Normal 2 80 10" xfId="7347"/>
    <cellStyle name="Normal 2 80 10 2" xfId="25060"/>
    <cellStyle name="Normal 2 80 11" xfId="7348"/>
    <cellStyle name="Normal 2 80 11 2" xfId="25061"/>
    <cellStyle name="Normal 2 80 12" xfId="7349"/>
    <cellStyle name="Normal 2 80 12 2" xfId="25062"/>
    <cellStyle name="Normal 2 80 13" xfId="7350"/>
    <cellStyle name="Normal 2 80 13 2" xfId="25063"/>
    <cellStyle name="Normal 2 80 14" xfId="7351"/>
    <cellStyle name="Normal 2 80 14 2" xfId="25064"/>
    <cellStyle name="Normal 2 80 15" xfId="25059"/>
    <cellStyle name="Normal 2 80 2" xfId="7352"/>
    <cellStyle name="Normal 2 80 2 2" xfId="25065"/>
    <cellStyle name="Normal 2 80 3" xfId="7353"/>
    <cellStyle name="Normal 2 80 3 2" xfId="25066"/>
    <cellStyle name="Normal 2 80 4" xfId="7354"/>
    <cellStyle name="Normal 2 80 4 2" xfId="25067"/>
    <cellStyle name="Normal 2 80 5" xfId="7355"/>
    <cellStyle name="Normal 2 80 5 2" xfId="25068"/>
    <cellStyle name="Normal 2 80 6" xfId="7356"/>
    <cellStyle name="Normal 2 80 6 2" xfId="25069"/>
    <cellStyle name="Normal 2 80 7" xfId="7357"/>
    <cellStyle name="Normal 2 80 7 2" xfId="25070"/>
    <cellStyle name="Normal 2 80 8" xfId="7358"/>
    <cellStyle name="Normal 2 80 8 2" xfId="25071"/>
    <cellStyle name="Normal 2 80 9" xfId="7359"/>
    <cellStyle name="Normal 2 80 9 2" xfId="25072"/>
    <cellStyle name="Normal 2 81" xfId="7360"/>
    <cellStyle name="Normal 2 81 10" xfId="7361"/>
    <cellStyle name="Normal 2 81 10 2" xfId="25074"/>
    <cellStyle name="Normal 2 81 11" xfId="7362"/>
    <cellStyle name="Normal 2 81 11 2" xfId="25075"/>
    <cellStyle name="Normal 2 81 12" xfId="7363"/>
    <cellStyle name="Normal 2 81 12 2" xfId="25076"/>
    <cellStyle name="Normal 2 81 13" xfId="7364"/>
    <cellStyle name="Normal 2 81 13 2" xfId="25077"/>
    <cellStyle name="Normal 2 81 14" xfId="7365"/>
    <cellStyle name="Normal 2 81 14 2" xfId="25078"/>
    <cellStyle name="Normal 2 81 15" xfId="25073"/>
    <cellStyle name="Normal 2 81 2" xfId="7366"/>
    <cellStyle name="Normal 2 81 2 2" xfId="25079"/>
    <cellStyle name="Normal 2 81 3" xfId="7367"/>
    <cellStyle name="Normal 2 81 3 2" xfId="25080"/>
    <cellStyle name="Normal 2 81 4" xfId="7368"/>
    <cellStyle name="Normal 2 81 4 2" xfId="25081"/>
    <cellStyle name="Normal 2 81 5" xfId="7369"/>
    <cellStyle name="Normal 2 81 5 2" xfId="25082"/>
    <cellStyle name="Normal 2 81 6" xfId="7370"/>
    <cellStyle name="Normal 2 81 6 2" xfId="25083"/>
    <cellStyle name="Normal 2 81 7" xfId="7371"/>
    <cellStyle name="Normal 2 81 7 2" xfId="25084"/>
    <cellStyle name="Normal 2 81 8" xfId="7372"/>
    <cellStyle name="Normal 2 81 8 2" xfId="25085"/>
    <cellStyle name="Normal 2 81 9" xfId="7373"/>
    <cellStyle name="Normal 2 81 9 2" xfId="25086"/>
    <cellStyle name="Normal 2 9" xfId="468"/>
    <cellStyle name="Normal 2 9 2" xfId="7375"/>
    <cellStyle name="Normal 2 9 2 2" xfId="7376"/>
    <cellStyle name="Normal 2 9 3" xfId="7377"/>
    <cellStyle name="Normal 2 9 3 2" xfId="7378"/>
    <cellStyle name="Normal 2 9 4" xfId="7379"/>
    <cellStyle name="Normal 2 9 4 2" xfId="7380"/>
    <cellStyle name="Normal 2 9 5" xfId="7381"/>
    <cellStyle name="Normal 2 9 5 2" xfId="7382"/>
    <cellStyle name="Normal 2 9 6" xfId="7383"/>
    <cellStyle name="Normal 2 9 6 2" xfId="7384"/>
    <cellStyle name="Normal 2 9 7" xfId="7385"/>
    <cellStyle name="Normal 2 9 7 2" xfId="7386"/>
    <cellStyle name="Normal 2 9 8" xfId="7387"/>
    <cellStyle name="Normal 2 9 9" xfId="7374"/>
    <cellStyle name="Normal 20" xfId="329"/>
    <cellStyle name="Normal 20 10" xfId="7388"/>
    <cellStyle name="Normal 20 2" xfId="463"/>
    <cellStyle name="Normal 20 2 2" xfId="7389"/>
    <cellStyle name="Normal 20 3" xfId="7390"/>
    <cellStyle name="Normal 20 4" xfId="7391"/>
    <cellStyle name="Normal 20 5" xfId="7392"/>
    <cellStyle name="Normal 20 6" xfId="7393"/>
    <cellStyle name="Normal 20 7" xfId="7394"/>
    <cellStyle name="Normal 20 8" xfId="7395"/>
    <cellStyle name="Normal 20 9" xfId="7396"/>
    <cellStyle name="Normal 21" xfId="332"/>
    <cellStyle name="Normal 21 10" xfId="7397"/>
    <cellStyle name="Normal 21 2" xfId="522"/>
    <cellStyle name="Normal 21 2 2" xfId="7398"/>
    <cellStyle name="Normal 21 3" xfId="7399"/>
    <cellStyle name="Normal 21 4" xfId="7400"/>
    <cellStyle name="Normal 21 5" xfId="7401"/>
    <cellStyle name="Normal 21 6" xfId="7402"/>
    <cellStyle name="Normal 21 7" xfId="7403"/>
    <cellStyle name="Normal 21 8" xfId="7404"/>
    <cellStyle name="Normal 21 9" xfId="7405"/>
    <cellStyle name="Normal 22" xfId="348"/>
    <cellStyle name="Normal 22 2" xfId="538"/>
    <cellStyle name="Normal 22 2 2" xfId="7407"/>
    <cellStyle name="Normal 22 3" xfId="7406"/>
    <cellStyle name="Normal 23" xfId="389"/>
    <cellStyle name="Normal 23 2" xfId="581"/>
    <cellStyle name="Normal 24" xfId="430"/>
    <cellStyle name="Normal 24 2" xfId="587"/>
    <cellStyle name="Normal 24 2 2" xfId="7409"/>
    <cellStyle name="Normal 24 3" xfId="7408"/>
    <cellStyle name="Normal 25" xfId="433"/>
    <cellStyle name="Normal 25 2" xfId="591"/>
    <cellStyle name="Normal 25 2 2" xfId="7411"/>
    <cellStyle name="Normal 25 3" xfId="7410"/>
    <cellStyle name="Normal 26" xfId="49"/>
    <cellStyle name="Normal 26 2" xfId="203"/>
    <cellStyle name="Normal 26 3" xfId="7412"/>
    <cellStyle name="Normal 26 4" xfId="7413"/>
    <cellStyle name="Normal 26 5" xfId="7414"/>
    <cellStyle name="Normal 26 6" xfId="7415"/>
    <cellStyle name="Normal 26 7" xfId="7416"/>
    <cellStyle name="Normal 27" xfId="50"/>
    <cellStyle name="Normal 27 2" xfId="204"/>
    <cellStyle name="Normal 27 3" xfId="7417"/>
    <cellStyle name="Normal 27 4" xfId="7418"/>
    <cellStyle name="Normal 27 5" xfId="7419"/>
    <cellStyle name="Normal 27 6" xfId="7420"/>
    <cellStyle name="Normal 27 7" xfId="7421"/>
    <cellStyle name="Normal 27 8" xfId="7422"/>
    <cellStyle name="Normal 28" xfId="51"/>
    <cellStyle name="Normal 28 2" xfId="223"/>
    <cellStyle name="Normal 28 3" xfId="7423"/>
    <cellStyle name="Normal 28 3 10" xfId="7424"/>
    <cellStyle name="Normal 28 3 10 10" xfId="7425"/>
    <cellStyle name="Normal 28 3 10 10 2" xfId="25089"/>
    <cellStyle name="Normal 28 3 10 11" xfId="7426"/>
    <cellStyle name="Normal 28 3 10 11 2" xfId="25090"/>
    <cellStyle name="Normal 28 3 10 12" xfId="7427"/>
    <cellStyle name="Normal 28 3 10 12 2" xfId="25091"/>
    <cellStyle name="Normal 28 3 10 13" xfId="7428"/>
    <cellStyle name="Normal 28 3 10 13 2" xfId="25092"/>
    <cellStyle name="Normal 28 3 10 14" xfId="7429"/>
    <cellStyle name="Normal 28 3 10 14 2" xfId="25093"/>
    <cellStyle name="Normal 28 3 10 15" xfId="25088"/>
    <cellStyle name="Normal 28 3 10 2" xfId="7430"/>
    <cellStyle name="Normal 28 3 10 2 2" xfId="25094"/>
    <cellStyle name="Normal 28 3 10 3" xfId="7431"/>
    <cellStyle name="Normal 28 3 10 3 2" xfId="25095"/>
    <cellStyle name="Normal 28 3 10 4" xfId="7432"/>
    <cellStyle name="Normal 28 3 10 4 2" xfId="25096"/>
    <cellStyle name="Normal 28 3 10 5" xfId="7433"/>
    <cellStyle name="Normal 28 3 10 5 2" xfId="25097"/>
    <cellStyle name="Normal 28 3 10 6" xfId="7434"/>
    <cellStyle name="Normal 28 3 10 6 2" xfId="25098"/>
    <cellStyle name="Normal 28 3 10 7" xfId="7435"/>
    <cellStyle name="Normal 28 3 10 7 2" xfId="25099"/>
    <cellStyle name="Normal 28 3 10 8" xfId="7436"/>
    <cellStyle name="Normal 28 3 10 8 2" xfId="25100"/>
    <cellStyle name="Normal 28 3 10 9" xfId="7437"/>
    <cellStyle name="Normal 28 3 10 9 2" xfId="25101"/>
    <cellStyle name="Normal 28 3 11" xfId="7438"/>
    <cellStyle name="Normal 28 3 11 10" xfId="7439"/>
    <cellStyle name="Normal 28 3 11 10 2" xfId="25103"/>
    <cellStyle name="Normal 28 3 11 11" xfId="7440"/>
    <cellStyle name="Normal 28 3 11 11 2" xfId="25104"/>
    <cellStyle name="Normal 28 3 11 12" xfId="7441"/>
    <cellStyle name="Normal 28 3 11 12 2" xfId="25105"/>
    <cellStyle name="Normal 28 3 11 13" xfId="7442"/>
    <cellStyle name="Normal 28 3 11 13 2" xfId="25106"/>
    <cellStyle name="Normal 28 3 11 14" xfId="7443"/>
    <cellStyle name="Normal 28 3 11 14 2" xfId="25107"/>
    <cellStyle name="Normal 28 3 11 15" xfId="25102"/>
    <cellStyle name="Normal 28 3 11 2" xfId="7444"/>
    <cellStyle name="Normal 28 3 11 2 2" xfId="25108"/>
    <cellStyle name="Normal 28 3 11 3" xfId="7445"/>
    <cellStyle name="Normal 28 3 11 3 2" xfId="25109"/>
    <cellStyle name="Normal 28 3 11 4" xfId="7446"/>
    <cellStyle name="Normal 28 3 11 4 2" xfId="25110"/>
    <cellStyle name="Normal 28 3 11 5" xfId="7447"/>
    <cellStyle name="Normal 28 3 11 5 2" xfId="25111"/>
    <cellStyle name="Normal 28 3 11 6" xfId="7448"/>
    <cellStyle name="Normal 28 3 11 6 2" xfId="25112"/>
    <cellStyle name="Normal 28 3 11 7" xfId="7449"/>
    <cellStyle name="Normal 28 3 11 7 2" xfId="25113"/>
    <cellStyle name="Normal 28 3 11 8" xfId="7450"/>
    <cellStyle name="Normal 28 3 11 8 2" xfId="25114"/>
    <cellStyle name="Normal 28 3 11 9" xfId="7451"/>
    <cellStyle name="Normal 28 3 11 9 2" xfId="25115"/>
    <cellStyle name="Normal 28 3 12" xfId="7452"/>
    <cellStyle name="Normal 28 3 12 10" xfId="7453"/>
    <cellStyle name="Normal 28 3 12 10 2" xfId="25117"/>
    <cellStyle name="Normal 28 3 12 11" xfId="7454"/>
    <cellStyle name="Normal 28 3 12 11 2" xfId="25118"/>
    <cellStyle name="Normal 28 3 12 12" xfId="7455"/>
    <cellStyle name="Normal 28 3 12 12 2" xfId="25119"/>
    <cellStyle name="Normal 28 3 12 13" xfId="7456"/>
    <cellStyle name="Normal 28 3 12 13 2" xfId="25120"/>
    <cellStyle name="Normal 28 3 12 14" xfId="7457"/>
    <cellStyle name="Normal 28 3 12 14 2" xfId="25121"/>
    <cellStyle name="Normal 28 3 12 15" xfId="25116"/>
    <cellStyle name="Normal 28 3 12 2" xfId="7458"/>
    <cellStyle name="Normal 28 3 12 2 2" xfId="25122"/>
    <cellStyle name="Normal 28 3 12 3" xfId="7459"/>
    <cellStyle name="Normal 28 3 12 3 2" xfId="25123"/>
    <cellStyle name="Normal 28 3 12 4" xfId="7460"/>
    <cellStyle name="Normal 28 3 12 4 2" xfId="25124"/>
    <cellStyle name="Normal 28 3 12 5" xfId="7461"/>
    <cellStyle name="Normal 28 3 12 5 2" xfId="25125"/>
    <cellStyle name="Normal 28 3 12 6" xfId="7462"/>
    <cellStyle name="Normal 28 3 12 6 2" xfId="25126"/>
    <cellStyle name="Normal 28 3 12 7" xfId="7463"/>
    <cellStyle name="Normal 28 3 12 7 2" xfId="25127"/>
    <cellStyle name="Normal 28 3 12 8" xfId="7464"/>
    <cellStyle name="Normal 28 3 12 8 2" xfId="25128"/>
    <cellStyle name="Normal 28 3 12 9" xfId="7465"/>
    <cellStyle name="Normal 28 3 12 9 2" xfId="25129"/>
    <cellStyle name="Normal 28 3 13" xfId="7466"/>
    <cellStyle name="Normal 28 3 13 10" xfId="7467"/>
    <cellStyle name="Normal 28 3 13 10 2" xfId="25131"/>
    <cellStyle name="Normal 28 3 13 11" xfId="7468"/>
    <cellStyle name="Normal 28 3 13 11 2" xfId="25132"/>
    <cellStyle name="Normal 28 3 13 12" xfId="7469"/>
    <cellStyle name="Normal 28 3 13 12 2" xfId="25133"/>
    <cellStyle name="Normal 28 3 13 13" xfId="7470"/>
    <cellStyle name="Normal 28 3 13 13 2" xfId="25134"/>
    <cellStyle name="Normal 28 3 13 14" xfId="7471"/>
    <cellStyle name="Normal 28 3 13 14 2" xfId="25135"/>
    <cellStyle name="Normal 28 3 13 15" xfId="25130"/>
    <cellStyle name="Normal 28 3 13 2" xfId="7472"/>
    <cellStyle name="Normal 28 3 13 2 2" xfId="25136"/>
    <cellStyle name="Normal 28 3 13 3" xfId="7473"/>
    <cellStyle name="Normal 28 3 13 3 2" xfId="25137"/>
    <cellStyle name="Normal 28 3 13 4" xfId="7474"/>
    <cellStyle name="Normal 28 3 13 4 2" xfId="25138"/>
    <cellStyle name="Normal 28 3 13 5" xfId="7475"/>
    <cellStyle name="Normal 28 3 13 5 2" xfId="25139"/>
    <cellStyle name="Normal 28 3 13 6" xfId="7476"/>
    <cellStyle name="Normal 28 3 13 6 2" xfId="25140"/>
    <cellStyle name="Normal 28 3 13 7" xfId="7477"/>
    <cellStyle name="Normal 28 3 13 7 2" xfId="25141"/>
    <cellStyle name="Normal 28 3 13 8" xfId="7478"/>
    <cellStyle name="Normal 28 3 13 8 2" xfId="25142"/>
    <cellStyle name="Normal 28 3 13 9" xfId="7479"/>
    <cellStyle name="Normal 28 3 13 9 2" xfId="25143"/>
    <cellStyle name="Normal 28 3 14" xfId="7480"/>
    <cellStyle name="Normal 28 3 14 10" xfId="7481"/>
    <cellStyle name="Normal 28 3 14 10 2" xfId="25145"/>
    <cellStyle name="Normal 28 3 14 11" xfId="7482"/>
    <cellStyle name="Normal 28 3 14 11 2" xfId="25146"/>
    <cellStyle name="Normal 28 3 14 12" xfId="7483"/>
    <cellStyle name="Normal 28 3 14 12 2" xfId="25147"/>
    <cellStyle name="Normal 28 3 14 13" xfId="7484"/>
    <cellStyle name="Normal 28 3 14 13 2" xfId="25148"/>
    <cellStyle name="Normal 28 3 14 14" xfId="7485"/>
    <cellStyle name="Normal 28 3 14 14 2" xfId="25149"/>
    <cellStyle name="Normal 28 3 14 15" xfId="25144"/>
    <cellStyle name="Normal 28 3 14 2" xfId="7486"/>
    <cellStyle name="Normal 28 3 14 2 2" xfId="25150"/>
    <cellStyle name="Normal 28 3 14 3" xfId="7487"/>
    <cellStyle name="Normal 28 3 14 3 2" xfId="25151"/>
    <cellStyle name="Normal 28 3 14 4" xfId="7488"/>
    <cellStyle name="Normal 28 3 14 4 2" xfId="25152"/>
    <cellStyle name="Normal 28 3 14 5" xfId="7489"/>
    <cellStyle name="Normal 28 3 14 5 2" xfId="25153"/>
    <cellStyle name="Normal 28 3 14 6" xfId="7490"/>
    <cellStyle name="Normal 28 3 14 6 2" xfId="25154"/>
    <cellStyle name="Normal 28 3 14 7" xfId="7491"/>
    <cellStyle name="Normal 28 3 14 7 2" xfId="25155"/>
    <cellStyle name="Normal 28 3 14 8" xfId="7492"/>
    <cellStyle name="Normal 28 3 14 8 2" xfId="25156"/>
    <cellStyle name="Normal 28 3 14 9" xfId="7493"/>
    <cellStyle name="Normal 28 3 14 9 2" xfId="25157"/>
    <cellStyle name="Normal 28 3 15" xfId="7494"/>
    <cellStyle name="Normal 28 3 15 10" xfId="7495"/>
    <cellStyle name="Normal 28 3 15 10 2" xfId="25159"/>
    <cellStyle name="Normal 28 3 15 11" xfId="7496"/>
    <cellStyle name="Normal 28 3 15 11 2" xfId="25160"/>
    <cellStyle name="Normal 28 3 15 12" xfId="7497"/>
    <cellStyle name="Normal 28 3 15 12 2" xfId="25161"/>
    <cellStyle name="Normal 28 3 15 13" xfId="7498"/>
    <cellStyle name="Normal 28 3 15 13 2" xfId="25162"/>
    <cellStyle name="Normal 28 3 15 14" xfId="7499"/>
    <cellStyle name="Normal 28 3 15 14 2" xfId="25163"/>
    <cellStyle name="Normal 28 3 15 15" xfId="25158"/>
    <cellStyle name="Normal 28 3 15 2" xfId="7500"/>
    <cellStyle name="Normal 28 3 15 2 2" xfId="25164"/>
    <cellStyle name="Normal 28 3 15 3" xfId="7501"/>
    <cellStyle name="Normal 28 3 15 3 2" xfId="25165"/>
    <cellStyle name="Normal 28 3 15 4" xfId="7502"/>
    <cellStyle name="Normal 28 3 15 4 2" xfId="25166"/>
    <cellStyle name="Normal 28 3 15 5" xfId="7503"/>
    <cellStyle name="Normal 28 3 15 5 2" xfId="25167"/>
    <cellStyle name="Normal 28 3 15 6" xfId="7504"/>
    <cellStyle name="Normal 28 3 15 6 2" xfId="25168"/>
    <cellStyle name="Normal 28 3 15 7" xfId="7505"/>
    <cellStyle name="Normal 28 3 15 7 2" xfId="25169"/>
    <cellStyle name="Normal 28 3 15 8" xfId="7506"/>
    <cellStyle name="Normal 28 3 15 8 2" xfId="25170"/>
    <cellStyle name="Normal 28 3 15 9" xfId="7507"/>
    <cellStyle name="Normal 28 3 15 9 2" xfId="25171"/>
    <cellStyle name="Normal 28 3 16" xfId="7508"/>
    <cellStyle name="Normal 28 3 16 2" xfId="25172"/>
    <cellStyle name="Normal 28 3 17" xfId="7509"/>
    <cellStyle name="Normal 28 3 17 2" xfId="25173"/>
    <cellStyle name="Normal 28 3 18" xfId="7510"/>
    <cellStyle name="Normal 28 3 18 2" xfId="25174"/>
    <cellStyle name="Normal 28 3 19" xfId="7511"/>
    <cellStyle name="Normal 28 3 19 2" xfId="25175"/>
    <cellStyle name="Normal 28 3 2" xfId="7512"/>
    <cellStyle name="Normal 28 3 2 10" xfId="7513"/>
    <cellStyle name="Normal 28 3 2 10 2" xfId="25177"/>
    <cellStyle name="Normal 28 3 2 11" xfId="7514"/>
    <cellStyle name="Normal 28 3 2 11 2" xfId="25178"/>
    <cellStyle name="Normal 28 3 2 12" xfId="7515"/>
    <cellStyle name="Normal 28 3 2 12 2" xfId="25179"/>
    <cellStyle name="Normal 28 3 2 13" xfId="7516"/>
    <cellStyle name="Normal 28 3 2 13 2" xfId="25180"/>
    <cellStyle name="Normal 28 3 2 14" xfId="7517"/>
    <cellStyle name="Normal 28 3 2 14 2" xfId="25181"/>
    <cellStyle name="Normal 28 3 2 15" xfId="7518"/>
    <cellStyle name="Normal 28 3 2 15 2" xfId="25182"/>
    <cellStyle name="Normal 28 3 2 16" xfId="25176"/>
    <cellStyle name="Normal 28 3 2 2" xfId="7519"/>
    <cellStyle name="Normal 28 3 2 2 10" xfId="7520"/>
    <cellStyle name="Normal 28 3 2 2 10 2" xfId="25184"/>
    <cellStyle name="Normal 28 3 2 2 11" xfId="7521"/>
    <cellStyle name="Normal 28 3 2 2 11 2" xfId="25185"/>
    <cellStyle name="Normal 28 3 2 2 12" xfId="7522"/>
    <cellStyle name="Normal 28 3 2 2 12 2" xfId="25186"/>
    <cellStyle name="Normal 28 3 2 2 13" xfId="7523"/>
    <cellStyle name="Normal 28 3 2 2 13 2" xfId="25187"/>
    <cellStyle name="Normal 28 3 2 2 14" xfId="7524"/>
    <cellStyle name="Normal 28 3 2 2 14 2" xfId="25188"/>
    <cellStyle name="Normal 28 3 2 2 15" xfId="25183"/>
    <cellStyle name="Normal 28 3 2 2 2" xfId="7525"/>
    <cellStyle name="Normal 28 3 2 2 2 2" xfId="25189"/>
    <cellStyle name="Normal 28 3 2 2 3" xfId="7526"/>
    <cellStyle name="Normal 28 3 2 2 3 2" xfId="25190"/>
    <cellStyle name="Normal 28 3 2 2 4" xfId="7527"/>
    <cellStyle name="Normal 28 3 2 2 4 2" xfId="25191"/>
    <cellStyle name="Normal 28 3 2 2 5" xfId="7528"/>
    <cellStyle name="Normal 28 3 2 2 5 2" xfId="25192"/>
    <cellStyle name="Normal 28 3 2 2 6" xfId="7529"/>
    <cellStyle name="Normal 28 3 2 2 6 2" xfId="25193"/>
    <cellStyle name="Normal 28 3 2 2 7" xfId="7530"/>
    <cellStyle name="Normal 28 3 2 2 7 2" xfId="25194"/>
    <cellStyle name="Normal 28 3 2 2 8" xfId="7531"/>
    <cellStyle name="Normal 28 3 2 2 8 2" xfId="25195"/>
    <cellStyle name="Normal 28 3 2 2 9" xfId="7532"/>
    <cellStyle name="Normal 28 3 2 2 9 2" xfId="25196"/>
    <cellStyle name="Normal 28 3 2 3" xfId="7533"/>
    <cellStyle name="Normal 28 3 2 3 2" xfId="25197"/>
    <cellStyle name="Normal 28 3 2 4" xfId="7534"/>
    <cellStyle name="Normal 28 3 2 4 2" xfId="25198"/>
    <cellStyle name="Normal 28 3 2 5" xfId="7535"/>
    <cellStyle name="Normal 28 3 2 5 2" xfId="25199"/>
    <cellStyle name="Normal 28 3 2 6" xfId="7536"/>
    <cellStyle name="Normal 28 3 2 6 2" xfId="25200"/>
    <cellStyle name="Normal 28 3 2 7" xfId="7537"/>
    <cellStyle name="Normal 28 3 2 7 2" xfId="25201"/>
    <cellStyle name="Normal 28 3 2 8" xfId="7538"/>
    <cellStyle name="Normal 28 3 2 8 2" xfId="25202"/>
    <cellStyle name="Normal 28 3 2 9" xfId="7539"/>
    <cellStyle name="Normal 28 3 2 9 2" xfId="25203"/>
    <cellStyle name="Normal 28 3 20" xfId="7540"/>
    <cellStyle name="Normal 28 3 20 2" xfId="25204"/>
    <cellStyle name="Normal 28 3 21" xfId="7541"/>
    <cellStyle name="Normal 28 3 21 2" xfId="25205"/>
    <cellStyle name="Normal 28 3 22" xfId="7542"/>
    <cellStyle name="Normal 28 3 22 2" xfId="25206"/>
    <cellStyle name="Normal 28 3 23" xfId="7543"/>
    <cellStyle name="Normal 28 3 23 2" xfId="25207"/>
    <cellStyle name="Normal 28 3 24" xfId="7544"/>
    <cellStyle name="Normal 28 3 24 2" xfId="25208"/>
    <cellStyle name="Normal 28 3 25" xfId="7545"/>
    <cellStyle name="Normal 28 3 25 2" xfId="25209"/>
    <cellStyle name="Normal 28 3 26" xfId="7546"/>
    <cellStyle name="Normal 28 3 26 2" xfId="25210"/>
    <cellStyle name="Normal 28 3 27" xfId="7547"/>
    <cellStyle name="Normal 28 3 27 2" xfId="25211"/>
    <cellStyle name="Normal 28 3 28" xfId="7548"/>
    <cellStyle name="Normal 28 3 28 2" xfId="25212"/>
    <cellStyle name="Normal 28 3 29" xfId="25087"/>
    <cellStyle name="Normal 28 3 3" xfId="7549"/>
    <cellStyle name="Normal 28 3 3 10" xfId="7550"/>
    <cellStyle name="Normal 28 3 3 10 2" xfId="25214"/>
    <cellStyle name="Normal 28 3 3 11" xfId="7551"/>
    <cellStyle name="Normal 28 3 3 11 2" xfId="25215"/>
    <cellStyle name="Normal 28 3 3 12" xfId="7552"/>
    <cellStyle name="Normal 28 3 3 12 2" xfId="25216"/>
    <cellStyle name="Normal 28 3 3 13" xfId="7553"/>
    <cellStyle name="Normal 28 3 3 13 2" xfId="25217"/>
    <cellStyle name="Normal 28 3 3 14" xfId="7554"/>
    <cellStyle name="Normal 28 3 3 14 2" xfId="25218"/>
    <cellStyle name="Normal 28 3 3 15" xfId="7555"/>
    <cellStyle name="Normal 28 3 3 15 2" xfId="25219"/>
    <cellStyle name="Normal 28 3 3 16" xfId="25213"/>
    <cellStyle name="Normal 28 3 3 2" xfId="7556"/>
    <cellStyle name="Normal 28 3 3 2 10" xfId="7557"/>
    <cellStyle name="Normal 28 3 3 2 10 2" xfId="25221"/>
    <cellStyle name="Normal 28 3 3 2 11" xfId="7558"/>
    <cellStyle name="Normal 28 3 3 2 11 2" xfId="25222"/>
    <cellStyle name="Normal 28 3 3 2 12" xfId="7559"/>
    <cellStyle name="Normal 28 3 3 2 12 2" xfId="25223"/>
    <cellStyle name="Normal 28 3 3 2 13" xfId="7560"/>
    <cellStyle name="Normal 28 3 3 2 13 2" xfId="25224"/>
    <cellStyle name="Normal 28 3 3 2 14" xfId="7561"/>
    <cellStyle name="Normal 28 3 3 2 14 2" xfId="25225"/>
    <cellStyle name="Normal 28 3 3 2 15" xfId="25220"/>
    <cellStyle name="Normal 28 3 3 2 2" xfId="7562"/>
    <cellStyle name="Normal 28 3 3 2 2 2" xfId="25226"/>
    <cellStyle name="Normal 28 3 3 2 3" xfId="7563"/>
    <cellStyle name="Normal 28 3 3 2 3 2" xfId="25227"/>
    <cellStyle name="Normal 28 3 3 2 4" xfId="7564"/>
    <cellStyle name="Normal 28 3 3 2 4 2" xfId="25228"/>
    <cellStyle name="Normal 28 3 3 2 5" xfId="7565"/>
    <cellStyle name="Normal 28 3 3 2 5 2" xfId="25229"/>
    <cellStyle name="Normal 28 3 3 2 6" xfId="7566"/>
    <cellStyle name="Normal 28 3 3 2 6 2" xfId="25230"/>
    <cellStyle name="Normal 28 3 3 2 7" xfId="7567"/>
    <cellStyle name="Normal 28 3 3 2 7 2" xfId="25231"/>
    <cellStyle name="Normal 28 3 3 2 8" xfId="7568"/>
    <cellStyle name="Normal 28 3 3 2 8 2" xfId="25232"/>
    <cellStyle name="Normal 28 3 3 2 9" xfId="7569"/>
    <cellStyle name="Normal 28 3 3 2 9 2" xfId="25233"/>
    <cellStyle name="Normal 28 3 3 3" xfId="7570"/>
    <cellStyle name="Normal 28 3 3 3 2" xfId="25234"/>
    <cellStyle name="Normal 28 3 3 4" xfId="7571"/>
    <cellStyle name="Normal 28 3 3 4 2" xfId="25235"/>
    <cellStyle name="Normal 28 3 3 5" xfId="7572"/>
    <cellStyle name="Normal 28 3 3 5 2" xfId="25236"/>
    <cellStyle name="Normal 28 3 3 6" xfId="7573"/>
    <cellStyle name="Normal 28 3 3 6 2" xfId="25237"/>
    <cellStyle name="Normal 28 3 3 7" xfId="7574"/>
    <cellStyle name="Normal 28 3 3 7 2" xfId="25238"/>
    <cellStyle name="Normal 28 3 3 8" xfId="7575"/>
    <cellStyle name="Normal 28 3 3 8 2" xfId="25239"/>
    <cellStyle name="Normal 28 3 3 9" xfId="7576"/>
    <cellStyle name="Normal 28 3 3 9 2" xfId="25240"/>
    <cellStyle name="Normal 28 3 4" xfId="7577"/>
    <cellStyle name="Normal 28 3 4 10" xfId="7578"/>
    <cellStyle name="Normal 28 3 4 10 2" xfId="25242"/>
    <cellStyle name="Normal 28 3 4 11" xfId="7579"/>
    <cellStyle name="Normal 28 3 4 11 2" xfId="25243"/>
    <cellStyle name="Normal 28 3 4 12" xfId="7580"/>
    <cellStyle name="Normal 28 3 4 12 2" xfId="25244"/>
    <cellStyle name="Normal 28 3 4 13" xfId="7581"/>
    <cellStyle name="Normal 28 3 4 13 2" xfId="25245"/>
    <cellStyle name="Normal 28 3 4 14" xfId="7582"/>
    <cellStyle name="Normal 28 3 4 14 2" xfId="25246"/>
    <cellStyle name="Normal 28 3 4 15" xfId="7583"/>
    <cellStyle name="Normal 28 3 4 15 2" xfId="25247"/>
    <cellStyle name="Normal 28 3 4 16" xfId="25241"/>
    <cellStyle name="Normal 28 3 4 2" xfId="7584"/>
    <cellStyle name="Normal 28 3 4 2 10" xfId="7585"/>
    <cellStyle name="Normal 28 3 4 2 10 2" xfId="25249"/>
    <cellStyle name="Normal 28 3 4 2 11" xfId="7586"/>
    <cellStyle name="Normal 28 3 4 2 11 2" xfId="25250"/>
    <cellStyle name="Normal 28 3 4 2 12" xfId="7587"/>
    <cellStyle name="Normal 28 3 4 2 12 2" xfId="25251"/>
    <cellStyle name="Normal 28 3 4 2 13" xfId="7588"/>
    <cellStyle name="Normal 28 3 4 2 13 2" xfId="25252"/>
    <cellStyle name="Normal 28 3 4 2 14" xfId="7589"/>
    <cellStyle name="Normal 28 3 4 2 14 2" xfId="25253"/>
    <cellStyle name="Normal 28 3 4 2 15" xfId="25248"/>
    <cellStyle name="Normal 28 3 4 2 2" xfId="7590"/>
    <cellStyle name="Normal 28 3 4 2 2 2" xfId="25254"/>
    <cellStyle name="Normal 28 3 4 2 3" xfId="7591"/>
    <cellStyle name="Normal 28 3 4 2 3 2" xfId="25255"/>
    <cellStyle name="Normal 28 3 4 2 4" xfId="7592"/>
    <cellStyle name="Normal 28 3 4 2 4 2" xfId="25256"/>
    <cellStyle name="Normal 28 3 4 2 5" xfId="7593"/>
    <cellStyle name="Normal 28 3 4 2 5 2" xfId="25257"/>
    <cellStyle name="Normal 28 3 4 2 6" xfId="7594"/>
    <cellStyle name="Normal 28 3 4 2 6 2" xfId="25258"/>
    <cellStyle name="Normal 28 3 4 2 7" xfId="7595"/>
    <cellStyle name="Normal 28 3 4 2 7 2" xfId="25259"/>
    <cellStyle name="Normal 28 3 4 2 8" xfId="7596"/>
    <cellStyle name="Normal 28 3 4 2 8 2" xfId="25260"/>
    <cellStyle name="Normal 28 3 4 2 9" xfId="7597"/>
    <cellStyle name="Normal 28 3 4 2 9 2" xfId="25261"/>
    <cellStyle name="Normal 28 3 4 3" xfId="7598"/>
    <cellStyle name="Normal 28 3 4 3 2" xfId="25262"/>
    <cellStyle name="Normal 28 3 4 4" xfId="7599"/>
    <cellStyle name="Normal 28 3 4 4 2" xfId="25263"/>
    <cellStyle name="Normal 28 3 4 5" xfId="7600"/>
    <cellStyle name="Normal 28 3 4 5 2" xfId="25264"/>
    <cellStyle name="Normal 28 3 4 6" xfId="7601"/>
    <cellStyle name="Normal 28 3 4 6 2" xfId="25265"/>
    <cellStyle name="Normal 28 3 4 7" xfId="7602"/>
    <cellStyle name="Normal 28 3 4 7 2" xfId="25266"/>
    <cellStyle name="Normal 28 3 4 8" xfId="7603"/>
    <cellStyle name="Normal 28 3 4 8 2" xfId="25267"/>
    <cellStyle name="Normal 28 3 4 9" xfId="7604"/>
    <cellStyle name="Normal 28 3 4 9 2" xfId="25268"/>
    <cellStyle name="Normal 28 3 5" xfId="7605"/>
    <cellStyle name="Normal 28 3 5 10" xfId="7606"/>
    <cellStyle name="Normal 28 3 5 10 2" xfId="25270"/>
    <cellStyle name="Normal 28 3 5 11" xfId="7607"/>
    <cellStyle name="Normal 28 3 5 11 2" xfId="25271"/>
    <cellStyle name="Normal 28 3 5 12" xfId="7608"/>
    <cellStyle name="Normal 28 3 5 12 2" xfId="25272"/>
    <cellStyle name="Normal 28 3 5 13" xfId="7609"/>
    <cellStyle name="Normal 28 3 5 13 2" xfId="25273"/>
    <cellStyle name="Normal 28 3 5 14" xfId="7610"/>
    <cellStyle name="Normal 28 3 5 14 2" xfId="25274"/>
    <cellStyle name="Normal 28 3 5 15" xfId="25269"/>
    <cellStyle name="Normal 28 3 5 2" xfId="7611"/>
    <cellStyle name="Normal 28 3 5 2 2" xfId="25275"/>
    <cellStyle name="Normal 28 3 5 3" xfId="7612"/>
    <cellStyle name="Normal 28 3 5 3 2" xfId="25276"/>
    <cellStyle name="Normal 28 3 5 4" xfId="7613"/>
    <cellStyle name="Normal 28 3 5 4 2" xfId="25277"/>
    <cellStyle name="Normal 28 3 5 5" xfId="7614"/>
    <cellStyle name="Normal 28 3 5 5 2" xfId="25278"/>
    <cellStyle name="Normal 28 3 5 6" xfId="7615"/>
    <cellStyle name="Normal 28 3 5 6 2" xfId="25279"/>
    <cellStyle name="Normal 28 3 5 7" xfId="7616"/>
    <cellStyle name="Normal 28 3 5 7 2" xfId="25280"/>
    <cellStyle name="Normal 28 3 5 8" xfId="7617"/>
    <cellStyle name="Normal 28 3 5 8 2" xfId="25281"/>
    <cellStyle name="Normal 28 3 5 9" xfId="7618"/>
    <cellStyle name="Normal 28 3 5 9 2" xfId="25282"/>
    <cellStyle name="Normal 28 3 6" xfId="7619"/>
    <cellStyle name="Normal 28 3 6 10" xfId="7620"/>
    <cellStyle name="Normal 28 3 6 10 2" xfId="25284"/>
    <cellStyle name="Normal 28 3 6 11" xfId="7621"/>
    <cellStyle name="Normal 28 3 6 11 2" xfId="25285"/>
    <cellStyle name="Normal 28 3 6 12" xfId="7622"/>
    <cellStyle name="Normal 28 3 6 12 2" xfId="25286"/>
    <cellStyle name="Normal 28 3 6 13" xfId="7623"/>
    <cellStyle name="Normal 28 3 6 13 2" xfId="25287"/>
    <cellStyle name="Normal 28 3 6 14" xfId="7624"/>
    <cellStyle name="Normal 28 3 6 14 2" xfId="25288"/>
    <cellStyle name="Normal 28 3 6 15" xfId="25283"/>
    <cellStyle name="Normal 28 3 6 2" xfId="7625"/>
    <cellStyle name="Normal 28 3 6 2 2" xfId="25289"/>
    <cellStyle name="Normal 28 3 6 3" xfId="7626"/>
    <cellStyle name="Normal 28 3 6 3 2" xfId="25290"/>
    <cellStyle name="Normal 28 3 6 4" xfId="7627"/>
    <cellStyle name="Normal 28 3 6 4 2" xfId="25291"/>
    <cellStyle name="Normal 28 3 6 5" xfId="7628"/>
    <cellStyle name="Normal 28 3 6 5 2" xfId="25292"/>
    <cellStyle name="Normal 28 3 6 6" xfId="7629"/>
    <cellStyle name="Normal 28 3 6 6 2" xfId="25293"/>
    <cellStyle name="Normal 28 3 6 7" xfId="7630"/>
    <cellStyle name="Normal 28 3 6 7 2" xfId="25294"/>
    <cellStyle name="Normal 28 3 6 8" xfId="7631"/>
    <cellStyle name="Normal 28 3 6 8 2" xfId="25295"/>
    <cellStyle name="Normal 28 3 6 9" xfId="7632"/>
    <cellStyle name="Normal 28 3 6 9 2" xfId="25296"/>
    <cellStyle name="Normal 28 3 7" xfId="7633"/>
    <cellStyle name="Normal 28 3 7 10" xfId="7634"/>
    <cellStyle name="Normal 28 3 7 10 2" xfId="25298"/>
    <cellStyle name="Normal 28 3 7 11" xfId="7635"/>
    <cellStyle name="Normal 28 3 7 11 2" xfId="25299"/>
    <cellStyle name="Normal 28 3 7 12" xfId="7636"/>
    <cellStyle name="Normal 28 3 7 12 2" xfId="25300"/>
    <cellStyle name="Normal 28 3 7 13" xfId="7637"/>
    <cellStyle name="Normal 28 3 7 13 2" xfId="25301"/>
    <cellStyle name="Normal 28 3 7 14" xfId="7638"/>
    <cellStyle name="Normal 28 3 7 14 2" xfId="25302"/>
    <cellStyle name="Normal 28 3 7 15" xfId="25297"/>
    <cellStyle name="Normal 28 3 7 2" xfId="7639"/>
    <cellStyle name="Normal 28 3 7 2 2" xfId="25303"/>
    <cellStyle name="Normal 28 3 7 3" xfId="7640"/>
    <cellStyle name="Normal 28 3 7 3 2" xfId="25304"/>
    <cellStyle name="Normal 28 3 7 4" xfId="7641"/>
    <cellStyle name="Normal 28 3 7 4 2" xfId="25305"/>
    <cellStyle name="Normal 28 3 7 5" xfId="7642"/>
    <cellStyle name="Normal 28 3 7 5 2" xfId="25306"/>
    <cellStyle name="Normal 28 3 7 6" xfId="7643"/>
    <cellStyle name="Normal 28 3 7 6 2" xfId="25307"/>
    <cellStyle name="Normal 28 3 7 7" xfId="7644"/>
    <cellStyle name="Normal 28 3 7 7 2" xfId="25308"/>
    <cellStyle name="Normal 28 3 7 8" xfId="7645"/>
    <cellStyle name="Normal 28 3 7 8 2" xfId="25309"/>
    <cellStyle name="Normal 28 3 7 9" xfId="7646"/>
    <cellStyle name="Normal 28 3 7 9 2" xfId="25310"/>
    <cellStyle name="Normal 28 3 8" xfId="7647"/>
    <cellStyle name="Normal 28 3 8 10" xfId="7648"/>
    <cellStyle name="Normal 28 3 8 10 2" xfId="25312"/>
    <cellStyle name="Normal 28 3 8 11" xfId="7649"/>
    <cellStyle name="Normal 28 3 8 11 2" xfId="25313"/>
    <cellStyle name="Normal 28 3 8 12" xfId="7650"/>
    <cellStyle name="Normal 28 3 8 12 2" xfId="25314"/>
    <cellStyle name="Normal 28 3 8 13" xfId="7651"/>
    <cellStyle name="Normal 28 3 8 13 2" xfId="25315"/>
    <cellStyle name="Normal 28 3 8 14" xfId="7652"/>
    <cellStyle name="Normal 28 3 8 14 2" xfId="25316"/>
    <cellStyle name="Normal 28 3 8 15" xfId="25311"/>
    <cellStyle name="Normal 28 3 8 2" xfId="7653"/>
    <cellStyle name="Normal 28 3 8 2 2" xfId="25317"/>
    <cellStyle name="Normal 28 3 8 3" xfId="7654"/>
    <cellStyle name="Normal 28 3 8 3 2" xfId="25318"/>
    <cellStyle name="Normal 28 3 8 4" xfId="7655"/>
    <cellStyle name="Normal 28 3 8 4 2" xfId="25319"/>
    <cellStyle name="Normal 28 3 8 5" xfId="7656"/>
    <cellStyle name="Normal 28 3 8 5 2" xfId="25320"/>
    <cellStyle name="Normal 28 3 8 6" xfId="7657"/>
    <cellStyle name="Normal 28 3 8 6 2" xfId="25321"/>
    <cellStyle name="Normal 28 3 8 7" xfId="7658"/>
    <cellStyle name="Normal 28 3 8 7 2" xfId="25322"/>
    <cellStyle name="Normal 28 3 8 8" xfId="7659"/>
    <cellStyle name="Normal 28 3 8 8 2" xfId="25323"/>
    <cellStyle name="Normal 28 3 8 9" xfId="7660"/>
    <cellStyle name="Normal 28 3 8 9 2" xfId="25324"/>
    <cellStyle name="Normal 28 3 9" xfId="7661"/>
    <cellStyle name="Normal 28 3 9 10" xfId="7662"/>
    <cellStyle name="Normal 28 3 9 10 2" xfId="25326"/>
    <cellStyle name="Normal 28 3 9 11" xfId="7663"/>
    <cellStyle name="Normal 28 3 9 11 2" xfId="25327"/>
    <cellStyle name="Normal 28 3 9 12" xfId="7664"/>
    <cellStyle name="Normal 28 3 9 12 2" xfId="25328"/>
    <cellStyle name="Normal 28 3 9 13" xfId="7665"/>
    <cellStyle name="Normal 28 3 9 13 2" xfId="25329"/>
    <cellStyle name="Normal 28 3 9 14" xfId="7666"/>
    <cellStyle name="Normal 28 3 9 14 2" xfId="25330"/>
    <cellStyle name="Normal 28 3 9 15" xfId="25325"/>
    <cellStyle name="Normal 28 3 9 2" xfId="7667"/>
    <cellStyle name="Normal 28 3 9 2 2" xfId="25331"/>
    <cellStyle name="Normal 28 3 9 3" xfId="7668"/>
    <cellStyle name="Normal 28 3 9 3 2" xfId="25332"/>
    <cellStyle name="Normal 28 3 9 4" xfId="7669"/>
    <cellStyle name="Normal 28 3 9 4 2" xfId="25333"/>
    <cellStyle name="Normal 28 3 9 5" xfId="7670"/>
    <cellStyle name="Normal 28 3 9 5 2" xfId="25334"/>
    <cellStyle name="Normal 28 3 9 6" xfId="7671"/>
    <cellStyle name="Normal 28 3 9 6 2" xfId="25335"/>
    <cellStyle name="Normal 28 3 9 7" xfId="7672"/>
    <cellStyle name="Normal 28 3 9 7 2" xfId="25336"/>
    <cellStyle name="Normal 28 3 9 8" xfId="7673"/>
    <cellStyle name="Normal 28 3 9 8 2" xfId="25337"/>
    <cellStyle name="Normal 28 3 9 9" xfId="7674"/>
    <cellStyle name="Normal 28 3 9 9 2" xfId="25338"/>
    <cellStyle name="Normal 28 4" xfId="7675"/>
    <cellStyle name="Normal 28 4 10" xfId="7676"/>
    <cellStyle name="Normal 28 4 10 10" xfId="7677"/>
    <cellStyle name="Normal 28 4 10 10 2" xfId="25341"/>
    <cellStyle name="Normal 28 4 10 11" xfId="7678"/>
    <cellStyle name="Normal 28 4 10 11 2" xfId="25342"/>
    <cellStyle name="Normal 28 4 10 12" xfId="7679"/>
    <cellStyle name="Normal 28 4 10 12 2" xfId="25343"/>
    <cellStyle name="Normal 28 4 10 13" xfId="7680"/>
    <cellStyle name="Normal 28 4 10 13 2" xfId="25344"/>
    <cellStyle name="Normal 28 4 10 14" xfId="7681"/>
    <cellStyle name="Normal 28 4 10 14 2" xfId="25345"/>
    <cellStyle name="Normal 28 4 10 15" xfId="25340"/>
    <cellStyle name="Normal 28 4 10 2" xfId="7682"/>
    <cellStyle name="Normal 28 4 10 2 2" xfId="25346"/>
    <cellStyle name="Normal 28 4 10 3" xfId="7683"/>
    <cellStyle name="Normal 28 4 10 3 2" xfId="25347"/>
    <cellStyle name="Normal 28 4 10 4" xfId="7684"/>
    <cellStyle name="Normal 28 4 10 4 2" xfId="25348"/>
    <cellStyle name="Normal 28 4 10 5" xfId="7685"/>
    <cellStyle name="Normal 28 4 10 5 2" xfId="25349"/>
    <cellStyle name="Normal 28 4 10 6" xfId="7686"/>
    <cellStyle name="Normal 28 4 10 6 2" xfId="25350"/>
    <cellStyle name="Normal 28 4 10 7" xfId="7687"/>
    <cellStyle name="Normal 28 4 10 7 2" xfId="25351"/>
    <cellStyle name="Normal 28 4 10 8" xfId="7688"/>
    <cellStyle name="Normal 28 4 10 8 2" xfId="25352"/>
    <cellStyle name="Normal 28 4 10 9" xfId="7689"/>
    <cellStyle name="Normal 28 4 10 9 2" xfId="25353"/>
    <cellStyle name="Normal 28 4 11" xfId="7690"/>
    <cellStyle name="Normal 28 4 11 10" xfId="7691"/>
    <cellStyle name="Normal 28 4 11 10 2" xfId="25355"/>
    <cellStyle name="Normal 28 4 11 11" xfId="7692"/>
    <cellStyle name="Normal 28 4 11 11 2" xfId="25356"/>
    <cellStyle name="Normal 28 4 11 12" xfId="7693"/>
    <cellStyle name="Normal 28 4 11 12 2" xfId="25357"/>
    <cellStyle name="Normal 28 4 11 13" xfId="7694"/>
    <cellStyle name="Normal 28 4 11 13 2" xfId="25358"/>
    <cellStyle name="Normal 28 4 11 14" xfId="7695"/>
    <cellStyle name="Normal 28 4 11 14 2" xfId="25359"/>
    <cellStyle name="Normal 28 4 11 15" xfId="25354"/>
    <cellStyle name="Normal 28 4 11 2" xfId="7696"/>
    <cellStyle name="Normal 28 4 11 2 2" xfId="25360"/>
    <cellStyle name="Normal 28 4 11 3" xfId="7697"/>
    <cellStyle name="Normal 28 4 11 3 2" xfId="25361"/>
    <cellStyle name="Normal 28 4 11 4" xfId="7698"/>
    <cellStyle name="Normal 28 4 11 4 2" xfId="25362"/>
    <cellStyle name="Normal 28 4 11 5" xfId="7699"/>
    <cellStyle name="Normal 28 4 11 5 2" xfId="25363"/>
    <cellStyle name="Normal 28 4 11 6" xfId="7700"/>
    <cellStyle name="Normal 28 4 11 6 2" xfId="25364"/>
    <cellStyle name="Normal 28 4 11 7" xfId="7701"/>
    <cellStyle name="Normal 28 4 11 7 2" xfId="25365"/>
    <cellStyle name="Normal 28 4 11 8" xfId="7702"/>
    <cellStyle name="Normal 28 4 11 8 2" xfId="25366"/>
    <cellStyle name="Normal 28 4 11 9" xfId="7703"/>
    <cellStyle name="Normal 28 4 11 9 2" xfId="25367"/>
    <cellStyle name="Normal 28 4 12" xfId="7704"/>
    <cellStyle name="Normal 28 4 12 10" xfId="7705"/>
    <cellStyle name="Normal 28 4 12 10 2" xfId="25369"/>
    <cellStyle name="Normal 28 4 12 11" xfId="7706"/>
    <cellStyle name="Normal 28 4 12 11 2" xfId="25370"/>
    <cellStyle name="Normal 28 4 12 12" xfId="7707"/>
    <cellStyle name="Normal 28 4 12 12 2" xfId="25371"/>
    <cellStyle name="Normal 28 4 12 13" xfId="7708"/>
    <cellStyle name="Normal 28 4 12 13 2" xfId="25372"/>
    <cellStyle name="Normal 28 4 12 14" xfId="7709"/>
    <cellStyle name="Normal 28 4 12 14 2" xfId="25373"/>
    <cellStyle name="Normal 28 4 12 15" xfId="25368"/>
    <cellStyle name="Normal 28 4 12 2" xfId="7710"/>
    <cellStyle name="Normal 28 4 12 2 2" xfId="25374"/>
    <cellStyle name="Normal 28 4 12 3" xfId="7711"/>
    <cellStyle name="Normal 28 4 12 3 2" xfId="25375"/>
    <cellStyle name="Normal 28 4 12 4" xfId="7712"/>
    <cellStyle name="Normal 28 4 12 4 2" xfId="25376"/>
    <cellStyle name="Normal 28 4 12 5" xfId="7713"/>
    <cellStyle name="Normal 28 4 12 5 2" xfId="25377"/>
    <cellStyle name="Normal 28 4 12 6" xfId="7714"/>
    <cellStyle name="Normal 28 4 12 6 2" xfId="25378"/>
    <cellStyle name="Normal 28 4 12 7" xfId="7715"/>
    <cellStyle name="Normal 28 4 12 7 2" xfId="25379"/>
    <cellStyle name="Normal 28 4 12 8" xfId="7716"/>
    <cellStyle name="Normal 28 4 12 8 2" xfId="25380"/>
    <cellStyle name="Normal 28 4 12 9" xfId="7717"/>
    <cellStyle name="Normal 28 4 12 9 2" xfId="25381"/>
    <cellStyle name="Normal 28 4 13" xfId="7718"/>
    <cellStyle name="Normal 28 4 13 10" xfId="7719"/>
    <cellStyle name="Normal 28 4 13 10 2" xfId="25383"/>
    <cellStyle name="Normal 28 4 13 11" xfId="7720"/>
    <cellStyle name="Normal 28 4 13 11 2" xfId="25384"/>
    <cellStyle name="Normal 28 4 13 12" xfId="7721"/>
    <cellStyle name="Normal 28 4 13 12 2" xfId="25385"/>
    <cellStyle name="Normal 28 4 13 13" xfId="7722"/>
    <cellStyle name="Normal 28 4 13 13 2" xfId="25386"/>
    <cellStyle name="Normal 28 4 13 14" xfId="7723"/>
    <cellStyle name="Normal 28 4 13 14 2" xfId="25387"/>
    <cellStyle name="Normal 28 4 13 15" xfId="25382"/>
    <cellStyle name="Normal 28 4 13 2" xfId="7724"/>
    <cellStyle name="Normal 28 4 13 2 2" xfId="25388"/>
    <cellStyle name="Normal 28 4 13 3" xfId="7725"/>
    <cellStyle name="Normal 28 4 13 3 2" xfId="25389"/>
    <cellStyle name="Normal 28 4 13 4" xfId="7726"/>
    <cellStyle name="Normal 28 4 13 4 2" xfId="25390"/>
    <cellStyle name="Normal 28 4 13 5" xfId="7727"/>
    <cellStyle name="Normal 28 4 13 5 2" xfId="25391"/>
    <cellStyle name="Normal 28 4 13 6" xfId="7728"/>
    <cellStyle name="Normal 28 4 13 6 2" xfId="25392"/>
    <cellStyle name="Normal 28 4 13 7" xfId="7729"/>
    <cellStyle name="Normal 28 4 13 7 2" xfId="25393"/>
    <cellStyle name="Normal 28 4 13 8" xfId="7730"/>
    <cellStyle name="Normal 28 4 13 8 2" xfId="25394"/>
    <cellStyle name="Normal 28 4 13 9" xfId="7731"/>
    <cellStyle name="Normal 28 4 13 9 2" xfId="25395"/>
    <cellStyle name="Normal 28 4 14" xfId="7732"/>
    <cellStyle name="Normal 28 4 14 10" xfId="7733"/>
    <cellStyle name="Normal 28 4 14 10 2" xfId="25397"/>
    <cellStyle name="Normal 28 4 14 11" xfId="7734"/>
    <cellStyle name="Normal 28 4 14 11 2" xfId="25398"/>
    <cellStyle name="Normal 28 4 14 12" xfId="7735"/>
    <cellStyle name="Normal 28 4 14 12 2" xfId="25399"/>
    <cellStyle name="Normal 28 4 14 13" xfId="7736"/>
    <cellStyle name="Normal 28 4 14 13 2" xfId="25400"/>
    <cellStyle name="Normal 28 4 14 14" xfId="7737"/>
    <cellStyle name="Normal 28 4 14 14 2" xfId="25401"/>
    <cellStyle name="Normal 28 4 14 15" xfId="25396"/>
    <cellStyle name="Normal 28 4 14 2" xfId="7738"/>
    <cellStyle name="Normal 28 4 14 2 2" xfId="25402"/>
    <cellStyle name="Normal 28 4 14 3" xfId="7739"/>
    <cellStyle name="Normal 28 4 14 3 2" xfId="25403"/>
    <cellStyle name="Normal 28 4 14 4" xfId="7740"/>
    <cellStyle name="Normal 28 4 14 4 2" xfId="25404"/>
    <cellStyle name="Normal 28 4 14 5" xfId="7741"/>
    <cellStyle name="Normal 28 4 14 5 2" xfId="25405"/>
    <cellStyle name="Normal 28 4 14 6" xfId="7742"/>
    <cellStyle name="Normal 28 4 14 6 2" xfId="25406"/>
    <cellStyle name="Normal 28 4 14 7" xfId="7743"/>
    <cellStyle name="Normal 28 4 14 7 2" xfId="25407"/>
    <cellStyle name="Normal 28 4 14 8" xfId="7744"/>
    <cellStyle name="Normal 28 4 14 8 2" xfId="25408"/>
    <cellStyle name="Normal 28 4 14 9" xfId="7745"/>
    <cellStyle name="Normal 28 4 14 9 2" xfId="25409"/>
    <cellStyle name="Normal 28 4 15" xfId="7746"/>
    <cellStyle name="Normal 28 4 15 10" xfId="7747"/>
    <cellStyle name="Normal 28 4 15 10 2" xfId="25411"/>
    <cellStyle name="Normal 28 4 15 11" xfId="7748"/>
    <cellStyle name="Normal 28 4 15 11 2" xfId="25412"/>
    <cellStyle name="Normal 28 4 15 12" xfId="7749"/>
    <cellStyle name="Normal 28 4 15 12 2" xfId="25413"/>
    <cellStyle name="Normal 28 4 15 13" xfId="7750"/>
    <cellStyle name="Normal 28 4 15 13 2" xfId="25414"/>
    <cellStyle name="Normal 28 4 15 14" xfId="7751"/>
    <cellStyle name="Normal 28 4 15 14 2" xfId="25415"/>
    <cellStyle name="Normal 28 4 15 15" xfId="25410"/>
    <cellStyle name="Normal 28 4 15 2" xfId="7752"/>
    <cellStyle name="Normal 28 4 15 2 2" xfId="25416"/>
    <cellStyle name="Normal 28 4 15 3" xfId="7753"/>
    <cellStyle name="Normal 28 4 15 3 2" xfId="25417"/>
    <cellStyle name="Normal 28 4 15 4" xfId="7754"/>
    <cellStyle name="Normal 28 4 15 4 2" xfId="25418"/>
    <cellStyle name="Normal 28 4 15 5" xfId="7755"/>
    <cellStyle name="Normal 28 4 15 5 2" xfId="25419"/>
    <cellStyle name="Normal 28 4 15 6" xfId="7756"/>
    <cellStyle name="Normal 28 4 15 6 2" xfId="25420"/>
    <cellStyle name="Normal 28 4 15 7" xfId="7757"/>
    <cellStyle name="Normal 28 4 15 7 2" xfId="25421"/>
    <cellStyle name="Normal 28 4 15 8" xfId="7758"/>
    <cellStyle name="Normal 28 4 15 8 2" xfId="25422"/>
    <cellStyle name="Normal 28 4 15 9" xfId="7759"/>
    <cellStyle name="Normal 28 4 15 9 2" xfId="25423"/>
    <cellStyle name="Normal 28 4 16" xfId="7760"/>
    <cellStyle name="Normal 28 4 16 2" xfId="25424"/>
    <cellStyle name="Normal 28 4 17" xfId="7761"/>
    <cellStyle name="Normal 28 4 17 2" xfId="25425"/>
    <cellStyle name="Normal 28 4 18" xfId="7762"/>
    <cellStyle name="Normal 28 4 18 2" xfId="25426"/>
    <cellStyle name="Normal 28 4 19" xfId="7763"/>
    <cellStyle name="Normal 28 4 19 2" xfId="25427"/>
    <cellStyle name="Normal 28 4 2" xfId="7764"/>
    <cellStyle name="Normal 28 4 2 10" xfId="7765"/>
    <cellStyle name="Normal 28 4 2 10 2" xfId="25429"/>
    <cellStyle name="Normal 28 4 2 11" xfId="7766"/>
    <cellStyle name="Normal 28 4 2 11 2" xfId="25430"/>
    <cellStyle name="Normal 28 4 2 12" xfId="7767"/>
    <cellStyle name="Normal 28 4 2 12 2" xfId="25431"/>
    <cellStyle name="Normal 28 4 2 13" xfId="7768"/>
    <cellStyle name="Normal 28 4 2 13 2" xfId="25432"/>
    <cellStyle name="Normal 28 4 2 14" xfId="7769"/>
    <cellStyle name="Normal 28 4 2 14 2" xfId="25433"/>
    <cellStyle name="Normal 28 4 2 15" xfId="7770"/>
    <cellStyle name="Normal 28 4 2 15 2" xfId="25434"/>
    <cellStyle name="Normal 28 4 2 16" xfId="25428"/>
    <cellStyle name="Normal 28 4 2 2" xfId="7771"/>
    <cellStyle name="Normal 28 4 2 2 10" xfId="7772"/>
    <cellStyle name="Normal 28 4 2 2 10 2" xfId="25436"/>
    <cellStyle name="Normal 28 4 2 2 11" xfId="7773"/>
    <cellStyle name="Normal 28 4 2 2 11 2" xfId="25437"/>
    <cellStyle name="Normal 28 4 2 2 12" xfId="7774"/>
    <cellStyle name="Normal 28 4 2 2 12 2" xfId="25438"/>
    <cellStyle name="Normal 28 4 2 2 13" xfId="7775"/>
    <cellStyle name="Normal 28 4 2 2 13 2" xfId="25439"/>
    <cellStyle name="Normal 28 4 2 2 14" xfId="7776"/>
    <cellStyle name="Normal 28 4 2 2 14 2" xfId="25440"/>
    <cellStyle name="Normal 28 4 2 2 15" xfId="25435"/>
    <cellStyle name="Normal 28 4 2 2 2" xfId="7777"/>
    <cellStyle name="Normal 28 4 2 2 2 2" xfId="25441"/>
    <cellStyle name="Normal 28 4 2 2 3" xfId="7778"/>
    <cellStyle name="Normal 28 4 2 2 3 2" xfId="25442"/>
    <cellStyle name="Normal 28 4 2 2 4" xfId="7779"/>
    <cellStyle name="Normal 28 4 2 2 4 2" xfId="25443"/>
    <cellStyle name="Normal 28 4 2 2 5" xfId="7780"/>
    <cellStyle name="Normal 28 4 2 2 5 2" xfId="25444"/>
    <cellStyle name="Normal 28 4 2 2 6" xfId="7781"/>
    <cellStyle name="Normal 28 4 2 2 6 2" xfId="25445"/>
    <cellStyle name="Normal 28 4 2 2 7" xfId="7782"/>
    <cellStyle name="Normal 28 4 2 2 7 2" xfId="25446"/>
    <cellStyle name="Normal 28 4 2 2 8" xfId="7783"/>
    <cellStyle name="Normal 28 4 2 2 8 2" xfId="25447"/>
    <cellStyle name="Normal 28 4 2 2 9" xfId="7784"/>
    <cellStyle name="Normal 28 4 2 2 9 2" xfId="25448"/>
    <cellStyle name="Normal 28 4 2 3" xfId="7785"/>
    <cellStyle name="Normal 28 4 2 3 2" xfId="25449"/>
    <cellStyle name="Normal 28 4 2 4" xfId="7786"/>
    <cellStyle name="Normal 28 4 2 4 2" xfId="25450"/>
    <cellStyle name="Normal 28 4 2 5" xfId="7787"/>
    <cellStyle name="Normal 28 4 2 5 2" xfId="25451"/>
    <cellStyle name="Normal 28 4 2 6" xfId="7788"/>
    <cellStyle name="Normal 28 4 2 6 2" xfId="25452"/>
    <cellStyle name="Normal 28 4 2 7" xfId="7789"/>
    <cellStyle name="Normal 28 4 2 7 2" xfId="25453"/>
    <cellStyle name="Normal 28 4 2 8" xfId="7790"/>
    <cellStyle name="Normal 28 4 2 8 2" xfId="25454"/>
    <cellStyle name="Normal 28 4 2 9" xfId="7791"/>
    <cellStyle name="Normal 28 4 2 9 2" xfId="25455"/>
    <cellStyle name="Normal 28 4 20" xfId="7792"/>
    <cellStyle name="Normal 28 4 20 2" xfId="25456"/>
    <cellStyle name="Normal 28 4 21" xfId="7793"/>
    <cellStyle name="Normal 28 4 21 2" xfId="25457"/>
    <cellStyle name="Normal 28 4 22" xfId="7794"/>
    <cellStyle name="Normal 28 4 22 2" xfId="25458"/>
    <cellStyle name="Normal 28 4 23" xfId="7795"/>
    <cellStyle name="Normal 28 4 23 2" xfId="25459"/>
    <cellStyle name="Normal 28 4 24" xfId="7796"/>
    <cellStyle name="Normal 28 4 24 2" xfId="25460"/>
    <cellStyle name="Normal 28 4 25" xfId="7797"/>
    <cellStyle name="Normal 28 4 25 2" xfId="25461"/>
    <cellStyle name="Normal 28 4 26" xfId="7798"/>
    <cellStyle name="Normal 28 4 26 2" xfId="25462"/>
    <cellStyle name="Normal 28 4 27" xfId="7799"/>
    <cellStyle name="Normal 28 4 27 2" xfId="25463"/>
    <cellStyle name="Normal 28 4 28" xfId="7800"/>
    <cellStyle name="Normal 28 4 28 2" xfId="25464"/>
    <cellStyle name="Normal 28 4 29" xfId="25339"/>
    <cellStyle name="Normal 28 4 3" xfId="7801"/>
    <cellStyle name="Normal 28 4 3 10" xfId="7802"/>
    <cellStyle name="Normal 28 4 3 10 2" xfId="25466"/>
    <cellStyle name="Normal 28 4 3 11" xfId="7803"/>
    <cellStyle name="Normal 28 4 3 11 2" xfId="25467"/>
    <cellStyle name="Normal 28 4 3 12" xfId="7804"/>
    <cellStyle name="Normal 28 4 3 12 2" xfId="25468"/>
    <cellStyle name="Normal 28 4 3 13" xfId="7805"/>
    <cellStyle name="Normal 28 4 3 13 2" xfId="25469"/>
    <cellStyle name="Normal 28 4 3 14" xfId="7806"/>
    <cellStyle name="Normal 28 4 3 14 2" xfId="25470"/>
    <cellStyle name="Normal 28 4 3 15" xfId="7807"/>
    <cellStyle name="Normal 28 4 3 15 2" xfId="25471"/>
    <cellStyle name="Normal 28 4 3 16" xfId="25465"/>
    <cellStyle name="Normal 28 4 3 2" xfId="7808"/>
    <cellStyle name="Normal 28 4 3 2 10" xfId="7809"/>
    <cellStyle name="Normal 28 4 3 2 10 2" xfId="25473"/>
    <cellStyle name="Normal 28 4 3 2 11" xfId="7810"/>
    <cellStyle name="Normal 28 4 3 2 11 2" xfId="25474"/>
    <cellStyle name="Normal 28 4 3 2 12" xfId="7811"/>
    <cellStyle name="Normal 28 4 3 2 12 2" xfId="25475"/>
    <cellStyle name="Normal 28 4 3 2 13" xfId="7812"/>
    <cellStyle name="Normal 28 4 3 2 13 2" xfId="25476"/>
    <cellStyle name="Normal 28 4 3 2 14" xfId="7813"/>
    <cellStyle name="Normal 28 4 3 2 14 2" xfId="25477"/>
    <cellStyle name="Normal 28 4 3 2 15" xfId="25472"/>
    <cellStyle name="Normal 28 4 3 2 2" xfId="7814"/>
    <cellStyle name="Normal 28 4 3 2 2 2" xfId="25478"/>
    <cellStyle name="Normal 28 4 3 2 3" xfId="7815"/>
    <cellStyle name="Normal 28 4 3 2 3 2" xfId="25479"/>
    <cellStyle name="Normal 28 4 3 2 4" xfId="7816"/>
    <cellStyle name="Normal 28 4 3 2 4 2" xfId="25480"/>
    <cellStyle name="Normal 28 4 3 2 5" xfId="7817"/>
    <cellStyle name="Normal 28 4 3 2 5 2" xfId="25481"/>
    <cellStyle name="Normal 28 4 3 2 6" xfId="7818"/>
    <cellStyle name="Normal 28 4 3 2 6 2" xfId="25482"/>
    <cellStyle name="Normal 28 4 3 2 7" xfId="7819"/>
    <cellStyle name="Normal 28 4 3 2 7 2" xfId="25483"/>
    <cellStyle name="Normal 28 4 3 2 8" xfId="7820"/>
    <cellStyle name="Normal 28 4 3 2 8 2" xfId="25484"/>
    <cellStyle name="Normal 28 4 3 2 9" xfId="7821"/>
    <cellStyle name="Normal 28 4 3 2 9 2" xfId="25485"/>
    <cellStyle name="Normal 28 4 3 3" xfId="7822"/>
    <cellStyle name="Normal 28 4 3 3 2" xfId="25486"/>
    <cellStyle name="Normal 28 4 3 4" xfId="7823"/>
    <cellStyle name="Normal 28 4 3 4 2" xfId="25487"/>
    <cellStyle name="Normal 28 4 3 5" xfId="7824"/>
    <cellStyle name="Normal 28 4 3 5 2" xfId="25488"/>
    <cellStyle name="Normal 28 4 3 6" xfId="7825"/>
    <cellStyle name="Normal 28 4 3 6 2" xfId="25489"/>
    <cellStyle name="Normal 28 4 3 7" xfId="7826"/>
    <cellStyle name="Normal 28 4 3 7 2" xfId="25490"/>
    <cellStyle name="Normal 28 4 3 8" xfId="7827"/>
    <cellStyle name="Normal 28 4 3 8 2" xfId="25491"/>
    <cellStyle name="Normal 28 4 3 9" xfId="7828"/>
    <cellStyle name="Normal 28 4 3 9 2" xfId="25492"/>
    <cellStyle name="Normal 28 4 4" xfId="7829"/>
    <cellStyle name="Normal 28 4 4 10" xfId="7830"/>
    <cellStyle name="Normal 28 4 4 10 2" xfId="25494"/>
    <cellStyle name="Normal 28 4 4 11" xfId="7831"/>
    <cellStyle name="Normal 28 4 4 11 2" xfId="25495"/>
    <cellStyle name="Normal 28 4 4 12" xfId="7832"/>
    <cellStyle name="Normal 28 4 4 12 2" xfId="25496"/>
    <cellStyle name="Normal 28 4 4 13" xfId="7833"/>
    <cellStyle name="Normal 28 4 4 13 2" xfId="25497"/>
    <cellStyle name="Normal 28 4 4 14" xfId="7834"/>
    <cellStyle name="Normal 28 4 4 14 2" xfId="25498"/>
    <cellStyle name="Normal 28 4 4 15" xfId="7835"/>
    <cellStyle name="Normal 28 4 4 15 2" xfId="25499"/>
    <cellStyle name="Normal 28 4 4 16" xfId="25493"/>
    <cellStyle name="Normal 28 4 4 2" xfId="7836"/>
    <cellStyle name="Normal 28 4 4 2 10" xfId="7837"/>
    <cellStyle name="Normal 28 4 4 2 10 2" xfId="25501"/>
    <cellStyle name="Normal 28 4 4 2 11" xfId="7838"/>
    <cellStyle name="Normal 28 4 4 2 11 2" xfId="25502"/>
    <cellStyle name="Normal 28 4 4 2 12" xfId="7839"/>
    <cellStyle name="Normal 28 4 4 2 12 2" xfId="25503"/>
    <cellStyle name="Normal 28 4 4 2 13" xfId="7840"/>
    <cellStyle name="Normal 28 4 4 2 13 2" xfId="25504"/>
    <cellStyle name="Normal 28 4 4 2 14" xfId="7841"/>
    <cellStyle name="Normal 28 4 4 2 14 2" xfId="25505"/>
    <cellStyle name="Normal 28 4 4 2 15" xfId="25500"/>
    <cellStyle name="Normal 28 4 4 2 2" xfId="7842"/>
    <cellStyle name="Normal 28 4 4 2 2 2" xfId="25506"/>
    <cellStyle name="Normal 28 4 4 2 3" xfId="7843"/>
    <cellStyle name="Normal 28 4 4 2 3 2" xfId="25507"/>
    <cellStyle name="Normal 28 4 4 2 4" xfId="7844"/>
    <cellStyle name="Normal 28 4 4 2 4 2" xfId="25508"/>
    <cellStyle name="Normal 28 4 4 2 5" xfId="7845"/>
    <cellStyle name="Normal 28 4 4 2 5 2" xfId="25509"/>
    <cellStyle name="Normal 28 4 4 2 6" xfId="7846"/>
    <cellStyle name="Normal 28 4 4 2 6 2" xfId="25510"/>
    <cellStyle name="Normal 28 4 4 2 7" xfId="7847"/>
    <cellStyle name="Normal 28 4 4 2 7 2" xfId="25511"/>
    <cellStyle name="Normal 28 4 4 2 8" xfId="7848"/>
    <cellStyle name="Normal 28 4 4 2 8 2" xfId="25512"/>
    <cellStyle name="Normal 28 4 4 2 9" xfId="7849"/>
    <cellStyle name="Normal 28 4 4 2 9 2" xfId="25513"/>
    <cellStyle name="Normal 28 4 4 3" xfId="7850"/>
    <cellStyle name="Normal 28 4 4 3 2" xfId="25514"/>
    <cellStyle name="Normal 28 4 4 4" xfId="7851"/>
    <cellStyle name="Normal 28 4 4 4 2" xfId="25515"/>
    <cellStyle name="Normal 28 4 4 5" xfId="7852"/>
    <cellStyle name="Normal 28 4 4 5 2" xfId="25516"/>
    <cellStyle name="Normal 28 4 4 6" xfId="7853"/>
    <cellStyle name="Normal 28 4 4 6 2" xfId="25517"/>
    <cellStyle name="Normal 28 4 4 7" xfId="7854"/>
    <cellStyle name="Normal 28 4 4 7 2" xfId="25518"/>
    <cellStyle name="Normal 28 4 4 8" xfId="7855"/>
    <cellStyle name="Normal 28 4 4 8 2" xfId="25519"/>
    <cellStyle name="Normal 28 4 4 9" xfId="7856"/>
    <cellStyle name="Normal 28 4 4 9 2" xfId="25520"/>
    <cellStyle name="Normal 28 4 5" xfId="7857"/>
    <cellStyle name="Normal 28 4 5 10" xfId="7858"/>
    <cellStyle name="Normal 28 4 5 10 2" xfId="25522"/>
    <cellStyle name="Normal 28 4 5 11" xfId="7859"/>
    <cellStyle name="Normal 28 4 5 11 2" xfId="25523"/>
    <cellStyle name="Normal 28 4 5 12" xfId="7860"/>
    <cellStyle name="Normal 28 4 5 12 2" xfId="25524"/>
    <cellStyle name="Normal 28 4 5 13" xfId="7861"/>
    <cellStyle name="Normal 28 4 5 13 2" xfId="25525"/>
    <cellStyle name="Normal 28 4 5 14" xfId="7862"/>
    <cellStyle name="Normal 28 4 5 14 2" xfId="25526"/>
    <cellStyle name="Normal 28 4 5 15" xfId="25521"/>
    <cellStyle name="Normal 28 4 5 2" xfId="7863"/>
    <cellStyle name="Normal 28 4 5 2 2" xfId="25527"/>
    <cellStyle name="Normal 28 4 5 3" xfId="7864"/>
    <cellStyle name="Normal 28 4 5 3 2" xfId="25528"/>
    <cellStyle name="Normal 28 4 5 4" xfId="7865"/>
    <cellStyle name="Normal 28 4 5 4 2" xfId="25529"/>
    <cellStyle name="Normal 28 4 5 5" xfId="7866"/>
    <cellStyle name="Normal 28 4 5 5 2" xfId="25530"/>
    <cellStyle name="Normal 28 4 5 6" xfId="7867"/>
    <cellStyle name="Normal 28 4 5 6 2" xfId="25531"/>
    <cellStyle name="Normal 28 4 5 7" xfId="7868"/>
    <cellStyle name="Normal 28 4 5 7 2" xfId="25532"/>
    <cellStyle name="Normal 28 4 5 8" xfId="7869"/>
    <cellStyle name="Normal 28 4 5 8 2" xfId="25533"/>
    <cellStyle name="Normal 28 4 5 9" xfId="7870"/>
    <cellStyle name="Normal 28 4 5 9 2" xfId="25534"/>
    <cellStyle name="Normal 28 4 6" xfId="7871"/>
    <cellStyle name="Normal 28 4 6 10" xfId="7872"/>
    <cellStyle name="Normal 28 4 6 10 2" xfId="25536"/>
    <cellStyle name="Normal 28 4 6 11" xfId="7873"/>
    <cellStyle name="Normal 28 4 6 11 2" xfId="25537"/>
    <cellStyle name="Normal 28 4 6 12" xfId="7874"/>
    <cellStyle name="Normal 28 4 6 12 2" xfId="25538"/>
    <cellStyle name="Normal 28 4 6 13" xfId="7875"/>
    <cellStyle name="Normal 28 4 6 13 2" xfId="25539"/>
    <cellStyle name="Normal 28 4 6 14" xfId="7876"/>
    <cellStyle name="Normal 28 4 6 14 2" xfId="25540"/>
    <cellStyle name="Normal 28 4 6 15" xfId="25535"/>
    <cellStyle name="Normal 28 4 6 2" xfId="7877"/>
    <cellStyle name="Normal 28 4 6 2 2" xfId="25541"/>
    <cellStyle name="Normal 28 4 6 3" xfId="7878"/>
    <cellStyle name="Normal 28 4 6 3 2" xfId="25542"/>
    <cellStyle name="Normal 28 4 6 4" xfId="7879"/>
    <cellStyle name="Normal 28 4 6 4 2" xfId="25543"/>
    <cellStyle name="Normal 28 4 6 5" xfId="7880"/>
    <cellStyle name="Normal 28 4 6 5 2" xfId="25544"/>
    <cellStyle name="Normal 28 4 6 6" xfId="7881"/>
    <cellStyle name="Normal 28 4 6 6 2" xfId="25545"/>
    <cellStyle name="Normal 28 4 6 7" xfId="7882"/>
    <cellStyle name="Normal 28 4 6 7 2" xfId="25546"/>
    <cellStyle name="Normal 28 4 6 8" xfId="7883"/>
    <cellStyle name="Normal 28 4 6 8 2" xfId="25547"/>
    <cellStyle name="Normal 28 4 6 9" xfId="7884"/>
    <cellStyle name="Normal 28 4 6 9 2" xfId="25548"/>
    <cellStyle name="Normal 28 4 7" xfId="7885"/>
    <cellStyle name="Normal 28 4 7 10" xfId="7886"/>
    <cellStyle name="Normal 28 4 7 10 2" xfId="25550"/>
    <cellStyle name="Normal 28 4 7 11" xfId="7887"/>
    <cellStyle name="Normal 28 4 7 11 2" xfId="25551"/>
    <cellStyle name="Normal 28 4 7 12" xfId="7888"/>
    <cellStyle name="Normal 28 4 7 12 2" xfId="25552"/>
    <cellStyle name="Normal 28 4 7 13" xfId="7889"/>
    <cellStyle name="Normal 28 4 7 13 2" xfId="25553"/>
    <cellStyle name="Normal 28 4 7 14" xfId="7890"/>
    <cellStyle name="Normal 28 4 7 14 2" xfId="25554"/>
    <cellStyle name="Normal 28 4 7 15" xfId="25549"/>
    <cellStyle name="Normal 28 4 7 2" xfId="7891"/>
    <cellStyle name="Normal 28 4 7 2 2" xfId="25555"/>
    <cellStyle name="Normal 28 4 7 3" xfId="7892"/>
    <cellStyle name="Normal 28 4 7 3 2" xfId="25556"/>
    <cellStyle name="Normal 28 4 7 4" xfId="7893"/>
    <cellStyle name="Normal 28 4 7 4 2" xfId="25557"/>
    <cellStyle name="Normal 28 4 7 5" xfId="7894"/>
    <cellStyle name="Normal 28 4 7 5 2" xfId="25558"/>
    <cellStyle name="Normal 28 4 7 6" xfId="7895"/>
    <cellStyle name="Normal 28 4 7 6 2" xfId="25559"/>
    <cellStyle name="Normal 28 4 7 7" xfId="7896"/>
    <cellStyle name="Normal 28 4 7 7 2" xfId="25560"/>
    <cellStyle name="Normal 28 4 7 8" xfId="7897"/>
    <cellStyle name="Normal 28 4 7 8 2" xfId="25561"/>
    <cellStyle name="Normal 28 4 7 9" xfId="7898"/>
    <cellStyle name="Normal 28 4 7 9 2" xfId="25562"/>
    <cellStyle name="Normal 28 4 8" xfId="7899"/>
    <cellStyle name="Normal 28 4 8 10" xfId="7900"/>
    <cellStyle name="Normal 28 4 8 10 2" xfId="25564"/>
    <cellStyle name="Normal 28 4 8 11" xfId="7901"/>
    <cellStyle name="Normal 28 4 8 11 2" xfId="25565"/>
    <cellStyle name="Normal 28 4 8 12" xfId="7902"/>
    <cellStyle name="Normal 28 4 8 12 2" xfId="25566"/>
    <cellStyle name="Normal 28 4 8 13" xfId="7903"/>
    <cellStyle name="Normal 28 4 8 13 2" xfId="25567"/>
    <cellStyle name="Normal 28 4 8 14" xfId="7904"/>
    <cellStyle name="Normal 28 4 8 14 2" xfId="25568"/>
    <cellStyle name="Normal 28 4 8 15" xfId="25563"/>
    <cellStyle name="Normal 28 4 8 2" xfId="7905"/>
    <cellStyle name="Normal 28 4 8 2 2" xfId="25569"/>
    <cellStyle name="Normal 28 4 8 3" xfId="7906"/>
    <cellStyle name="Normal 28 4 8 3 2" xfId="25570"/>
    <cellStyle name="Normal 28 4 8 4" xfId="7907"/>
    <cellStyle name="Normal 28 4 8 4 2" xfId="25571"/>
    <cellStyle name="Normal 28 4 8 5" xfId="7908"/>
    <cellStyle name="Normal 28 4 8 5 2" xfId="25572"/>
    <cellStyle name="Normal 28 4 8 6" xfId="7909"/>
    <cellStyle name="Normal 28 4 8 6 2" xfId="25573"/>
    <cellStyle name="Normal 28 4 8 7" xfId="7910"/>
    <cellStyle name="Normal 28 4 8 7 2" xfId="25574"/>
    <cellStyle name="Normal 28 4 8 8" xfId="7911"/>
    <cellStyle name="Normal 28 4 8 8 2" xfId="25575"/>
    <cellStyle name="Normal 28 4 8 9" xfId="7912"/>
    <cellStyle name="Normal 28 4 8 9 2" xfId="25576"/>
    <cellStyle name="Normal 28 4 9" xfId="7913"/>
    <cellStyle name="Normal 28 4 9 10" xfId="7914"/>
    <cellStyle name="Normal 28 4 9 10 2" xfId="25578"/>
    <cellStyle name="Normal 28 4 9 11" xfId="7915"/>
    <cellStyle name="Normal 28 4 9 11 2" xfId="25579"/>
    <cellStyle name="Normal 28 4 9 12" xfId="7916"/>
    <cellStyle name="Normal 28 4 9 12 2" xfId="25580"/>
    <cellStyle name="Normal 28 4 9 13" xfId="7917"/>
    <cellStyle name="Normal 28 4 9 13 2" xfId="25581"/>
    <cellStyle name="Normal 28 4 9 14" xfId="7918"/>
    <cellStyle name="Normal 28 4 9 14 2" xfId="25582"/>
    <cellStyle name="Normal 28 4 9 15" xfId="25577"/>
    <cellStyle name="Normal 28 4 9 2" xfId="7919"/>
    <cellStyle name="Normal 28 4 9 2 2" xfId="25583"/>
    <cellStyle name="Normal 28 4 9 3" xfId="7920"/>
    <cellStyle name="Normal 28 4 9 3 2" xfId="25584"/>
    <cellStyle name="Normal 28 4 9 4" xfId="7921"/>
    <cellStyle name="Normal 28 4 9 4 2" xfId="25585"/>
    <cellStyle name="Normal 28 4 9 5" xfId="7922"/>
    <cellStyle name="Normal 28 4 9 5 2" xfId="25586"/>
    <cellStyle name="Normal 28 4 9 6" xfId="7923"/>
    <cellStyle name="Normal 28 4 9 6 2" xfId="25587"/>
    <cellStyle name="Normal 28 4 9 7" xfId="7924"/>
    <cellStyle name="Normal 28 4 9 7 2" xfId="25588"/>
    <cellStyle name="Normal 28 4 9 8" xfId="7925"/>
    <cellStyle name="Normal 28 4 9 8 2" xfId="25589"/>
    <cellStyle name="Normal 28 4 9 9" xfId="7926"/>
    <cellStyle name="Normal 28 4 9 9 2" xfId="25590"/>
    <cellStyle name="Normal 28 5" xfId="7927"/>
    <cellStyle name="Normal 28 6" xfId="7928"/>
    <cellStyle name="Normal 28 7" xfId="7929"/>
    <cellStyle name="Normal 29" xfId="434"/>
    <cellStyle name="Normal 29 2" xfId="592"/>
    <cellStyle name="Normal 29 2 2" xfId="7931"/>
    <cellStyle name="Normal 29 3" xfId="7932"/>
    <cellStyle name="Normal 29 4" xfId="7930"/>
    <cellStyle name="Normal 3" xfId="52"/>
    <cellStyle name="Normal 3 10" xfId="7933"/>
    <cellStyle name="Normal 3 10 10" xfId="7934"/>
    <cellStyle name="Normal 3 10 11" xfId="7935"/>
    <cellStyle name="Normal 3 10 11 10" xfId="7936"/>
    <cellStyle name="Normal 3 10 11 10 2" xfId="25592"/>
    <cellStyle name="Normal 3 10 11 11" xfId="7937"/>
    <cellStyle name="Normal 3 10 11 11 2" xfId="25593"/>
    <cellStyle name="Normal 3 10 11 12" xfId="7938"/>
    <cellStyle name="Normal 3 10 11 12 2" xfId="25594"/>
    <cellStyle name="Normal 3 10 11 13" xfId="7939"/>
    <cellStyle name="Normal 3 10 11 13 2" xfId="25595"/>
    <cellStyle name="Normal 3 10 11 14" xfId="7940"/>
    <cellStyle name="Normal 3 10 11 14 2" xfId="25596"/>
    <cellStyle name="Normal 3 10 11 15" xfId="7941"/>
    <cellStyle name="Normal 3 10 11 15 2" xfId="25597"/>
    <cellStyle name="Normal 3 10 11 16" xfId="7942"/>
    <cellStyle name="Normal 3 10 11 16 2" xfId="25598"/>
    <cellStyle name="Normal 3 10 11 17" xfId="7943"/>
    <cellStyle name="Normal 3 10 11 17 2" xfId="25599"/>
    <cellStyle name="Normal 3 10 11 18" xfId="25591"/>
    <cellStyle name="Normal 3 10 11 2" xfId="7944"/>
    <cellStyle name="Normal 3 10 11 3" xfId="7945"/>
    <cellStyle name="Normal 3 10 11 4" xfId="7946"/>
    <cellStyle name="Normal 3 10 11 5" xfId="7947"/>
    <cellStyle name="Normal 3 10 11 5 2" xfId="25600"/>
    <cellStyle name="Normal 3 10 11 6" xfId="7948"/>
    <cellStyle name="Normal 3 10 11 6 2" xfId="25601"/>
    <cellStyle name="Normal 3 10 11 7" xfId="7949"/>
    <cellStyle name="Normal 3 10 11 7 2" xfId="25602"/>
    <cellStyle name="Normal 3 10 11 8" xfId="7950"/>
    <cellStyle name="Normal 3 10 11 8 2" xfId="25603"/>
    <cellStyle name="Normal 3 10 11 9" xfId="7951"/>
    <cellStyle name="Normal 3 10 11 9 2" xfId="25604"/>
    <cellStyle name="Normal 3 10 12" xfId="7952"/>
    <cellStyle name="Normal 3 10 13" xfId="7953"/>
    <cellStyle name="Normal 3 10 14" xfId="7954"/>
    <cellStyle name="Normal 3 10 14 10" xfId="7955"/>
    <cellStyle name="Normal 3 10 14 10 2" xfId="25606"/>
    <cellStyle name="Normal 3 10 14 11" xfId="7956"/>
    <cellStyle name="Normal 3 10 14 11 2" xfId="25607"/>
    <cellStyle name="Normal 3 10 14 12" xfId="7957"/>
    <cellStyle name="Normal 3 10 14 12 2" xfId="25608"/>
    <cellStyle name="Normal 3 10 14 13" xfId="7958"/>
    <cellStyle name="Normal 3 10 14 13 2" xfId="25609"/>
    <cellStyle name="Normal 3 10 14 14" xfId="7959"/>
    <cellStyle name="Normal 3 10 14 14 2" xfId="25610"/>
    <cellStyle name="Normal 3 10 14 15" xfId="7960"/>
    <cellStyle name="Normal 3 10 14 15 2" xfId="25611"/>
    <cellStyle name="Normal 3 10 14 16" xfId="25605"/>
    <cellStyle name="Normal 3 10 14 2" xfId="7961"/>
    <cellStyle name="Normal 3 10 14 2 10" xfId="7962"/>
    <cellStyle name="Normal 3 10 14 2 10 2" xfId="25613"/>
    <cellStyle name="Normal 3 10 14 2 11" xfId="7963"/>
    <cellStyle name="Normal 3 10 14 2 11 2" xfId="25614"/>
    <cellStyle name="Normal 3 10 14 2 12" xfId="7964"/>
    <cellStyle name="Normal 3 10 14 2 12 2" xfId="25615"/>
    <cellStyle name="Normal 3 10 14 2 13" xfId="7965"/>
    <cellStyle name="Normal 3 10 14 2 13 2" xfId="25616"/>
    <cellStyle name="Normal 3 10 14 2 14" xfId="7966"/>
    <cellStyle name="Normal 3 10 14 2 14 2" xfId="25617"/>
    <cellStyle name="Normal 3 10 14 2 15" xfId="25612"/>
    <cellStyle name="Normal 3 10 14 2 2" xfId="7967"/>
    <cellStyle name="Normal 3 10 14 2 2 2" xfId="25618"/>
    <cellStyle name="Normal 3 10 14 2 3" xfId="7968"/>
    <cellStyle name="Normal 3 10 14 2 3 2" xfId="25619"/>
    <cellStyle name="Normal 3 10 14 2 4" xfId="7969"/>
    <cellStyle name="Normal 3 10 14 2 4 2" xfId="25620"/>
    <cellStyle name="Normal 3 10 14 2 5" xfId="7970"/>
    <cellStyle name="Normal 3 10 14 2 5 2" xfId="25621"/>
    <cellStyle name="Normal 3 10 14 2 6" xfId="7971"/>
    <cellStyle name="Normal 3 10 14 2 6 2" xfId="25622"/>
    <cellStyle name="Normal 3 10 14 2 7" xfId="7972"/>
    <cellStyle name="Normal 3 10 14 2 7 2" xfId="25623"/>
    <cellStyle name="Normal 3 10 14 2 8" xfId="7973"/>
    <cellStyle name="Normal 3 10 14 2 8 2" xfId="25624"/>
    <cellStyle name="Normal 3 10 14 2 9" xfId="7974"/>
    <cellStyle name="Normal 3 10 14 2 9 2" xfId="25625"/>
    <cellStyle name="Normal 3 10 14 3" xfId="7975"/>
    <cellStyle name="Normal 3 10 14 3 2" xfId="25626"/>
    <cellStyle name="Normal 3 10 14 4" xfId="7976"/>
    <cellStyle name="Normal 3 10 14 4 2" xfId="25627"/>
    <cellStyle name="Normal 3 10 14 5" xfId="7977"/>
    <cellStyle name="Normal 3 10 14 5 2" xfId="25628"/>
    <cellStyle name="Normal 3 10 14 6" xfId="7978"/>
    <cellStyle name="Normal 3 10 14 6 2" xfId="25629"/>
    <cellStyle name="Normal 3 10 14 7" xfId="7979"/>
    <cellStyle name="Normal 3 10 14 7 2" xfId="25630"/>
    <cellStyle name="Normal 3 10 14 8" xfId="7980"/>
    <cellStyle name="Normal 3 10 14 8 2" xfId="25631"/>
    <cellStyle name="Normal 3 10 14 9" xfId="7981"/>
    <cellStyle name="Normal 3 10 14 9 2" xfId="25632"/>
    <cellStyle name="Normal 3 10 15" xfId="7982"/>
    <cellStyle name="Normal 3 10 15 10" xfId="7983"/>
    <cellStyle name="Normal 3 10 15 10 2" xfId="25634"/>
    <cellStyle name="Normal 3 10 15 11" xfId="7984"/>
    <cellStyle name="Normal 3 10 15 11 2" xfId="25635"/>
    <cellStyle name="Normal 3 10 15 12" xfId="7985"/>
    <cellStyle name="Normal 3 10 15 12 2" xfId="25636"/>
    <cellStyle name="Normal 3 10 15 13" xfId="7986"/>
    <cellStyle name="Normal 3 10 15 13 2" xfId="25637"/>
    <cellStyle name="Normal 3 10 15 14" xfId="7987"/>
    <cellStyle name="Normal 3 10 15 14 2" xfId="25638"/>
    <cellStyle name="Normal 3 10 15 15" xfId="7988"/>
    <cellStyle name="Normal 3 10 15 15 2" xfId="25639"/>
    <cellStyle name="Normal 3 10 15 16" xfId="25633"/>
    <cellStyle name="Normal 3 10 15 2" xfId="7989"/>
    <cellStyle name="Normal 3 10 15 2 10" xfId="7990"/>
    <cellStyle name="Normal 3 10 15 2 10 2" xfId="25641"/>
    <cellStyle name="Normal 3 10 15 2 11" xfId="7991"/>
    <cellStyle name="Normal 3 10 15 2 11 2" xfId="25642"/>
    <cellStyle name="Normal 3 10 15 2 12" xfId="7992"/>
    <cellStyle name="Normal 3 10 15 2 12 2" xfId="25643"/>
    <cellStyle name="Normal 3 10 15 2 13" xfId="7993"/>
    <cellStyle name="Normal 3 10 15 2 13 2" xfId="25644"/>
    <cellStyle name="Normal 3 10 15 2 14" xfId="7994"/>
    <cellStyle name="Normal 3 10 15 2 14 2" xfId="25645"/>
    <cellStyle name="Normal 3 10 15 2 15" xfId="25640"/>
    <cellStyle name="Normal 3 10 15 2 2" xfId="7995"/>
    <cellStyle name="Normal 3 10 15 2 2 2" xfId="25646"/>
    <cellStyle name="Normal 3 10 15 2 3" xfId="7996"/>
    <cellStyle name="Normal 3 10 15 2 3 2" xfId="25647"/>
    <cellStyle name="Normal 3 10 15 2 4" xfId="7997"/>
    <cellStyle name="Normal 3 10 15 2 4 2" xfId="25648"/>
    <cellStyle name="Normal 3 10 15 2 5" xfId="7998"/>
    <cellStyle name="Normal 3 10 15 2 5 2" xfId="25649"/>
    <cellStyle name="Normal 3 10 15 2 6" xfId="7999"/>
    <cellStyle name="Normal 3 10 15 2 6 2" xfId="25650"/>
    <cellStyle name="Normal 3 10 15 2 7" xfId="8000"/>
    <cellStyle name="Normal 3 10 15 2 7 2" xfId="25651"/>
    <cellStyle name="Normal 3 10 15 2 8" xfId="8001"/>
    <cellStyle name="Normal 3 10 15 2 8 2" xfId="25652"/>
    <cellStyle name="Normal 3 10 15 2 9" xfId="8002"/>
    <cellStyle name="Normal 3 10 15 2 9 2" xfId="25653"/>
    <cellStyle name="Normal 3 10 15 3" xfId="8003"/>
    <cellStyle name="Normal 3 10 15 3 2" xfId="25654"/>
    <cellStyle name="Normal 3 10 15 4" xfId="8004"/>
    <cellStyle name="Normal 3 10 15 4 2" xfId="25655"/>
    <cellStyle name="Normal 3 10 15 5" xfId="8005"/>
    <cellStyle name="Normal 3 10 15 5 2" xfId="25656"/>
    <cellStyle name="Normal 3 10 15 6" xfId="8006"/>
    <cellStyle name="Normal 3 10 15 6 2" xfId="25657"/>
    <cellStyle name="Normal 3 10 15 7" xfId="8007"/>
    <cellStyle name="Normal 3 10 15 7 2" xfId="25658"/>
    <cellStyle name="Normal 3 10 15 8" xfId="8008"/>
    <cellStyle name="Normal 3 10 15 8 2" xfId="25659"/>
    <cellStyle name="Normal 3 10 15 9" xfId="8009"/>
    <cellStyle name="Normal 3 10 15 9 2" xfId="25660"/>
    <cellStyle name="Normal 3 10 16" xfId="8010"/>
    <cellStyle name="Normal 3 10 16 10" xfId="8011"/>
    <cellStyle name="Normal 3 10 16 10 2" xfId="25662"/>
    <cellStyle name="Normal 3 10 16 11" xfId="8012"/>
    <cellStyle name="Normal 3 10 16 11 2" xfId="25663"/>
    <cellStyle name="Normal 3 10 16 12" xfId="8013"/>
    <cellStyle name="Normal 3 10 16 12 2" xfId="25664"/>
    <cellStyle name="Normal 3 10 16 13" xfId="8014"/>
    <cellStyle name="Normal 3 10 16 13 2" xfId="25665"/>
    <cellStyle name="Normal 3 10 16 14" xfId="8015"/>
    <cellStyle name="Normal 3 10 16 14 2" xfId="25666"/>
    <cellStyle name="Normal 3 10 16 15" xfId="8016"/>
    <cellStyle name="Normal 3 10 16 15 2" xfId="25667"/>
    <cellStyle name="Normal 3 10 16 16" xfId="25661"/>
    <cellStyle name="Normal 3 10 16 2" xfId="8017"/>
    <cellStyle name="Normal 3 10 16 2 10" xfId="8018"/>
    <cellStyle name="Normal 3 10 16 2 10 2" xfId="25669"/>
    <cellStyle name="Normal 3 10 16 2 11" xfId="8019"/>
    <cellStyle name="Normal 3 10 16 2 11 2" xfId="25670"/>
    <cellStyle name="Normal 3 10 16 2 12" xfId="8020"/>
    <cellStyle name="Normal 3 10 16 2 12 2" xfId="25671"/>
    <cellStyle name="Normal 3 10 16 2 13" xfId="8021"/>
    <cellStyle name="Normal 3 10 16 2 13 2" xfId="25672"/>
    <cellStyle name="Normal 3 10 16 2 14" xfId="8022"/>
    <cellStyle name="Normal 3 10 16 2 14 2" xfId="25673"/>
    <cellStyle name="Normal 3 10 16 2 15" xfId="25668"/>
    <cellStyle name="Normal 3 10 16 2 2" xfId="8023"/>
    <cellStyle name="Normal 3 10 16 2 2 2" xfId="25674"/>
    <cellStyle name="Normal 3 10 16 2 3" xfId="8024"/>
    <cellStyle name="Normal 3 10 16 2 3 2" xfId="25675"/>
    <cellStyle name="Normal 3 10 16 2 4" xfId="8025"/>
    <cellStyle name="Normal 3 10 16 2 4 2" xfId="25676"/>
    <cellStyle name="Normal 3 10 16 2 5" xfId="8026"/>
    <cellStyle name="Normal 3 10 16 2 5 2" xfId="25677"/>
    <cellStyle name="Normal 3 10 16 2 6" xfId="8027"/>
    <cellStyle name="Normal 3 10 16 2 6 2" xfId="25678"/>
    <cellStyle name="Normal 3 10 16 2 7" xfId="8028"/>
    <cellStyle name="Normal 3 10 16 2 7 2" xfId="25679"/>
    <cellStyle name="Normal 3 10 16 2 8" xfId="8029"/>
    <cellStyle name="Normal 3 10 16 2 8 2" xfId="25680"/>
    <cellStyle name="Normal 3 10 16 2 9" xfId="8030"/>
    <cellStyle name="Normal 3 10 16 2 9 2" xfId="25681"/>
    <cellStyle name="Normal 3 10 16 3" xfId="8031"/>
    <cellStyle name="Normal 3 10 16 3 2" xfId="25682"/>
    <cellStyle name="Normal 3 10 16 4" xfId="8032"/>
    <cellStyle name="Normal 3 10 16 4 2" xfId="25683"/>
    <cellStyle name="Normal 3 10 16 5" xfId="8033"/>
    <cellStyle name="Normal 3 10 16 5 2" xfId="25684"/>
    <cellStyle name="Normal 3 10 16 6" xfId="8034"/>
    <cellStyle name="Normal 3 10 16 6 2" xfId="25685"/>
    <cellStyle name="Normal 3 10 16 7" xfId="8035"/>
    <cellStyle name="Normal 3 10 16 7 2" xfId="25686"/>
    <cellStyle name="Normal 3 10 16 8" xfId="8036"/>
    <cellStyle name="Normal 3 10 16 8 2" xfId="25687"/>
    <cellStyle name="Normal 3 10 16 9" xfId="8037"/>
    <cellStyle name="Normal 3 10 16 9 2" xfId="25688"/>
    <cellStyle name="Normal 3 10 17" xfId="8038"/>
    <cellStyle name="Normal 3 10 17 10" xfId="8039"/>
    <cellStyle name="Normal 3 10 17 10 2" xfId="25690"/>
    <cellStyle name="Normal 3 10 17 11" xfId="8040"/>
    <cellStyle name="Normal 3 10 17 11 2" xfId="25691"/>
    <cellStyle name="Normal 3 10 17 12" xfId="8041"/>
    <cellStyle name="Normal 3 10 17 12 2" xfId="25692"/>
    <cellStyle name="Normal 3 10 17 13" xfId="8042"/>
    <cellStyle name="Normal 3 10 17 13 2" xfId="25693"/>
    <cellStyle name="Normal 3 10 17 14" xfId="8043"/>
    <cellStyle name="Normal 3 10 17 14 2" xfId="25694"/>
    <cellStyle name="Normal 3 10 17 15" xfId="25689"/>
    <cellStyle name="Normal 3 10 17 2" xfId="8044"/>
    <cellStyle name="Normal 3 10 17 2 2" xfId="25695"/>
    <cellStyle name="Normal 3 10 17 3" xfId="8045"/>
    <cellStyle name="Normal 3 10 17 3 2" xfId="25696"/>
    <cellStyle name="Normal 3 10 17 4" xfId="8046"/>
    <cellStyle name="Normal 3 10 17 4 2" xfId="25697"/>
    <cellStyle name="Normal 3 10 17 5" xfId="8047"/>
    <cellStyle name="Normal 3 10 17 5 2" xfId="25698"/>
    <cellStyle name="Normal 3 10 17 6" xfId="8048"/>
    <cellStyle name="Normal 3 10 17 6 2" xfId="25699"/>
    <cellStyle name="Normal 3 10 17 7" xfId="8049"/>
    <cellStyle name="Normal 3 10 17 7 2" xfId="25700"/>
    <cellStyle name="Normal 3 10 17 8" xfId="8050"/>
    <cellStyle name="Normal 3 10 17 8 2" xfId="25701"/>
    <cellStyle name="Normal 3 10 17 9" xfId="8051"/>
    <cellStyle name="Normal 3 10 17 9 2" xfId="25702"/>
    <cellStyle name="Normal 3 10 18" xfId="8052"/>
    <cellStyle name="Normal 3 10 18 10" xfId="8053"/>
    <cellStyle name="Normal 3 10 18 10 2" xfId="25704"/>
    <cellStyle name="Normal 3 10 18 11" xfId="8054"/>
    <cellStyle name="Normal 3 10 18 11 2" xfId="25705"/>
    <cellStyle name="Normal 3 10 18 12" xfId="8055"/>
    <cellStyle name="Normal 3 10 18 12 2" xfId="25706"/>
    <cellStyle name="Normal 3 10 18 13" xfId="8056"/>
    <cellStyle name="Normal 3 10 18 13 2" xfId="25707"/>
    <cellStyle name="Normal 3 10 18 14" xfId="8057"/>
    <cellStyle name="Normal 3 10 18 14 2" xfId="25708"/>
    <cellStyle name="Normal 3 10 18 15" xfId="25703"/>
    <cellStyle name="Normal 3 10 18 2" xfId="8058"/>
    <cellStyle name="Normal 3 10 18 2 2" xfId="25709"/>
    <cellStyle name="Normal 3 10 18 3" xfId="8059"/>
    <cellStyle name="Normal 3 10 18 3 2" xfId="25710"/>
    <cellStyle name="Normal 3 10 18 4" xfId="8060"/>
    <cellStyle name="Normal 3 10 18 4 2" xfId="25711"/>
    <cellStyle name="Normal 3 10 18 5" xfId="8061"/>
    <cellStyle name="Normal 3 10 18 5 2" xfId="25712"/>
    <cellStyle name="Normal 3 10 18 6" xfId="8062"/>
    <cellStyle name="Normal 3 10 18 6 2" xfId="25713"/>
    <cellStyle name="Normal 3 10 18 7" xfId="8063"/>
    <cellStyle name="Normal 3 10 18 7 2" xfId="25714"/>
    <cellStyle name="Normal 3 10 18 8" xfId="8064"/>
    <cellStyle name="Normal 3 10 18 8 2" xfId="25715"/>
    <cellStyle name="Normal 3 10 18 9" xfId="8065"/>
    <cellStyle name="Normal 3 10 18 9 2" xfId="25716"/>
    <cellStyle name="Normal 3 10 19" xfId="8066"/>
    <cellStyle name="Normal 3 10 19 10" xfId="8067"/>
    <cellStyle name="Normal 3 10 19 10 2" xfId="25718"/>
    <cellStyle name="Normal 3 10 19 11" xfId="8068"/>
    <cellStyle name="Normal 3 10 19 11 2" xfId="25719"/>
    <cellStyle name="Normal 3 10 19 12" xfId="8069"/>
    <cellStyle name="Normal 3 10 19 12 2" xfId="25720"/>
    <cellStyle name="Normal 3 10 19 13" xfId="8070"/>
    <cellStyle name="Normal 3 10 19 13 2" xfId="25721"/>
    <cellStyle name="Normal 3 10 19 14" xfId="8071"/>
    <cellStyle name="Normal 3 10 19 14 2" xfId="25722"/>
    <cellStyle name="Normal 3 10 19 15" xfId="25717"/>
    <cellStyle name="Normal 3 10 19 2" xfId="8072"/>
    <cellStyle name="Normal 3 10 19 2 2" xfId="25723"/>
    <cellStyle name="Normal 3 10 19 3" xfId="8073"/>
    <cellStyle name="Normal 3 10 19 3 2" xfId="25724"/>
    <cellStyle name="Normal 3 10 19 4" xfId="8074"/>
    <cellStyle name="Normal 3 10 19 4 2" xfId="25725"/>
    <cellStyle name="Normal 3 10 19 5" xfId="8075"/>
    <cellStyle name="Normal 3 10 19 5 2" xfId="25726"/>
    <cellStyle name="Normal 3 10 19 6" xfId="8076"/>
    <cellStyle name="Normal 3 10 19 6 2" xfId="25727"/>
    <cellStyle name="Normal 3 10 19 7" xfId="8077"/>
    <cellStyle name="Normal 3 10 19 7 2" xfId="25728"/>
    <cellStyle name="Normal 3 10 19 8" xfId="8078"/>
    <cellStyle name="Normal 3 10 19 8 2" xfId="25729"/>
    <cellStyle name="Normal 3 10 19 9" xfId="8079"/>
    <cellStyle name="Normal 3 10 19 9 2" xfId="25730"/>
    <cellStyle name="Normal 3 10 2" xfId="8080"/>
    <cellStyle name="Normal 3 10 20" xfId="8081"/>
    <cellStyle name="Normal 3 10 20 10" xfId="8082"/>
    <cellStyle name="Normal 3 10 20 10 2" xfId="25732"/>
    <cellStyle name="Normal 3 10 20 11" xfId="8083"/>
    <cellStyle name="Normal 3 10 20 11 2" xfId="25733"/>
    <cellStyle name="Normal 3 10 20 12" xfId="8084"/>
    <cellStyle name="Normal 3 10 20 12 2" xfId="25734"/>
    <cellStyle name="Normal 3 10 20 13" xfId="8085"/>
    <cellStyle name="Normal 3 10 20 13 2" xfId="25735"/>
    <cellStyle name="Normal 3 10 20 14" xfId="8086"/>
    <cellStyle name="Normal 3 10 20 14 2" xfId="25736"/>
    <cellStyle name="Normal 3 10 20 15" xfId="25731"/>
    <cellStyle name="Normal 3 10 20 2" xfId="8087"/>
    <cellStyle name="Normal 3 10 20 2 2" xfId="25737"/>
    <cellStyle name="Normal 3 10 20 3" xfId="8088"/>
    <cellStyle name="Normal 3 10 20 3 2" xfId="25738"/>
    <cellStyle name="Normal 3 10 20 4" xfId="8089"/>
    <cellStyle name="Normal 3 10 20 4 2" xfId="25739"/>
    <cellStyle name="Normal 3 10 20 5" xfId="8090"/>
    <cellStyle name="Normal 3 10 20 5 2" xfId="25740"/>
    <cellStyle name="Normal 3 10 20 6" xfId="8091"/>
    <cellStyle name="Normal 3 10 20 6 2" xfId="25741"/>
    <cellStyle name="Normal 3 10 20 7" xfId="8092"/>
    <cellStyle name="Normal 3 10 20 7 2" xfId="25742"/>
    <cellStyle name="Normal 3 10 20 8" xfId="8093"/>
    <cellStyle name="Normal 3 10 20 8 2" xfId="25743"/>
    <cellStyle name="Normal 3 10 20 9" xfId="8094"/>
    <cellStyle name="Normal 3 10 20 9 2" xfId="25744"/>
    <cellStyle name="Normal 3 10 21" xfId="8095"/>
    <cellStyle name="Normal 3 10 21 10" xfId="8096"/>
    <cellStyle name="Normal 3 10 21 10 2" xfId="25746"/>
    <cellStyle name="Normal 3 10 21 11" xfId="8097"/>
    <cellStyle name="Normal 3 10 21 11 2" xfId="25747"/>
    <cellStyle name="Normal 3 10 21 12" xfId="8098"/>
    <cellStyle name="Normal 3 10 21 12 2" xfId="25748"/>
    <cellStyle name="Normal 3 10 21 13" xfId="8099"/>
    <cellStyle name="Normal 3 10 21 13 2" xfId="25749"/>
    <cellStyle name="Normal 3 10 21 14" xfId="8100"/>
    <cellStyle name="Normal 3 10 21 14 2" xfId="25750"/>
    <cellStyle name="Normal 3 10 21 15" xfId="25745"/>
    <cellStyle name="Normal 3 10 21 2" xfId="8101"/>
    <cellStyle name="Normal 3 10 21 2 2" xfId="25751"/>
    <cellStyle name="Normal 3 10 21 3" xfId="8102"/>
    <cellStyle name="Normal 3 10 21 3 2" xfId="25752"/>
    <cellStyle name="Normal 3 10 21 4" xfId="8103"/>
    <cellStyle name="Normal 3 10 21 4 2" xfId="25753"/>
    <cellStyle name="Normal 3 10 21 5" xfId="8104"/>
    <cellStyle name="Normal 3 10 21 5 2" xfId="25754"/>
    <cellStyle name="Normal 3 10 21 6" xfId="8105"/>
    <cellStyle name="Normal 3 10 21 6 2" xfId="25755"/>
    <cellStyle name="Normal 3 10 21 7" xfId="8106"/>
    <cellStyle name="Normal 3 10 21 7 2" xfId="25756"/>
    <cellStyle name="Normal 3 10 21 8" xfId="8107"/>
    <cellStyle name="Normal 3 10 21 8 2" xfId="25757"/>
    <cellStyle name="Normal 3 10 21 9" xfId="8108"/>
    <cellStyle name="Normal 3 10 21 9 2" xfId="25758"/>
    <cellStyle name="Normal 3 10 22" xfId="8109"/>
    <cellStyle name="Normal 3 10 22 10" xfId="8110"/>
    <cellStyle name="Normal 3 10 22 10 2" xfId="25760"/>
    <cellStyle name="Normal 3 10 22 11" xfId="8111"/>
    <cellStyle name="Normal 3 10 22 11 2" xfId="25761"/>
    <cellStyle name="Normal 3 10 22 12" xfId="8112"/>
    <cellStyle name="Normal 3 10 22 12 2" xfId="25762"/>
    <cellStyle name="Normal 3 10 22 13" xfId="8113"/>
    <cellStyle name="Normal 3 10 22 13 2" xfId="25763"/>
    <cellStyle name="Normal 3 10 22 14" xfId="8114"/>
    <cellStyle name="Normal 3 10 22 14 2" xfId="25764"/>
    <cellStyle name="Normal 3 10 22 15" xfId="25759"/>
    <cellStyle name="Normal 3 10 22 2" xfId="8115"/>
    <cellStyle name="Normal 3 10 22 2 2" xfId="25765"/>
    <cellStyle name="Normal 3 10 22 3" xfId="8116"/>
    <cellStyle name="Normal 3 10 22 3 2" xfId="25766"/>
    <cellStyle name="Normal 3 10 22 4" xfId="8117"/>
    <cellStyle name="Normal 3 10 22 4 2" xfId="25767"/>
    <cellStyle name="Normal 3 10 22 5" xfId="8118"/>
    <cellStyle name="Normal 3 10 22 5 2" xfId="25768"/>
    <cellStyle name="Normal 3 10 22 6" xfId="8119"/>
    <cellStyle name="Normal 3 10 22 6 2" xfId="25769"/>
    <cellStyle name="Normal 3 10 22 7" xfId="8120"/>
    <cellStyle name="Normal 3 10 22 7 2" xfId="25770"/>
    <cellStyle name="Normal 3 10 22 8" xfId="8121"/>
    <cellStyle name="Normal 3 10 22 8 2" xfId="25771"/>
    <cellStyle name="Normal 3 10 22 9" xfId="8122"/>
    <cellStyle name="Normal 3 10 22 9 2" xfId="25772"/>
    <cellStyle name="Normal 3 10 23" xfId="8123"/>
    <cellStyle name="Normal 3 10 24" xfId="8124"/>
    <cellStyle name="Normal 3 10 25" xfId="8125"/>
    <cellStyle name="Normal 3 10 25 10" xfId="8126"/>
    <cellStyle name="Normal 3 10 25 10 2" xfId="25774"/>
    <cellStyle name="Normal 3 10 25 11" xfId="8127"/>
    <cellStyle name="Normal 3 10 25 11 2" xfId="25775"/>
    <cellStyle name="Normal 3 10 25 12" xfId="8128"/>
    <cellStyle name="Normal 3 10 25 12 2" xfId="25776"/>
    <cellStyle name="Normal 3 10 25 13" xfId="8129"/>
    <cellStyle name="Normal 3 10 25 13 2" xfId="25777"/>
    <cellStyle name="Normal 3 10 25 14" xfId="8130"/>
    <cellStyle name="Normal 3 10 25 14 2" xfId="25778"/>
    <cellStyle name="Normal 3 10 25 15" xfId="25773"/>
    <cellStyle name="Normal 3 10 25 2" xfId="8131"/>
    <cellStyle name="Normal 3 10 25 2 2" xfId="25779"/>
    <cellStyle name="Normal 3 10 25 3" xfId="8132"/>
    <cellStyle name="Normal 3 10 25 3 2" xfId="25780"/>
    <cellStyle name="Normal 3 10 25 4" xfId="8133"/>
    <cellStyle name="Normal 3 10 25 4 2" xfId="25781"/>
    <cellStyle name="Normal 3 10 25 5" xfId="8134"/>
    <cellStyle name="Normal 3 10 25 5 2" xfId="25782"/>
    <cellStyle name="Normal 3 10 25 6" xfId="8135"/>
    <cellStyle name="Normal 3 10 25 6 2" xfId="25783"/>
    <cellStyle name="Normal 3 10 25 7" xfId="8136"/>
    <cellStyle name="Normal 3 10 25 7 2" xfId="25784"/>
    <cellStyle name="Normal 3 10 25 8" xfId="8137"/>
    <cellStyle name="Normal 3 10 25 8 2" xfId="25785"/>
    <cellStyle name="Normal 3 10 25 9" xfId="8138"/>
    <cellStyle name="Normal 3 10 25 9 2" xfId="25786"/>
    <cellStyle name="Normal 3 10 26" xfId="8139"/>
    <cellStyle name="Normal 3 10 26 10" xfId="8140"/>
    <cellStyle name="Normal 3 10 26 10 2" xfId="25788"/>
    <cellStyle name="Normal 3 10 26 11" xfId="8141"/>
    <cellStyle name="Normal 3 10 26 11 2" xfId="25789"/>
    <cellStyle name="Normal 3 10 26 12" xfId="8142"/>
    <cellStyle name="Normal 3 10 26 12 2" xfId="25790"/>
    <cellStyle name="Normal 3 10 26 13" xfId="8143"/>
    <cellStyle name="Normal 3 10 26 13 2" xfId="25791"/>
    <cellStyle name="Normal 3 10 26 14" xfId="8144"/>
    <cellStyle name="Normal 3 10 26 14 2" xfId="25792"/>
    <cellStyle name="Normal 3 10 26 15" xfId="25787"/>
    <cellStyle name="Normal 3 10 26 2" xfId="8145"/>
    <cellStyle name="Normal 3 10 26 2 2" xfId="25793"/>
    <cellStyle name="Normal 3 10 26 3" xfId="8146"/>
    <cellStyle name="Normal 3 10 26 3 2" xfId="25794"/>
    <cellStyle name="Normal 3 10 26 4" xfId="8147"/>
    <cellStyle name="Normal 3 10 26 4 2" xfId="25795"/>
    <cellStyle name="Normal 3 10 26 5" xfId="8148"/>
    <cellStyle name="Normal 3 10 26 5 2" xfId="25796"/>
    <cellStyle name="Normal 3 10 26 6" xfId="8149"/>
    <cellStyle name="Normal 3 10 26 6 2" xfId="25797"/>
    <cellStyle name="Normal 3 10 26 7" xfId="8150"/>
    <cellStyle name="Normal 3 10 26 7 2" xfId="25798"/>
    <cellStyle name="Normal 3 10 26 8" xfId="8151"/>
    <cellStyle name="Normal 3 10 26 8 2" xfId="25799"/>
    <cellStyle name="Normal 3 10 26 9" xfId="8152"/>
    <cellStyle name="Normal 3 10 26 9 2" xfId="25800"/>
    <cellStyle name="Normal 3 10 3" xfId="8153"/>
    <cellStyle name="Normal 3 10 4" xfId="8154"/>
    <cellStyle name="Normal 3 10 5" xfId="8155"/>
    <cellStyle name="Normal 3 10 6" xfId="8156"/>
    <cellStyle name="Normal 3 10 7" xfId="8157"/>
    <cellStyle name="Normal 3 10 8" xfId="8158"/>
    <cellStyle name="Normal 3 10 9" xfId="8159"/>
    <cellStyle name="Normal 3 11" xfId="8160"/>
    <cellStyle name="Normal 3 11 10" xfId="8161"/>
    <cellStyle name="Normal 3 11 11" xfId="8162"/>
    <cellStyle name="Normal 3 11 11 10" xfId="8163"/>
    <cellStyle name="Normal 3 11 11 10 2" xfId="25802"/>
    <cellStyle name="Normal 3 11 11 11" xfId="8164"/>
    <cellStyle name="Normal 3 11 11 11 2" xfId="25803"/>
    <cellStyle name="Normal 3 11 11 12" xfId="8165"/>
    <cellStyle name="Normal 3 11 11 12 2" xfId="25804"/>
    <cellStyle name="Normal 3 11 11 13" xfId="8166"/>
    <cellStyle name="Normal 3 11 11 13 2" xfId="25805"/>
    <cellStyle name="Normal 3 11 11 14" xfId="8167"/>
    <cellStyle name="Normal 3 11 11 14 2" xfId="25806"/>
    <cellStyle name="Normal 3 11 11 15" xfId="8168"/>
    <cellStyle name="Normal 3 11 11 15 2" xfId="25807"/>
    <cellStyle name="Normal 3 11 11 16" xfId="8169"/>
    <cellStyle name="Normal 3 11 11 16 2" xfId="25808"/>
    <cellStyle name="Normal 3 11 11 17" xfId="8170"/>
    <cellStyle name="Normal 3 11 11 17 2" xfId="25809"/>
    <cellStyle name="Normal 3 11 11 18" xfId="25801"/>
    <cellStyle name="Normal 3 11 11 2" xfId="8171"/>
    <cellStyle name="Normal 3 11 11 3" xfId="8172"/>
    <cellStyle name="Normal 3 11 11 4" xfId="8173"/>
    <cellStyle name="Normal 3 11 11 5" xfId="8174"/>
    <cellStyle name="Normal 3 11 11 5 2" xfId="25810"/>
    <cellStyle name="Normal 3 11 11 6" xfId="8175"/>
    <cellStyle name="Normal 3 11 11 6 2" xfId="25811"/>
    <cellStyle name="Normal 3 11 11 7" xfId="8176"/>
    <cellStyle name="Normal 3 11 11 7 2" xfId="25812"/>
    <cellStyle name="Normal 3 11 11 8" xfId="8177"/>
    <cellStyle name="Normal 3 11 11 8 2" xfId="25813"/>
    <cellStyle name="Normal 3 11 11 9" xfId="8178"/>
    <cellStyle name="Normal 3 11 11 9 2" xfId="25814"/>
    <cellStyle name="Normal 3 11 12" xfId="8179"/>
    <cellStyle name="Normal 3 11 13" xfId="8180"/>
    <cellStyle name="Normal 3 11 14" xfId="8181"/>
    <cellStyle name="Normal 3 11 14 10" xfId="8182"/>
    <cellStyle name="Normal 3 11 14 10 2" xfId="25816"/>
    <cellStyle name="Normal 3 11 14 11" xfId="8183"/>
    <cellStyle name="Normal 3 11 14 11 2" xfId="25817"/>
    <cellStyle name="Normal 3 11 14 12" xfId="8184"/>
    <cellStyle name="Normal 3 11 14 12 2" xfId="25818"/>
    <cellStyle name="Normal 3 11 14 13" xfId="8185"/>
    <cellStyle name="Normal 3 11 14 13 2" xfId="25819"/>
    <cellStyle name="Normal 3 11 14 14" xfId="8186"/>
    <cellStyle name="Normal 3 11 14 14 2" xfId="25820"/>
    <cellStyle name="Normal 3 11 14 15" xfId="8187"/>
    <cellStyle name="Normal 3 11 14 15 2" xfId="25821"/>
    <cellStyle name="Normal 3 11 14 16" xfId="25815"/>
    <cellStyle name="Normal 3 11 14 2" xfId="8188"/>
    <cellStyle name="Normal 3 11 14 2 10" xfId="8189"/>
    <cellStyle name="Normal 3 11 14 2 10 2" xfId="25823"/>
    <cellStyle name="Normal 3 11 14 2 11" xfId="8190"/>
    <cellStyle name="Normal 3 11 14 2 11 2" xfId="25824"/>
    <cellStyle name="Normal 3 11 14 2 12" xfId="8191"/>
    <cellStyle name="Normal 3 11 14 2 12 2" xfId="25825"/>
    <cellStyle name="Normal 3 11 14 2 13" xfId="8192"/>
    <cellStyle name="Normal 3 11 14 2 13 2" xfId="25826"/>
    <cellStyle name="Normal 3 11 14 2 14" xfId="8193"/>
    <cellStyle name="Normal 3 11 14 2 14 2" xfId="25827"/>
    <cellStyle name="Normal 3 11 14 2 15" xfId="25822"/>
    <cellStyle name="Normal 3 11 14 2 2" xfId="8194"/>
    <cellStyle name="Normal 3 11 14 2 2 2" xfId="25828"/>
    <cellStyle name="Normal 3 11 14 2 3" xfId="8195"/>
    <cellStyle name="Normal 3 11 14 2 3 2" xfId="25829"/>
    <cellStyle name="Normal 3 11 14 2 4" xfId="8196"/>
    <cellStyle name="Normal 3 11 14 2 4 2" xfId="25830"/>
    <cellStyle name="Normal 3 11 14 2 5" xfId="8197"/>
    <cellStyle name="Normal 3 11 14 2 5 2" xfId="25831"/>
    <cellStyle name="Normal 3 11 14 2 6" xfId="8198"/>
    <cellStyle name="Normal 3 11 14 2 6 2" xfId="25832"/>
    <cellStyle name="Normal 3 11 14 2 7" xfId="8199"/>
    <cellStyle name="Normal 3 11 14 2 7 2" xfId="25833"/>
    <cellStyle name="Normal 3 11 14 2 8" xfId="8200"/>
    <cellStyle name="Normal 3 11 14 2 8 2" xfId="25834"/>
    <cellStyle name="Normal 3 11 14 2 9" xfId="8201"/>
    <cellStyle name="Normal 3 11 14 2 9 2" xfId="25835"/>
    <cellStyle name="Normal 3 11 14 3" xfId="8202"/>
    <cellStyle name="Normal 3 11 14 3 2" xfId="25836"/>
    <cellStyle name="Normal 3 11 14 4" xfId="8203"/>
    <cellStyle name="Normal 3 11 14 4 2" xfId="25837"/>
    <cellStyle name="Normal 3 11 14 5" xfId="8204"/>
    <cellStyle name="Normal 3 11 14 5 2" xfId="25838"/>
    <cellStyle name="Normal 3 11 14 6" xfId="8205"/>
    <cellStyle name="Normal 3 11 14 6 2" xfId="25839"/>
    <cellStyle name="Normal 3 11 14 7" xfId="8206"/>
    <cellStyle name="Normal 3 11 14 7 2" xfId="25840"/>
    <cellStyle name="Normal 3 11 14 8" xfId="8207"/>
    <cellStyle name="Normal 3 11 14 8 2" xfId="25841"/>
    <cellStyle name="Normal 3 11 14 9" xfId="8208"/>
    <cellStyle name="Normal 3 11 14 9 2" xfId="25842"/>
    <cellStyle name="Normal 3 11 15" xfId="8209"/>
    <cellStyle name="Normal 3 11 15 10" xfId="8210"/>
    <cellStyle name="Normal 3 11 15 10 2" xfId="25844"/>
    <cellStyle name="Normal 3 11 15 11" xfId="8211"/>
    <cellStyle name="Normal 3 11 15 11 2" xfId="25845"/>
    <cellStyle name="Normal 3 11 15 12" xfId="8212"/>
    <cellStyle name="Normal 3 11 15 12 2" xfId="25846"/>
    <cellStyle name="Normal 3 11 15 13" xfId="8213"/>
    <cellStyle name="Normal 3 11 15 13 2" xfId="25847"/>
    <cellStyle name="Normal 3 11 15 14" xfId="8214"/>
    <cellStyle name="Normal 3 11 15 14 2" xfId="25848"/>
    <cellStyle name="Normal 3 11 15 15" xfId="8215"/>
    <cellStyle name="Normal 3 11 15 15 2" xfId="25849"/>
    <cellStyle name="Normal 3 11 15 16" xfId="25843"/>
    <cellStyle name="Normal 3 11 15 2" xfId="8216"/>
    <cellStyle name="Normal 3 11 15 2 10" xfId="8217"/>
    <cellStyle name="Normal 3 11 15 2 10 2" xfId="25851"/>
    <cellStyle name="Normal 3 11 15 2 11" xfId="8218"/>
    <cellStyle name="Normal 3 11 15 2 11 2" xfId="25852"/>
    <cellStyle name="Normal 3 11 15 2 12" xfId="8219"/>
    <cellStyle name="Normal 3 11 15 2 12 2" xfId="25853"/>
    <cellStyle name="Normal 3 11 15 2 13" xfId="8220"/>
    <cellStyle name="Normal 3 11 15 2 13 2" xfId="25854"/>
    <cellStyle name="Normal 3 11 15 2 14" xfId="8221"/>
    <cellStyle name="Normal 3 11 15 2 14 2" xfId="25855"/>
    <cellStyle name="Normal 3 11 15 2 15" xfId="25850"/>
    <cellStyle name="Normal 3 11 15 2 2" xfId="8222"/>
    <cellStyle name="Normal 3 11 15 2 2 2" xfId="25856"/>
    <cellStyle name="Normal 3 11 15 2 3" xfId="8223"/>
    <cellStyle name="Normal 3 11 15 2 3 2" xfId="25857"/>
    <cellStyle name="Normal 3 11 15 2 4" xfId="8224"/>
    <cellStyle name="Normal 3 11 15 2 4 2" xfId="25858"/>
    <cellStyle name="Normal 3 11 15 2 5" xfId="8225"/>
    <cellStyle name="Normal 3 11 15 2 5 2" xfId="25859"/>
    <cellStyle name="Normal 3 11 15 2 6" xfId="8226"/>
    <cellStyle name="Normal 3 11 15 2 6 2" xfId="25860"/>
    <cellStyle name="Normal 3 11 15 2 7" xfId="8227"/>
    <cellStyle name="Normal 3 11 15 2 7 2" xfId="25861"/>
    <cellStyle name="Normal 3 11 15 2 8" xfId="8228"/>
    <cellStyle name="Normal 3 11 15 2 8 2" xfId="25862"/>
    <cellStyle name="Normal 3 11 15 2 9" xfId="8229"/>
    <cellStyle name="Normal 3 11 15 2 9 2" xfId="25863"/>
    <cellStyle name="Normal 3 11 15 3" xfId="8230"/>
    <cellStyle name="Normal 3 11 15 3 2" xfId="25864"/>
    <cellStyle name="Normal 3 11 15 4" xfId="8231"/>
    <cellStyle name="Normal 3 11 15 4 2" xfId="25865"/>
    <cellStyle name="Normal 3 11 15 5" xfId="8232"/>
    <cellStyle name="Normal 3 11 15 5 2" xfId="25866"/>
    <cellStyle name="Normal 3 11 15 6" xfId="8233"/>
    <cellStyle name="Normal 3 11 15 6 2" xfId="25867"/>
    <cellStyle name="Normal 3 11 15 7" xfId="8234"/>
    <cellStyle name="Normal 3 11 15 7 2" xfId="25868"/>
    <cellStyle name="Normal 3 11 15 8" xfId="8235"/>
    <cellStyle name="Normal 3 11 15 8 2" xfId="25869"/>
    <cellStyle name="Normal 3 11 15 9" xfId="8236"/>
    <cellStyle name="Normal 3 11 15 9 2" xfId="25870"/>
    <cellStyle name="Normal 3 11 16" xfId="8237"/>
    <cellStyle name="Normal 3 11 16 10" xfId="8238"/>
    <cellStyle name="Normal 3 11 16 10 2" xfId="25872"/>
    <cellStyle name="Normal 3 11 16 11" xfId="8239"/>
    <cellStyle name="Normal 3 11 16 11 2" xfId="25873"/>
    <cellStyle name="Normal 3 11 16 12" xfId="8240"/>
    <cellStyle name="Normal 3 11 16 12 2" xfId="25874"/>
    <cellStyle name="Normal 3 11 16 13" xfId="8241"/>
    <cellStyle name="Normal 3 11 16 13 2" xfId="25875"/>
    <cellStyle name="Normal 3 11 16 14" xfId="8242"/>
    <cellStyle name="Normal 3 11 16 14 2" xfId="25876"/>
    <cellStyle name="Normal 3 11 16 15" xfId="8243"/>
    <cellStyle name="Normal 3 11 16 15 2" xfId="25877"/>
    <cellStyle name="Normal 3 11 16 16" xfId="25871"/>
    <cellStyle name="Normal 3 11 16 2" xfId="8244"/>
    <cellStyle name="Normal 3 11 16 2 10" xfId="8245"/>
    <cellStyle name="Normal 3 11 16 2 10 2" xfId="25879"/>
    <cellStyle name="Normal 3 11 16 2 11" xfId="8246"/>
    <cellStyle name="Normal 3 11 16 2 11 2" xfId="25880"/>
    <cellStyle name="Normal 3 11 16 2 12" xfId="8247"/>
    <cellStyle name="Normal 3 11 16 2 12 2" xfId="25881"/>
    <cellStyle name="Normal 3 11 16 2 13" xfId="8248"/>
    <cellStyle name="Normal 3 11 16 2 13 2" xfId="25882"/>
    <cellStyle name="Normal 3 11 16 2 14" xfId="8249"/>
    <cellStyle name="Normal 3 11 16 2 14 2" xfId="25883"/>
    <cellStyle name="Normal 3 11 16 2 15" xfId="25878"/>
    <cellStyle name="Normal 3 11 16 2 2" xfId="8250"/>
    <cellStyle name="Normal 3 11 16 2 2 2" xfId="25884"/>
    <cellStyle name="Normal 3 11 16 2 3" xfId="8251"/>
    <cellStyle name="Normal 3 11 16 2 3 2" xfId="25885"/>
    <cellStyle name="Normal 3 11 16 2 4" xfId="8252"/>
    <cellStyle name="Normal 3 11 16 2 4 2" xfId="25886"/>
    <cellStyle name="Normal 3 11 16 2 5" xfId="8253"/>
    <cellStyle name="Normal 3 11 16 2 5 2" xfId="25887"/>
    <cellStyle name="Normal 3 11 16 2 6" xfId="8254"/>
    <cellStyle name="Normal 3 11 16 2 6 2" xfId="25888"/>
    <cellStyle name="Normal 3 11 16 2 7" xfId="8255"/>
    <cellStyle name="Normal 3 11 16 2 7 2" xfId="25889"/>
    <cellStyle name="Normal 3 11 16 2 8" xfId="8256"/>
    <cellStyle name="Normal 3 11 16 2 8 2" xfId="25890"/>
    <cellStyle name="Normal 3 11 16 2 9" xfId="8257"/>
    <cellStyle name="Normal 3 11 16 2 9 2" xfId="25891"/>
    <cellStyle name="Normal 3 11 16 3" xfId="8258"/>
    <cellStyle name="Normal 3 11 16 3 2" xfId="25892"/>
    <cellStyle name="Normal 3 11 16 4" xfId="8259"/>
    <cellStyle name="Normal 3 11 16 4 2" xfId="25893"/>
    <cellStyle name="Normal 3 11 16 5" xfId="8260"/>
    <cellStyle name="Normal 3 11 16 5 2" xfId="25894"/>
    <cellStyle name="Normal 3 11 16 6" xfId="8261"/>
    <cellStyle name="Normal 3 11 16 6 2" xfId="25895"/>
    <cellStyle name="Normal 3 11 16 7" xfId="8262"/>
    <cellStyle name="Normal 3 11 16 7 2" xfId="25896"/>
    <cellStyle name="Normal 3 11 16 8" xfId="8263"/>
    <cellStyle name="Normal 3 11 16 8 2" xfId="25897"/>
    <cellStyle name="Normal 3 11 16 9" xfId="8264"/>
    <cellStyle name="Normal 3 11 16 9 2" xfId="25898"/>
    <cellStyle name="Normal 3 11 17" xfId="8265"/>
    <cellStyle name="Normal 3 11 17 10" xfId="8266"/>
    <cellStyle name="Normal 3 11 17 10 2" xfId="25900"/>
    <cellStyle name="Normal 3 11 17 11" xfId="8267"/>
    <cellStyle name="Normal 3 11 17 11 2" xfId="25901"/>
    <cellStyle name="Normal 3 11 17 12" xfId="8268"/>
    <cellStyle name="Normal 3 11 17 12 2" xfId="25902"/>
    <cellStyle name="Normal 3 11 17 13" xfId="8269"/>
    <cellStyle name="Normal 3 11 17 13 2" xfId="25903"/>
    <cellStyle name="Normal 3 11 17 14" xfId="8270"/>
    <cellStyle name="Normal 3 11 17 14 2" xfId="25904"/>
    <cellStyle name="Normal 3 11 17 15" xfId="25899"/>
    <cellStyle name="Normal 3 11 17 2" xfId="8271"/>
    <cellStyle name="Normal 3 11 17 2 2" xfId="25905"/>
    <cellStyle name="Normal 3 11 17 3" xfId="8272"/>
    <cellStyle name="Normal 3 11 17 3 2" xfId="25906"/>
    <cellStyle name="Normal 3 11 17 4" xfId="8273"/>
    <cellStyle name="Normal 3 11 17 4 2" xfId="25907"/>
    <cellStyle name="Normal 3 11 17 5" xfId="8274"/>
    <cellStyle name="Normal 3 11 17 5 2" xfId="25908"/>
    <cellStyle name="Normal 3 11 17 6" xfId="8275"/>
    <cellStyle name="Normal 3 11 17 6 2" xfId="25909"/>
    <cellStyle name="Normal 3 11 17 7" xfId="8276"/>
    <cellStyle name="Normal 3 11 17 7 2" xfId="25910"/>
    <cellStyle name="Normal 3 11 17 8" xfId="8277"/>
    <cellStyle name="Normal 3 11 17 8 2" xfId="25911"/>
    <cellStyle name="Normal 3 11 17 9" xfId="8278"/>
    <cellStyle name="Normal 3 11 17 9 2" xfId="25912"/>
    <cellStyle name="Normal 3 11 18" xfId="8279"/>
    <cellStyle name="Normal 3 11 18 10" xfId="8280"/>
    <cellStyle name="Normal 3 11 18 10 2" xfId="25914"/>
    <cellStyle name="Normal 3 11 18 11" xfId="8281"/>
    <cellStyle name="Normal 3 11 18 11 2" xfId="25915"/>
    <cellStyle name="Normal 3 11 18 12" xfId="8282"/>
    <cellStyle name="Normal 3 11 18 12 2" xfId="25916"/>
    <cellStyle name="Normal 3 11 18 13" xfId="8283"/>
    <cellStyle name="Normal 3 11 18 13 2" xfId="25917"/>
    <cellStyle name="Normal 3 11 18 14" xfId="8284"/>
    <cellStyle name="Normal 3 11 18 14 2" xfId="25918"/>
    <cellStyle name="Normal 3 11 18 15" xfId="25913"/>
    <cellStyle name="Normal 3 11 18 2" xfId="8285"/>
    <cellStyle name="Normal 3 11 18 2 2" xfId="25919"/>
    <cellStyle name="Normal 3 11 18 3" xfId="8286"/>
    <cellStyle name="Normal 3 11 18 3 2" xfId="25920"/>
    <cellStyle name="Normal 3 11 18 4" xfId="8287"/>
    <cellStyle name="Normal 3 11 18 4 2" xfId="25921"/>
    <cellStyle name="Normal 3 11 18 5" xfId="8288"/>
    <cellStyle name="Normal 3 11 18 5 2" xfId="25922"/>
    <cellStyle name="Normal 3 11 18 6" xfId="8289"/>
    <cellStyle name="Normal 3 11 18 6 2" xfId="25923"/>
    <cellStyle name="Normal 3 11 18 7" xfId="8290"/>
    <cellStyle name="Normal 3 11 18 7 2" xfId="25924"/>
    <cellStyle name="Normal 3 11 18 8" xfId="8291"/>
    <cellStyle name="Normal 3 11 18 8 2" xfId="25925"/>
    <cellStyle name="Normal 3 11 18 9" xfId="8292"/>
    <cellStyle name="Normal 3 11 18 9 2" xfId="25926"/>
    <cellStyle name="Normal 3 11 19" xfId="8293"/>
    <cellStyle name="Normal 3 11 19 10" xfId="8294"/>
    <cellStyle name="Normal 3 11 19 10 2" xfId="25928"/>
    <cellStyle name="Normal 3 11 19 11" xfId="8295"/>
    <cellStyle name="Normal 3 11 19 11 2" xfId="25929"/>
    <cellStyle name="Normal 3 11 19 12" xfId="8296"/>
    <cellStyle name="Normal 3 11 19 12 2" xfId="25930"/>
    <cellStyle name="Normal 3 11 19 13" xfId="8297"/>
    <cellStyle name="Normal 3 11 19 13 2" xfId="25931"/>
    <cellStyle name="Normal 3 11 19 14" xfId="8298"/>
    <cellStyle name="Normal 3 11 19 14 2" xfId="25932"/>
    <cellStyle name="Normal 3 11 19 15" xfId="25927"/>
    <cellStyle name="Normal 3 11 19 2" xfId="8299"/>
    <cellStyle name="Normal 3 11 19 2 2" xfId="25933"/>
    <cellStyle name="Normal 3 11 19 3" xfId="8300"/>
    <cellStyle name="Normal 3 11 19 3 2" xfId="25934"/>
    <cellStyle name="Normal 3 11 19 4" xfId="8301"/>
    <cellStyle name="Normal 3 11 19 4 2" xfId="25935"/>
    <cellStyle name="Normal 3 11 19 5" xfId="8302"/>
    <cellStyle name="Normal 3 11 19 5 2" xfId="25936"/>
    <cellStyle name="Normal 3 11 19 6" xfId="8303"/>
    <cellStyle name="Normal 3 11 19 6 2" xfId="25937"/>
    <cellStyle name="Normal 3 11 19 7" xfId="8304"/>
    <cellStyle name="Normal 3 11 19 7 2" xfId="25938"/>
    <cellStyle name="Normal 3 11 19 8" xfId="8305"/>
    <cellStyle name="Normal 3 11 19 8 2" xfId="25939"/>
    <cellStyle name="Normal 3 11 19 9" xfId="8306"/>
    <cellStyle name="Normal 3 11 19 9 2" xfId="25940"/>
    <cellStyle name="Normal 3 11 2" xfId="8307"/>
    <cellStyle name="Normal 3 11 20" xfId="8308"/>
    <cellStyle name="Normal 3 11 20 10" xfId="8309"/>
    <cellStyle name="Normal 3 11 20 10 2" xfId="25942"/>
    <cellStyle name="Normal 3 11 20 11" xfId="8310"/>
    <cellStyle name="Normal 3 11 20 11 2" xfId="25943"/>
    <cellStyle name="Normal 3 11 20 12" xfId="8311"/>
    <cellStyle name="Normal 3 11 20 12 2" xfId="25944"/>
    <cellStyle name="Normal 3 11 20 13" xfId="8312"/>
    <cellStyle name="Normal 3 11 20 13 2" xfId="25945"/>
    <cellStyle name="Normal 3 11 20 14" xfId="8313"/>
    <cellStyle name="Normal 3 11 20 14 2" xfId="25946"/>
    <cellStyle name="Normal 3 11 20 15" xfId="25941"/>
    <cellStyle name="Normal 3 11 20 2" xfId="8314"/>
    <cellStyle name="Normal 3 11 20 2 2" xfId="25947"/>
    <cellStyle name="Normal 3 11 20 3" xfId="8315"/>
    <cellStyle name="Normal 3 11 20 3 2" xfId="25948"/>
    <cellStyle name="Normal 3 11 20 4" xfId="8316"/>
    <cellStyle name="Normal 3 11 20 4 2" xfId="25949"/>
    <cellStyle name="Normal 3 11 20 5" xfId="8317"/>
    <cellStyle name="Normal 3 11 20 5 2" xfId="25950"/>
    <cellStyle name="Normal 3 11 20 6" xfId="8318"/>
    <cellStyle name="Normal 3 11 20 6 2" xfId="25951"/>
    <cellStyle name="Normal 3 11 20 7" xfId="8319"/>
    <cellStyle name="Normal 3 11 20 7 2" xfId="25952"/>
    <cellStyle name="Normal 3 11 20 8" xfId="8320"/>
    <cellStyle name="Normal 3 11 20 8 2" xfId="25953"/>
    <cellStyle name="Normal 3 11 20 9" xfId="8321"/>
    <cellStyle name="Normal 3 11 20 9 2" xfId="25954"/>
    <cellStyle name="Normal 3 11 21" xfId="8322"/>
    <cellStyle name="Normal 3 11 21 10" xfId="8323"/>
    <cellStyle name="Normal 3 11 21 10 2" xfId="25956"/>
    <cellStyle name="Normal 3 11 21 11" xfId="8324"/>
    <cellStyle name="Normal 3 11 21 11 2" xfId="25957"/>
    <cellStyle name="Normal 3 11 21 12" xfId="8325"/>
    <cellStyle name="Normal 3 11 21 12 2" xfId="25958"/>
    <cellStyle name="Normal 3 11 21 13" xfId="8326"/>
    <cellStyle name="Normal 3 11 21 13 2" xfId="25959"/>
    <cellStyle name="Normal 3 11 21 14" xfId="8327"/>
    <cellStyle name="Normal 3 11 21 14 2" xfId="25960"/>
    <cellStyle name="Normal 3 11 21 15" xfId="25955"/>
    <cellStyle name="Normal 3 11 21 2" xfId="8328"/>
    <cellStyle name="Normal 3 11 21 2 2" xfId="25961"/>
    <cellStyle name="Normal 3 11 21 3" xfId="8329"/>
    <cellStyle name="Normal 3 11 21 3 2" xfId="25962"/>
    <cellStyle name="Normal 3 11 21 4" xfId="8330"/>
    <cellStyle name="Normal 3 11 21 4 2" xfId="25963"/>
    <cellStyle name="Normal 3 11 21 5" xfId="8331"/>
    <cellStyle name="Normal 3 11 21 5 2" xfId="25964"/>
    <cellStyle name="Normal 3 11 21 6" xfId="8332"/>
    <cellStyle name="Normal 3 11 21 6 2" xfId="25965"/>
    <cellStyle name="Normal 3 11 21 7" xfId="8333"/>
    <cellStyle name="Normal 3 11 21 7 2" xfId="25966"/>
    <cellStyle name="Normal 3 11 21 8" xfId="8334"/>
    <cellStyle name="Normal 3 11 21 8 2" xfId="25967"/>
    <cellStyle name="Normal 3 11 21 9" xfId="8335"/>
    <cellStyle name="Normal 3 11 21 9 2" xfId="25968"/>
    <cellStyle name="Normal 3 11 22" xfId="8336"/>
    <cellStyle name="Normal 3 11 22 10" xfId="8337"/>
    <cellStyle name="Normal 3 11 22 10 2" xfId="25970"/>
    <cellStyle name="Normal 3 11 22 11" xfId="8338"/>
    <cellStyle name="Normal 3 11 22 11 2" xfId="25971"/>
    <cellStyle name="Normal 3 11 22 12" xfId="8339"/>
    <cellStyle name="Normal 3 11 22 12 2" xfId="25972"/>
    <cellStyle name="Normal 3 11 22 13" xfId="8340"/>
    <cellStyle name="Normal 3 11 22 13 2" xfId="25973"/>
    <cellStyle name="Normal 3 11 22 14" xfId="8341"/>
    <cellStyle name="Normal 3 11 22 14 2" xfId="25974"/>
    <cellStyle name="Normal 3 11 22 15" xfId="25969"/>
    <cellStyle name="Normal 3 11 22 2" xfId="8342"/>
    <cellStyle name="Normal 3 11 22 2 2" xfId="25975"/>
    <cellStyle name="Normal 3 11 22 3" xfId="8343"/>
    <cellStyle name="Normal 3 11 22 3 2" xfId="25976"/>
    <cellStyle name="Normal 3 11 22 4" xfId="8344"/>
    <cellStyle name="Normal 3 11 22 4 2" xfId="25977"/>
    <cellStyle name="Normal 3 11 22 5" xfId="8345"/>
    <cellStyle name="Normal 3 11 22 5 2" xfId="25978"/>
    <cellStyle name="Normal 3 11 22 6" xfId="8346"/>
    <cellStyle name="Normal 3 11 22 6 2" xfId="25979"/>
    <cellStyle name="Normal 3 11 22 7" xfId="8347"/>
    <cellStyle name="Normal 3 11 22 7 2" xfId="25980"/>
    <cellStyle name="Normal 3 11 22 8" xfId="8348"/>
    <cellStyle name="Normal 3 11 22 8 2" xfId="25981"/>
    <cellStyle name="Normal 3 11 22 9" xfId="8349"/>
    <cellStyle name="Normal 3 11 22 9 2" xfId="25982"/>
    <cellStyle name="Normal 3 11 23" xfId="8350"/>
    <cellStyle name="Normal 3 11 24" xfId="8351"/>
    <cellStyle name="Normal 3 11 25" xfId="8352"/>
    <cellStyle name="Normal 3 11 25 10" xfId="8353"/>
    <cellStyle name="Normal 3 11 25 10 2" xfId="25984"/>
    <cellStyle name="Normal 3 11 25 11" xfId="8354"/>
    <cellStyle name="Normal 3 11 25 11 2" xfId="25985"/>
    <cellStyle name="Normal 3 11 25 12" xfId="8355"/>
    <cellStyle name="Normal 3 11 25 12 2" xfId="25986"/>
    <cellStyle name="Normal 3 11 25 13" xfId="8356"/>
    <cellStyle name="Normal 3 11 25 13 2" xfId="25987"/>
    <cellStyle name="Normal 3 11 25 14" xfId="8357"/>
    <cellStyle name="Normal 3 11 25 14 2" xfId="25988"/>
    <cellStyle name="Normal 3 11 25 15" xfId="25983"/>
    <cellStyle name="Normal 3 11 25 2" xfId="8358"/>
    <cellStyle name="Normal 3 11 25 2 2" xfId="25989"/>
    <cellStyle name="Normal 3 11 25 3" xfId="8359"/>
    <cellStyle name="Normal 3 11 25 3 2" xfId="25990"/>
    <cellStyle name="Normal 3 11 25 4" xfId="8360"/>
    <cellStyle name="Normal 3 11 25 4 2" xfId="25991"/>
    <cellStyle name="Normal 3 11 25 5" xfId="8361"/>
    <cellStyle name="Normal 3 11 25 5 2" xfId="25992"/>
    <cellStyle name="Normal 3 11 25 6" xfId="8362"/>
    <cellStyle name="Normal 3 11 25 6 2" xfId="25993"/>
    <cellStyle name="Normal 3 11 25 7" xfId="8363"/>
    <cellStyle name="Normal 3 11 25 7 2" xfId="25994"/>
    <cellStyle name="Normal 3 11 25 8" xfId="8364"/>
    <cellStyle name="Normal 3 11 25 8 2" xfId="25995"/>
    <cellStyle name="Normal 3 11 25 9" xfId="8365"/>
    <cellStyle name="Normal 3 11 25 9 2" xfId="25996"/>
    <cellStyle name="Normal 3 11 26" xfId="8366"/>
    <cellStyle name="Normal 3 11 26 10" xfId="8367"/>
    <cellStyle name="Normal 3 11 26 10 2" xfId="25998"/>
    <cellStyle name="Normal 3 11 26 11" xfId="8368"/>
    <cellStyle name="Normal 3 11 26 11 2" xfId="25999"/>
    <cellStyle name="Normal 3 11 26 12" xfId="8369"/>
    <cellStyle name="Normal 3 11 26 12 2" xfId="26000"/>
    <cellStyle name="Normal 3 11 26 13" xfId="8370"/>
    <cellStyle name="Normal 3 11 26 13 2" xfId="26001"/>
    <cellStyle name="Normal 3 11 26 14" xfId="8371"/>
    <cellStyle name="Normal 3 11 26 14 2" xfId="26002"/>
    <cellStyle name="Normal 3 11 26 15" xfId="25997"/>
    <cellStyle name="Normal 3 11 26 2" xfId="8372"/>
    <cellStyle name="Normal 3 11 26 2 2" xfId="26003"/>
    <cellStyle name="Normal 3 11 26 3" xfId="8373"/>
    <cellStyle name="Normal 3 11 26 3 2" xfId="26004"/>
    <cellStyle name="Normal 3 11 26 4" xfId="8374"/>
    <cellStyle name="Normal 3 11 26 4 2" xfId="26005"/>
    <cellStyle name="Normal 3 11 26 5" xfId="8375"/>
    <cellStyle name="Normal 3 11 26 5 2" xfId="26006"/>
    <cellStyle name="Normal 3 11 26 6" xfId="8376"/>
    <cellStyle name="Normal 3 11 26 6 2" xfId="26007"/>
    <cellStyle name="Normal 3 11 26 7" xfId="8377"/>
    <cellStyle name="Normal 3 11 26 7 2" xfId="26008"/>
    <cellStyle name="Normal 3 11 26 8" xfId="8378"/>
    <cellStyle name="Normal 3 11 26 8 2" xfId="26009"/>
    <cellStyle name="Normal 3 11 26 9" xfId="8379"/>
    <cellStyle name="Normal 3 11 26 9 2" xfId="26010"/>
    <cellStyle name="Normal 3 11 3" xfId="8380"/>
    <cellStyle name="Normal 3 11 4" xfId="8381"/>
    <cellStyle name="Normal 3 11 5" xfId="8382"/>
    <cellStyle name="Normal 3 11 6" xfId="8383"/>
    <cellStyle name="Normal 3 11 7" xfId="8384"/>
    <cellStyle name="Normal 3 11 8" xfId="8385"/>
    <cellStyle name="Normal 3 11 9" xfId="8386"/>
    <cellStyle name="Normal 3 12" xfId="8387"/>
    <cellStyle name="Normal 3 12 10" xfId="8388"/>
    <cellStyle name="Normal 3 12 10 10" xfId="8389"/>
    <cellStyle name="Normal 3 12 10 10 2" xfId="26012"/>
    <cellStyle name="Normal 3 12 10 11" xfId="8390"/>
    <cellStyle name="Normal 3 12 10 11 2" xfId="26013"/>
    <cellStyle name="Normal 3 12 10 12" xfId="8391"/>
    <cellStyle name="Normal 3 12 10 12 2" xfId="26014"/>
    <cellStyle name="Normal 3 12 10 13" xfId="8392"/>
    <cellStyle name="Normal 3 12 10 13 2" xfId="26015"/>
    <cellStyle name="Normal 3 12 10 14" xfId="8393"/>
    <cellStyle name="Normal 3 12 10 14 2" xfId="26016"/>
    <cellStyle name="Normal 3 12 10 15" xfId="26011"/>
    <cellStyle name="Normal 3 12 10 2" xfId="8394"/>
    <cellStyle name="Normal 3 12 10 2 2" xfId="26017"/>
    <cellStyle name="Normal 3 12 10 3" xfId="8395"/>
    <cellStyle name="Normal 3 12 10 3 2" xfId="26018"/>
    <cellStyle name="Normal 3 12 10 4" xfId="8396"/>
    <cellStyle name="Normal 3 12 10 4 2" xfId="26019"/>
    <cellStyle name="Normal 3 12 10 5" xfId="8397"/>
    <cellStyle name="Normal 3 12 10 5 2" xfId="26020"/>
    <cellStyle name="Normal 3 12 10 6" xfId="8398"/>
    <cellStyle name="Normal 3 12 10 6 2" xfId="26021"/>
    <cellStyle name="Normal 3 12 10 7" xfId="8399"/>
    <cellStyle name="Normal 3 12 10 7 2" xfId="26022"/>
    <cellStyle name="Normal 3 12 10 8" xfId="8400"/>
    <cellStyle name="Normal 3 12 10 8 2" xfId="26023"/>
    <cellStyle name="Normal 3 12 10 9" xfId="8401"/>
    <cellStyle name="Normal 3 12 10 9 2" xfId="26024"/>
    <cellStyle name="Normal 3 12 11" xfId="8402"/>
    <cellStyle name="Normal 3 12 11 10" xfId="8403"/>
    <cellStyle name="Normal 3 12 11 10 2" xfId="26026"/>
    <cellStyle name="Normal 3 12 11 11" xfId="8404"/>
    <cellStyle name="Normal 3 12 11 11 2" xfId="26027"/>
    <cellStyle name="Normal 3 12 11 12" xfId="8405"/>
    <cellStyle name="Normal 3 12 11 12 2" xfId="26028"/>
    <cellStyle name="Normal 3 12 11 13" xfId="8406"/>
    <cellStyle name="Normal 3 12 11 13 2" xfId="26029"/>
    <cellStyle name="Normal 3 12 11 14" xfId="8407"/>
    <cellStyle name="Normal 3 12 11 14 2" xfId="26030"/>
    <cellStyle name="Normal 3 12 11 15" xfId="26025"/>
    <cellStyle name="Normal 3 12 11 2" xfId="8408"/>
    <cellStyle name="Normal 3 12 11 2 2" xfId="26031"/>
    <cellStyle name="Normal 3 12 11 3" xfId="8409"/>
    <cellStyle name="Normal 3 12 11 3 2" xfId="26032"/>
    <cellStyle name="Normal 3 12 11 4" xfId="8410"/>
    <cellStyle name="Normal 3 12 11 4 2" xfId="26033"/>
    <cellStyle name="Normal 3 12 11 5" xfId="8411"/>
    <cellStyle name="Normal 3 12 11 5 2" xfId="26034"/>
    <cellStyle name="Normal 3 12 11 6" xfId="8412"/>
    <cellStyle name="Normal 3 12 11 6 2" xfId="26035"/>
    <cellStyle name="Normal 3 12 11 7" xfId="8413"/>
    <cellStyle name="Normal 3 12 11 7 2" xfId="26036"/>
    <cellStyle name="Normal 3 12 11 8" xfId="8414"/>
    <cellStyle name="Normal 3 12 11 8 2" xfId="26037"/>
    <cellStyle name="Normal 3 12 11 9" xfId="8415"/>
    <cellStyle name="Normal 3 12 11 9 2" xfId="26038"/>
    <cellStyle name="Normal 3 12 12" xfId="8416"/>
    <cellStyle name="Normal 3 12 12 10" xfId="8417"/>
    <cellStyle name="Normal 3 12 12 10 2" xfId="26040"/>
    <cellStyle name="Normal 3 12 12 11" xfId="8418"/>
    <cellStyle name="Normal 3 12 12 11 2" xfId="26041"/>
    <cellStyle name="Normal 3 12 12 12" xfId="8419"/>
    <cellStyle name="Normal 3 12 12 12 2" xfId="26042"/>
    <cellStyle name="Normal 3 12 12 13" xfId="8420"/>
    <cellStyle name="Normal 3 12 12 13 2" xfId="26043"/>
    <cellStyle name="Normal 3 12 12 14" xfId="8421"/>
    <cellStyle name="Normal 3 12 12 14 2" xfId="26044"/>
    <cellStyle name="Normal 3 12 12 15" xfId="26039"/>
    <cellStyle name="Normal 3 12 12 2" xfId="8422"/>
    <cellStyle name="Normal 3 12 12 2 2" xfId="26045"/>
    <cellStyle name="Normal 3 12 12 3" xfId="8423"/>
    <cellStyle name="Normal 3 12 12 3 2" xfId="26046"/>
    <cellStyle name="Normal 3 12 12 4" xfId="8424"/>
    <cellStyle name="Normal 3 12 12 4 2" xfId="26047"/>
    <cellStyle name="Normal 3 12 12 5" xfId="8425"/>
    <cellStyle name="Normal 3 12 12 5 2" xfId="26048"/>
    <cellStyle name="Normal 3 12 12 6" xfId="8426"/>
    <cellStyle name="Normal 3 12 12 6 2" xfId="26049"/>
    <cellStyle name="Normal 3 12 12 7" xfId="8427"/>
    <cellStyle name="Normal 3 12 12 7 2" xfId="26050"/>
    <cellStyle name="Normal 3 12 12 8" xfId="8428"/>
    <cellStyle name="Normal 3 12 12 8 2" xfId="26051"/>
    <cellStyle name="Normal 3 12 12 9" xfId="8429"/>
    <cellStyle name="Normal 3 12 12 9 2" xfId="26052"/>
    <cellStyle name="Normal 3 12 13" xfId="8430"/>
    <cellStyle name="Normal 3 12 13 10" xfId="8431"/>
    <cellStyle name="Normal 3 12 13 10 2" xfId="26054"/>
    <cellStyle name="Normal 3 12 13 11" xfId="8432"/>
    <cellStyle name="Normal 3 12 13 11 2" xfId="26055"/>
    <cellStyle name="Normal 3 12 13 12" xfId="8433"/>
    <cellStyle name="Normal 3 12 13 12 2" xfId="26056"/>
    <cellStyle name="Normal 3 12 13 13" xfId="8434"/>
    <cellStyle name="Normal 3 12 13 13 2" xfId="26057"/>
    <cellStyle name="Normal 3 12 13 14" xfId="8435"/>
    <cellStyle name="Normal 3 12 13 14 2" xfId="26058"/>
    <cellStyle name="Normal 3 12 13 15" xfId="26053"/>
    <cellStyle name="Normal 3 12 13 2" xfId="8436"/>
    <cellStyle name="Normal 3 12 13 2 2" xfId="26059"/>
    <cellStyle name="Normal 3 12 13 3" xfId="8437"/>
    <cellStyle name="Normal 3 12 13 3 2" xfId="26060"/>
    <cellStyle name="Normal 3 12 13 4" xfId="8438"/>
    <cellStyle name="Normal 3 12 13 4 2" xfId="26061"/>
    <cellStyle name="Normal 3 12 13 5" xfId="8439"/>
    <cellStyle name="Normal 3 12 13 5 2" xfId="26062"/>
    <cellStyle name="Normal 3 12 13 6" xfId="8440"/>
    <cellStyle name="Normal 3 12 13 6 2" xfId="26063"/>
    <cellStyle name="Normal 3 12 13 7" xfId="8441"/>
    <cellStyle name="Normal 3 12 13 7 2" xfId="26064"/>
    <cellStyle name="Normal 3 12 13 8" xfId="8442"/>
    <cellStyle name="Normal 3 12 13 8 2" xfId="26065"/>
    <cellStyle name="Normal 3 12 13 9" xfId="8443"/>
    <cellStyle name="Normal 3 12 13 9 2" xfId="26066"/>
    <cellStyle name="Normal 3 12 14" xfId="8444"/>
    <cellStyle name="Normal 3 12 14 10" xfId="8445"/>
    <cellStyle name="Normal 3 12 14 10 2" xfId="26068"/>
    <cellStyle name="Normal 3 12 14 11" xfId="8446"/>
    <cellStyle name="Normal 3 12 14 11 2" xfId="26069"/>
    <cellStyle name="Normal 3 12 14 12" xfId="8447"/>
    <cellStyle name="Normal 3 12 14 12 2" xfId="26070"/>
    <cellStyle name="Normal 3 12 14 13" xfId="8448"/>
    <cellStyle name="Normal 3 12 14 13 2" xfId="26071"/>
    <cellStyle name="Normal 3 12 14 14" xfId="8449"/>
    <cellStyle name="Normal 3 12 14 14 2" xfId="26072"/>
    <cellStyle name="Normal 3 12 14 15" xfId="26067"/>
    <cellStyle name="Normal 3 12 14 2" xfId="8450"/>
    <cellStyle name="Normal 3 12 14 2 2" xfId="26073"/>
    <cellStyle name="Normal 3 12 14 3" xfId="8451"/>
    <cellStyle name="Normal 3 12 14 3 2" xfId="26074"/>
    <cellStyle name="Normal 3 12 14 4" xfId="8452"/>
    <cellStyle name="Normal 3 12 14 4 2" xfId="26075"/>
    <cellStyle name="Normal 3 12 14 5" xfId="8453"/>
    <cellStyle name="Normal 3 12 14 5 2" xfId="26076"/>
    <cellStyle name="Normal 3 12 14 6" xfId="8454"/>
    <cellStyle name="Normal 3 12 14 6 2" xfId="26077"/>
    <cellStyle name="Normal 3 12 14 7" xfId="8455"/>
    <cellStyle name="Normal 3 12 14 7 2" xfId="26078"/>
    <cellStyle name="Normal 3 12 14 8" xfId="8456"/>
    <cellStyle name="Normal 3 12 14 8 2" xfId="26079"/>
    <cellStyle name="Normal 3 12 14 9" xfId="8457"/>
    <cellStyle name="Normal 3 12 14 9 2" xfId="26080"/>
    <cellStyle name="Normal 3 12 15" xfId="8458"/>
    <cellStyle name="Normal 3 12 16" xfId="8459"/>
    <cellStyle name="Normal 3 12 17" xfId="8460"/>
    <cellStyle name="Normal 3 12 17 10" xfId="8461"/>
    <cellStyle name="Normal 3 12 17 10 2" xfId="26082"/>
    <cellStyle name="Normal 3 12 17 11" xfId="8462"/>
    <cellStyle name="Normal 3 12 17 11 2" xfId="26083"/>
    <cellStyle name="Normal 3 12 17 12" xfId="8463"/>
    <cellStyle name="Normal 3 12 17 12 2" xfId="26084"/>
    <cellStyle name="Normal 3 12 17 13" xfId="8464"/>
    <cellStyle name="Normal 3 12 17 13 2" xfId="26085"/>
    <cellStyle name="Normal 3 12 17 14" xfId="8465"/>
    <cellStyle name="Normal 3 12 17 14 2" xfId="26086"/>
    <cellStyle name="Normal 3 12 17 15" xfId="26081"/>
    <cellStyle name="Normal 3 12 17 2" xfId="8466"/>
    <cellStyle name="Normal 3 12 17 2 2" xfId="26087"/>
    <cellStyle name="Normal 3 12 17 3" xfId="8467"/>
    <cellStyle name="Normal 3 12 17 3 2" xfId="26088"/>
    <cellStyle name="Normal 3 12 17 4" xfId="8468"/>
    <cellStyle name="Normal 3 12 17 4 2" xfId="26089"/>
    <cellStyle name="Normal 3 12 17 5" xfId="8469"/>
    <cellStyle name="Normal 3 12 17 5 2" xfId="26090"/>
    <cellStyle name="Normal 3 12 17 6" xfId="8470"/>
    <cellStyle name="Normal 3 12 17 6 2" xfId="26091"/>
    <cellStyle name="Normal 3 12 17 7" xfId="8471"/>
    <cellStyle name="Normal 3 12 17 7 2" xfId="26092"/>
    <cellStyle name="Normal 3 12 17 8" xfId="8472"/>
    <cellStyle name="Normal 3 12 17 8 2" xfId="26093"/>
    <cellStyle name="Normal 3 12 17 9" xfId="8473"/>
    <cellStyle name="Normal 3 12 17 9 2" xfId="26094"/>
    <cellStyle name="Normal 3 12 18" xfId="8474"/>
    <cellStyle name="Normal 3 12 18 10" xfId="8475"/>
    <cellStyle name="Normal 3 12 18 10 2" xfId="26096"/>
    <cellStyle name="Normal 3 12 18 11" xfId="8476"/>
    <cellStyle name="Normal 3 12 18 11 2" xfId="26097"/>
    <cellStyle name="Normal 3 12 18 12" xfId="8477"/>
    <cellStyle name="Normal 3 12 18 12 2" xfId="26098"/>
    <cellStyle name="Normal 3 12 18 13" xfId="8478"/>
    <cellStyle name="Normal 3 12 18 13 2" xfId="26099"/>
    <cellStyle name="Normal 3 12 18 14" xfId="8479"/>
    <cellStyle name="Normal 3 12 18 14 2" xfId="26100"/>
    <cellStyle name="Normal 3 12 18 15" xfId="26095"/>
    <cellStyle name="Normal 3 12 18 2" xfId="8480"/>
    <cellStyle name="Normal 3 12 18 2 2" xfId="26101"/>
    <cellStyle name="Normal 3 12 18 3" xfId="8481"/>
    <cellStyle name="Normal 3 12 18 3 2" xfId="26102"/>
    <cellStyle name="Normal 3 12 18 4" xfId="8482"/>
    <cellStyle name="Normal 3 12 18 4 2" xfId="26103"/>
    <cellStyle name="Normal 3 12 18 5" xfId="8483"/>
    <cellStyle name="Normal 3 12 18 5 2" xfId="26104"/>
    <cellStyle name="Normal 3 12 18 6" xfId="8484"/>
    <cellStyle name="Normal 3 12 18 6 2" xfId="26105"/>
    <cellStyle name="Normal 3 12 18 7" xfId="8485"/>
    <cellStyle name="Normal 3 12 18 7 2" xfId="26106"/>
    <cellStyle name="Normal 3 12 18 8" xfId="8486"/>
    <cellStyle name="Normal 3 12 18 8 2" xfId="26107"/>
    <cellStyle name="Normal 3 12 18 9" xfId="8487"/>
    <cellStyle name="Normal 3 12 18 9 2" xfId="26108"/>
    <cellStyle name="Normal 3 12 2" xfId="8488"/>
    <cellStyle name="Normal 3 12 2 10" xfId="8489"/>
    <cellStyle name="Normal 3 12 2 10 2" xfId="26110"/>
    <cellStyle name="Normal 3 12 2 11" xfId="8490"/>
    <cellStyle name="Normal 3 12 2 11 2" xfId="26111"/>
    <cellStyle name="Normal 3 12 2 12" xfId="8491"/>
    <cellStyle name="Normal 3 12 2 12 2" xfId="26112"/>
    <cellStyle name="Normal 3 12 2 13" xfId="8492"/>
    <cellStyle name="Normal 3 12 2 13 2" xfId="26113"/>
    <cellStyle name="Normal 3 12 2 14" xfId="8493"/>
    <cellStyle name="Normal 3 12 2 14 2" xfId="26114"/>
    <cellStyle name="Normal 3 12 2 15" xfId="8494"/>
    <cellStyle name="Normal 3 12 2 15 2" xfId="26115"/>
    <cellStyle name="Normal 3 12 2 16" xfId="8495"/>
    <cellStyle name="Normal 3 12 2 16 2" xfId="26116"/>
    <cellStyle name="Normal 3 12 2 17" xfId="8496"/>
    <cellStyle name="Normal 3 12 2 17 2" xfId="26117"/>
    <cellStyle name="Normal 3 12 2 18" xfId="26109"/>
    <cellStyle name="Normal 3 12 2 2" xfId="8497"/>
    <cellStyle name="Normal 3 12 2 3" xfId="8498"/>
    <cellStyle name="Normal 3 12 2 4" xfId="8499"/>
    <cellStyle name="Normal 3 12 2 5" xfId="8500"/>
    <cellStyle name="Normal 3 12 2 5 2" xfId="26118"/>
    <cellStyle name="Normal 3 12 2 6" xfId="8501"/>
    <cellStyle name="Normal 3 12 2 6 2" xfId="26119"/>
    <cellStyle name="Normal 3 12 2 7" xfId="8502"/>
    <cellStyle name="Normal 3 12 2 7 2" xfId="26120"/>
    <cellStyle name="Normal 3 12 2 8" xfId="8503"/>
    <cellStyle name="Normal 3 12 2 8 2" xfId="26121"/>
    <cellStyle name="Normal 3 12 2 9" xfId="8504"/>
    <cellStyle name="Normal 3 12 2 9 2" xfId="26122"/>
    <cellStyle name="Normal 3 12 3" xfId="8505"/>
    <cellStyle name="Normal 3 12 4" xfId="8506"/>
    <cellStyle name="Normal 3 12 5" xfId="8507"/>
    <cellStyle name="Normal 3 12 6" xfId="8508"/>
    <cellStyle name="Normal 3 12 6 10" xfId="8509"/>
    <cellStyle name="Normal 3 12 6 10 2" xfId="26124"/>
    <cellStyle name="Normal 3 12 6 11" xfId="8510"/>
    <cellStyle name="Normal 3 12 6 11 2" xfId="26125"/>
    <cellStyle name="Normal 3 12 6 12" xfId="8511"/>
    <cellStyle name="Normal 3 12 6 12 2" xfId="26126"/>
    <cellStyle name="Normal 3 12 6 13" xfId="8512"/>
    <cellStyle name="Normal 3 12 6 13 2" xfId="26127"/>
    <cellStyle name="Normal 3 12 6 14" xfId="8513"/>
    <cellStyle name="Normal 3 12 6 14 2" xfId="26128"/>
    <cellStyle name="Normal 3 12 6 15" xfId="8514"/>
    <cellStyle name="Normal 3 12 6 15 2" xfId="26129"/>
    <cellStyle name="Normal 3 12 6 16" xfId="26123"/>
    <cellStyle name="Normal 3 12 6 2" xfId="8515"/>
    <cellStyle name="Normal 3 12 6 2 10" xfId="8516"/>
    <cellStyle name="Normal 3 12 6 2 10 2" xfId="26131"/>
    <cellStyle name="Normal 3 12 6 2 11" xfId="8517"/>
    <cellStyle name="Normal 3 12 6 2 11 2" xfId="26132"/>
    <cellStyle name="Normal 3 12 6 2 12" xfId="8518"/>
    <cellStyle name="Normal 3 12 6 2 12 2" xfId="26133"/>
    <cellStyle name="Normal 3 12 6 2 13" xfId="8519"/>
    <cellStyle name="Normal 3 12 6 2 13 2" xfId="26134"/>
    <cellStyle name="Normal 3 12 6 2 14" xfId="8520"/>
    <cellStyle name="Normal 3 12 6 2 14 2" xfId="26135"/>
    <cellStyle name="Normal 3 12 6 2 15" xfId="26130"/>
    <cellStyle name="Normal 3 12 6 2 2" xfId="8521"/>
    <cellStyle name="Normal 3 12 6 2 2 2" xfId="26136"/>
    <cellStyle name="Normal 3 12 6 2 3" xfId="8522"/>
    <cellStyle name="Normal 3 12 6 2 3 2" xfId="26137"/>
    <cellStyle name="Normal 3 12 6 2 4" xfId="8523"/>
    <cellStyle name="Normal 3 12 6 2 4 2" xfId="26138"/>
    <cellStyle name="Normal 3 12 6 2 5" xfId="8524"/>
    <cellStyle name="Normal 3 12 6 2 5 2" xfId="26139"/>
    <cellStyle name="Normal 3 12 6 2 6" xfId="8525"/>
    <cellStyle name="Normal 3 12 6 2 6 2" xfId="26140"/>
    <cellStyle name="Normal 3 12 6 2 7" xfId="8526"/>
    <cellStyle name="Normal 3 12 6 2 7 2" xfId="26141"/>
    <cellStyle name="Normal 3 12 6 2 8" xfId="8527"/>
    <cellStyle name="Normal 3 12 6 2 8 2" xfId="26142"/>
    <cellStyle name="Normal 3 12 6 2 9" xfId="8528"/>
    <cellStyle name="Normal 3 12 6 2 9 2" xfId="26143"/>
    <cellStyle name="Normal 3 12 6 3" xfId="8529"/>
    <cellStyle name="Normal 3 12 6 3 2" xfId="26144"/>
    <cellStyle name="Normal 3 12 6 4" xfId="8530"/>
    <cellStyle name="Normal 3 12 6 4 2" xfId="26145"/>
    <cellStyle name="Normal 3 12 6 5" xfId="8531"/>
    <cellStyle name="Normal 3 12 6 5 2" xfId="26146"/>
    <cellStyle name="Normal 3 12 6 6" xfId="8532"/>
    <cellStyle name="Normal 3 12 6 6 2" xfId="26147"/>
    <cellStyle name="Normal 3 12 6 7" xfId="8533"/>
    <cellStyle name="Normal 3 12 6 7 2" xfId="26148"/>
    <cellStyle name="Normal 3 12 6 8" xfId="8534"/>
    <cellStyle name="Normal 3 12 6 8 2" xfId="26149"/>
    <cellStyle name="Normal 3 12 6 9" xfId="8535"/>
    <cellStyle name="Normal 3 12 6 9 2" xfId="26150"/>
    <cellStyle name="Normal 3 12 7" xfId="8536"/>
    <cellStyle name="Normal 3 12 7 10" xfId="8537"/>
    <cellStyle name="Normal 3 12 7 10 2" xfId="26152"/>
    <cellStyle name="Normal 3 12 7 11" xfId="8538"/>
    <cellStyle name="Normal 3 12 7 11 2" xfId="26153"/>
    <cellStyle name="Normal 3 12 7 12" xfId="8539"/>
    <cellStyle name="Normal 3 12 7 12 2" xfId="26154"/>
    <cellStyle name="Normal 3 12 7 13" xfId="8540"/>
    <cellStyle name="Normal 3 12 7 13 2" xfId="26155"/>
    <cellStyle name="Normal 3 12 7 14" xfId="8541"/>
    <cellStyle name="Normal 3 12 7 14 2" xfId="26156"/>
    <cellStyle name="Normal 3 12 7 15" xfId="8542"/>
    <cellStyle name="Normal 3 12 7 15 2" xfId="26157"/>
    <cellStyle name="Normal 3 12 7 16" xfId="26151"/>
    <cellStyle name="Normal 3 12 7 2" xfId="8543"/>
    <cellStyle name="Normal 3 12 7 2 10" xfId="8544"/>
    <cellStyle name="Normal 3 12 7 2 10 2" xfId="26159"/>
    <cellStyle name="Normal 3 12 7 2 11" xfId="8545"/>
    <cellStyle name="Normal 3 12 7 2 11 2" xfId="26160"/>
    <cellStyle name="Normal 3 12 7 2 12" xfId="8546"/>
    <cellStyle name="Normal 3 12 7 2 12 2" xfId="26161"/>
    <cellStyle name="Normal 3 12 7 2 13" xfId="8547"/>
    <cellStyle name="Normal 3 12 7 2 13 2" xfId="26162"/>
    <cellStyle name="Normal 3 12 7 2 14" xfId="8548"/>
    <cellStyle name="Normal 3 12 7 2 14 2" xfId="26163"/>
    <cellStyle name="Normal 3 12 7 2 15" xfId="26158"/>
    <cellStyle name="Normal 3 12 7 2 2" xfId="8549"/>
    <cellStyle name="Normal 3 12 7 2 2 2" xfId="26164"/>
    <cellStyle name="Normal 3 12 7 2 3" xfId="8550"/>
    <cellStyle name="Normal 3 12 7 2 3 2" xfId="26165"/>
    <cellStyle name="Normal 3 12 7 2 4" xfId="8551"/>
    <cellStyle name="Normal 3 12 7 2 4 2" xfId="26166"/>
    <cellStyle name="Normal 3 12 7 2 5" xfId="8552"/>
    <cellStyle name="Normal 3 12 7 2 5 2" xfId="26167"/>
    <cellStyle name="Normal 3 12 7 2 6" xfId="8553"/>
    <cellStyle name="Normal 3 12 7 2 6 2" xfId="26168"/>
    <cellStyle name="Normal 3 12 7 2 7" xfId="8554"/>
    <cellStyle name="Normal 3 12 7 2 7 2" xfId="26169"/>
    <cellStyle name="Normal 3 12 7 2 8" xfId="8555"/>
    <cellStyle name="Normal 3 12 7 2 8 2" xfId="26170"/>
    <cellStyle name="Normal 3 12 7 2 9" xfId="8556"/>
    <cellStyle name="Normal 3 12 7 2 9 2" xfId="26171"/>
    <cellStyle name="Normal 3 12 7 3" xfId="8557"/>
    <cellStyle name="Normal 3 12 7 3 2" xfId="26172"/>
    <cellStyle name="Normal 3 12 7 4" xfId="8558"/>
    <cellStyle name="Normal 3 12 7 4 2" xfId="26173"/>
    <cellStyle name="Normal 3 12 7 5" xfId="8559"/>
    <cellStyle name="Normal 3 12 7 5 2" xfId="26174"/>
    <cellStyle name="Normal 3 12 7 6" xfId="8560"/>
    <cellStyle name="Normal 3 12 7 6 2" xfId="26175"/>
    <cellStyle name="Normal 3 12 7 7" xfId="8561"/>
    <cellStyle name="Normal 3 12 7 7 2" xfId="26176"/>
    <cellStyle name="Normal 3 12 7 8" xfId="8562"/>
    <cellStyle name="Normal 3 12 7 8 2" xfId="26177"/>
    <cellStyle name="Normal 3 12 7 9" xfId="8563"/>
    <cellStyle name="Normal 3 12 7 9 2" xfId="26178"/>
    <cellStyle name="Normal 3 12 8" xfId="8564"/>
    <cellStyle name="Normal 3 12 8 10" xfId="8565"/>
    <cellStyle name="Normal 3 12 8 10 2" xfId="26180"/>
    <cellStyle name="Normal 3 12 8 11" xfId="8566"/>
    <cellStyle name="Normal 3 12 8 11 2" xfId="26181"/>
    <cellStyle name="Normal 3 12 8 12" xfId="8567"/>
    <cellStyle name="Normal 3 12 8 12 2" xfId="26182"/>
    <cellStyle name="Normal 3 12 8 13" xfId="8568"/>
    <cellStyle name="Normal 3 12 8 13 2" xfId="26183"/>
    <cellStyle name="Normal 3 12 8 14" xfId="8569"/>
    <cellStyle name="Normal 3 12 8 14 2" xfId="26184"/>
    <cellStyle name="Normal 3 12 8 15" xfId="8570"/>
    <cellStyle name="Normal 3 12 8 15 2" xfId="26185"/>
    <cellStyle name="Normal 3 12 8 16" xfId="26179"/>
    <cellStyle name="Normal 3 12 8 2" xfId="8571"/>
    <cellStyle name="Normal 3 12 8 2 10" xfId="8572"/>
    <cellStyle name="Normal 3 12 8 2 10 2" xfId="26187"/>
    <cellStyle name="Normal 3 12 8 2 11" xfId="8573"/>
    <cellStyle name="Normal 3 12 8 2 11 2" xfId="26188"/>
    <cellStyle name="Normal 3 12 8 2 12" xfId="8574"/>
    <cellStyle name="Normal 3 12 8 2 12 2" xfId="26189"/>
    <cellStyle name="Normal 3 12 8 2 13" xfId="8575"/>
    <cellStyle name="Normal 3 12 8 2 13 2" xfId="26190"/>
    <cellStyle name="Normal 3 12 8 2 14" xfId="8576"/>
    <cellStyle name="Normal 3 12 8 2 14 2" xfId="26191"/>
    <cellStyle name="Normal 3 12 8 2 15" xfId="26186"/>
    <cellStyle name="Normal 3 12 8 2 2" xfId="8577"/>
    <cellStyle name="Normal 3 12 8 2 2 2" xfId="26192"/>
    <cellStyle name="Normal 3 12 8 2 3" xfId="8578"/>
    <cellStyle name="Normal 3 12 8 2 3 2" xfId="26193"/>
    <cellStyle name="Normal 3 12 8 2 4" xfId="8579"/>
    <cellStyle name="Normal 3 12 8 2 4 2" xfId="26194"/>
    <cellStyle name="Normal 3 12 8 2 5" xfId="8580"/>
    <cellStyle name="Normal 3 12 8 2 5 2" xfId="26195"/>
    <cellStyle name="Normal 3 12 8 2 6" xfId="8581"/>
    <cellStyle name="Normal 3 12 8 2 6 2" xfId="26196"/>
    <cellStyle name="Normal 3 12 8 2 7" xfId="8582"/>
    <cellStyle name="Normal 3 12 8 2 7 2" xfId="26197"/>
    <cellStyle name="Normal 3 12 8 2 8" xfId="8583"/>
    <cellStyle name="Normal 3 12 8 2 8 2" xfId="26198"/>
    <cellStyle name="Normal 3 12 8 2 9" xfId="8584"/>
    <cellStyle name="Normal 3 12 8 2 9 2" xfId="26199"/>
    <cellStyle name="Normal 3 12 8 3" xfId="8585"/>
    <cellStyle name="Normal 3 12 8 3 2" xfId="26200"/>
    <cellStyle name="Normal 3 12 8 4" xfId="8586"/>
    <cellStyle name="Normal 3 12 8 4 2" xfId="26201"/>
    <cellStyle name="Normal 3 12 8 5" xfId="8587"/>
    <cellStyle name="Normal 3 12 8 5 2" xfId="26202"/>
    <cellStyle name="Normal 3 12 8 6" xfId="8588"/>
    <cellStyle name="Normal 3 12 8 6 2" xfId="26203"/>
    <cellStyle name="Normal 3 12 8 7" xfId="8589"/>
    <cellStyle name="Normal 3 12 8 7 2" xfId="26204"/>
    <cellStyle name="Normal 3 12 8 8" xfId="8590"/>
    <cellStyle name="Normal 3 12 8 8 2" xfId="26205"/>
    <cellStyle name="Normal 3 12 8 9" xfId="8591"/>
    <cellStyle name="Normal 3 12 8 9 2" xfId="26206"/>
    <cellStyle name="Normal 3 12 9" xfId="8592"/>
    <cellStyle name="Normal 3 12 9 10" xfId="8593"/>
    <cellStyle name="Normal 3 12 9 10 2" xfId="26208"/>
    <cellStyle name="Normal 3 12 9 11" xfId="8594"/>
    <cellStyle name="Normal 3 12 9 11 2" xfId="26209"/>
    <cellStyle name="Normal 3 12 9 12" xfId="8595"/>
    <cellStyle name="Normal 3 12 9 12 2" xfId="26210"/>
    <cellStyle name="Normal 3 12 9 13" xfId="8596"/>
    <cellStyle name="Normal 3 12 9 13 2" xfId="26211"/>
    <cellStyle name="Normal 3 12 9 14" xfId="8597"/>
    <cellStyle name="Normal 3 12 9 14 2" xfId="26212"/>
    <cellStyle name="Normal 3 12 9 15" xfId="26207"/>
    <cellStyle name="Normal 3 12 9 2" xfId="8598"/>
    <cellStyle name="Normal 3 12 9 2 2" xfId="26213"/>
    <cellStyle name="Normal 3 12 9 3" xfId="8599"/>
    <cellStyle name="Normal 3 12 9 3 2" xfId="26214"/>
    <cellStyle name="Normal 3 12 9 4" xfId="8600"/>
    <cellStyle name="Normal 3 12 9 4 2" xfId="26215"/>
    <cellStyle name="Normal 3 12 9 5" xfId="8601"/>
    <cellStyle name="Normal 3 12 9 5 2" xfId="26216"/>
    <cellStyle name="Normal 3 12 9 6" xfId="8602"/>
    <cellStyle name="Normal 3 12 9 6 2" xfId="26217"/>
    <cellStyle name="Normal 3 12 9 7" xfId="8603"/>
    <cellStyle name="Normal 3 12 9 7 2" xfId="26218"/>
    <cellStyle name="Normal 3 12 9 8" xfId="8604"/>
    <cellStyle name="Normal 3 12 9 8 2" xfId="26219"/>
    <cellStyle name="Normal 3 12 9 9" xfId="8605"/>
    <cellStyle name="Normal 3 12 9 9 2" xfId="26220"/>
    <cellStyle name="Normal 3 13" xfId="8606"/>
    <cellStyle name="Normal 3 13 10" xfId="8607"/>
    <cellStyle name="Normal 3 13 10 10" xfId="8608"/>
    <cellStyle name="Normal 3 13 10 10 2" xfId="26222"/>
    <cellStyle name="Normal 3 13 10 11" xfId="8609"/>
    <cellStyle name="Normal 3 13 10 11 2" xfId="26223"/>
    <cellStyle name="Normal 3 13 10 12" xfId="8610"/>
    <cellStyle name="Normal 3 13 10 12 2" xfId="26224"/>
    <cellStyle name="Normal 3 13 10 13" xfId="8611"/>
    <cellStyle name="Normal 3 13 10 13 2" xfId="26225"/>
    <cellStyle name="Normal 3 13 10 14" xfId="8612"/>
    <cellStyle name="Normal 3 13 10 14 2" xfId="26226"/>
    <cellStyle name="Normal 3 13 10 15" xfId="26221"/>
    <cellStyle name="Normal 3 13 10 2" xfId="8613"/>
    <cellStyle name="Normal 3 13 10 2 2" xfId="26227"/>
    <cellStyle name="Normal 3 13 10 3" xfId="8614"/>
    <cellStyle name="Normal 3 13 10 3 2" xfId="26228"/>
    <cellStyle name="Normal 3 13 10 4" xfId="8615"/>
    <cellStyle name="Normal 3 13 10 4 2" xfId="26229"/>
    <cellStyle name="Normal 3 13 10 5" xfId="8616"/>
    <cellStyle name="Normal 3 13 10 5 2" xfId="26230"/>
    <cellStyle name="Normal 3 13 10 6" xfId="8617"/>
    <cellStyle name="Normal 3 13 10 6 2" xfId="26231"/>
    <cellStyle name="Normal 3 13 10 7" xfId="8618"/>
    <cellStyle name="Normal 3 13 10 7 2" xfId="26232"/>
    <cellStyle name="Normal 3 13 10 8" xfId="8619"/>
    <cellStyle name="Normal 3 13 10 8 2" xfId="26233"/>
    <cellStyle name="Normal 3 13 10 9" xfId="8620"/>
    <cellStyle name="Normal 3 13 10 9 2" xfId="26234"/>
    <cellStyle name="Normal 3 13 11" xfId="8621"/>
    <cellStyle name="Normal 3 13 11 10" xfId="8622"/>
    <cellStyle name="Normal 3 13 11 10 2" xfId="26236"/>
    <cellStyle name="Normal 3 13 11 11" xfId="8623"/>
    <cellStyle name="Normal 3 13 11 11 2" xfId="26237"/>
    <cellStyle name="Normal 3 13 11 12" xfId="8624"/>
    <cellStyle name="Normal 3 13 11 12 2" xfId="26238"/>
    <cellStyle name="Normal 3 13 11 13" xfId="8625"/>
    <cellStyle name="Normal 3 13 11 13 2" xfId="26239"/>
    <cellStyle name="Normal 3 13 11 14" xfId="8626"/>
    <cellStyle name="Normal 3 13 11 14 2" xfId="26240"/>
    <cellStyle name="Normal 3 13 11 15" xfId="26235"/>
    <cellStyle name="Normal 3 13 11 2" xfId="8627"/>
    <cellStyle name="Normal 3 13 11 2 2" xfId="26241"/>
    <cellStyle name="Normal 3 13 11 3" xfId="8628"/>
    <cellStyle name="Normal 3 13 11 3 2" xfId="26242"/>
    <cellStyle name="Normal 3 13 11 4" xfId="8629"/>
    <cellStyle name="Normal 3 13 11 4 2" xfId="26243"/>
    <cellStyle name="Normal 3 13 11 5" xfId="8630"/>
    <cellStyle name="Normal 3 13 11 5 2" xfId="26244"/>
    <cellStyle name="Normal 3 13 11 6" xfId="8631"/>
    <cellStyle name="Normal 3 13 11 6 2" xfId="26245"/>
    <cellStyle name="Normal 3 13 11 7" xfId="8632"/>
    <cellStyle name="Normal 3 13 11 7 2" xfId="26246"/>
    <cellStyle name="Normal 3 13 11 8" xfId="8633"/>
    <cellStyle name="Normal 3 13 11 8 2" xfId="26247"/>
    <cellStyle name="Normal 3 13 11 9" xfId="8634"/>
    <cellStyle name="Normal 3 13 11 9 2" xfId="26248"/>
    <cellStyle name="Normal 3 13 12" xfId="8635"/>
    <cellStyle name="Normal 3 13 12 10" xfId="8636"/>
    <cellStyle name="Normal 3 13 12 10 2" xfId="26250"/>
    <cellStyle name="Normal 3 13 12 11" xfId="8637"/>
    <cellStyle name="Normal 3 13 12 11 2" xfId="26251"/>
    <cellStyle name="Normal 3 13 12 12" xfId="8638"/>
    <cellStyle name="Normal 3 13 12 12 2" xfId="26252"/>
    <cellStyle name="Normal 3 13 12 13" xfId="8639"/>
    <cellStyle name="Normal 3 13 12 13 2" xfId="26253"/>
    <cellStyle name="Normal 3 13 12 14" xfId="8640"/>
    <cellStyle name="Normal 3 13 12 14 2" xfId="26254"/>
    <cellStyle name="Normal 3 13 12 15" xfId="26249"/>
    <cellStyle name="Normal 3 13 12 2" xfId="8641"/>
    <cellStyle name="Normal 3 13 12 2 2" xfId="26255"/>
    <cellStyle name="Normal 3 13 12 3" xfId="8642"/>
    <cellStyle name="Normal 3 13 12 3 2" xfId="26256"/>
    <cellStyle name="Normal 3 13 12 4" xfId="8643"/>
    <cellStyle name="Normal 3 13 12 4 2" xfId="26257"/>
    <cellStyle name="Normal 3 13 12 5" xfId="8644"/>
    <cellStyle name="Normal 3 13 12 5 2" xfId="26258"/>
    <cellStyle name="Normal 3 13 12 6" xfId="8645"/>
    <cellStyle name="Normal 3 13 12 6 2" xfId="26259"/>
    <cellStyle name="Normal 3 13 12 7" xfId="8646"/>
    <cellStyle name="Normal 3 13 12 7 2" xfId="26260"/>
    <cellStyle name="Normal 3 13 12 8" xfId="8647"/>
    <cellStyle name="Normal 3 13 12 8 2" xfId="26261"/>
    <cellStyle name="Normal 3 13 12 9" xfId="8648"/>
    <cellStyle name="Normal 3 13 12 9 2" xfId="26262"/>
    <cellStyle name="Normal 3 13 13" xfId="8649"/>
    <cellStyle name="Normal 3 13 13 10" xfId="8650"/>
    <cellStyle name="Normal 3 13 13 10 2" xfId="26264"/>
    <cellStyle name="Normal 3 13 13 11" xfId="8651"/>
    <cellStyle name="Normal 3 13 13 11 2" xfId="26265"/>
    <cellStyle name="Normal 3 13 13 12" xfId="8652"/>
    <cellStyle name="Normal 3 13 13 12 2" xfId="26266"/>
    <cellStyle name="Normal 3 13 13 13" xfId="8653"/>
    <cellStyle name="Normal 3 13 13 13 2" xfId="26267"/>
    <cellStyle name="Normal 3 13 13 14" xfId="8654"/>
    <cellStyle name="Normal 3 13 13 14 2" xfId="26268"/>
    <cellStyle name="Normal 3 13 13 15" xfId="26263"/>
    <cellStyle name="Normal 3 13 13 2" xfId="8655"/>
    <cellStyle name="Normal 3 13 13 2 2" xfId="26269"/>
    <cellStyle name="Normal 3 13 13 3" xfId="8656"/>
    <cellStyle name="Normal 3 13 13 3 2" xfId="26270"/>
    <cellStyle name="Normal 3 13 13 4" xfId="8657"/>
    <cellStyle name="Normal 3 13 13 4 2" xfId="26271"/>
    <cellStyle name="Normal 3 13 13 5" xfId="8658"/>
    <cellStyle name="Normal 3 13 13 5 2" xfId="26272"/>
    <cellStyle name="Normal 3 13 13 6" xfId="8659"/>
    <cellStyle name="Normal 3 13 13 6 2" xfId="26273"/>
    <cellStyle name="Normal 3 13 13 7" xfId="8660"/>
    <cellStyle name="Normal 3 13 13 7 2" xfId="26274"/>
    <cellStyle name="Normal 3 13 13 8" xfId="8661"/>
    <cellStyle name="Normal 3 13 13 8 2" xfId="26275"/>
    <cellStyle name="Normal 3 13 13 9" xfId="8662"/>
    <cellStyle name="Normal 3 13 13 9 2" xfId="26276"/>
    <cellStyle name="Normal 3 13 14" xfId="8663"/>
    <cellStyle name="Normal 3 13 14 10" xfId="8664"/>
    <cellStyle name="Normal 3 13 14 10 2" xfId="26278"/>
    <cellStyle name="Normal 3 13 14 11" xfId="8665"/>
    <cellStyle name="Normal 3 13 14 11 2" xfId="26279"/>
    <cellStyle name="Normal 3 13 14 12" xfId="8666"/>
    <cellStyle name="Normal 3 13 14 12 2" xfId="26280"/>
    <cellStyle name="Normal 3 13 14 13" xfId="8667"/>
    <cellStyle name="Normal 3 13 14 13 2" xfId="26281"/>
    <cellStyle name="Normal 3 13 14 14" xfId="8668"/>
    <cellStyle name="Normal 3 13 14 14 2" xfId="26282"/>
    <cellStyle name="Normal 3 13 14 15" xfId="26277"/>
    <cellStyle name="Normal 3 13 14 2" xfId="8669"/>
    <cellStyle name="Normal 3 13 14 2 2" xfId="26283"/>
    <cellStyle name="Normal 3 13 14 3" xfId="8670"/>
    <cellStyle name="Normal 3 13 14 3 2" xfId="26284"/>
    <cellStyle name="Normal 3 13 14 4" xfId="8671"/>
    <cellStyle name="Normal 3 13 14 4 2" xfId="26285"/>
    <cellStyle name="Normal 3 13 14 5" xfId="8672"/>
    <cellStyle name="Normal 3 13 14 5 2" xfId="26286"/>
    <cellStyle name="Normal 3 13 14 6" xfId="8673"/>
    <cellStyle name="Normal 3 13 14 6 2" xfId="26287"/>
    <cellStyle name="Normal 3 13 14 7" xfId="8674"/>
    <cellStyle name="Normal 3 13 14 7 2" xfId="26288"/>
    <cellStyle name="Normal 3 13 14 8" xfId="8675"/>
    <cellStyle name="Normal 3 13 14 8 2" xfId="26289"/>
    <cellStyle name="Normal 3 13 14 9" xfId="8676"/>
    <cellStyle name="Normal 3 13 14 9 2" xfId="26290"/>
    <cellStyle name="Normal 3 13 15" xfId="8677"/>
    <cellStyle name="Normal 3 13 16" xfId="8678"/>
    <cellStyle name="Normal 3 13 17" xfId="8679"/>
    <cellStyle name="Normal 3 13 17 10" xfId="8680"/>
    <cellStyle name="Normal 3 13 17 10 2" xfId="26292"/>
    <cellStyle name="Normal 3 13 17 11" xfId="8681"/>
    <cellStyle name="Normal 3 13 17 11 2" xfId="26293"/>
    <cellStyle name="Normal 3 13 17 12" xfId="8682"/>
    <cellStyle name="Normal 3 13 17 12 2" xfId="26294"/>
    <cellStyle name="Normal 3 13 17 13" xfId="8683"/>
    <cellStyle name="Normal 3 13 17 13 2" xfId="26295"/>
    <cellStyle name="Normal 3 13 17 14" xfId="8684"/>
    <cellStyle name="Normal 3 13 17 14 2" xfId="26296"/>
    <cellStyle name="Normal 3 13 17 15" xfId="26291"/>
    <cellStyle name="Normal 3 13 17 2" xfId="8685"/>
    <cellStyle name="Normal 3 13 17 2 2" xfId="26297"/>
    <cellStyle name="Normal 3 13 17 3" xfId="8686"/>
    <cellStyle name="Normal 3 13 17 3 2" xfId="26298"/>
    <cellStyle name="Normal 3 13 17 4" xfId="8687"/>
    <cellStyle name="Normal 3 13 17 4 2" xfId="26299"/>
    <cellStyle name="Normal 3 13 17 5" xfId="8688"/>
    <cellStyle name="Normal 3 13 17 5 2" xfId="26300"/>
    <cellStyle name="Normal 3 13 17 6" xfId="8689"/>
    <cellStyle name="Normal 3 13 17 6 2" xfId="26301"/>
    <cellStyle name="Normal 3 13 17 7" xfId="8690"/>
    <cellStyle name="Normal 3 13 17 7 2" xfId="26302"/>
    <cellStyle name="Normal 3 13 17 8" xfId="8691"/>
    <cellStyle name="Normal 3 13 17 8 2" xfId="26303"/>
    <cellStyle name="Normal 3 13 17 9" xfId="8692"/>
    <cellStyle name="Normal 3 13 17 9 2" xfId="26304"/>
    <cellStyle name="Normal 3 13 18" xfId="8693"/>
    <cellStyle name="Normal 3 13 18 10" xfId="8694"/>
    <cellStyle name="Normal 3 13 18 10 2" xfId="26306"/>
    <cellStyle name="Normal 3 13 18 11" xfId="8695"/>
    <cellStyle name="Normal 3 13 18 11 2" xfId="26307"/>
    <cellStyle name="Normal 3 13 18 12" xfId="8696"/>
    <cellStyle name="Normal 3 13 18 12 2" xfId="26308"/>
    <cellStyle name="Normal 3 13 18 13" xfId="8697"/>
    <cellStyle name="Normal 3 13 18 13 2" xfId="26309"/>
    <cellStyle name="Normal 3 13 18 14" xfId="8698"/>
    <cellStyle name="Normal 3 13 18 14 2" xfId="26310"/>
    <cellStyle name="Normal 3 13 18 15" xfId="26305"/>
    <cellStyle name="Normal 3 13 18 2" xfId="8699"/>
    <cellStyle name="Normal 3 13 18 2 2" xfId="26311"/>
    <cellStyle name="Normal 3 13 18 3" xfId="8700"/>
    <cellStyle name="Normal 3 13 18 3 2" xfId="26312"/>
    <cellStyle name="Normal 3 13 18 4" xfId="8701"/>
    <cellStyle name="Normal 3 13 18 4 2" xfId="26313"/>
    <cellStyle name="Normal 3 13 18 5" xfId="8702"/>
    <cellStyle name="Normal 3 13 18 5 2" xfId="26314"/>
    <cellStyle name="Normal 3 13 18 6" xfId="8703"/>
    <cellStyle name="Normal 3 13 18 6 2" xfId="26315"/>
    <cellStyle name="Normal 3 13 18 7" xfId="8704"/>
    <cellStyle name="Normal 3 13 18 7 2" xfId="26316"/>
    <cellStyle name="Normal 3 13 18 8" xfId="8705"/>
    <cellStyle name="Normal 3 13 18 8 2" xfId="26317"/>
    <cellStyle name="Normal 3 13 18 9" xfId="8706"/>
    <cellStyle name="Normal 3 13 18 9 2" xfId="26318"/>
    <cellStyle name="Normal 3 13 2" xfId="8707"/>
    <cellStyle name="Normal 3 13 2 10" xfId="8708"/>
    <cellStyle name="Normal 3 13 2 10 2" xfId="26320"/>
    <cellStyle name="Normal 3 13 2 11" xfId="8709"/>
    <cellStyle name="Normal 3 13 2 11 2" xfId="26321"/>
    <cellStyle name="Normal 3 13 2 12" xfId="8710"/>
    <cellStyle name="Normal 3 13 2 12 2" xfId="26322"/>
    <cellStyle name="Normal 3 13 2 13" xfId="8711"/>
    <cellStyle name="Normal 3 13 2 13 2" xfId="26323"/>
    <cellStyle name="Normal 3 13 2 14" xfId="8712"/>
    <cellStyle name="Normal 3 13 2 14 2" xfId="26324"/>
    <cellStyle name="Normal 3 13 2 15" xfId="8713"/>
    <cellStyle name="Normal 3 13 2 15 2" xfId="26325"/>
    <cellStyle name="Normal 3 13 2 16" xfId="8714"/>
    <cellStyle name="Normal 3 13 2 16 2" xfId="26326"/>
    <cellStyle name="Normal 3 13 2 17" xfId="8715"/>
    <cellStyle name="Normal 3 13 2 17 2" xfId="26327"/>
    <cellStyle name="Normal 3 13 2 18" xfId="26319"/>
    <cellStyle name="Normal 3 13 2 2" xfId="8716"/>
    <cellStyle name="Normal 3 13 2 3" xfId="8717"/>
    <cellStyle name="Normal 3 13 2 4" xfId="8718"/>
    <cellStyle name="Normal 3 13 2 5" xfId="8719"/>
    <cellStyle name="Normal 3 13 2 5 2" xfId="26328"/>
    <cellStyle name="Normal 3 13 2 6" xfId="8720"/>
    <cellStyle name="Normal 3 13 2 6 2" xfId="26329"/>
    <cellStyle name="Normal 3 13 2 7" xfId="8721"/>
    <cellStyle name="Normal 3 13 2 7 2" xfId="26330"/>
    <cellStyle name="Normal 3 13 2 8" xfId="8722"/>
    <cellStyle name="Normal 3 13 2 8 2" xfId="26331"/>
    <cellStyle name="Normal 3 13 2 9" xfId="8723"/>
    <cellStyle name="Normal 3 13 2 9 2" xfId="26332"/>
    <cellStyle name="Normal 3 13 3" xfId="8724"/>
    <cellStyle name="Normal 3 13 4" xfId="8725"/>
    <cellStyle name="Normal 3 13 5" xfId="8726"/>
    <cellStyle name="Normal 3 13 6" xfId="8727"/>
    <cellStyle name="Normal 3 13 6 10" xfId="8728"/>
    <cellStyle name="Normal 3 13 6 10 2" xfId="26334"/>
    <cellStyle name="Normal 3 13 6 11" xfId="8729"/>
    <cellStyle name="Normal 3 13 6 11 2" xfId="26335"/>
    <cellStyle name="Normal 3 13 6 12" xfId="8730"/>
    <cellStyle name="Normal 3 13 6 12 2" xfId="26336"/>
    <cellStyle name="Normal 3 13 6 13" xfId="8731"/>
    <cellStyle name="Normal 3 13 6 13 2" xfId="26337"/>
    <cellStyle name="Normal 3 13 6 14" xfId="8732"/>
    <cellStyle name="Normal 3 13 6 14 2" xfId="26338"/>
    <cellStyle name="Normal 3 13 6 15" xfId="8733"/>
    <cellStyle name="Normal 3 13 6 15 2" xfId="26339"/>
    <cellStyle name="Normal 3 13 6 16" xfId="26333"/>
    <cellStyle name="Normal 3 13 6 2" xfId="8734"/>
    <cellStyle name="Normal 3 13 6 2 10" xfId="8735"/>
    <cellStyle name="Normal 3 13 6 2 10 2" xfId="26341"/>
    <cellStyle name="Normal 3 13 6 2 11" xfId="8736"/>
    <cellStyle name="Normal 3 13 6 2 11 2" xfId="26342"/>
    <cellStyle name="Normal 3 13 6 2 12" xfId="8737"/>
    <cellStyle name="Normal 3 13 6 2 12 2" xfId="26343"/>
    <cellStyle name="Normal 3 13 6 2 13" xfId="8738"/>
    <cellStyle name="Normal 3 13 6 2 13 2" xfId="26344"/>
    <cellStyle name="Normal 3 13 6 2 14" xfId="8739"/>
    <cellStyle name="Normal 3 13 6 2 14 2" xfId="26345"/>
    <cellStyle name="Normal 3 13 6 2 15" xfId="26340"/>
    <cellStyle name="Normal 3 13 6 2 2" xfId="8740"/>
    <cellStyle name="Normal 3 13 6 2 2 2" xfId="26346"/>
    <cellStyle name="Normal 3 13 6 2 3" xfId="8741"/>
    <cellStyle name="Normal 3 13 6 2 3 2" xfId="26347"/>
    <cellStyle name="Normal 3 13 6 2 4" xfId="8742"/>
    <cellStyle name="Normal 3 13 6 2 4 2" xfId="26348"/>
    <cellStyle name="Normal 3 13 6 2 5" xfId="8743"/>
    <cellStyle name="Normal 3 13 6 2 5 2" xfId="26349"/>
    <cellStyle name="Normal 3 13 6 2 6" xfId="8744"/>
    <cellStyle name="Normal 3 13 6 2 6 2" xfId="26350"/>
    <cellStyle name="Normal 3 13 6 2 7" xfId="8745"/>
    <cellStyle name="Normal 3 13 6 2 7 2" xfId="26351"/>
    <cellStyle name="Normal 3 13 6 2 8" xfId="8746"/>
    <cellStyle name="Normal 3 13 6 2 8 2" xfId="26352"/>
    <cellStyle name="Normal 3 13 6 2 9" xfId="8747"/>
    <cellStyle name="Normal 3 13 6 2 9 2" xfId="26353"/>
    <cellStyle name="Normal 3 13 6 3" xfId="8748"/>
    <cellStyle name="Normal 3 13 6 3 2" xfId="26354"/>
    <cellStyle name="Normal 3 13 6 4" xfId="8749"/>
    <cellStyle name="Normal 3 13 6 4 2" xfId="26355"/>
    <cellStyle name="Normal 3 13 6 5" xfId="8750"/>
    <cellStyle name="Normal 3 13 6 5 2" xfId="26356"/>
    <cellStyle name="Normal 3 13 6 6" xfId="8751"/>
    <cellStyle name="Normal 3 13 6 6 2" xfId="26357"/>
    <cellStyle name="Normal 3 13 6 7" xfId="8752"/>
    <cellStyle name="Normal 3 13 6 7 2" xfId="26358"/>
    <cellStyle name="Normal 3 13 6 8" xfId="8753"/>
    <cellStyle name="Normal 3 13 6 8 2" xfId="26359"/>
    <cellStyle name="Normal 3 13 6 9" xfId="8754"/>
    <cellStyle name="Normal 3 13 6 9 2" xfId="26360"/>
    <cellStyle name="Normal 3 13 7" xfId="8755"/>
    <cellStyle name="Normal 3 13 7 10" xfId="8756"/>
    <cellStyle name="Normal 3 13 7 10 2" xfId="26362"/>
    <cellStyle name="Normal 3 13 7 11" xfId="8757"/>
    <cellStyle name="Normal 3 13 7 11 2" xfId="26363"/>
    <cellStyle name="Normal 3 13 7 12" xfId="8758"/>
    <cellStyle name="Normal 3 13 7 12 2" xfId="26364"/>
    <cellStyle name="Normal 3 13 7 13" xfId="8759"/>
    <cellStyle name="Normal 3 13 7 13 2" xfId="26365"/>
    <cellStyle name="Normal 3 13 7 14" xfId="8760"/>
    <cellStyle name="Normal 3 13 7 14 2" xfId="26366"/>
    <cellStyle name="Normal 3 13 7 15" xfId="8761"/>
    <cellStyle name="Normal 3 13 7 15 2" xfId="26367"/>
    <cellStyle name="Normal 3 13 7 16" xfId="26361"/>
    <cellStyle name="Normal 3 13 7 2" xfId="8762"/>
    <cellStyle name="Normal 3 13 7 2 10" xfId="8763"/>
    <cellStyle name="Normal 3 13 7 2 10 2" xfId="26369"/>
    <cellStyle name="Normal 3 13 7 2 11" xfId="8764"/>
    <cellStyle name="Normal 3 13 7 2 11 2" xfId="26370"/>
    <cellStyle name="Normal 3 13 7 2 12" xfId="8765"/>
    <cellStyle name="Normal 3 13 7 2 12 2" xfId="26371"/>
    <cellStyle name="Normal 3 13 7 2 13" xfId="8766"/>
    <cellStyle name="Normal 3 13 7 2 13 2" xfId="26372"/>
    <cellStyle name="Normal 3 13 7 2 14" xfId="8767"/>
    <cellStyle name="Normal 3 13 7 2 14 2" xfId="26373"/>
    <cellStyle name="Normal 3 13 7 2 15" xfId="26368"/>
    <cellStyle name="Normal 3 13 7 2 2" xfId="8768"/>
    <cellStyle name="Normal 3 13 7 2 2 2" xfId="26374"/>
    <cellStyle name="Normal 3 13 7 2 3" xfId="8769"/>
    <cellStyle name="Normal 3 13 7 2 3 2" xfId="26375"/>
    <cellStyle name="Normal 3 13 7 2 4" xfId="8770"/>
    <cellStyle name="Normal 3 13 7 2 4 2" xfId="26376"/>
    <cellStyle name="Normal 3 13 7 2 5" xfId="8771"/>
    <cellStyle name="Normal 3 13 7 2 5 2" xfId="26377"/>
    <cellStyle name="Normal 3 13 7 2 6" xfId="8772"/>
    <cellStyle name="Normal 3 13 7 2 6 2" xfId="26378"/>
    <cellStyle name="Normal 3 13 7 2 7" xfId="8773"/>
    <cellStyle name="Normal 3 13 7 2 7 2" xfId="26379"/>
    <cellStyle name="Normal 3 13 7 2 8" xfId="8774"/>
    <cellStyle name="Normal 3 13 7 2 8 2" xfId="26380"/>
    <cellStyle name="Normal 3 13 7 2 9" xfId="8775"/>
    <cellStyle name="Normal 3 13 7 2 9 2" xfId="26381"/>
    <cellStyle name="Normal 3 13 7 3" xfId="8776"/>
    <cellStyle name="Normal 3 13 7 3 2" xfId="26382"/>
    <cellStyle name="Normal 3 13 7 4" xfId="8777"/>
    <cellStyle name="Normal 3 13 7 4 2" xfId="26383"/>
    <cellStyle name="Normal 3 13 7 5" xfId="8778"/>
    <cellStyle name="Normal 3 13 7 5 2" xfId="26384"/>
    <cellStyle name="Normal 3 13 7 6" xfId="8779"/>
    <cellStyle name="Normal 3 13 7 6 2" xfId="26385"/>
    <cellStyle name="Normal 3 13 7 7" xfId="8780"/>
    <cellStyle name="Normal 3 13 7 7 2" xfId="26386"/>
    <cellStyle name="Normal 3 13 7 8" xfId="8781"/>
    <cellStyle name="Normal 3 13 7 8 2" xfId="26387"/>
    <cellStyle name="Normal 3 13 7 9" xfId="8782"/>
    <cellStyle name="Normal 3 13 7 9 2" xfId="26388"/>
    <cellStyle name="Normal 3 13 8" xfId="8783"/>
    <cellStyle name="Normal 3 13 8 10" xfId="8784"/>
    <cellStyle name="Normal 3 13 8 10 2" xfId="26390"/>
    <cellStyle name="Normal 3 13 8 11" xfId="8785"/>
    <cellStyle name="Normal 3 13 8 11 2" xfId="26391"/>
    <cellStyle name="Normal 3 13 8 12" xfId="8786"/>
    <cellStyle name="Normal 3 13 8 12 2" xfId="26392"/>
    <cellStyle name="Normal 3 13 8 13" xfId="8787"/>
    <cellStyle name="Normal 3 13 8 13 2" xfId="26393"/>
    <cellStyle name="Normal 3 13 8 14" xfId="8788"/>
    <cellStyle name="Normal 3 13 8 14 2" xfId="26394"/>
    <cellStyle name="Normal 3 13 8 15" xfId="8789"/>
    <cellStyle name="Normal 3 13 8 15 2" xfId="26395"/>
    <cellStyle name="Normal 3 13 8 16" xfId="26389"/>
    <cellStyle name="Normal 3 13 8 2" xfId="8790"/>
    <cellStyle name="Normal 3 13 8 2 10" xfId="8791"/>
    <cellStyle name="Normal 3 13 8 2 10 2" xfId="26397"/>
    <cellStyle name="Normal 3 13 8 2 11" xfId="8792"/>
    <cellStyle name="Normal 3 13 8 2 11 2" xfId="26398"/>
    <cellStyle name="Normal 3 13 8 2 12" xfId="8793"/>
    <cellStyle name="Normal 3 13 8 2 12 2" xfId="26399"/>
    <cellStyle name="Normal 3 13 8 2 13" xfId="8794"/>
    <cellStyle name="Normal 3 13 8 2 13 2" xfId="26400"/>
    <cellStyle name="Normal 3 13 8 2 14" xfId="8795"/>
    <cellStyle name="Normal 3 13 8 2 14 2" xfId="26401"/>
    <cellStyle name="Normal 3 13 8 2 15" xfId="26396"/>
    <cellStyle name="Normal 3 13 8 2 2" xfId="8796"/>
    <cellStyle name="Normal 3 13 8 2 2 2" xfId="26402"/>
    <cellStyle name="Normal 3 13 8 2 3" xfId="8797"/>
    <cellStyle name="Normal 3 13 8 2 3 2" xfId="26403"/>
    <cellStyle name="Normal 3 13 8 2 4" xfId="8798"/>
    <cellStyle name="Normal 3 13 8 2 4 2" xfId="26404"/>
    <cellStyle name="Normal 3 13 8 2 5" xfId="8799"/>
    <cellStyle name="Normal 3 13 8 2 5 2" xfId="26405"/>
    <cellStyle name="Normal 3 13 8 2 6" xfId="8800"/>
    <cellStyle name="Normal 3 13 8 2 6 2" xfId="26406"/>
    <cellStyle name="Normal 3 13 8 2 7" xfId="8801"/>
    <cellStyle name="Normal 3 13 8 2 7 2" xfId="26407"/>
    <cellStyle name="Normal 3 13 8 2 8" xfId="8802"/>
    <cellStyle name="Normal 3 13 8 2 8 2" xfId="26408"/>
    <cellStyle name="Normal 3 13 8 2 9" xfId="8803"/>
    <cellStyle name="Normal 3 13 8 2 9 2" xfId="26409"/>
    <cellStyle name="Normal 3 13 8 3" xfId="8804"/>
    <cellStyle name="Normal 3 13 8 3 2" xfId="26410"/>
    <cellStyle name="Normal 3 13 8 4" xfId="8805"/>
    <cellStyle name="Normal 3 13 8 4 2" xfId="26411"/>
    <cellStyle name="Normal 3 13 8 5" xfId="8806"/>
    <cellStyle name="Normal 3 13 8 5 2" xfId="26412"/>
    <cellStyle name="Normal 3 13 8 6" xfId="8807"/>
    <cellStyle name="Normal 3 13 8 6 2" xfId="26413"/>
    <cellStyle name="Normal 3 13 8 7" xfId="8808"/>
    <cellStyle name="Normal 3 13 8 7 2" xfId="26414"/>
    <cellStyle name="Normal 3 13 8 8" xfId="8809"/>
    <cellStyle name="Normal 3 13 8 8 2" xfId="26415"/>
    <cellStyle name="Normal 3 13 8 9" xfId="8810"/>
    <cellStyle name="Normal 3 13 8 9 2" xfId="26416"/>
    <cellStyle name="Normal 3 13 9" xfId="8811"/>
    <cellStyle name="Normal 3 13 9 10" xfId="8812"/>
    <cellStyle name="Normal 3 13 9 10 2" xfId="26418"/>
    <cellStyle name="Normal 3 13 9 11" xfId="8813"/>
    <cellStyle name="Normal 3 13 9 11 2" xfId="26419"/>
    <cellStyle name="Normal 3 13 9 12" xfId="8814"/>
    <cellStyle name="Normal 3 13 9 12 2" xfId="26420"/>
    <cellStyle name="Normal 3 13 9 13" xfId="8815"/>
    <cellStyle name="Normal 3 13 9 13 2" xfId="26421"/>
    <cellStyle name="Normal 3 13 9 14" xfId="8816"/>
    <cellStyle name="Normal 3 13 9 14 2" xfId="26422"/>
    <cellStyle name="Normal 3 13 9 15" xfId="26417"/>
    <cellStyle name="Normal 3 13 9 2" xfId="8817"/>
    <cellStyle name="Normal 3 13 9 2 2" xfId="26423"/>
    <cellStyle name="Normal 3 13 9 3" xfId="8818"/>
    <cellStyle name="Normal 3 13 9 3 2" xfId="26424"/>
    <cellStyle name="Normal 3 13 9 4" xfId="8819"/>
    <cellStyle name="Normal 3 13 9 4 2" xfId="26425"/>
    <cellStyle name="Normal 3 13 9 5" xfId="8820"/>
    <cellStyle name="Normal 3 13 9 5 2" xfId="26426"/>
    <cellStyle name="Normal 3 13 9 6" xfId="8821"/>
    <cellStyle name="Normal 3 13 9 6 2" xfId="26427"/>
    <cellStyle name="Normal 3 13 9 7" xfId="8822"/>
    <cellStyle name="Normal 3 13 9 7 2" xfId="26428"/>
    <cellStyle name="Normal 3 13 9 8" xfId="8823"/>
    <cellStyle name="Normal 3 13 9 8 2" xfId="26429"/>
    <cellStyle name="Normal 3 13 9 9" xfId="8824"/>
    <cellStyle name="Normal 3 13 9 9 2" xfId="26430"/>
    <cellStyle name="Normal 3 14" xfId="8825"/>
    <cellStyle name="Normal 3 14 10" xfId="8826"/>
    <cellStyle name="Normal 3 14 10 10" xfId="8827"/>
    <cellStyle name="Normal 3 14 10 10 2" xfId="26432"/>
    <cellStyle name="Normal 3 14 10 11" xfId="8828"/>
    <cellStyle name="Normal 3 14 10 11 2" xfId="26433"/>
    <cellStyle name="Normal 3 14 10 12" xfId="8829"/>
    <cellStyle name="Normal 3 14 10 12 2" xfId="26434"/>
    <cellStyle name="Normal 3 14 10 13" xfId="8830"/>
    <cellStyle name="Normal 3 14 10 13 2" xfId="26435"/>
    <cellStyle name="Normal 3 14 10 14" xfId="8831"/>
    <cellStyle name="Normal 3 14 10 14 2" xfId="26436"/>
    <cellStyle name="Normal 3 14 10 15" xfId="26431"/>
    <cellStyle name="Normal 3 14 10 2" xfId="8832"/>
    <cellStyle name="Normal 3 14 10 2 2" xfId="26437"/>
    <cellStyle name="Normal 3 14 10 3" xfId="8833"/>
    <cellStyle name="Normal 3 14 10 3 2" xfId="26438"/>
    <cellStyle name="Normal 3 14 10 4" xfId="8834"/>
    <cellStyle name="Normal 3 14 10 4 2" xfId="26439"/>
    <cellStyle name="Normal 3 14 10 5" xfId="8835"/>
    <cellStyle name="Normal 3 14 10 5 2" xfId="26440"/>
    <cellStyle name="Normal 3 14 10 6" xfId="8836"/>
    <cellStyle name="Normal 3 14 10 6 2" xfId="26441"/>
    <cellStyle name="Normal 3 14 10 7" xfId="8837"/>
    <cellStyle name="Normal 3 14 10 7 2" xfId="26442"/>
    <cellStyle name="Normal 3 14 10 8" xfId="8838"/>
    <cellStyle name="Normal 3 14 10 8 2" xfId="26443"/>
    <cellStyle name="Normal 3 14 10 9" xfId="8839"/>
    <cellStyle name="Normal 3 14 10 9 2" xfId="26444"/>
    <cellStyle name="Normal 3 14 11" xfId="8840"/>
    <cellStyle name="Normal 3 14 11 10" xfId="8841"/>
    <cellStyle name="Normal 3 14 11 10 2" xfId="26446"/>
    <cellStyle name="Normal 3 14 11 11" xfId="8842"/>
    <cellStyle name="Normal 3 14 11 11 2" xfId="26447"/>
    <cellStyle name="Normal 3 14 11 12" xfId="8843"/>
    <cellStyle name="Normal 3 14 11 12 2" xfId="26448"/>
    <cellStyle name="Normal 3 14 11 13" xfId="8844"/>
    <cellStyle name="Normal 3 14 11 13 2" xfId="26449"/>
    <cellStyle name="Normal 3 14 11 14" xfId="8845"/>
    <cellStyle name="Normal 3 14 11 14 2" xfId="26450"/>
    <cellStyle name="Normal 3 14 11 15" xfId="26445"/>
    <cellStyle name="Normal 3 14 11 2" xfId="8846"/>
    <cellStyle name="Normal 3 14 11 2 2" xfId="26451"/>
    <cellStyle name="Normal 3 14 11 3" xfId="8847"/>
    <cellStyle name="Normal 3 14 11 3 2" xfId="26452"/>
    <cellStyle name="Normal 3 14 11 4" xfId="8848"/>
    <cellStyle name="Normal 3 14 11 4 2" xfId="26453"/>
    <cellStyle name="Normal 3 14 11 5" xfId="8849"/>
    <cellStyle name="Normal 3 14 11 5 2" xfId="26454"/>
    <cellStyle name="Normal 3 14 11 6" xfId="8850"/>
    <cellStyle name="Normal 3 14 11 6 2" xfId="26455"/>
    <cellStyle name="Normal 3 14 11 7" xfId="8851"/>
    <cellStyle name="Normal 3 14 11 7 2" xfId="26456"/>
    <cellStyle name="Normal 3 14 11 8" xfId="8852"/>
    <cellStyle name="Normal 3 14 11 8 2" xfId="26457"/>
    <cellStyle name="Normal 3 14 11 9" xfId="8853"/>
    <cellStyle name="Normal 3 14 11 9 2" xfId="26458"/>
    <cellStyle name="Normal 3 14 12" xfId="8854"/>
    <cellStyle name="Normal 3 14 12 10" xfId="8855"/>
    <cellStyle name="Normal 3 14 12 10 2" xfId="26460"/>
    <cellStyle name="Normal 3 14 12 11" xfId="8856"/>
    <cellStyle name="Normal 3 14 12 11 2" xfId="26461"/>
    <cellStyle name="Normal 3 14 12 12" xfId="8857"/>
    <cellStyle name="Normal 3 14 12 12 2" xfId="26462"/>
    <cellStyle name="Normal 3 14 12 13" xfId="8858"/>
    <cellStyle name="Normal 3 14 12 13 2" xfId="26463"/>
    <cellStyle name="Normal 3 14 12 14" xfId="8859"/>
    <cellStyle name="Normal 3 14 12 14 2" xfId="26464"/>
    <cellStyle name="Normal 3 14 12 15" xfId="26459"/>
    <cellStyle name="Normal 3 14 12 2" xfId="8860"/>
    <cellStyle name="Normal 3 14 12 2 2" xfId="26465"/>
    <cellStyle name="Normal 3 14 12 3" xfId="8861"/>
    <cellStyle name="Normal 3 14 12 3 2" xfId="26466"/>
    <cellStyle name="Normal 3 14 12 4" xfId="8862"/>
    <cellStyle name="Normal 3 14 12 4 2" xfId="26467"/>
    <cellStyle name="Normal 3 14 12 5" xfId="8863"/>
    <cellStyle name="Normal 3 14 12 5 2" xfId="26468"/>
    <cellStyle name="Normal 3 14 12 6" xfId="8864"/>
    <cellStyle name="Normal 3 14 12 6 2" xfId="26469"/>
    <cellStyle name="Normal 3 14 12 7" xfId="8865"/>
    <cellStyle name="Normal 3 14 12 7 2" xfId="26470"/>
    <cellStyle name="Normal 3 14 12 8" xfId="8866"/>
    <cellStyle name="Normal 3 14 12 8 2" xfId="26471"/>
    <cellStyle name="Normal 3 14 12 9" xfId="8867"/>
    <cellStyle name="Normal 3 14 12 9 2" xfId="26472"/>
    <cellStyle name="Normal 3 14 13" xfId="8868"/>
    <cellStyle name="Normal 3 14 13 10" xfId="8869"/>
    <cellStyle name="Normal 3 14 13 10 2" xfId="26474"/>
    <cellStyle name="Normal 3 14 13 11" xfId="8870"/>
    <cellStyle name="Normal 3 14 13 11 2" xfId="26475"/>
    <cellStyle name="Normal 3 14 13 12" xfId="8871"/>
    <cellStyle name="Normal 3 14 13 12 2" xfId="26476"/>
    <cellStyle name="Normal 3 14 13 13" xfId="8872"/>
    <cellStyle name="Normal 3 14 13 13 2" xfId="26477"/>
    <cellStyle name="Normal 3 14 13 14" xfId="8873"/>
    <cellStyle name="Normal 3 14 13 14 2" xfId="26478"/>
    <cellStyle name="Normal 3 14 13 15" xfId="26473"/>
    <cellStyle name="Normal 3 14 13 2" xfId="8874"/>
    <cellStyle name="Normal 3 14 13 2 2" xfId="26479"/>
    <cellStyle name="Normal 3 14 13 3" xfId="8875"/>
    <cellStyle name="Normal 3 14 13 3 2" xfId="26480"/>
    <cellStyle name="Normal 3 14 13 4" xfId="8876"/>
    <cellStyle name="Normal 3 14 13 4 2" xfId="26481"/>
    <cellStyle name="Normal 3 14 13 5" xfId="8877"/>
    <cellStyle name="Normal 3 14 13 5 2" xfId="26482"/>
    <cellStyle name="Normal 3 14 13 6" xfId="8878"/>
    <cellStyle name="Normal 3 14 13 6 2" xfId="26483"/>
    <cellStyle name="Normal 3 14 13 7" xfId="8879"/>
    <cellStyle name="Normal 3 14 13 7 2" xfId="26484"/>
    <cellStyle name="Normal 3 14 13 8" xfId="8880"/>
    <cellStyle name="Normal 3 14 13 8 2" xfId="26485"/>
    <cellStyle name="Normal 3 14 13 9" xfId="8881"/>
    <cellStyle name="Normal 3 14 13 9 2" xfId="26486"/>
    <cellStyle name="Normal 3 14 14" xfId="8882"/>
    <cellStyle name="Normal 3 14 14 10" xfId="8883"/>
    <cellStyle name="Normal 3 14 14 10 2" xfId="26488"/>
    <cellStyle name="Normal 3 14 14 11" xfId="8884"/>
    <cellStyle name="Normal 3 14 14 11 2" xfId="26489"/>
    <cellStyle name="Normal 3 14 14 12" xfId="8885"/>
    <cellStyle name="Normal 3 14 14 12 2" xfId="26490"/>
    <cellStyle name="Normal 3 14 14 13" xfId="8886"/>
    <cellStyle name="Normal 3 14 14 13 2" xfId="26491"/>
    <cellStyle name="Normal 3 14 14 14" xfId="8887"/>
    <cellStyle name="Normal 3 14 14 14 2" xfId="26492"/>
    <cellStyle name="Normal 3 14 14 15" xfId="26487"/>
    <cellStyle name="Normal 3 14 14 2" xfId="8888"/>
    <cellStyle name="Normal 3 14 14 2 2" xfId="26493"/>
    <cellStyle name="Normal 3 14 14 3" xfId="8889"/>
    <cellStyle name="Normal 3 14 14 3 2" xfId="26494"/>
    <cellStyle name="Normal 3 14 14 4" xfId="8890"/>
    <cellStyle name="Normal 3 14 14 4 2" xfId="26495"/>
    <cellStyle name="Normal 3 14 14 5" xfId="8891"/>
    <cellStyle name="Normal 3 14 14 5 2" xfId="26496"/>
    <cellStyle name="Normal 3 14 14 6" xfId="8892"/>
    <cellStyle name="Normal 3 14 14 6 2" xfId="26497"/>
    <cellStyle name="Normal 3 14 14 7" xfId="8893"/>
    <cellStyle name="Normal 3 14 14 7 2" xfId="26498"/>
    <cellStyle name="Normal 3 14 14 8" xfId="8894"/>
    <cellStyle name="Normal 3 14 14 8 2" xfId="26499"/>
    <cellStyle name="Normal 3 14 14 9" xfId="8895"/>
    <cellStyle name="Normal 3 14 14 9 2" xfId="26500"/>
    <cellStyle name="Normal 3 14 15" xfId="8896"/>
    <cellStyle name="Normal 3 14 16" xfId="8897"/>
    <cellStyle name="Normal 3 14 17" xfId="8898"/>
    <cellStyle name="Normal 3 14 17 10" xfId="8899"/>
    <cellStyle name="Normal 3 14 17 10 2" xfId="26502"/>
    <cellStyle name="Normal 3 14 17 11" xfId="8900"/>
    <cellStyle name="Normal 3 14 17 11 2" xfId="26503"/>
    <cellStyle name="Normal 3 14 17 12" xfId="8901"/>
    <cellStyle name="Normal 3 14 17 12 2" xfId="26504"/>
    <cellStyle name="Normal 3 14 17 13" xfId="8902"/>
    <cellStyle name="Normal 3 14 17 13 2" xfId="26505"/>
    <cellStyle name="Normal 3 14 17 14" xfId="8903"/>
    <cellStyle name="Normal 3 14 17 14 2" xfId="26506"/>
    <cellStyle name="Normal 3 14 17 15" xfId="26501"/>
    <cellStyle name="Normal 3 14 17 2" xfId="8904"/>
    <cellStyle name="Normal 3 14 17 2 2" xfId="26507"/>
    <cellStyle name="Normal 3 14 17 3" xfId="8905"/>
    <cellStyle name="Normal 3 14 17 3 2" xfId="26508"/>
    <cellStyle name="Normal 3 14 17 4" xfId="8906"/>
    <cellStyle name="Normal 3 14 17 4 2" xfId="26509"/>
    <cellStyle name="Normal 3 14 17 5" xfId="8907"/>
    <cellStyle name="Normal 3 14 17 5 2" xfId="26510"/>
    <cellStyle name="Normal 3 14 17 6" xfId="8908"/>
    <cellStyle name="Normal 3 14 17 6 2" xfId="26511"/>
    <cellStyle name="Normal 3 14 17 7" xfId="8909"/>
    <cellStyle name="Normal 3 14 17 7 2" xfId="26512"/>
    <cellStyle name="Normal 3 14 17 8" xfId="8910"/>
    <cellStyle name="Normal 3 14 17 8 2" xfId="26513"/>
    <cellStyle name="Normal 3 14 17 9" xfId="8911"/>
    <cellStyle name="Normal 3 14 17 9 2" xfId="26514"/>
    <cellStyle name="Normal 3 14 18" xfId="8912"/>
    <cellStyle name="Normal 3 14 18 10" xfId="8913"/>
    <cellStyle name="Normal 3 14 18 10 2" xfId="26516"/>
    <cellStyle name="Normal 3 14 18 11" xfId="8914"/>
    <cellStyle name="Normal 3 14 18 11 2" xfId="26517"/>
    <cellStyle name="Normal 3 14 18 12" xfId="8915"/>
    <cellStyle name="Normal 3 14 18 12 2" xfId="26518"/>
    <cellStyle name="Normal 3 14 18 13" xfId="8916"/>
    <cellStyle name="Normal 3 14 18 13 2" xfId="26519"/>
    <cellStyle name="Normal 3 14 18 14" xfId="8917"/>
    <cellStyle name="Normal 3 14 18 14 2" xfId="26520"/>
    <cellStyle name="Normal 3 14 18 15" xfId="26515"/>
    <cellStyle name="Normal 3 14 18 2" xfId="8918"/>
    <cellStyle name="Normal 3 14 18 2 2" xfId="26521"/>
    <cellStyle name="Normal 3 14 18 3" xfId="8919"/>
    <cellStyle name="Normal 3 14 18 3 2" xfId="26522"/>
    <cellStyle name="Normal 3 14 18 4" xfId="8920"/>
    <cellStyle name="Normal 3 14 18 4 2" xfId="26523"/>
    <cellStyle name="Normal 3 14 18 5" xfId="8921"/>
    <cellStyle name="Normal 3 14 18 5 2" xfId="26524"/>
    <cellStyle name="Normal 3 14 18 6" xfId="8922"/>
    <cellStyle name="Normal 3 14 18 6 2" xfId="26525"/>
    <cellStyle name="Normal 3 14 18 7" xfId="8923"/>
    <cellStyle name="Normal 3 14 18 7 2" xfId="26526"/>
    <cellStyle name="Normal 3 14 18 8" xfId="8924"/>
    <cellStyle name="Normal 3 14 18 8 2" xfId="26527"/>
    <cellStyle name="Normal 3 14 18 9" xfId="8925"/>
    <cellStyle name="Normal 3 14 18 9 2" xfId="26528"/>
    <cellStyle name="Normal 3 14 2" xfId="8926"/>
    <cellStyle name="Normal 3 14 2 10" xfId="8927"/>
    <cellStyle name="Normal 3 14 2 10 2" xfId="26530"/>
    <cellStyle name="Normal 3 14 2 11" xfId="8928"/>
    <cellStyle name="Normal 3 14 2 11 2" xfId="26531"/>
    <cellStyle name="Normal 3 14 2 12" xfId="8929"/>
    <cellStyle name="Normal 3 14 2 12 2" xfId="26532"/>
    <cellStyle name="Normal 3 14 2 13" xfId="8930"/>
    <cellStyle name="Normal 3 14 2 13 2" xfId="26533"/>
    <cellStyle name="Normal 3 14 2 14" xfId="8931"/>
    <cellStyle name="Normal 3 14 2 14 2" xfId="26534"/>
    <cellStyle name="Normal 3 14 2 15" xfId="8932"/>
    <cellStyle name="Normal 3 14 2 15 2" xfId="26535"/>
    <cellStyle name="Normal 3 14 2 16" xfId="8933"/>
    <cellStyle name="Normal 3 14 2 16 2" xfId="26536"/>
    <cellStyle name="Normal 3 14 2 17" xfId="8934"/>
    <cellStyle name="Normal 3 14 2 17 2" xfId="26537"/>
    <cellStyle name="Normal 3 14 2 18" xfId="26529"/>
    <cellStyle name="Normal 3 14 2 2" xfId="8935"/>
    <cellStyle name="Normal 3 14 2 3" xfId="8936"/>
    <cellStyle name="Normal 3 14 2 4" xfId="8937"/>
    <cellStyle name="Normal 3 14 2 5" xfId="8938"/>
    <cellStyle name="Normal 3 14 2 5 2" xfId="26538"/>
    <cellStyle name="Normal 3 14 2 6" xfId="8939"/>
    <cellStyle name="Normal 3 14 2 6 2" xfId="26539"/>
    <cellStyle name="Normal 3 14 2 7" xfId="8940"/>
    <cellStyle name="Normal 3 14 2 7 2" xfId="26540"/>
    <cellStyle name="Normal 3 14 2 8" xfId="8941"/>
    <cellStyle name="Normal 3 14 2 8 2" xfId="26541"/>
    <cellStyle name="Normal 3 14 2 9" xfId="8942"/>
    <cellStyle name="Normal 3 14 2 9 2" xfId="26542"/>
    <cellStyle name="Normal 3 14 3" xfId="8943"/>
    <cellStyle name="Normal 3 14 4" xfId="8944"/>
    <cellStyle name="Normal 3 14 5" xfId="8945"/>
    <cellStyle name="Normal 3 14 6" xfId="8946"/>
    <cellStyle name="Normal 3 14 6 10" xfId="8947"/>
    <cellStyle name="Normal 3 14 6 10 2" xfId="26544"/>
    <cellStyle name="Normal 3 14 6 11" xfId="8948"/>
    <cellStyle name="Normal 3 14 6 11 2" xfId="26545"/>
    <cellStyle name="Normal 3 14 6 12" xfId="8949"/>
    <cellStyle name="Normal 3 14 6 12 2" xfId="26546"/>
    <cellStyle name="Normal 3 14 6 13" xfId="8950"/>
    <cellStyle name="Normal 3 14 6 13 2" xfId="26547"/>
    <cellStyle name="Normal 3 14 6 14" xfId="8951"/>
    <cellStyle name="Normal 3 14 6 14 2" xfId="26548"/>
    <cellStyle name="Normal 3 14 6 15" xfId="8952"/>
    <cellStyle name="Normal 3 14 6 15 2" xfId="26549"/>
    <cellStyle name="Normal 3 14 6 16" xfId="26543"/>
    <cellStyle name="Normal 3 14 6 2" xfId="8953"/>
    <cellStyle name="Normal 3 14 6 2 10" xfId="8954"/>
    <cellStyle name="Normal 3 14 6 2 10 2" xfId="26551"/>
    <cellStyle name="Normal 3 14 6 2 11" xfId="8955"/>
    <cellStyle name="Normal 3 14 6 2 11 2" xfId="26552"/>
    <cellStyle name="Normal 3 14 6 2 12" xfId="8956"/>
    <cellStyle name="Normal 3 14 6 2 12 2" xfId="26553"/>
    <cellStyle name="Normal 3 14 6 2 13" xfId="8957"/>
    <cellStyle name="Normal 3 14 6 2 13 2" xfId="26554"/>
    <cellStyle name="Normal 3 14 6 2 14" xfId="8958"/>
    <cellStyle name="Normal 3 14 6 2 14 2" xfId="26555"/>
    <cellStyle name="Normal 3 14 6 2 15" xfId="26550"/>
    <cellStyle name="Normal 3 14 6 2 2" xfId="8959"/>
    <cellStyle name="Normal 3 14 6 2 2 2" xfId="26556"/>
    <cellStyle name="Normal 3 14 6 2 3" xfId="8960"/>
    <cellStyle name="Normal 3 14 6 2 3 2" xfId="26557"/>
    <cellStyle name="Normal 3 14 6 2 4" xfId="8961"/>
    <cellStyle name="Normal 3 14 6 2 4 2" xfId="26558"/>
    <cellStyle name="Normal 3 14 6 2 5" xfId="8962"/>
    <cellStyle name="Normal 3 14 6 2 5 2" xfId="26559"/>
    <cellStyle name="Normal 3 14 6 2 6" xfId="8963"/>
    <cellStyle name="Normal 3 14 6 2 6 2" xfId="26560"/>
    <cellStyle name="Normal 3 14 6 2 7" xfId="8964"/>
    <cellStyle name="Normal 3 14 6 2 7 2" xfId="26561"/>
    <cellStyle name="Normal 3 14 6 2 8" xfId="8965"/>
    <cellStyle name="Normal 3 14 6 2 8 2" xfId="26562"/>
    <cellStyle name="Normal 3 14 6 2 9" xfId="8966"/>
    <cellStyle name="Normal 3 14 6 2 9 2" xfId="26563"/>
    <cellStyle name="Normal 3 14 6 3" xfId="8967"/>
    <cellStyle name="Normal 3 14 6 3 2" xfId="26564"/>
    <cellStyle name="Normal 3 14 6 4" xfId="8968"/>
    <cellStyle name="Normal 3 14 6 4 2" xfId="26565"/>
    <cellStyle name="Normal 3 14 6 5" xfId="8969"/>
    <cellStyle name="Normal 3 14 6 5 2" xfId="26566"/>
    <cellStyle name="Normal 3 14 6 6" xfId="8970"/>
    <cellStyle name="Normal 3 14 6 6 2" xfId="26567"/>
    <cellStyle name="Normal 3 14 6 7" xfId="8971"/>
    <cellStyle name="Normal 3 14 6 7 2" xfId="26568"/>
    <cellStyle name="Normal 3 14 6 8" xfId="8972"/>
    <cellStyle name="Normal 3 14 6 8 2" xfId="26569"/>
    <cellStyle name="Normal 3 14 6 9" xfId="8973"/>
    <cellStyle name="Normal 3 14 6 9 2" xfId="26570"/>
    <cellStyle name="Normal 3 14 7" xfId="8974"/>
    <cellStyle name="Normal 3 14 7 10" xfId="8975"/>
    <cellStyle name="Normal 3 14 7 10 2" xfId="26572"/>
    <cellStyle name="Normal 3 14 7 11" xfId="8976"/>
    <cellStyle name="Normal 3 14 7 11 2" xfId="26573"/>
    <cellStyle name="Normal 3 14 7 12" xfId="8977"/>
    <cellStyle name="Normal 3 14 7 12 2" xfId="26574"/>
    <cellStyle name="Normal 3 14 7 13" xfId="8978"/>
    <cellStyle name="Normal 3 14 7 13 2" xfId="26575"/>
    <cellStyle name="Normal 3 14 7 14" xfId="8979"/>
    <cellStyle name="Normal 3 14 7 14 2" xfId="26576"/>
    <cellStyle name="Normal 3 14 7 15" xfId="8980"/>
    <cellStyle name="Normal 3 14 7 15 2" xfId="26577"/>
    <cellStyle name="Normal 3 14 7 16" xfId="26571"/>
    <cellStyle name="Normal 3 14 7 2" xfId="8981"/>
    <cellStyle name="Normal 3 14 7 2 10" xfId="8982"/>
    <cellStyle name="Normal 3 14 7 2 10 2" xfId="26579"/>
    <cellStyle name="Normal 3 14 7 2 11" xfId="8983"/>
    <cellStyle name="Normal 3 14 7 2 11 2" xfId="26580"/>
    <cellStyle name="Normal 3 14 7 2 12" xfId="8984"/>
    <cellStyle name="Normal 3 14 7 2 12 2" xfId="26581"/>
    <cellStyle name="Normal 3 14 7 2 13" xfId="8985"/>
    <cellStyle name="Normal 3 14 7 2 13 2" xfId="26582"/>
    <cellStyle name="Normal 3 14 7 2 14" xfId="8986"/>
    <cellStyle name="Normal 3 14 7 2 14 2" xfId="26583"/>
    <cellStyle name="Normal 3 14 7 2 15" xfId="26578"/>
    <cellStyle name="Normal 3 14 7 2 2" xfId="8987"/>
    <cellStyle name="Normal 3 14 7 2 2 2" xfId="26584"/>
    <cellStyle name="Normal 3 14 7 2 3" xfId="8988"/>
    <cellStyle name="Normal 3 14 7 2 3 2" xfId="26585"/>
    <cellStyle name="Normal 3 14 7 2 4" xfId="8989"/>
    <cellStyle name="Normal 3 14 7 2 4 2" xfId="26586"/>
    <cellStyle name="Normal 3 14 7 2 5" xfId="8990"/>
    <cellStyle name="Normal 3 14 7 2 5 2" xfId="26587"/>
    <cellStyle name="Normal 3 14 7 2 6" xfId="8991"/>
    <cellStyle name="Normal 3 14 7 2 6 2" xfId="26588"/>
    <cellStyle name="Normal 3 14 7 2 7" xfId="8992"/>
    <cellStyle name="Normal 3 14 7 2 7 2" xfId="26589"/>
    <cellStyle name="Normal 3 14 7 2 8" xfId="8993"/>
    <cellStyle name="Normal 3 14 7 2 8 2" xfId="26590"/>
    <cellStyle name="Normal 3 14 7 2 9" xfId="8994"/>
    <cellStyle name="Normal 3 14 7 2 9 2" xfId="26591"/>
    <cellStyle name="Normal 3 14 7 3" xfId="8995"/>
    <cellStyle name="Normal 3 14 7 3 2" xfId="26592"/>
    <cellStyle name="Normal 3 14 7 4" xfId="8996"/>
    <cellStyle name="Normal 3 14 7 4 2" xfId="26593"/>
    <cellStyle name="Normal 3 14 7 5" xfId="8997"/>
    <cellStyle name="Normal 3 14 7 5 2" xfId="26594"/>
    <cellStyle name="Normal 3 14 7 6" xfId="8998"/>
    <cellStyle name="Normal 3 14 7 6 2" xfId="26595"/>
    <cellStyle name="Normal 3 14 7 7" xfId="8999"/>
    <cellStyle name="Normal 3 14 7 7 2" xfId="26596"/>
    <cellStyle name="Normal 3 14 7 8" xfId="9000"/>
    <cellStyle name="Normal 3 14 7 8 2" xfId="26597"/>
    <cellStyle name="Normal 3 14 7 9" xfId="9001"/>
    <cellStyle name="Normal 3 14 7 9 2" xfId="26598"/>
    <cellStyle name="Normal 3 14 8" xfId="9002"/>
    <cellStyle name="Normal 3 14 8 10" xfId="9003"/>
    <cellStyle name="Normal 3 14 8 10 2" xfId="26600"/>
    <cellStyle name="Normal 3 14 8 11" xfId="9004"/>
    <cellStyle name="Normal 3 14 8 11 2" xfId="26601"/>
    <cellStyle name="Normal 3 14 8 12" xfId="9005"/>
    <cellStyle name="Normal 3 14 8 12 2" xfId="26602"/>
    <cellStyle name="Normal 3 14 8 13" xfId="9006"/>
    <cellStyle name="Normal 3 14 8 13 2" xfId="26603"/>
    <cellStyle name="Normal 3 14 8 14" xfId="9007"/>
    <cellStyle name="Normal 3 14 8 14 2" xfId="26604"/>
    <cellStyle name="Normal 3 14 8 15" xfId="9008"/>
    <cellStyle name="Normal 3 14 8 15 2" xfId="26605"/>
    <cellStyle name="Normal 3 14 8 16" xfId="26599"/>
    <cellStyle name="Normal 3 14 8 2" xfId="9009"/>
    <cellStyle name="Normal 3 14 8 2 10" xfId="9010"/>
    <cellStyle name="Normal 3 14 8 2 10 2" xfId="26607"/>
    <cellStyle name="Normal 3 14 8 2 11" xfId="9011"/>
    <cellStyle name="Normal 3 14 8 2 11 2" xfId="26608"/>
    <cellStyle name="Normal 3 14 8 2 12" xfId="9012"/>
    <cellStyle name="Normal 3 14 8 2 12 2" xfId="26609"/>
    <cellStyle name="Normal 3 14 8 2 13" xfId="9013"/>
    <cellStyle name="Normal 3 14 8 2 13 2" xfId="26610"/>
    <cellStyle name="Normal 3 14 8 2 14" xfId="9014"/>
    <cellStyle name="Normal 3 14 8 2 14 2" xfId="26611"/>
    <cellStyle name="Normal 3 14 8 2 15" xfId="26606"/>
    <cellStyle name="Normal 3 14 8 2 2" xfId="9015"/>
    <cellStyle name="Normal 3 14 8 2 2 2" xfId="26612"/>
    <cellStyle name="Normal 3 14 8 2 3" xfId="9016"/>
    <cellStyle name="Normal 3 14 8 2 3 2" xfId="26613"/>
    <cellStyle name="Normal 3 14 8 2 4" xfId="9017"/>
    <cellStyle name="Normal 3 14 8 2 4 2" xfId="26614"/>
    <cellStyle name="Normal 3 14 8 2 5" xfId="9018"/>
    <cellStyle name="Normal 3 14 8 2 5 2" xfId="26615"/>
    <cellStyle name="Normal 3 14 8 2 6" xfId="9019"/>
    <cellStyle name="Normal 3 14 8 2 6 2" xfId="26616"/>
    <cellStyle name="Normal 3 14 8 2 7" xfId="9020"/>
    <cellStyle name="Normal 3 14 8 2 7 2" xfId="26617"/>
    <cellStyle name="Normal 3 14 8 2 8" xfId="9021"/>
    <cellStyle name="Normal 3 14 8 2 8 2" xfId="26618"/>
    <cellStyle name="Normal 3 14 8 2 9" xfId="9022"/>
    <cellStyle name="Normal 3 14 8 2 9 2" xfId="26619"/>
    <cellStyle name="Normal 3 14 8 3" xfId="9023"/>
    <cellStyle name="Normal 3 14 8 3 2" xfId="26620"/>
    <cellStyle name="Normal 3 14 8 4" xfId="9024"/>
    <cellStyle name="Normal 3 14 8 4 2" xfId="26621"/>
    <cellStyle name="Normal 3 14 8 5" xfId="9025"/>
    <cellStyle name="Normal 3 14 8 5 2" xfId="26622"/>
    <cellStyle name="Normal 3 14 8 6" xfId="9026"/>
    <cellStyle name="Normal 3 14 8 6 2" xfId="26623"/>
    <cellStyle name="Normal 3 14 8 7" xfId="9027"/>
    <cellStyle name="Normal 3 14 8 7 2" xfId="26624"/>
    <cellStyle name="Normal 3 14 8 8" xfId="9028"/>
    <cellStyle name="Normal 3 14 8 8 2" xfId="26625"/>
    <cellStyle name="Normal 3 14 8 9" xfId="9029"/>
    <cellStyle name="Normal 3 14 8 9 2" xfId="26626"/>
    <cellStyle name="Normal 3 14 9" xfId="9030"/>
    <cellStyle name="Normal 3 14 9 10" xfId="9031"/>
    <cellStyle name="Normal 3 14 9 10 2" xfId="26628"/>
    <cellStyle name="Normal 3 14 9 11" xfId="9032"/>
    <cellStyle name="Normal 3 14 9 11 2" xfId="26629"/>
    <cellStyle name="Normal 3 14 9 12" xfId="9033"/>
    <cellStyle name="Normal 3 14 9 12 2" xfId="26630"/>
    <cellStyle name="Normal 3 14 9 13" xfId="9034"/>
    <cellStyle name="Normal 3 14 9 13 2" xfId="26631"/>
    <cellStyle name="Normal 3 14 9 14" xfId="9035"/>
    <cellStyle name="Normal 3 14 9 14 2" xfId="26632"/>
    <cellStyle name="Normal 3 14 9 15" xfId="26627"/>
    <cellStyle name="Normal 3 14 9 2" xfId="9036"/>
    <cellStyle name="Normal 3 14 9 2 2" xfId="26633"/>
    <cellStyle name="Normal 3 14 9 3" xfId="9037"/>
    <cellStyle name="Normal 3 14 9 3 2" xfId="26634"/>
    <cellStyle name="Normal 3 14 9 4" xfId="9038"/>
    <cellStyle name="Normal 3 14 9 4 2" xfId="26635"/>
    <cellStyle name="Normal 3 14 9 5" xfId="9039"/>
    <cellStyle name="Normal 3 14 9 5 2" xfId="26636"/>
    <cellStyle name="Normal 3 14 9 6" xfId="9040"/>
    <cellStyle name="Normal 3 14 9 6 2" xfId="26637"/>
    <cellStyle name="Normal 3 14 9 7" xfId="9041"/>
    <cellStyle name="Normal 3 14 9 7 2" xfId="26638"/>
    <cellStyle name="Normal 3 14 9 8" xfId="9042"/>
    <cellStyle name="Normal 3 14 9 8 2" xfId="26639"/>
    <cellStyle name="Normal 3 14 9 9" xfId="9043"/>
    <cellStyle name="Normal 3 14 9 9 2" xfId="26640"/>
    <cellStyle name="Normal 3 15" xfId="9044"/>
    <cellStyle name="Normal 3 15 10" xfId="9045"/>
    <cellStyle name="Normal 3 15 10 10" xfId="9046"/>
    <cellStyle name="Normal 3 15 10 10 2" xfId="26642"/>
    <cellStyle name="Normal 3 15 10 11" xfId="9047"/>
    <cellStyle name="Normal 3 15 10 11 2" xfId="26643"/>
    <cellStyle name="Normal 3 15 10 12" xfId="9048"/>
    <cellStyle name="Normal 3 15 10 12 2" xfId="26644"/>
    <cellStyle name="Normal 3 15 10 13" xfId="9049"/>
    <cellStyle name="Normal 3 15 10 13 2" xfId="26645"/>
    <cellStyle name="Normal 3 15 10 14" xfId="9050"/>
    <cellStyle name="Normal 3 15 10 14 2" xfId="26646"/>
    <cellStyle name="Normal 3 15 10 15" xfId="26641"/>
    <cellStyle name="Normal 3 15 10 2" xfId="9051"/>
    <cellStyle name="Normal 3 15 10 2 2" xfId="26647"/>
    <cellStyle name="Normal 3 15 10 3" xfId="9052"/>
    <cellStyle name="Normal 3 15 10 3 2" xfId="26648"/>
    <cellStyle name="Normal 3 15 10 4" xfId="9053"/>
    <cellStyle name="Normal 3 15 10 4 2" xfId="26649"/>
    <cellStyle name="Normal 3 15 10 5" xfId="9054"/>
    <cellStyle name="Normal 3 15 10 5 2" xfId="26650"/>
    <cellStyle name="Normal 3 15 10 6" xfId="9055"/>
    <cellStyle name="Normal 3 15 10 6 2" xfId="26651"/>
    <cellStyle name="Normal 3 15 10 7" xfId="9056"/>
    <cellStyle name="Normal 3 15 10 7 2" xfId="26652"/>
    <cellStyle name="Normal 3 15 10 8" xfId="9057"/>
    <cellStyle name="Normal 3 15 10 8 2" xfId="26653"/>
    <cellStyle name="Normal 3 15 10 9" xfId="9058"/>
    <cellStyle name="Normal 3 15 10 9 2" xfId="26654"/>
    <cellStyle name="Normal 3 15 11" xfId="9059"/>
    <cellStyle name="Normal 3 15 11 10" xfId="9060"/>
    <cellStyle name="Normal 3 15 11 10 2" xfId="26656"/>
    <cellStyle name="Normal 3 15 11 11" xfId="9061"/>
    <cellStyle name="Normal 3 15 11 11 2" xfId="26657"/>
    <cellStyle name="Normal 3 15 11 12" xfId="9062"/>
    <cellStyle name="Normal 3 15 11 12 2" xfId="26658"/>
    <cellStyle name="Normal 3 15 11 13" xfId="9063"/>
    <cellStyle name="Normal 3 15 11 13 2" xfId="26659"/>
    <cellStyle name="Normal 3 15 11 14" xfId="9064"/>
    <cellStyle name="Normal 3 15 11 14 2" xfId="26660"/>
    <cellStyle name="Normal 3 15 11 15" xfId="26655"/>
    <cellStyle name="Normal 3 15 11 2" xfId="9065"/>
    <cellStyle name="Normal 3 15 11 2 2" xfId="26661"/>
    <cellStyle name="Normal 3 15 11 3" xfId="9066"/>
    <cellStyle name="Normal 3 15 11 3 2" xfId="26662"/>
    <cellStyle name="Normal 3 15 11 4" xfId="9067"/>
    <cellStyle name="Normal 3 15 11 4 2" xfId="26663"/>
    <cellStyle name="Normal 3 15 11 5" xfId="9068"/>
    <cellStyle name="Normal 3 15 11 5 2" xfId="26664"/>
    <cellStyle name="Normal 3 15 11 6" xfId="9069"/>
    <cellStyle name="Normal 3 15 11 6 2" xfId="26665"/>
    <cellStyle name="Normal 3 15 11 7" xfId="9070"/>
    <cellStyle name="Normal 3 15 11 7 2" xfId="26666"/>
    <cellStyle name="Normal 3 15 11 8" xfId="9071"/>
    <cellStyle name="Normal 3 15 11 8 2" xfId="26667"/>
    <cellStyle name="Normal 3 15 11 9" xfId="9072"/>
    <cellStyle name="Normal 3 15 11 9 2" xfId="26668"/>
    <cellStyle name="Normal 3 15 12" xfId="9073"/>
    <cellStyle name="Normal 3 15 12 10" xfId="9074"/>
    <cellStyle name="Normal 3 15 12 10 2" xfId="26670"/>
    <cellStyle name="Normal 3 15 12 11" xfId="9075"/>
    <cellStyle name="Normal 3 15 12 11 2" xfId="26671"/>
    <cellStyle name="Normal 3 15 12 12" xfId="9076"/>
    <cellStyle name="Normal 3 15 12 12 2" xfId="26672"/>
    <cellStyle name="Normal 3 15 12 13" xfId="9077"/>
    <cellStyle name="Normal 3 15 12 13 2" xfId="26673"/>
    <cellStyle name="Normal 3 15 12 14" xfId="9078"/>
    <cellStyle name="Normal 3 15 12 14 2" xfId="26674"/>
    <cellStyle name="Normal 3 15 12 15" xfId="26669"/>
    <cellStyle name="Normal 3 15 12 2" xfId="9079"/>
    <cellStyle name="Normal 3 15 12 2 2" xfId="26675"/>
    <cellStyle name="Normal 3 15 12 3" xfId="9080"/>
    <cellStyle name="Normal 3 15 12 3 2" xfId="26676"/>
    <cellStyle name="Normal 3 15 12 4" xfId="9081"/>
    <cellStyle name="Normal 3 15 12 4 2" xfId="26677"/>
    <cellStyle name="Normal 3 15 12 5" xfId="9082"/>
    <cellStyle name="Normal 3 15 12 5 2" xfId="26678"/>
    <cellStyle name="Normal 3 15 12 6" xfId="9083"/>
    <cellStyle name="Normal 3 15 12 6 2" xfId="26679"/>
    <cellStyle name="Normal 3 15 12 7" xfId="9084"/>
    <cellStyle name="Normal 3 15 12 7 2" xfId="26680"/>
    <cellStyle name="Normal 3 15 12 8" xfId="9085"/>
    <cellStyle name="Normal 3 15 12 8 2" xfId="26681"/>
    <cellStyle name="Normal 3 15 12 9" xfId="9086"/>
    <cellStyle name="Normal 3 15 12 9 2" xfId="26682"/>
    <cellStyle name="Normal 3 15 13" xfId="9087"/>
    <cellStyle name="Normal 3 15 13 10" xfId="9088"/>
    <cellStyle name="Normal 3 15 13 10 2" xfId="26684"/>
    <cellStyle name="Normal 3 15 13 11" xfId="9089"/>
    <cellStyle name="Normal 3 15 13 11 2" xfId="26685"/>
    <cellStyle name="Normal 3 15 13 12" xfId="9090"/>
    <cellStyle name="Normal 3 15 13 12 2" xfId="26686"/>
    <cellStyle name="Normal 3 15 13 13" xfId="9091"/>
    <cellStyle name="Normal 3 15 13 13 2" xfId="26687"/>
    <cellStyle name="Normal 3 15 13 14" xfId="9092"/>
    <cellStyle name="Normal 3 15 13 14 2" xfId="26688"/>
    <cellStyle name="Normal 3 15 13 15" xfId="26683"/>
    <cellStyle name="Normal 3 15 13 2" xfId="9093"/>
    <cellStyle name="Normal 3 15 13 2 2" xfId="26689"/>
    <cellStyle name="Normal 3 15 13 3" xfId="9094"/>
    <cellStyle name="Normal 3 15 13 3 2" xfId="26690"/>
    <cellStyle name="Normal 3 15 13 4" xfId="9095"/>
    <cellStyle name="Normal 3 15 13 4 2" xfId="26691"/>
    <cellStyle name="Normal 3 15 13 5" xfId="9096"/>
    <cellStyle name="Normal 3 15 13 5 2" xfId="26692"/>
    <cellStyle name="Normal 3 15 13 6" xfId="9097"/>
    <cellStyle name="Normal 3 15 13 6 2" xfId="26693"/>
    <cellStyle name="Normal 3 15 13 7" xfId="9098"/>
    <cellStyle name="Normal 3 15 13 7 2" xfId="26694"/>
    <cellStyle name="Normal 3 15 13 8" xfId="9099"/>
    <cellStyle name="Normal 3 15 13 8 2" xfId="26695"/>
    <cellStyle name="Normal 3 15 13 9" xfId="9100"/>
    <cellStyle name="Normal 3 15 13 9 2" xfId="26696"/>
    <cellStyle name="Normal 3 15 14" xfId="9101"/>
    <cellStyle name="Normal 3 15 14 10" xfId="9102"/>
    <cellStyle name="Normal 3 15 14 10 2" xfId="26698"/>
    <cellStyle name="Normal 3 15 14 11" xfId="9103"/>
    <cellStyle name="Normal 3 15 14 11 2" xfId="26699"/>
    <cellStyle name="Normal 3 15 14 12" xfId="9104"/>
    <cellStyle name="Normal 3 15 14 12 2" xfId="26700"/>
    <cellStyle name="Normal 3 15 14 13" xfId="9105"/>
    <cellStyle name="Normal 3 15 14 13 2" xfId="26701"/>
    <cellStyle name="Normal 3 15 14 14" xfId="9106"/>
    <cellStyle name="Normal 3 15 14 14 2" xfId="26702"/>
    <cellStyle name="Normal 3 15 14 15" xfId="26697"/>
    <cellStyle name="Normal 3 15 14 2" xfId="9107"/>
    <cellStyle name="Normal 3 15 14 2 2" xfId="26703"/>
    <cellStyle name="Normal 3 15 14 3" xfId="9108"/>
    <cellStyle name="Normal 3 15 14 3 2" xfId="26704"/>
    <cellStyle name="Normal 3 15 14 4" xfId="9109"/>
    <cellStyle name="Normal 3 15 14 4 2" xfId="26705"/>
    <cellStyle name="Normal 3 15 14 5" xfId="9110"/>
    <cellStyle name="Normal 3 15 14 5 2" xfId="26706"/>
    <cellStyle name="Normal 3 15 14 6" xfId="9111"/>
    <cellStyle name="Normal 3 15 14 6 2" xfId="26707"/>
    <cellStyle name="Normal 3 15 14 7" xfId="9112"/>
    <cellStyle name="Normal 3 15 14 7 2" xfId="26708"/>
    <cellStyle name="Normal 3 15 14 8" xfId="9113"/>
    <cellStyle name="Normal 3 15 14 8 2" xfId="26709"/>
    <cellStyle name="Normal 3 15 14 9" xfId="9114"/>
    <cellStyle name="Normal 3 15 14 9 2" xfId="26710"/>
    <cellStyle name="Normal 3 15 15" xfId="9115"/>
    <cellStyle name="Normal 3 15 16" xfId="9116"/>
    <cellStyle name="Normal 3 15 17" xfId="9117"/>
    <cellStyle name="Normal 3 15 17 10" xfId="9118"/>
    <cellStyle name="Normal 3 15 17 10 2" xfId="26712"/>
    <cellStyle name="Normal 3 15 17 11" xfId="9119"/>
    <cellStyle name="Normal 3 15 17 11 2" xfId="26713"/>
    <cellStyle name="Normal 3 15 17 12" xfId="9120"/>
    <cellStyle name="Normal 3 15 17 12 2" xfId="26714"/>
    <cellStyle name="Normal 3 15 17 13" xfId="9121"/>
    <cellStyle name="Normal 3 15 17 13 2" xfId="26715"/>
    <cellStyle name="Normal 3 15 17 14" xfId="9122"/>
    <cellStyle name="Normal 3 15 17 14 2" xfId="26716"/>
    <cellStyle name="Normal 3 15 17 15" xfId="26711"/>
    <cellStyle name="Normal 3 15 17 2" xfId="9123"/>
    <cellStyle name="Normal 3 15 17 2 2" xfId="26717"/>
    <cellStyle name="Normal 3 15 17 3" xfId="9124"/>
    <cellStyle name="Normal 3 15 17 3 2" xfId="26718"/>
    <cellStyle name="Normal 3 15 17 4" xfId="9125"/>
    <cellStyle name="Normal 3 15 17 4 2" xfId="26719"/>
    <cellStyle name="Normal 3 15 17 5" xfId="9126"/>
    <cellStyle name="Normal 3 15 17 5 2" xfId="26720"/>
    <cellStyle name="Normal 3 15 17 6" xfId="9127"/>
    <cellStyle name="Normal 3 15 17 6 2" xfId="26721"/>
    <cellStyle name="Normal 3 15 17 7" xfId="9128"/>
    <cellStyle name="Normal 3 15 17 7 2" xfId="26722"/>
    <cellStyle name="Normal 3 15 17 8" xfId="9129"/>
    <cellStyle name="Normal 3 15 17 8 2" xfId="26723"/>
    <cellStyle name="Normal 3 15 17 9" xfId="9130"/>
    <cellStyle name="Normal 3 15 17 9 2" xfId="26724"/>
    <cellStyle name="Normal 3 15 18" xfId="9131"/>
    <cellStyle name="Normal 3 15 18 10" xfId="9132"/>
    <cellStyle name="Normal 3 15 18 10 2" xfId="26726"/>
    <cellStyle name="Normal 3 15 18 11" xfId="9133"/>
    <cellStyle name="Normal 3 15 18 11 2" xfId="26727"/>
    <cellStyle name="Normal 3 15 18 12" xfId="9134"/>
    <cellStyle name="Normal 3 15 18 12 2" xfId="26728"/>
    <cellStyle name="Normal 3 15 18 13" xfId="9135"/>
    <cellStyle name="Normal 3 15 18 13 2" xfId="26729"/>
    <cellStyle name="Normal 3 15 18 14" xfId="9136"/>
    <cellStyle name="Normal 3 15 18 14 2" xfId="26730"/>
    <cellStyle name="Normal 3 15 18 15" xfId="26725"/>
    <cellStyle name="Normal 3 15 18 2" xfId="9137"/>
    <cellStyle name="Normal 3 15 18 2 2" xfId="26731"/>
    <cellStyle name="Normal 3 15 18 3" xfId="9138"/>
    <cellStyle name="Normal 3 15 18 3 2" xfId="26732"/>
    <cellStyle name="Normal 3 15 18 4" xfId="9139"/>
    <cellStyle name="Normal 3 15 18 4 2" xfId="26733"/>
    <cellStyle name="Normal 3 15 18 5" xfId="9140"/>
    <cellStyle name="Normal 3 15 18 5 2" xfId="26734"/>
    <cellStyle name="Normal 3 15 18 6" xfId="9141"/>
    <cellStyle name="Normal 3 15 18 6 2" xfId="26735"/>
    <cellStyle name="Normal 3 15 18 7" xfId="9142"/>
    <cellStyle name="Normal 3 15 18 7 2" xfId="26736"/>
    <cellStyle name="Normal 3 15 18 8" xfId="9143"/>
    <cellStyle name="Normal 3 15 18 8 2" xfId="26737"/>
    <cellStyle name="Normal 3 15 18 9" xfId="9144"/>
    <cellStyle name="Normal 3 15 18 9 2" xfId="26738"/>
    <cellStyle name="Normal 3 15 2" xfId="9145"/>
    <cellStyle name="Normal 3 15 2 10" xfId="9146"/>
    <cellStyle name="Normal 3 15 2 10 2" xfId="26740"/>
    <cellStyle name="Normal 3 15 2 11" xfId="9147"/>
    <cellStyle name="Normal 3 15 2 11 2" xfId="26741"/>
    <cellStyle name="Normal 3 15 2 12" xfId="9148"/>
    <cellStyle name="Normal 3 15 2 12 2" xfId="26742"/>
    <cellStyle name="Normal 3 15 2 13" xfId="9149"/>
    <cellStyle name="Normal 3 15 2 13 2" xfId="26743"/>
    <cellStyle name="Normal 3 15 2 14" xfId="9150"/>
    <cellStyle name="Normal 3 15 2 14 2" xfId="26744"/>
    <cellStyle name="Normal 3 15 2 15" xfId="9151"/>
    <cellStyle name="Normal 3 15 2 15 2" xfId="26745"/>
    <cellStyle name="Normal 3 15 2 16" xfId="9152"/>
    <cellStyle name="Normal 3 15 2 16 2" xfId="26746"/>
    <cellStyle name="Normal 3 15 2 17" xfId="9153"/>
    <cellStyle name="Normal 3 15 2 17 2" xfId="26747"/>
    <cellStyle name="Normal 3 15 2 18" xfId="26739"/>
    <cellStyle name="Normal 3 15 2 2" xfId="9154"/>
    <cellStyle name="Normal 3 15 2 3" xfId="9155"/>
    <cellStyle name="Normal 3 15 2 4" xfId="9156"/>
    <cellStyle name="Normal 3 15 2 5" xfId="9157"/>
    <cellStyle name="Normal 3 15 2 5 2" xfId="26748"/>
    <cellStyle name="Normal 3 15 2 6" xfId="9158"/>
    <cellStyle name="Normal 3 15 2 6 2" xfId="26749"/>
    <cellStyle name="Normal 3 15 2 7" xfId="9159"/>
    <cellStyle name="Normal 3 15 2 7 2" xfId="26750"/>
    <cellStyle name="Normal 3 15 2 8" xfId="9160"/>
    <cellStyle name="Normal 3 15 2 8 2" xfId="26751"/>
    <cellStyle name="Normal 3 15 2 9" xfId="9161"/>
    <cellStyle name="Normal 3 15 2 9 2" xfId="26752"/>
    <cellStyle name="Normal 3 15 3" xfId="9162"/>
    <cellStyle name="Normal 3 15 4" xfId="9163"/>
    <cellStyle name="Normal 3 15 5" xfId="9164"/>
    <cellStyle name="Normal 3 15 6" xfId="9165"/>
    <cellStyle name="Normal 3 15 6 10" xfId="9166"/>
    <cellStyle name="Normal 3 15 6 10 2" xfId="26754"/>
    <cellStyle name="Normal 3 15 6 11" xfId="9167"/>
    <cellStyle name="Normal 3 15 6 11 2" xfId="26755"/>
    <cellStyle name="Normal 3 15 6 12" xfId="9168"/>
    <cellStyle name="Normal 3 15 6 12 2" xfId="26756"/>
    <cellStyle name="Normal 3 15 6 13" xfId="9169"/>
    <cellStyle name="Normal 3 15 6 13 2" xfId="26757"/>
    <cellStyle name="Normal 3 15 6 14" xfId="9170"/>
    <cellStyle name="Normal 3 15 6 14 2" xfId="26758"/>
    <cellStyle name="Normal 3 15 6 15" xfId="9171"/>
    <cellStyle name="Normal 3 15 6 15 2" xfId="26759"/>
    <cellStyle name="Normal 3 15 6 16" xfId="26753"/>
    <cellStyle name="Normal 3 15 6 2" xfId="9172"/>
    <cellStyle name="Normal 3 15 6 2 10" xfId="9173"/>
    <cellStyle name="Normal 3 15 6 2 10 2" xfId="26761"/>
    <cellStyle name="Normal 3 15 6 2 11" xfId="9174"/>
    <cellStyle name="Normal 3 15 6 2 11 2" xfId="26762"/>
    <cellStyle name="Normal 3 15 6 2 12" xfId="9175"/>
    <cellStyle name="Normal 3 15 6 2 12 2" xfId="26763"/>
    <cellStyle name="Normal 3 15 6 2 13" xfId="9176"/>
    <cellStyle name="Normal 3 15 6 2 13 2" xfId="26764"/>
    <cellStyle name="Normal 3 15 6 2 14" xfId="9177"/>
    <cellStyle name="Normal 3 15 6 2 14 2" xfId="26765"/>
    <cellStyle name="Normal 3 15 6 2 15" xfId="26760"/>
    <cellStyle name="Normal 3 15 6 2 2" xfId="9178"/>
    <cellStyle name="Normal 3 15 6 2 2 2" xfId="26766"/>
    <cellStyle name="Normal 3 15 6 2 3" xfId="9179"/>
    <cellStyle name="Normal 3 15 6 2 3 2" xfId="26767"/>
    <cellStyle name="Normal 3 15 6 2 4" xfId="9180"/>
    <cellStyle name="Normal 3 15 6 2 4 2" xfId="26768"/>
    <cellStyle name="Normal 3 15 6 2 5" xfId="9181"/>
    <cellStyle name="Normal 3 15 6 2 5 2" xfId="26769"/>
    <cellStyle name="Normal 3 15 6 2 6" xfId="9182"/>
    <cellStyle name="Normal 3 15 6 2 6 2" xfId="26770"/>
    <cellStyle name="Normal 3 15 6 2 7" xfId="9183"/>
    <cellStyle name="Normal 3 15 6 2 7 2" xfId="26771"/>
    <cellStyle name="Normal 3 15 6 2 8" xfId="9184"/>
    <cellStyle name="Normal 3 15 6 2 8 2" xfId="26772"/>
    <cellStyle name="Normal 3 15 6 2 9" xfId="9185"/>
    <cellStyle name="Normal 3 15 6 2 9 2" xfId="26773"/>
    <cellStyle name="Normal 3 15 6 3" xfId="9186"/>
    <cellStyle name="Normal 3 15 6 3 2" xfId="26774"/>
    <cellStyle name="Normal 3 15 6 4" xfId="9187"/>
    <cellStyle name="Normal 3 15 6 4 2" xfId="26775"/>
    <cellStyle name="Normal 3 15 6 5" xfId="9188"/>
    <cellStyle name="Normal 3 15 6 5 2" xfId="26776"/>
    <cellStyle name="Normal 3 15 6 6" xfId="9189"/>
    <cellStyle name="Normal 3 15 6 6 2" xfId="26777"/>
    <cellStyle name="Normal 3 15 6 7" xfId="9190"/>
    <cellStyle name="Normal 3 15 6 7 2" xfId="26778"/>
    <cellStyle name="Normal 3 15 6 8" xfId="9191"/>
    <cellStyle name="Normal 3 15 6 8 2" xfId="26779"/>
    <cellStyle name="Normal 3 15 6 9" xfId="9192"/>
    <cellStyle name="Normal 3 15 6 9 2" xfId="26780"/>
    <cellStyle name="Normal 3 15 7" xfId="9193"/>
    <cellStyle name="Normal 3 15 7 10" xfId="9194"/>
    <cellStyle name="Normal 3 15 7 10 2" xfId="26782"/>
    <cellStyle name="Normal 3 15 7 11" xfId="9195"/>
    <cellStyle name="Normal 3 15 7 11 2" xfId="26783"/>
    <cellStyle name="Normal 3 15 7 12" xfId="9196"/>
    <cellStyle name="Normal 3 15 7 12 2" xfId="26784"/>
    <cellStyle name="Normal 3 15 7 13" xfId="9197"/>
    <cellStyle name="Normal 3 15 7 13 2" xfId="26785"/>
    <cellStyle name="Normal 3 15 7 14" xfId="9198"/>
    <cellStyle name="Normal 3 15 7 14 2" xfId="26786"/>
    <cellStyle name="Normal 3 15 7 15" xfId="9199"/>
    <cellStyle name="Normal 3 15 7 15 2" xfId="26787"/>
    <cellStyle name="Normal 3 15 7 16" xfId="26781"/>
    <cellStyle name="Normal 3 15 7 2" xfId="9200"/>
    <cellStyle name="Normal 3 15 7 2 10" xfId="9201"/>
    <cellStyle name="Normal 3 15 7 2 10 2" xfId="26789"/>
    <cellStyle name="Normal 3 15 7 2 11" xfId="9202"/>
    <cellStyle name="Normal 3 15 7 2 11 2" xfId="26790"/>
    <cellStyle name="Normal 3 15 7 2 12" xfId="9203"/>
    <cellStyle name="Normal 3 15 7 2 12 2" xfId="26791"/>
    <cellStyle name="Normal 3 15 7 2 13" xfId="9204"/>
    <cellStyle name="Normal 3 15 7 2 13 2" xfId="26792"/>
    <cellStyle name="Normal 3 15 7 2 14" xfId="9205"/>
    <cellStyle name="Normal 3 15 7 2 14 2" xfId="26793"/>
    <cellStyle name="Normal 3 15 7 2 15" xfId="26788"/>
    <cellStyle name="Normal 3 15 7 2 2" xfId="9206"/>
    <cellStyle name="Normal 3 15 7 2 2 2" xfId="26794"/>
    <cellStyle name="Normal 3 15 7 2 3" xfId="9207"/>
    <cellStyle name="Normal 3 15 7 2 3 2" xfId="26795"/>
    <cellStyle name="Normal 3 15 7 2 4" xfId="9208"/>
    <cellStyle name="Normal 3 15 7 2 4 2" xfId="26796"/>
    <cellStyle name="Normal 3 15 7 2 5" xfId="9209"/>
    <cellStyle name="Normal 3 15 7 2 5 2" xfId="26797"/>
    <cellStyle name="Normal 3 15 7 2 6" xfId="9210"/>
    <cellStyle name="Normal 3 15 7 2 6 2" xfId="26798"/>
    <cellStyle name="Normal 3 15 7 2 7" xfId="9211"/>
    <cellStyle name="Normal 3 15 7 2 7 2" xfId="26799"/>
    <cellStyle name="Normal 3 15 7 2 8" xfId="9212"/>
    <cellStyle name="Normal 3 15 7 2 8 2" xfId="26800"/>
    <cellStyle name="Normal 3 15 7 2 9" xfId="9213"/>
    <cellStyle name="Normal 3 15 7 2 9 2" xfId="26801"/>
    <cellStyle name="Normal 3 15 7 3" xfId="9214"/>
    <cellStyle name="Normal 3 15 7 3 2" xfId="26802"/>
    <cellStyle name="Normal 3 15 7 4" xfId="9215"/>
    <cellStyle name="Normal 3 15 7 4 2" xfId="26803"/>
    <cellStyle name="Normal 3 15 7 5" xfId="9216"/>
    <cellStyle name="Normal 3 15 7 5 2" xfId="26804"/>
    <cellStyle name="Normal 3 15 7 6" xfId="9217"/>
    <cellStyle name="Normal 3 15 7 6 2" xfId="26805"/>
    <cellStyle name="Normal 3 15 7 7" xfId="9218"/>
    <cellStyle name="Normal 3 15 7 7 2" xfId="26806"/>
    <cellStyle name="Normal 3 15 7 8" xfId="9219"/>
    <cellStyle name="Normal 3 15 7 8 2" xfId="26807"/>
    <cellStyle name="Normal 3 15 7 9" xfId="9220"/>
    <cellStyle name="Normal 3 15 7 9 2" xfId="26808"/>
    <cellStyle name="Normal 3 15 8" xfId="9221"/>
    <cellStyle name="Normal 3 15 8 10" xfId="9222"/>
    <cellStyle name="Normal 3 15 8 10 2" xfId="26810"/>
    <cellStyle name="Normal 3 15 8 11" xfId="9223"/>
    <cellStyle name="Normal 3 15 8 11 2" xfId="26811"/>
    <cellStyle name="Normal 3 15 8 12" xfId="9224"/>
    <cellStyle name="Normal 3 15 8 12 2" xfId="26812"/>
    <cellStyle name="Normal 3 15 8 13" xfId="9225"/>
    <cellStyle name="Normal 3 15 8 13 2" xfId="26813"/>
    <cellStyle name="Normal 3 15 8 14" xfId="9226"/>
    <cellStyle name="Normal 3 15 8 14 2" xfId="26814"/>
    <cellStyle name="Normal 3 15 8 15" xfId="9227"/>
    <cellStyle name="Normal 3 15 8 15 2" xfId="26815"/>
    <cellStyle name="Normal 3 15 8 16" xfId="26809"/>
    <cellStyle name="Normal 3 15 8 2" xfId="9228"/>
    <cellStyle name="Normal 3 15 8 2 10" xfId="9229"/>
    <cellStyle name="Normal 3 15 8 2 10 2" xfId="26817"/>
    <cellStyle name="Normal 3 15 8 2 11" xfId="9230"/>
    <cellStyle name="Normal 3 15 8 2 11 2" xfId="26818"/>
    <cellStyle name="Normal 3 15 8 2 12" xfId="9231"/>
    <cellStyle name="Normal 3 15 8 2 12 2" xfId="26819"/>
    <cellStyle name="Normal 3 15 8 2 13" xfId="9232"/>
    <cellStyle name="Normal 3 15 8 2 13 2" xfId="26820"/>
    <cellStyle name="Normal 3 15 8 2 14" xfId="9233"/>
    <cellStyle name="Normal 3 15 8 2 14 2" xfId="26821"/>
    <cellStyle name="Normal 3 15 8 2 15" xfId="26816"/>
    <cellStyle name="Normal 3 15 8 2 2" xfId="9234"/>
    <cellStyle name="Normal 3 15 8 2 2 2" xfId="26822"/>
    <cellStyle name="Normal 3 15 8 2 3" xfId="9235"/>
    <cellStyle name="Normal 3 15 8 2 3 2" xfId="26823"/>
    <cellStyle name="Normal 3 15 8 2 4" xfId="9236"/>
    <cellStyle name="Normal 3 15 8 2 4 2" xfId="26824"/>
    <cellStyle name="Normal 3 15 8 2 5" xfId="9237"/>
    <cellStyle name="Normal 3 15 8 2 5 2" xfId="26825"/>
    <cellStyle name="Normal 3 15 8 2 6" xfId="9238"/>
    <cellStyle name="Normal 3 15 8 2 6 2" xfId="26826"/>
    <cellStyle name="Normal 3 15 8 2 7" xfId="9239"/>
    <cellStyle name="Normal 3 15 8 2 7 2" xfId="26827"/>
    <cellStyle name="Normal 3 15 8 2 8" xfId="9240"/>
    <cellStyle name="Normal 3 15 8 2 8 2" xfId="26828"/>
    <cellStyle name="Normal 3 15 8 2 9" xfId="9241"/>
    <cellStyle name="Normal 3 15 8 2 9 2" xfId="26829"/>
    <cellStyle name="Normal 3 15 8 3" xfId="9242"/>
    <cellStyle name="Normal 3 15 8 3 2" xfId="26830"/>
    <cellStyle name="Normal 3 15 8 4" xfId="9243"/>
    <cellStyle name="Normal 3 15 8 4 2" xfId="26831"/>
    <cellStyle name="Normal 3 15 8 5" xfId="9244"/>
    <cellStyle name="Normal 3 15 8 5 2" xfId="26832"/>
    <cellStyle name="Normal 3 15 8 6" xfId="9245"/>
    <cellStyle name="Normal 3 15 8 6 2" xfId="26833"/>
    <cellStyle name="Normal 3 15 8 7" xfId="9246"/>
    <cellStyle name="Normal 3 15 8 7 2" xfId="26834"/>
    <cellStyle name="Normal 3 15 8 8" xfId="9247"/>
    <cellStyle name="Normal 3 15 8 8 2" xfId="26835"/>
    <cellStyle name="Normal 3 15 8 9" xfId="9248"/>
    <cellStyle name="Normal 3 15 8 9 2" xfId="26836"/>
    <cellStyle name="Normal 3 15 9" xfId="9249"/>
    <cellStyle name="Normal 3 15 9 10" xfId="9250"/>
    <cellStyle name="Normal 3 15 9 10 2" xfId="26838"/>
    <cellStyle name="Normal 3 15 9 11" xfId="9251"/>
    <cellStyle name="Normal 3 15 9 11 2" xfId="26839"/>
    <cellStyle name="Normal 3 15 9 12" xfId="9252"/>
    <cellStyle name="Normal 3 15 9 12 2" xfId="26840"/>
    <cellStyle name="Normal 3 15 9 13" xfId="9253"/>
    <cellStyle name="Normal 3 15 9 13 2" xfId="26841"/>
    <cellStyle name="Normal 3 15 9 14" xfId="9254"/>
    <cellStyle name="Normal 3 15 9 14 2" xfId="26842"/>
    <cellStyle name="Normal 3 15 9 15" xfId="26837"/>
    <cellStyle name="Normal 3 15 9 2" xfId="9255"/>
    <cellStyle name="Normal 3 15 9 2 2" xfId="26843"/>
    <cellStyle name="Normal 3 15 9 3" xfId="9256"/>
    <cellStyle name="Normal 3 15 9 3 2" xfId="26844"/>
    <cellStyle name="Normal 3 15 9 4" xfId="9257"/>
    <cellStyle name="Normal 3 15 9 4 2" xfId="26845"/>
    <cellStyle name="Normal 3 15 9 5" xfId="9258"/>
    <cellStyle name="Normal 3 15 9 5 2" xfId="26846"/>
    <cellStyle name="Normal 3 15 9 6" xfId="9259"/>
    <cellStyle name="Normal 3 15 9 6 2" xfId="26847"/>
    <cellStyle name="Normal 3 15 9 7" xfId="9260"/>
    <cellStyle name="Normal 3 15 9 7 2" xfId="26848"/>
    <cellStyle name="Normal 3 15 9 8" xfId="9261"/>
    <cellStyle name="Normal 3 15 9 8 2" xfId="26849"/>
    <cellStyle name="Normal 3 15 9 9" xfId="9262"/>
    <cellStyle name="Normal 3 15 9 9 2" xfId="26850"/>
    <cellStyle name="Normal 3 16" xfId="9263"/>
    <cellStyle name="Normal 3 16 10" xfId="9264"/>
    <cellStyle name="Normal 3 16 10 10" xfId="9265"/>
    <cellStyle name="Normal 3 16 10 10 2" xfId="26852"/>
    <cellStyle name="Normal 3 16 10 11" xfId="9266"/>
    <cellStyle name="Normal 3 16 10 11 2" xfId="26853"/>
    <cellStyle name="Normal 3 16 10 12" xfId="9267"/>
    <cellStyle name="Normal 3 16 10 12 2" xfId="26854"/>
    <cellStyle name="Normal 3 16 10 13" xfId="9268"/>
    <cellStyle name="Normal 3 16 10 13 2" xfId="26855"/>
    <cellStyle name="Normal 3 16 10 14" xfId="9269"/>
    <cellStyle name="Normal 3 16 10 14 2" xfId="26856"/>
    <cellStyle name="Normal 3 16 10 15" xfId="26851"/>
    <cellStyle name="Normal 3 16 10 2" xfId="9270"/>
    <cellStyle name="Normal 3 16 10 2 2" xfId="26857"/>
    <cellStyle name="Normal 3 16 10 3" xfId="9271"/>
    <cellStyle name="Normal 3 16 10 3 2" xfId="26858"/>
    <cellStyle name="Normal 3 16 10 4" xfId="9272"/>
    <cellStyle name="Normal 3 16 10 4 2" xfId="26859"/>
    <cellStyle name="Normal 3 16 10 5" xfId="9273"/>
    <cellStyle name="Normal 3 16 10 5 2" xfId="26860"/>
    <cellStyle name="Normal 3 16 10 6" xfId="9274"/>
    <cellStyle name="Normal 3 16 10 6 2" xfId="26861"/>
    <cellStyle name="Normal 3 16 10 7" xfId="9275"/>
    <cellStyle name="Normal 3 16 10 7 2" xfId="26862"/>
    <cellStyle name="Normal 3 16 10 8" xfId="9276"/>
    <cellStyle name="Normal 3 16 10 8 2" xfId="26863"/>
    <cellStyle name="Normal 3 16 10 9" xfId="9277"/>
    <cellStyle name="Normal 3 16 10 9 2" xfId="26864"/>
    <cellStyle name="Normal 3 16 11" xfId="9278"/>
    <cellStyle name="Normal 3 16 11 10" xfId="9279"/>
    <cellStyle name="Normal 3 16 11 10 2" xfId="26866"/>
    <cellStyle name="Normal 3 16 11 11" xfId="9280"/>
    <cellStyle name="Normal 3 16 11 11 2" xfId="26867"/>
    <cellStyle name="Normal 3 16 11 12" xfId="9281"/>
    <cellStyle name="Normal 3 16 11 12 2" xfId="26868"/>
    <cellStyle name="Normal 3 16 11 13" xfId="9282"/>
    <cellStyle name="Normal 3 16 11 13 2" xfId="26869"/>
    <cellStyle name="Normal 3 16 11 14" xfId="9283"/>
    <cellStyle name="Normal 3 16 11 14 2" xfId="26870"/>
    <cellStyle name="Normal 3 16 11 15" xfId="26865"/>
    <cellStyle name="Normal 3 16 11 2" xfId="9284"/>
    <cellStyle name="Normal 3 16 11 2 2" xfId="26871"/>
    <cellStyle name="Normal 3 16 11 3" xfId="9285"/>
    <cellStyle name="Normal 3 16 11 3 2" xfId="26872"/>
    <cellStyle name="Normal 3 16 11 4" xfId="9286"/>
    <cellStyle name="Normal 3 16 11 4 2" xfId="26873"/>
    <cellStyle name="Normal 3 16 11 5" xfId="9287"/>
    <cellStyle name="Normal 3 16 11 5 2" xfId="26874"/>
    <cellStyle name="Normal 3 16 11 6" xfId="9288"/>
    <cellStyle name="Normal 3 16 11 6 2" xfId="26875"/>
    <cellStyle name="Normal 3 16 11 7" xfId="9289"/>
    <cellStyle name="Normal 3 16 11 7 2" xfId="26876"/>
    <cellStyle name="Normal 3 16 11 8" xfId="9290"/>
    <cellStyle name="Normal 3 16 11 8 2" xfId="26877"/>
    <cellStyle name="Normal 3 16 11 9" xfId="9291"/>
    <cellStyle name="Normal 3 16 11 9 2" xfId="26878"/>
    <cellStyle name="Normal 3 16 12" xfId="9292"/>
    <cellStyle name="Normal 3 16 12 10" xfId="9293"/>
    <cellStyle name="Normal 3 16 12 10 2" xfId="26880"/>
    <cellStyle name="Normal 3 16 12 11" xfId="9294"/>
    <cellStyle name="Normal 3 16 12 11 2" xfId="26881"/>
    <cellStyle name="Normal 3 16 12 12" xfId="9295"/>
    <cellStyle name="Normal 3 16 12 12 2" xfId="26882"/>
    <cellStyle name="Normal 3 16 12 13" xfId="9296"/>
    <cellStyle name="Normal 3 16 12 13 2" xfId="26883"/>
    <cellStyle name="Normal 3 16 12 14" xfId="9297"/>
    <cellStyle name="Normal 3 16 12 14 2" xfId="26884"/>
    <cellStyle name="Normal 3 16 12 15" xfId="26879"/>
    <cellStyle name="Normal 3 16 12 2" xfId="9298"/>
    <cellStyle name="Normal 3 16 12 2 2" xfId="26885"/>
    <cellStyle name="Normal 3 16 12 3" xfId="9299"/>
    <cellStyle name="Normal 3 16 12 3 2" xfId="26886"/>
    <cellStyle name="Normal 3 16 12 4" xfId="9300"/>
    <cellStyle name="Normal 3 16 12 4 2" xfId="26887"/>
    <cellStyle name="Normal 3 16 12 5" xfId="9301"/>
    <cellStyle name="Normal 3 16 12 5 2" xfId="26888"/>
    <cellStyle name="Normal 3 16 12 6" xfId="9302"/>
    <cellStyle name="Normal 3 16 12 6 2" xfId="26889"/>
    <cellStyle name="Normal 3 16 12 7" xfId="9303"/>
    <cellStyle name="Normal 3 16 12 7 2" xfId="26890"/>
    <cellStyle name="Normal 3 16 12 8" xfId="9304"/>
    <cellStyle name="Normal 3 16 12 8 2" xfId="26891"/>
    <cellStyle name="Normal 3 16 12 9" xfId="9305"/>
    <cellStyle name="Normal 3 16 12 9 2" xfId="26892"/>
    <cellStyle name="Normal 3 16 13" xfId="9306"/>
    <cellStyle name="Normal 3 16 13 10" xfId="9307"/>
    <cellStyle name="Normal 3 16 13 10 2" xfId="26894"/>
    <cellStyle name="Normal 3 16 13 11" xfId="9308"/>
    <cellStyle name="Normal 3 16 13 11 2" xfId="26895"/>
    <cellStyle name="Normal 3 16 13 12" xfId="9309"/>
    <cellStyle name="Normal 3 16 13 12 2" xfId="26896"/>
    <cellStyle name="Normal 3 16 13 13" xfId="9310"/>
    <cellStyle name="Normal 3 16 13 13 2" xfId="26897"/>
    <cellStyle name="Normal 3 16 13 14" xfId="9311"/>
    <cellStyle name="Normal 3 16 13 14 2" xfId="26898"/>
    <cellStyle name="Normal 3 16 13 15" xfId="26893"/>
    <cellStyle name="Normal 3 16 13 2" xfId="9312"/>
    <cellStyle name="Normal 3 16 13 2 2" xfId="26899"/>
    <cellStyle name="Normal 3 16 13 3" xfId="9313"/>
    <cellStyle name="Normal 3 16 13 3 2" xfId="26900"/>
    <cellStyle name="Normal 3 16 13 4" xfId="9314"/>
    <cellStyle name="Normal 3 16 13 4 2" xfId="26901"/>
    <cellStyle name="Normal 3 16 13 5" xfId="9315"/>
    <cellStyle name="Normal 3 16 13 5 2" xfId="26902"/>
    <cellStyle name="Normal 3 16 13 6" xfId="9316"/>
    <cellStyle name="Normal 3 16 13 6 2" xfId="26903"/>
    <cellStyle name="Normal 3 16 13 7" xfId="9317"/>
    <cellStyle name="Normal 3 16 13 7 2" xfId="26904"/>
    <cellStyle name="Normal 3 16 13 8" xfId="9318"/>
    <cellStyle name="Normal 3 16 13 8 2" xfId="26905"/>
    <cellStyle name="Normal 3 16 13 9" xfId="9319"/>
    <cellStyle name="Normal 3 16 13 9 2" xfId="26906"/>
    <cellStyle name="Normal 3 16 14" xfId="9320"/>
    <cellStyle name="Normal 3 16 14 10" xfId="9321"/>
    <cellStyle name="Normal 3 16 14 10 2" xfId="26908"/>
    <cellStyle name="Normal 3 16 14 11" xfId="9322"/>
    <cellStyle name="Normal 3 16 14 11 2" xfId="26909"/>
    <cellStyle name="Normal 3 16 14 12" xfId="9323"/>
    <cellStyle name="Normal 3 16 14 12 2" xfId="26910"/>
    <cellStyle name="Normal 3 16 14 13" xfId="9324"/>
    <cellStyle name="Normal 3 16 14 13 2" xfId="26911"/>
    <cellStyle name="Normal 3 16 14 14" xfId="9325"/>
    <cellStyle name="Normal 3 16 14 14 2" xfId="26912"/>
    <cellStyle name="Normal 3 16 14 15" xfId="26907"/>
    <cellStyle name="Normal 3 16 14 2" xfId="9326"/>
    <cellStyle name="Normal 3 16 14 2 2" xfId="26913"/>
    <cellStyle name="Normal 3 16 14 3" xfId="9327"/>
    <cellStyle name="Normal 3 16 14 3 2" xfId="26914"/>
    <cellStyle name="Normal 3 16 14 4" xfId="9328"/>
    <cellStyle name="Normal 3 16 14 4 2" xfId="26915"/>
    <cellStyle name="Normal 3 16 14 5" xfId="9329"/>
    <cellStyle name="Normal 3 16 14 5 2" xfId="26916"/>
    <cellStyle name="Normal 3 16 14 6" xfId="9330"/>
    <cellStyle name="Normal 3 16 14 6 2" xfId="26917"/>
    <cellStyle name="Normal 3 16 14 7" xfId="9331"/>
    <cellStyle name="Normal 3 16 14 7 2" xfId="26918"/>
    <cellStyle name="Normal 3 16 14 8" xfId="9332"/>
    <cellStyle name="Normal 3 16 14 8 2" xfId="26919"/>
    <cellStyle name="Normal 3 16 14 9" xfId="9333"/>
    <cellStyle name="Normal 3 16 14 9 2" xfId="26920"/>
    <cellStyle name="Normal 3 16 15" xfId="9334"/>
    <cellStyle name="Normal 3 16 16" xfId="9335"/>
    <cellStyle name="Normal 3 16 17" xfId="9336"/>
    <cellStyle name="Normal 3 16 17 10" xfId="9337"/>
    <cellStyle name="Normal 3 16 17 10 2" xfId="26922"/>
    <cellStyle name="Normal 3 16 17 11" xfId="9338"/>
    <cellStyle name="Normal 3 16 17 11 2" xfId="26923"/>
    <cellStyle name="Normal 3 16 17 12" xfId="9339"/>
    <cellStyle name="Normal 3 16 17 12 2" xfId="26924"/>
    <cellStyle name="Normal 3 16 17 13" xfId="9340"/>
    <cellStyle name="Normal 3 16 17 13 2" xfId="26925"/>
    <cellStyle name="Normal 3 16 17 14" xfId="9341"/>
    <cellStyle name="Normal 3 16 17 14 2" xfId="26926"/>
    <cellStyle name="Normal 3 16 17 15" xfId="26921"/>
    <cellStyle name="Normal 3 16 17 2" xfId="9342"/>
    <cellStyle name="Normal 3 16 17 2 2" xfId="26927"/>
    <cellStyle name="Normal 3 16 17 3" xfId="9343"/>
    <cellStyle name="Normal 3 16 17 3 2" xfId="26928"/>
    <cellStyle name="Normal 3 16 17 4" xfId="9344"/>
    <cellStyle name="Normal 3 16 17 4 2" xfId="26929"/>
    <cellStyle name="Normal 3 16 17 5" xfId="9345"/>
    <cellStyle name="Normal 3 16 17 5 2" xfId="26930"/>
    <cellStyle name="Normal 3 16 17 6" xfId="9346"/>
    <cellStyle name="Normal 3 16 17 6 2" xfId="26931"/>
    <cellStyle name="Normal 3 16 17 7" xfId="9347"/>
    <cellStyle name="Normal 3 16 17 7 2" xfId="26932"/>
    <cellStyle name="Normal 3 16 17 8" xfId="9348"/>
    <cellStyle name="Normal 3 16 17 8 2" xfId="26933"/>
    <cellStyle name="Normal 3 16 17 9" xfId="9349"/>
    <cellStyle name="Normal 3 16 17 9 2" xfId="26934"/>
    <cellStyle name="Normal 3 16 18" xfId="9350"/>
    <cellStyle name="Normal 3 16 18 10" xfId="9351"/>
    <cellStyle name="Normal 3 16 18 10 2" xfId="26936"/>
    <cellStyle name="Normal 3 16 18 11" xfId="9352"/>
    <cellStyle name="Normal 3 16 18 11 2" xfId="26937"/>
    <cellStyle name="Normal 3 16 18 12" xfId="9353"/>
    <cellStyle name="Normal 3 16 18 12 2" xfId="26938"/>
    <cellStyle name="Normal 3 16 18 13" xfId="9354"/>
    <cellStyle name="Normal 3 16 18 13 2" xfId="26939"/>
    <cellStyle name="Normal 3 16 18 14" xfId="9355"/>
    <cellStyle name="Normal 3 16 18 14 2" xfId="26940"/>
    <cellStyle name="Normal 3 16 18 15" xfId="26935"/>
    <cellStyle name="Normal 3 16 18 2" xfId="9356"/>
    <cellStyle name="Normal 3 16 18 2 2" xfId="26941"/>
    <cellStyle name="Normal 3 16 18 3" xfId="9357"/>
    <cellStyle name="Normal 3 16 18 3 2" xfId="26942"/>
    <cellStyle name="Normal 3 16 18 4" xfId="9358"/>
    <cellStyle name="Normal 3 16 18 4 2" xfId="26943"/>
    <cellStyle name="Normal 3 16 18 5" xfId="9359"/>
    <cellStyle name="Normal 3 16 18 5 2" xfId="26944"/>
    <cellStyle name="Normal 3 16 18 6" xfId="9360"/>
    <cellStyle name="Normal 3 16 18 6 2" xfId="26945"/>
    <cellStyle name="Normal 3 16 18 7" xfId="9361"/>
    <cellStyle name="Normal 3 16 18 7 2" xfId="26946"/>
    <cellStyle name="Normal 3 16 18 8" xfId="9362"/>
    <cellStyle name="Normal 3 16 18 8 2" xfId="26947"/>
    <cellStyle name="Normal 3 16 18 9" xfId="9363"/>
    <cellStyle name="Normal 3 16 18 9 2" xfId="26948"/>
    <cellStyle name="Normal 3 16 2" xfId="9364"/>
    <cellStyle name="Normal 3 16 2 10" xfId="9365"/>
    <cellStyle name="Normal 3 16 2 10 2" xfId="26950"/>
    <cellStyle name="Normal 3 16 2 11" xfId="9366"/>
    <cellStyle name="Normal 3 16 2 11 2" xfId="26951"/>
    <cellStyle name="Normal 3 16 2 12" xfId="9367"/>
    <cellStyle name="Normal 3 16 2 12 2" xfId="26952"/>
    <cellStyle name="Normal 3 16 2 13" xfId="9368"/>
    <cellStyle name="Normal 3 16 2 13 2" xfId="26953"/>
    <cellStyle name="Normal 3 16 2 14" xfId="9369"/>
    <cellStyle name="Normal 3 16 2 14 2" xfId="26954"/>
    <cellStyle name="Normal 3 16 2 15" xfId="9370"/>
    <cellStyle name="Normal 3 16 2 15 2" xfId="26955"/>
    <cellStyle name="Normal 3 16 2 16" xfId="9371"/>
    <cellStyle name="Normal 3 16 2 16 2" xfId="26956"/>
    <cellStyle name="Normal 3 16 2 17" xfId="9372"/>
    <cellStyle name="Normal 3 16 2 17 2" xfId="26957"/>
    <cellStyle name="Normal 3 16 2 18" xfId="26949"/>
    <cellStyle name="Normal 3 16 2 2" xfId="9373"/>
    <cellStyle name="Normal 3 16 2 3" xfId="9374"/>
    <cellStyle name="Normal 3 16 2 4" xfId="9375"/>
    <cellStyle name="Normal 3 16 2 5" xfId="9376"/>
    <cellStyle name="Normal 3 16 2 5 2" xfId="26958"/>
    <cellStyle name="Normal 3 16 2 6" xfId="9377"/>
    <cellStyle name="Normal 3 16 2 6 2" xfId="26959"/>
    <cellStyle name="Normal 3 16 2 7" xfId="9378"/>
    <cellStyle name="Normal 3 16 2 7 2" xfId="26960"/>
    <cellStyle name="Normal 3 16 2 8" xfId="9379"/>
    <cellStyle name="Normal 3 16 2 8 2" xfId="26961"/>
    <cellStyle name="Normal 3 16 2 9" xfId="9380"/>
    <cellStyle name="Normal 3 16 2 9 2" xfId="26962"/>
    <cellStyle name="Normal 3 16 3" xfId="9381"/>
    <cellStyle name="Normal 3 16 4" xfId="9382"/>
    <cellStyle name="Normal 3 16 5" xfId="9383"/>
    <cellStyle name="Normal 3 16 6" xfId="9384"/>
    <cellStyle name="Normal 3 16 6 10" xfId="9385"/>
    <cellStyle name="Normal 3 16 6 10 2" xfId="26964"/>
    <cellStyle name="Normal 3 16 6 11" xfId="9386"/>
    <cellStyle name="Normal 3 16 6 11 2" xfId="26965"/>
    <cellStyle name="Normal 3 16 6 12" xfId="9387"/>
    <cellStyle name="Normal 3 16 6 12 2" xfId="26966"/>
    <cellStyle name="Normal 3 16 6 13" xfId="9388"/>
    <cellStyle name="Normal 3 16 6 13 2" xfId="26967"/>
    <cellStyle name="Normal 3 16 6 14" xfId="9389"/>
    <cellStyle name="Normal 3 16 6 14 2" xfId="26968"/>
    <cellStyle name="Normal 3 16 6 15" xfId="9390"/>
    <cellStyle name="Normal 3 16 6 15 2" xfId="26969"/>
    <cellStyle name="Normal 3 16 6 16" xfId="26963"/>
    <cellStyle name="Normal 3 16 6 2" xfId="9391"/>
    <cellStyle name="Normal 3 16 6 2 10" xfId="9392"/>
    <cellStyle name="Normal 3 16 6 2 10 2" xfId="26971"/>
    <cellStyle name="Normal 3 16 6 2 11" xfId="9393"/>
    <cellStyle name="Normal 3 16 6 2 11 2" xfId="26972"/>
    <cellStyle name="Normal 3 16 6 2 12" xfId="9394"/>
    <cellStyle name="Normal 3 16 6 2 12 2" xfId="26973"/>
    <cellStyle name="Normal 3 16 6 2 13" xfId="9395"/>
    <cellStyle name="Normal 3 16 6 2 13 2" xfId="26974"/>
    <cellStyle name="Normal 3 16 6 2 14" xfId="9396"/>
    <cellStyle name="Normal 3 16 6 2 14 2" xfId="26975"/>
    <cellStyle name="Normal 3 16 6 2 15" xfId="26970"/>
    <cellStyle name="Normal 3 16 6 2 2" xfId="9397"/>
    <cellStyle name="Normal 3 16 6 2 2 2" xfId="26976"/>
    <cellStyle name="Normal 3 16 6 2 3" xfId="9398"/>
    <cellStyle name="Normal 3 16 6 2 3 2" xfId="26977"/>
    <cellStyle name="Normal 3 16 6 2 4" xfId="9399"/>
    <cellStyle name="Normal 3 16 6 2 4 2" xfId="26978"/>
    <cellStyle name="Normal 3 16 6 2 5" xfId="9400"/>
    <cellStyle name="Normal 3 16 6 2 5 2" xfId="26979"/>
    <cellStyle name="Normal 3 16 6 2 6" xfId="9401"/>
    <cellStyle name="Normal 3 16 6 2 6 2" xfId="26980"/>
    <cellStyle name="Normal 3 16 6 2 7" xfId="9402"/>
    <cellStyle name="Normal 3 16 6 2 7 2" xfId="26981"/>
    <cellStyle name="Normal 3 16 6 2 8" xfId="9403"/>
    <cellStyle name="Normal 3 16 6 2 8 2" xfId="26982"/>
    <cellStyle name="Normal 3 16 6 2 9" xfId="9404"/>
    <cellStyle name="Normal 3 16 6 2 9 2" xfId="26983"/>
    <cellStyle name="Normal 3 16 6 3" xfId="9405"/>
    <cellStyle name="Normal 3 16 6 3 2" xfId="26984"/>
    <cellStyle name="Normal 3 16 6 4" xfId="9406"/>
    <cellStyle name="Normal 3 16 6 4 2" xfId="26985"/>
    <cellStyle name="Normal 3 16 6 5" xfId="9407"/>
    <cellStyle name="Normal 3 16 6 5 2" xfId="26986"/>
    <cellStyle name="Normal 3 16 6 6" xfId="9408"/>
    <cellStyle name="Normal 3 16 6 6 2" xfId="26987"/>
    <cellStyle name="Normal 3 16 6 7" xfId="9409"/>
    <cellStyle name="Normal 3 16 6 7 2" xfId="26988"/>
    <cellStyle name="Normal 3 16 6 8" xfId="9410"/>
    <cellStyle name="Normal 3 16 6 8 2" xfId="26989"/>
    <cellStyle name="Normal 3 16 6 9" xfId="9411"/>
    <cellStyle name="Normal 3 16 6 9 2" xfId="26990"/>
    <cellStyle name="Normal 3 16 7" xfId="9412"/>
    <cellStyle name="Normal 3 16 7 10" xfId="9413"/>
    <cellStyle name="Normal 3 16 7 10 2" xfId="26992"/>
    <cellStyle name="Normal 3 16 7 11" xfId="9414"/>
    <cellStyle name="Normal 3 16 7 11 2" xfId="26993"/>
    <cellStyle name="Normal 3 16 7 12" xfId="9415"/>
    <cellStyle name="Normal 3 16 7 12 2" xfId="26994"/>
    <cellStyle name="Normal 3 16 7 13" xfId="9416"/>
    <cellStyle name="Normal 3 16 7 13 2" xfId="26995"/>
    <cellStyle name="Normal 3 16 7 14" xfId="9417"/>
    <cellStyle name="Normal 3 16 7 14 2" xfId="26996"/>
    <cellStyle name="Normal 3 16 7 15" xfId="9418"/>
    <cellStyle name="Normal 3 16 7 15 2" xfId="26997"/>
    <cellStyle name="Normal 3 16 7 16" xfId="26991"/>
    <cellStyle name="Normal 3 16 7 2" xfId="9419"/>
    <cellStyle name="Normal 3 16 7 2 10" xfId="9420"/>
    <cellStyle name="Normal 3 16 7 2 10 2" xfId="26999"/>
    <cellStyle name="Normal 3 16 7 2 11" xfId="9421"/>
    <cellStyle name="Normal 3 16 7 2 11 2" xfId="27000"/>
    <cellStyle name="Normal 3 16 7 2 12" xfId="9422"/>
    <cellStyle name="Normal 3 16 7 2 12 2" xfId="27001"/>
    <cellStyle name="Normal 3 16 7 2 13" xfId="9423"/>
    <cellStyle name="Normal 3 16 7 2 13 2" xfId="27002"/>
    <cellStyle name="Normal 3 16 7 2 14" xfId="9424"/>
    <cellStyle name="Normal 3 16 7 2 14 2" xfId="27003"/>
    <cellStyle name="Normal 3 16 7 2 15" xfId="26998"/>
    <cellStyle name="Normal 3 16 7 2 2" xfId="9425"/>
    <cellStyle name="Normal 3 16 7 2 2 2" xfId="27004"/>
    <cellStyle name="Normal 3 16 7 2 3" xfId="9426"/>
    <cellStyle name="Normal 3 16 7 2 3 2" xfId="27005"/>
    <cellStyle name="Normal 3 16 7 2 4" xfId="9427"/>
    <cellStyle name="Normal 3 16 7 2 4 2" xfId="27006"/>
    <cellStyle name="Normal 3 16 7 2 5" xfId="9428"/>
    <cellStyle name="Normal 3 16 7 2 5 2" xfId="27007"/>
    <cellStyle name="Normal 3 16 7 2 6" xfId="9429"/>
    <cellStyle name="Normal 3 16 7 2 6 2" xfId="27008"/>
    <cellStyle name="Normal 3 16 7 2 7" xfId="9430"/>
    <cellStyle name="Normal 3 16 7 2 7 2" xfId="27009"/>
    <cellStyle name="Normal 3 16 7 2 8" xfId="9431"/>
    <cellStyle name="Normal 3 16 7 2 8 2" xfId="27010"/>
    <cellStyle name="Normal 3 16 7 2 9" xfId="9432"/>
    <cellStyle name="Normal 3 16 7 2 9 2" xfId="27011"/>
    <cellStyle name="Normal 3 16 7 3" xfId="9433"/>
    <cellStyle name="Normal 3 16 7 3 2" xfId="27012"/>
    <cellStyle name="Normal 3 16 7 4" xfId="9434"/>
    <cellStyle name="Normal 3 16 7 4 2" xfId="27013"/>
    <cellStyle name="Normal 3 16 7 5" xfId="9435"/>
    <cellStyle name="Normal 3 16 7 5 2" xfId="27014"/>
    <cellStyle name="Normal 3 16 7 6" xfId="9436"/>
    <cellStyle name="Normal 3 16 7 6 2" xfId="27015"/>
    <cellStyle name="Normal 3 16 7 7" xfId="9437"/>
    <cellStyle name="Normal 3 16 7 7 2" xfId="27016"/>
    <cellStyle name="Normal 3 16 7 8" xfId="9438"/>
    <cellStyle name="Normal 3 16 7 8 2" xfId="27017"/>
    <cellStyle name="Normal 3 16 7 9" xfId="9439"/>
    <cellStyle name="Normal 3 16 7 9 2" xfId="27018"/>
    <cellStyle name="Normal 3 16 8" xfId="9440"/>
    <cellStyle name="Normal 3 16 8 10" xfId="9441"/>
    <cellStyle name="Normal 3 16 8 10 2" xfId="27020"/>
    <cellStyle name="Normal 3 16 8 11" xfId="9442"/>
    <cellStyle name="Normal 3 16 8 11 2" xfId="27021"/>
    <cellStyle name="Normal 3 16 8 12" xfId="9443"/>
    <cellStyle name="Normal 3 16 8 12 2" xfId="27022"/>
    <cellStyle name="Normal 3 16 8 13" xfId="9444"/>
    <cellStyle name="Normal 3 16 8 13 2" xfId="27023"/>
    <cellStyle name="Normal 3 16 8 14" xfId="9445"/>
    <cellStyle name="Normal 3 16 8 14 2" xfId="27024"/>
    <cellStyle name="Normal 3 16 8 15" xfId="9446"/>
    <cellStyle name="Normal 3 16 8 15 2" xfId="27025"/>
    <cellStyle name="Normal 3 16 8 16" xfId="27019"/>
    <cellStyle name="Normal 3 16 8 2" xfId="9447"/>
    <cellStyle name="Normal 3 16 8 2 10" xfId="9448"/>
    <cellStyle name="Normal 3 16 8 2 10 2" xfId="27027"/>
    <cellStyle name="Normal 3 16 8 2 11" xfId="9449"/>
    <cellStyle name="Normal 3 16 8 2 11 2" xfId="27028"/>
    <cellStyle name="Normal 3 16 8 2 12" xfId="9450"/>
    <cellStyle name="Normal 3 16 8 2 12 2" xfId="27029"/>
    <cellStyle name="Normal 3 16 8 2 13" xfId="9451"/>
    <cellStyle name="Normal 3 16 8 2 13 2" xfId="27030"/>
    <cellStyle name="Normal 3 16 8 2 14" xfId="9452"/>
    <cellStyle name="Normal 3 16 8 2 14 2" xfId="27031"/>
    <cellStyle name="Normal 3 16 8 2 15" xfId="27026"/>
    <cellStyle name="Normal 3 16 8 2 2" xfId="9453"/>
    <cellStyle name="Normal 3 16 8 2 2 2" xfId="27032"/>
    <cellStyle name="Normal 3 16 8 2 3" xfId="9454"/>
    <cellStyle name="Normal 3 16 8 2 3 2" xfId="27033"/>
    <cellStyle name="Normal 3 16 8 2 4" xfId="9455"/>
    <cellStyle name="Normal 3 16 8 2 4 2" xfId="27034"/>
    <cellStyle name="Normal 3 16 8 2 5" xfId="9456"/>
    <cellStyle name="Normal 3 16 8 2 5 2" xfId="27035"/>
    <cellStyle name="Normal 3 16 8 2 6" xfId="9457"/>
    <cellStyle name="Normal 3 16 8 2 6 2" xfId="27036"/>
    <cellStyle name="Normal 3 16 8 2 7" xfId="9458"/>
    <cellStyle name="Normal 3 16 8 2 7 2" xfId="27037"/>
    <cellStyle name="Normal 3 16 8 2 8" xfId="9459"/>
    <cellStyle name="Normal 3 16 8 2 8 2" xfId="27038"/>
    <cellStyle name="Normal 3 16 8 2 9" xfId="9460"/>
    <cellStyle name="Normal 3 16 8 2 9 2" xfId="27039"/>
    <cellStyle name="Normal 3 16 8 3" xfId="9461"/>
    <cellStyle name="Normal 3 16 8 3 2" xfId="27040"/>
    <cellStyle name="Normal 3 16 8 4" xfId="9462"/>
    <cellStyle name="Normal 3 16 8 4 2" xfId="27041"/>
    <cellStyle name="Normal 3 16 8 5" xfId="9463"/>
    <cellStyle name="Normal 3 16 8 5 2" xfId="27042"/>
    <cellStyle name="Normal 3 16 8 6" xfId="9464"/>
    <cellStyle name="Normal 3 16 8 6 2" xfId="27043"/>
    <cellStyle name="Normal 3 16 8 7" xfId="9465"/>
    <cellStyle name="Normal 3 16 8 7 2" xfId="27044"/>
    <cellStyle name="Normal 3 16 8 8" xfId="9466"/>
    <cellStyle name="Normal 3 16 8 8 2" xfId="27045"/>
    <cellStyle name="Normal 3 16 8 9" xfId="9467"/>
    <cellStyle name="Normal 3 16 8 9 2" xfId="27046"/>
    <cellStyle name="Normal 3 16 9" xfId="9468"/>
    <cellStyle name="Normal 3 16 9 10" xfId="9469"/>
    <cellStyle name="Normal 3 16 9 10 2" xfId="27048"/>
    <cellStyle name="Normal 3 16 9 11" xfId="9470"/>
    <cellStyle name="Normal 3 16 9 11 2" xfId="27049"/>
    <cellStyle name="Normal 3 16 9 12" xfId="9471"/>
    <cellStyle name="Normal 3 16 9 12 2" xfId="27050"/>
    <cellStyle name="Normal 3 16 9 13" xfId="9472"/>
    <cellStyle name="Normal 3 16 9 13 2" xfId="27051"/>
    <cellStyle name="Normal 3 16 9 14" xfId="9473"/>
    <cellStyle name="Normal 3 16 9 14 2" xfId="27052"/>
    <cellStyle name="Normal 3 16 9 15" xfId="27047"/>
    <cellStyle name="Normal 3 16 9 2" xfId="9474"/>
    <cellStyle name="Normal 3 16 9 2 2" xfId="27053"/>
    <cellStyle name="Normal 3 16 9 3" xfId="9475"/>
    <cellStyle name="Normal 3 16 9 3 2" xfId="27054"/>
    <cellStyle name="Normal 3 16 9 4" xfId="9476"/>
    <cellStyle name="Normal 3 16 9 4 2" xfId="27055"/>
    <cellStyle name="Normal 3 16 9 5" xfId="9477"/>
    <cellStyle name="Normal 3 16 9 5 2" xfId="27056"/>
    <cellStyle name="Normal 3 16 9 6" xfId="9478"/>
    <cellStyle name="Normal 3 16 9 6 2" xfId="27057"/>
    <cellStyle name="Normal 3 16 9 7" xfId="9479"/>
    <cellStyle name="Normal 3 16 9 7 2" xfId="27058"/>
    <cellStyle name="Normal 3 16 9 8" xfId="9480"/>
    <cellStyle name="Normal 3 16 9 8 2" xfId="27059"/>
    <cellStyle name="Normal 3 16 9 9" xfId="9481"/>
    <cellStyle name="Normal 3 16 9 9 2" xfId="27060"/>
    <cellStyle name="Normal 3 17" xfId="9482"/>
    <cellStyle name="Normal 3 17 10" xfId="9483"/>
    <cellStyle name="Normal 3 17 10 10" xfId="9484"/>
    <cellStyle name="Normal 3 17 10 10 2" xfId="27062"/>
    <cellStyle name="Normal 3 17 10 11" xfId="9485"/>
    <cellStyle name="Normal 3 17 10 11 2" xfId="27063"/>
    <cellStyle name="Normal 3 17 10 12" xfId="9486"/>
    <cellStyle name="Normal 3 17 10 12 2" xfId="27064"/>
    <cellStyle name="Normal 3 17 10 13" xfId="9487"/>
    <cellStyle name="Normal 3 17 10 13 2" xfId="27065"/>
    <cellStyle name="Normal 3 17 10 14" xfId="9488"/>
    <cellStyle name="Normal 3 17 10 14 2" xfId="27066"/>
    <cellStyle name="Normal 3 17 10 15" xfId="27061"/>
    <cellStyle name="Normal 3 17 10 2" xfId="9489"/>
    <cellStyle name="Normal 3 17 10 2 2" xfId="27067"/>
    <cellStyle name="Normal 3 17 10 3" xfId="9490"/>
    <cellStyle name="Normal 3 17 10 3 2" xfId="27068"/>
    <cellStyle name="Normal 3 17 10 4" xfId="9491"/>
    <cellStyle name="Normal 3 17 10 4 2" xfId="27069"/>
    <cellStyle name="Normal 3 17 10 5" xfId="9492"/>
    <cellStyle name="Normal 3 17 10 5 2" xfId="27070"/>
    <cellStyle name="Normal 3 17 10 6" xfId="9493"/>
    <cellStyle name="Normal 3 17 10 6 2" xfId="27071"/>
    <cellStyle name="Normal 3 17 10 7" xfId="9494"/>
    <cellStyle name="Normal 3 17 10 7 2" xfId="27072"/>
    <cellStyle name="Normal 3 17 10 8" xfId="9495"/>
    <cellStyle name="Normal 3 17 10 8 2" xfId="27073"/>
    <cellStyle name="Normal 3 17 10 9" xfId="9496"/>
    <cellStyle name="Normal 3 17 10 9 2" xfId="27074"/>
    <cellStyle name="Normal 3 17 11" xfId="9497"/>
    <cellStyle name="Normal 3 17 11 10" xfId="9498"/>
    <cellStyle name="Normal 3 17 11 10 2" xfId="27076"/>
    <cellStyle name="Normal 3 17 11 11" xfId="9499"/>
    <cellStyle name="Normal 3 17 11 11 2" xfId="27077"/>
    <cellStyle name="Normal 3 17 11 12" xfId="9500"/>
    <cellStyle name="Normal 3 17 11 12 2" xfId="27078"/>
    <cellStyle name="Normal 3 17 11 13" xfId="9501"/>
    <cellStyle name="Normal 3 17 11 13 2" xfId="27079"/>
    <cellStyle name="Normal 3 17 11 14" xfId="9502"/>
    <cellStyle name="Normal 3 17 11 14 2" xfId="27080"/>
    <cellStyle name="Normal 3 17 11 15" xfId="27075"/>
    <cellStyle name="Normal 3 17 11 2" xfId="9503"/>
    <cellStyle name="Normal 3 17 11 2 2" xfId="27081"/>
    <cellStyle name="Normal 3 17 11 3" xfId="9504"/>
    <cellStyle name="Normal 3 17 11 3 2" xfId="27082"/>
    <cellStyle name="Normal 3 17 11 4" xfId="9505"/>
    <cellStyle name="Normal 3 17 11 4 2" xfId="27083"/>
    <cellStyle name="Normal 3 17 11 5" xfId="9506"/>
    <cellStyle name="Normal 3 17 11 5 2" xfId="27084"/>
    <cellStyle name="Normal 3 17 11 6" xfId="9507"/>
    <cellStyle name="Normal 3 17 11 6 2" xfId="27085"/>
    <cellStyle name="Normal 3 17 11 7" xfId="9508"/>
    <cellStyle name="Normal 3 17 11 7 2" xfId="27086"/>
    <cellStyle name="Normal 3 17 11 8" xfId="9509"/>
    <cellStyle name="Normal 3 17 11 8 2" xfId="27087"/>
    <cellStyle name="Normal 3 17 11 9" xfId="9510"/>
    <cellStyle name="Normal 3 17 11 9 2" xfId="27088"/>
    <cellStyle name="Normal 3 17 12" xfId="9511"/>
    <cellStyle name="Normal 3 17 12 10" xfId="9512"/>
    <cellStyle name="Normal 3 17 12 10 2" xfId="27090"/>
    <cellStyle name="Normal 3 17 12 11" xfId="9513"/>
    <cellStyle name="Normal 3 17 12 11 2" xfId="27091"/>
    <cellStyle name="Normal 3 17 12 12" xfId="9514"/>
    <cellStyle name="Normal 3 17 12 12 2" xfId="27092"/>
    <cellStyle name="Normal 3 17 12 13" xfId="9515"/>
    <cellStyle name="Normal 3 17 12 13 2" xfId="27093"/>
    <cellStyle name="Normal 3 17 12 14" xfId="9516"/>
    <cellStyle name="Normal 3 17 12 14 2" xfId="27094"/>
    <cellStyle name="Normal 3 17 12 15" xfId="27089"/>
    <cellStyle name="Normal 3 17 12 2" xfId="9517"/>
    <cellStyle name="Normal 3 17 12 2 2" xfId="27095"/>
    <cellStyle name="Normal 3 17 12 3" xfId="9518"/>
    <cellStyle name="Normal 3 17 12 3 2" xfId="27096"/>
    <cellStyle name="Normal 3 17 12 4" xfId="9519"/>
    <cellStyle name="Normal 3 17 12 4 2" xfId="27097"/>
    <cellStyle name="Normal 3 17 12 5" xfId="9520"/>
    <cellStyle name="Normal 3 17 12 5 2" xfId="27098"/>
    <cellStyle name="Normal 3 17 12 6" xfId="9521"/>
    <cellStyle name="Normal 3 17 12 6 2" xfId="27099"/>
    <cellStyle name="Normal 3 17 12 7" xfId="9522"/>
    <cellStyle name="Normal 3 17 12 7 2" xfId="27100"/>
    <cellStyle name="Normal 3 17 12 8" xfId="9523"/>
    <cellStyle name="Normal 3 17 12 8 2" xfId="27101"/>
    <cellStyle name="Normal 3 17 12 9" xfId="9524"/>
    <cellStyle name="Normal 3 17 12 9 2" xfId="27102"/>
    <cellStyle name="Normal 3 17 13" xfId="9525"/>
    <cellStyle name="Normal 3 17 13 10" xfId="9526"/>
    <cellStyle name="Normal 3 17 13 10 2" xfId="27104"/>
    <cellStyle name="Normal 3 17 13 11" xfId="9527"/>
    <cellStyle name="Normal 3 17 13 11 2" xfId="27105"/>
    <cellStyle name="Normal 3 17 13 12" xfId="9528"/>
    <cellStyle name="Normal 3 17 13 12 2" xfId="27106"/>
    <cellStyle name="Normal 3 17 13 13" xfId="9529"/>
    <cellStyle name="Normal 3 17 13 13 2" xfId="27107"/>
    <cellStyle name="Normal 3 17 13 14" xfId="9530"/>
    <cellStyle name="Normal 3 17 13 14 2" xfId="27108"/>
    <cellStyle name="Normal 3 17 13 15" xfId="27103"/>
    <cellStyle name="Normal 3 17 13 2" xfId="9531"/>
    <cellStyle name="Normal 3 17 13 2 2" xfId="27109"/>
    <cellStyle name="Normal 3 17 13 3" xfId="9532"/>
    <cellStyle name="Normal 3 17 13 3 2" xfId="27110"/>
    <cellStyle name="Normal 3 17 13 4" xfId="9533"/>
    <cellStyle name="Normal 3 17 13 4 2" xfId="27111"/>
    <cellStyle name="Normal 3 17 13 5" xfId="9534"/>
    <cellStyle name="Normal 3 17 13 5 2" xfId="27112"/>
    <cellStyle name="Normal 3 17 13 6" xfId="9535"/>
    <cellStyle name="Normal 3 17 13 6 2" xfId="27113"/>
    <cellStyle name="Normal 3 17 13 7" xfId="9536"/>
    <cellStyle name="Normal 3 17 13 7 2" xfId="27114"/>
    <cellStyle name="Normal 3 17 13 8" xfId="9537"/>
    <cellStyle name="Normal 3 17 13 8 2" xfId="27115"/>
    <cellStyle name="Normal 3 17 13 9" xfId="9538"/>
    <cellStyle name="Normal 3 17 13 9 2" xfId="27116"/>
    <cellStyle name="Normal 3 17 14" xfId="9539"/>
    <cellStyle name="Normal 3 17 14 10" xfId="9540"/>
    <cellStyle name="Normal 3 17 14 10 2" xfId="27118"/>
    <cellStyle name="Normal 3 17 14 11" xfId="9541"/>
    <cellStyle name="Normal 3 17 14 11 2" xfId="27119"/>
    <cellStyle name="Normal 3 17 14 12" xfId="9542"/>
    <cellStyle name="Normal 3 17 14 12 2" xfId="27120"/>
    <cellStyle name="Normal 3 17 14 13" xfId="9543"/>
    <cellStyle name="Normal 3 17 14 13 2" xfId="27121"/>
    <cellStyle name="Normal 3 17 14 14" xfId="9544"/>
    <cellStyle name="Normal 3 17 14 14 2" xfId="27122"/>
    <cellStyle name="Normal 3 17 14 15" xfId="27117"/>
    <cellStyle name="Normal 3 17 14 2" xfId="9545"/>
    <cellStyle name="Normal 3 17 14 2 2" xfId="27123"/>
    <cellStyle name="Normal 3 17 14 3" xfId="9546"/>
    <cellStyle name="Normal 3 17 14 3 2" xfId="27124"/>
    <cellStyle name="Normal 3 17 14 4" xfId="9547"/>
    <cellStyle name="Normal 3 17 14 4 2" xfId="27125"/>
    <cellStyle name="Normal 3 17 14 5" xfId="9548"/>
    <cellStyle name="Normal 3 17 14 5 2" xfId="27126"/>
    <cellStyle name="Normal 3 17 14 6" xfId="9549"/>
    <cellStyle name="Normal 3 17 14 6 2" xfId="27127"/>
    <cellStyle name="Normal 3 17 14 7" xfId="9550"/>
    <cellStyle name="Normal 3 17 14 7 2" xfId="27128"/>
    <cellStyle name="Normal 3 17 14 8" xfId="9551"/>
    <cellStyle name="Normal 3 17 14 8 2" xfId="27129"/>
    <cellStyle name="Normal 3 17 14 9" xfId="9552"/>
    <cellStyle name="Normal 3 17 14 9 2" xfId="27130"/>
    <cellStyle name="Normal 3 17 15" xfId="9553"/>
    <cellStyle name="Normal 3 17 16" xfId="9554"/>
    <cellStyle name="Normal 3 17 17" xfId="9555"/>
    <cellStyle name="Normal 3 17 17 10" xfId="9556"/>
    <cellStyle name="Normal 3 17 17 10 2" xfId="27132"/>
    <cellStyle name="Normal 3 17 17 11" xfId="9557"/>
    <cellStyle name="Normal 3 17 17 11 2" xfId="27133"/>
    <cellStyle name="Normal 3 17 17 12" xfId="9558"/>
    <cellStyle name="Normal 3 17 17 12 2" xfId="27134"/>
    <cellStyle name="Normal 3 17 17 13" xfId="9559"/>
    <cellStyle name="Normal 3 17 17 13 2" xfId="27135"/>
    <cellStyle name="Normal 3 17 17 14" xfId="9560"/>
    <cellStyle name="Normal 3 17 17 14 2" xfId="27136"/>
    <cellStyle name="Normal 3 17 17 15" xfId="27131"/>
    <cellStyle name="Normal 3 17 17 2" xfId="9561"/>
    <cellStyle name="Normal 3 17 17 2 2" xfId="27137"/>
    <cellStyle name="Normal 3 17 17 3" xfId="9562"/>
    <cellStyle name="Normal 3 17 17 3 2" xfId="27138"/>
    <cellStyle name="Normal 3 17 17 4" xfId="9563"/>
    <cellStyle name="Normal 3 17 17 4 2" xfId="27139"/>
    <cellStyle name="Normal 3 17 17 5" xfId="9564"/>
    <cellStyle name="Normal 3 17 17 5 2" xfId="27140"/>
    <cellStyle name="Normal 3 17 17 6" xfId="9565"/>
    <cellStyle name="Normal 3 17 17 6 2" xfId="27141"/>
    <cellStyle name="Normal 3 17 17 7" xfId="9566"/>
    <cellStyle name="Normal 3 17 17 7 2" xfId="27142"/>
    <cellStyle name="Normal 3 17 17 8" xfId="9567"/>
    <cellStyle name="Normal 3 17 17 8 2" xfId="27143"/>
    <cellStyle name="Normal 3 17 17 9" xfId="9568"/>
    <cellStyle name="Normal 3 17 17 9 2" xfId="27144"/>
    <cellStyle name="Normal 3 17 18" xfId="9569"/>
    <cellStyle name="Normal 3 17 18 10" xfId="9570"/>
    <cellStyle name="Normal 3 17 18 10 2" xfId="27146"/>
    <cellStyle name="Normal 3 17 18 11" xfId="9571"/>
    <cellStyle name="Normal 3 17 18 11 2" xfId="27147"/>
    <cellStyle name="Normal 3 17 18 12" xfId="9572"/>
    <cellStyle name="Normal 3 17 18 12 2" xfId="27148"/>
    <cellStyle name="Normal 3 17 18 13" xfId="9573"/>
    <cellStyle name="Normal 3 17 18 13 2" xfId="27149"/>
    <cellStyle name="Normal 3 17 18 14" xfId="9574"/>
    <cellStyle name="Normal 3 17 18 14 2" xfId="27150"/>
    <cellStyle name="Normal 3 17 18 15" xfId="27145"/>
    <cellStyle name="Normal 3 17 18 2" xfId="9575"/>
    <cellStyle name="Normal 3 17 18 2 2" xfId="27151"/>
    <cellStyle name="Normal 3 17 18 3" xfId="9576"/>
    <cellStyle name="Normal 3 17 18 3 2" xfId="27152"/>
    <cellStyle name="Normal 3 17 18 4" xfId="9577"/>
    <cellStyle name="Normal 3 17 18 4 2" xfId="27153"/>
    <cellStyle name="Normal 3 17 18 5" xfId="9578"/>
    <cellStyle name="Normal 3 17 18 5 2" xfId="27154"/>
    <cellStyle name="Normal 3 17 18 6" xfId="9579"/>
    <cellStyle name="Normal 3 17 18 6 2" xfId="27155"/>
    <cellStyle name="Normal 3 17 18 7" xfId="9580"/>
    <cellStyle name="Normal 3 17 18 7 2" xfId="27156"/>
    <cellStyle name="Normal 3 17 18 8" xfId="9581"/>
    <cellStyle name="Normal 3 17 18 8 2" xfId="27157"/>
    <cellStyle name="Normal 3 17 18 9" xfId="9582"/>
    <cellStyle name="Normal 3 17 18 9 2" xfId="27158"/>
    <cellStyle name="Normal 3 17 2" xfId="9583"/>
    <cellStyle name="Normal 3 17 2 10" xfId="9584"/>
    <cellStyle name="Normal 3 17 2 10 2" xfId="27160"/>
    <cellStyle name="Normal 3 17 2 11" xfId="9585"/>
    <cellStyle name="Normal 3 17 2 11 2" xfId="27161"/>
    <cellStyle name="Normal 3 17 2 12" xfId="9586"/>
    <cellStyle name="Normal 3 17 2 12 2" xfId="27162"/>
    <cellStyle name="Normal 3 17 2 13" xfId="9587"/>
    <cellStyle name="Normal 3 17 2 13 2" xfId="27163"/>
    <cellStyle name="Normal 3 17 2 14" xfId="9588"/>
    <cellStyle name="Normal 3 17 2 14 2" xfId="27164"/>
    <cellStyle name="Normal 3 17 2 15" xfId="9589"/>
    <cellStyle name="Normal 3 17 2 15 2" xfId="27165"/>
    <cellStyle name="Normal 3 17 2 16" xfId="9590"/>
    <cellStyle name="Normal 3 17 2 16 2" xfId="27166"/>
    <cellStyle name="Normal 3 17 2 17" xfId="9591"/>
    <cellStyle name="Normal 3 17 2 17 2" xfId="27167"/>
    <cellStyle name="Normal 3 17 2 18" xfId="27159"/>
    <cellStyle name="Normal 3 17 2 2" xfId="9592"/>
    <cellStyle name="Normal 3 17 2 3" xfId="9593"/>
    <cellStyle name="Normal 3 17 2 4" xfId="9594"/>
    <cellStyle name="Normal 3 17 2 5" xfId="9595"/>
    <cellStyle name="Normal 3 17 2 5 2" xfId="27168"/>
    <cellStyle name="Normal 3 17 2 6" xfId="9596"/>
    <cellStyle name="Normal 3 17 2 6 2" xfId="27169"/>
    <cellStyle name="Normal 3 17 2 7" xfId="9597"/>
    <cellStyle name="Normal 3 17 2 7 2" xfId="27170"/>
    <cellStyle name="Normal 3 17 2 8" xfId="9598"/>
    <cellStyle name="Normal 3 17 2 8 2" xfId="27171"/>
    <cellStyle name="Normal 3 17 2 9" xfId="9599"/>
    <cellStyle name="Normal 3 17 2 9 2" xfId="27172"/>
    <cellStyle name="Normal 3 17 3" xfId="9600"/>
    <cellStyle name="Normal 3 17 4" xfId="9601"/>
    <cellStyle name="Normal 3 17 5" xfId="9602"/>
    <cellStyle name="Normal 3 17 6" xfId="9603"/>
    <cellStyle name="Normal 3 17 6 10" xfId="9604"/>
    <cellStyle name="Normal 3 17 6 10 2" xfId="27174"/>
    <cellStyle name="Normal 3 17 6 11" xfId="9605"/>
    <cellStyle name="Normal 3 17 6 11 2" xfId="27175"/>
    <cellStyle name="Normal 3 17 6 12" xfId="9606"/>
    <cellStyle name="Normal 3 17 6 12 2" xfId="27176"/>
    <cellStyle name="Normal 3 17 6 13" xfId="9607"/>
    <cellStyle name="Normal 3 17 6 13 2" xfId="27177"/>
    <cellStyle name="Normal 3 17 6 14" xfId="9608"/>
    <cellStyle name="Normal 3 17 6 14 2" xfId="27178"/>
    <cellStyle name="Normal 3 17 6 15" xfId="9609"/>
    <cellStyle name="Normal 3 17 6 15 2" xfId="27179"/>
    <cellStyle name="Normal 3 17 6 16" xfId="27173"/>
    <cellStyle name="Normal 3 17 6 2" xfId="9610"/>
    <cellStyle name="Normal 3 17 6 2 10" xfId="9611"/>
    <cellStyle name="Normal 3 17 6 2 10 2" xfId="27181"/>
    <cellStyle name="Normal 3 17 6 2 11" xfId="9612"/>
    <cellStyle name="Normal 3 17 6 2 11 2" xfId="27182"/>
    <cellStyle name="Normal 3 17 6 2 12" xfId="9613"/>
    <cellStyle name="Normal 3 17 6 2 12 2" xfId="27183"/>
    <cellStyle name="Normal 3 17 6 2 13" xfId="9614"/>
    <cellStyle name="Normal 3 17 6 2 13 2" xfId="27184"/>
    <cellStyle name="Normal 3 17 6 2 14" xfId="9615"/>
    <cellStyle name="Normal 3 17 6 2 14 2" xfId="27185"/>
    <cellStyle name="Normal 3 17 6 2 15" xfId="27180"/>
    <cellStyle name="Normal 3 17 6 2 2" xfId="9616"/>
    <cellStyle name="Normal 3 17 6 2 2 2" xfId="27186"/>
    <cellStyle name="Normal 3 17 6 2 3" xfId="9617"/>
    <cellStyle name="Normal 3 17 6 2 3 2" xfId="27187"/>
    <cellStyle name="Normal 3 17 6 2 4" xfId="9618"/>
    <cellStyle name="Normal 3 17 6 2 4 2" xfId="27188"/>
    <cellStyle name="Normal 3 17 6 2 5" xfId="9619"/>
    <cellStyle name="Normal 3 17 6 2 5 2" xfId="27189"/>
    <cellStyle name="Normal 3 17 6 2 6" xfId="9620"/>
    <cellStyle name="Normal 3 17 6 2 6 2" xfId="27190"/>
    <cellStyle name="Normal 3 17 6 2 7" xfId="9621"/>
    <cellStyle name="Normal 3 17 6 2 7 2" xfId="27191"/>
    <cellStyle name="Normal 3 17 6 2 8" xfId="9622"/>
    <cellStyle name="Normal 3 17 6 2 8 2" xfId="27192"/>
    <cellStyle name="Normal 3 17 6 2 9" xfId="9623"/>
    <cellStyle name="Normal 3 17 6 2 9 2" xfId="27193"/>
    <cellStyle name="Normal 3 17 6 3" xfId="9624"/>
    <cellStyle name="Normal 3 17 6 3 2" xfId="27194"/>
    <cellStyle name="Normal 3 17 6 4" xfId="9625"/>
    <cellStyle name="Normal 3 17 6 4 2" xfId="27195"/>
    <cellStyle name="Normal 3 17 6 5" xfId="9626"/>
    <cellStyle name="Normal 3 17 6 5 2" xfId="27196"/>
    <cellStyle name="Normal 3 17 6 6" xfId="9627"/>
    <cellStyle name="Normal 3 17 6 6 2" xfId="27197"/>
    <cellStyle name="Normal 3 17 6 7" xfId="9628"/>
    <cellStyle name="Normal 3 17 6 7 2" xfId="27198"/>
    <cellStyle name="Normal 3 17 6 8" xfId="9629"/>
    <cellStyle name="Normal 3 17 6 8 2" xfId="27199"/>
    <cellStyle name="Normal 3 17 6 9" xfId="9630"/>
    <cellStyle name="Normal 3 17 6 9 2" xfId="27200"/>
    <cellStyle name="Normal 3 17 7" xfId="9631"/>
    <cellStyle name="Normal 3 17 7 10" xfId="9632"/>
    <cellStyle name="Normal 3 17 7 10 2" xfId="27202"/>
    <cellStyle name="Normal 3 17 7 11" xfId="9633"/>
    <cellStyle name="Normal 3 17 7 11 2" xfId="27203"/>
    <cellStyle name="Normal 3 17 7 12" xfId="9634"/>
    <cellStyle name="Normal 3 17 7 12 2" xfId="27204"/>
    <cellStyle name="Normal 3 17 7 13" xfId="9635"/>
    <cellStyle name="Normal 3 17 7 13 2" xfId="27205"/>
    <cellStyle name="Normal 3 17 7 14" xfId="9636"/>
    <cellStyle name="Normal 3 17 7 14 2" xfId="27206"/>
    <cellStyle name="Normal 3 17 7 15" xfId="9637"/>
    <cellStyle name="Normal 3 17 7 15 2" xfId="27207"/>
    <cellStyle name="Normal 3 17 7 16" xfId="27201"/>
    <cellStyle name="Normal 3 17 7 2" xfId="9638"/>
    <cellStyle name="Normal 3 17 7 2 10" xfId="9639"/>
    <cellStyle name="Normal 3 17 7 2 10 2" xfId="27209"/>
    <cellStyle name="Normal 3 17 7 2 11" xfId="9640"/>
    <cellStyle name="Normal 3 17 7 2 11 2" xfId="27210"/>
    <cellStyle name="Normal 3 17 7 2 12" xfId="9641"/>
    <cellStyle name="Normal 3 17 7 2 12 2" xfId="27211"/>
    <cellStyle name="Normal 3 17 7 2 13" xfId="9642"/>
    <cellStyle name="Normal 3 17 7 2 13 2" xfId="27212"/>
    <cellStyle name="Normal 3 17 7 2 14" xfId="9643"/>
    <cellStyle name="Normal 3 17 7 2 14 2" xfId="27213"/>
    <cellStyle name="Normal 3 17 7 2 15" xfId="27208"/>
    <cellStyle name="Normal 3 17 7 2 2" xfId="9644"/>
    <cellStyle name="Normal 3 17 7 2 2 2" xfId="27214"/>
    <cellStyle name="Normal 3 17 7 2 3" xfId="9645"/>
    <cellStyle name="Normal 3 17 7 2 3 2" xfId="27215"/>
    <cellStyle name="Normal 3 17 7 2 4" xfId="9646"/>
    <cellStyle name="Normal 3 17 7 2 4 2" xfId="27216"/>
    <cellStyle name="Normal 3 17 7 2 5" xfId="9647"/>
    <cellStyle name="Normal 3 17 7 2 5 2" xfId="27217"/>
    <cellStyle name="Normal 3 17 7 2 6" xfId="9648"/>
    <cellStyle name="Normal 3 17 7 2 6 2" xfId="27218"/>
    <cellStyle name="Normal 3 17 7 2 7" xfId="9649"/>
    <cellStyle name="Normal 3 17 7 2 7 2" xfId="27219"/>
    <cellStyle name="Normal 3 17 7 2 8" xfId="9650"/>
    <cellStyle name="Normal 3 17 7 2 8 2" xfId="27220"/>
    <cellStyle name="Normal 3 17 7 2 9" xfId="9651"/>
    <cellStyle name="Normal 3 17 7 2 9 2" xfId="27221"/>
    <cellStyle name="Normal 3 17 7 3" xfId="9652"/>
    <cellStyle name="Normal 3 17 7 3 2" xfId="27222"/>
    <cellStyle name="Normal 3 17 7 4" xfId="9653"/>
    <cellStyle name="Normal 3 17 7 4 2" xfId="27223"/>
    <cellStyle name="Normal 3 17 7 5" xfId="9654"/>
    <cellStyle name="Normal 3 17 7 5 2" xfId="27224"/>
    <cellStyle name="Normal 3 17 7 6" xfId="9655"/>
    <cellStyle name="Normal 3 17 7 6 2" xfId="27225"/>
    <cellStyle name="Normal 3 17 7 7" xfId="9656"/>
    <cellStyle name="Normal 3 17 7 7 2" xfId="27226"/>
    <cellStyle name="Normal 3 17 7 8" xfId="9657"/>
    <cellStyle name="Normal 3 17 7 8 2" xfId="27227"/>
    <cellStyle name="Normal 3 17 7 9" xfId="9658"/>
    <cellStyle name="Normal 3 17 7 9 2" xfId="27228"/>
    <cellStyle name="Normal 3 17 8" xfId="9659"/>
    <cellStyle name="Normal 3 17 8 10" xfId="9660"/>
    <cellStyle name="Normal 3 17 8 10 2" xfId="27230"/>
    <cellStyle name="Normal 3 17 8 11" xfId="9661"/>
    <cellStyle name="Normal 3 17 8 11 2" xfId="27231"/>
    <cellStyle name="Normal 3 17 8 12" xfId="9662"/>
    <cellStyle name="Normal 3 17 8 12 2" xfId="27232"/>
    <cellStyle name="Normal 3 17 8 13" xfId="9663"/>
    <cellStyle name="Normal 3 17 8 13 2" xfId="27233"/>
    <cellStyle name="Normal 3 17 8 14" xfId="9664"/>
    <cellStyle name="Normal 3 17 8 14 2" xfId="27234"/>
    <cellStyle name="Normal 3 17 8 15" xfId="9665"/>
    <cellStyle name="Normal 3 17 8 15 2" xfId="27235"/>
    <cellStyle name="Normal 3 17 8 16" xfId="27229"/>
    <cellStyle name="Normal 3 17 8 2" xfId="9666"/>
    <cellStyle name="Normal 3 17 8 2 10" xfId="9667"/>
    <cellStyle name="Normal 3 17 8 2 10 2" xfId="27237"/>
    <cellStyle name="Normal 3 17 8 2 11" xfId="9668"/>
    <cellStyle name="Normal 3 17 8 2 11 2" xfId="27238"/>
    <cellStyle name="Normal 3 17 8 2 12" xfId="9669"/>
    <cellStyle name="Normal 3 17 8 2 12 2" xfId="27239"/>
    <cellStyle name="Normal 3 17 8 2 13" xfId="9670"/>
    <cellStyle name="Normal 3 17 8 2 13 2" xfId="27240"/>
    <cellStyle name="Normal 3 17 8 2 14" xfId="9671"/>
    <cellStyle name="Normal 3 17 8 2 14 2" xfId="27241"/>
    <cellStyle name="Normal 3 17 8 2 15" xfId="27236"/>
    <cellStyle name="Normal 3 17 8 2 2" xfId="9672"/>
    <cellStyle name="Normal 3 17 8 2 2 2" xfId="27242"/>
    <cellStyle name="Normal 3 17 8 2 3" xfId="9673"/>
    <cellStyle name="Normal 3 17 8 2 3 2" xfId="27243"/>
    <cellStyle name="Normal 3 17 8 2 4" xfId="9674"/>
    <cellStyle name="Normal 3 17 8 2 4 2" xfId="27244"/>
    <cellStyle name="Normal 3 17 8 2 5" xfId="9675"/>
    <cellStyle name="Normal 3 17 8 2 5 2" xfId="27245"/>
    <cellStyle name="Normal 3 17 8 2 6" xfId="9676"/>
    <cellStyle name="Normal 3 17 8 2 6 2" xfId="27246"/>
    <cellStyle name="Normal 3 17 8 2 7" xfId="9677"/>
    <cellStyle name="Normal 3 17 8 2 7 2" xfId="27247"/>
    <cellStyle name="Normal 3 17 8 2 8" xfId="9678"/>
    <cellStyle name="Normal 3 17 8 2 8 2" xfId="27248"/>
    <cellStyle name="Normal 3 17 8 2 9" xfId="9679"/>
    <cellStyle name="Normal 3 17 8 2 9 2" xfId="27249"/>
    <cellStyle name="Normal 3 17 8 3" xfId="9680"/>
    <cellStyle name="Normal 3 17 8 3 2" xfId="27250"/>
    <cellStyle name="Normal 3 17 8 4" xfId="9681"/>
    <cellStyle name="Normal 3 17 8 4 2" xfId="27251"/>
    <cellStyle name="Normal 3 17 8 5" xfId="9682"/>
    <cellStyle name="Normal 3 17 8 5 2" xfId="27252"/>
    <cellStyle name="Normal 3 17 8 6" xfId="9683"/>
    <cellStyle name="Normal 3 17 8 6 2" xfId="27253"/>
    <cellStyle name="Normal 3 17 8 7" xfId="9684"/>
    <cellStyle name="Normal 3 17 8 7 2" xfId="27254"/>
    <cellStyle name="Normal 3 17 8 8" xfId="9685"/>
    <cellStyle name="Normal 3 17 8 8 2" xfId="27255"/>
    <cellStyle name="Normal 3 17 8 9" xfId="9686"/>
    <cellStyle name="Normal 3 17 8 9 2" xfId="27256"/>
    <cellStyle name="Normal 3 17 9" xfId="9687"/>
    <cellStyle name="Normal 3 17 9 10" xfId="9688"/>
    <cellStyle name="Normal 3 17 9 10 2" xfId="27258"/>
    <cellStyle name="Normal 3 17 9 11" xfId="9689"/>
    <cellStyle name="Normal 3 17 9 11 2" xfId="27259"/>
    <cellStyle name="Normal 3 17 9 12" xfId="9690"/>
    <cellStyle name="Normal 3 17 9 12 2" xfId="27260"/>
    <cellStyle name="Normal 3 17 9 13" xfId="9691"/>
    <cellStyle name="Normal 3 17 9 13 2" xfId="27261"/>
    <cellStyle name="Normal 3 17 9 14" xfId="9692"/>
    <cellStyle name="Normal 3 17 9 14 2" xfId="27262"/>
    <cellStyle name="Normal 3 17 9 15" xfId="27257"/>
    <cellStyle name="Normal 3 17 9 2" xfId="9693"/>
    <cellStyle name="Normal 3 17 9 2 2" xfId="27263"/>
    <cellStyle name="Normal 3 17 9 3" xfId="9694"/>
    <cellStyle name="Normal 3 17 9 3 2" xfId="27264"/>
    <cellStyle name="Normal 3 17 9 4" xfId="9695"/>
    <cellStyle name="Normal 3 17 9 4 2" xfId="27265"/>
    <cellStyle name="Normal 3 17 9 5" xfId="9696"/>
    <cellStyle name="Normal 3 17 9 5 2" xfId="27266"/>
    <cellStyle name="Normal 3 17 9 6" xfId="9697"/>
    <cellStyle name="Normal 3 17 9 6 2" xfId="27267"/>
    <cellStyle name="Normal 3 17 9 7" xfId="9698"/>
    <cellStyle name="Normal 3 17 9 7 2" xfId="27268"/>
    <cellStyle name="Normal 3 17 9 8" xfId="9699"/>
    <cellStyle name="Normal 3 17 9 8 2" xfId="27269"/>
    <cellStyle name="Normal 3 17 9 9" xfId="9700"/>
    <cellStyle name="Normal 3 17 9 9 2" xfId="27270"/>
    <cellStyle name="Normal 3 18" xfId="9701"/>
    <cellStyle name="Normal 3 18 10" xfId="9702"/>
    <cellStyle name="Normal 3 18 10 10" xfId="9703"/>
    <cellStyle name="Normal 3 18 10 10 2" xfId="27273"/>
    <cellStyle name="Normal 3 18 10 11" xfId="9704"/>
    <cellStyle name="Normal 3 18 10 11 2" xfId="27274"/>
    <cellStyle name="Normal 3 18 10 12" xfId="9705"/>
    <cellStyle name="Normal 3 18 10 12 2" xfId="27275"/>
    <cellStyle name="Normal 3 18 10 13" xfId="9706"/>
    <cellStyle name="Normal 3 18 10 13 2" xfId="27276"/>
    <cellStyle name="Normal 3 18 10 14" xfId="9707"/>
    <cellStyle name="Normal 3 18 10 14 2" xfId="27277"/>
    <cellStyle name="Normal 3 18 10 15" xfId="27272"/>
    <cellStyle name="Normal 3 18 10 2" xfId="9708"/>
    <cellStyle name="Normal 3 18 10 2 2" xfId="27278"/>
    <cellStyle name="Normal 3 18 10 3" xfId="9709"/>
    <cellStyle name="Normal 3 18 10 3 2" xfId="27279"/>
    <cellStyle name="Normal 3 18 10 4" xfId="9710"/>
    <cellStyle name="Normal 3 18 10 4 2" xfId="27280"/>
    <cellStyle name="Normal 3 18 10 5" xfId="9711"/>
    <cellStyle name="Normal 3 18 10 5 2" xfId="27281"/>
    <cellStyle name="Normal 3 18 10 6" xfId="9712"/>
    <cellStyle name="Normal 3 18 10 6 2" xfId="27282"/>
    <cellStyle name="Normal 3 18 10 7" xfId="9713"/>
    <cellStyle name="Normal 3 18 10 7 2" xfId="27283"/>
    <cellStyle name="Normal 3 18 10 8" xfId="9714"/>
    <cellStyle name="Normal 3 18 10 8 2" xfId="27284"/>
    <cellStyle name="Normal 3 18 10 9" xfId="9715"/>
    <cellStyle name="Normal 3 18 10 9 2" xfId="27285"/>
    <cellStyle name="Normal 3 18 11" xfId="9716"/>
    <cellStyle name="Normal 3 18 11 10" xfId="9717"/>
    <cellStyle name="Normal 3 18 11 10 2" xfId="27287"/>
    <cellStyle name="Normal 3 18 11 11" xfId="9718"/>
    <cellStyle name="Normal 3 18 11 11 2" xfId="27288"/>
    <cellStyle name="Normal 3 18 11 12" xfId="9719"/>
    <cellStyle name="Normal 3 18 11 12 2" xfId="27289"/>
    <cellStyle name="Normal 3 18 11 13" xfId="9720"/>
    <cellStyle name="Normal 3 18 11 13 2" xfId="27290"/>
    <cellStyle name="Normal 3 18 11 14" xfId="9721"/>
    <cellStyle name="Normal 3 18 11 14 2" xfId="27291"/>
    <cellStyle name="Normal 3 18 11 15" xfId="27286"/>
    <cellStyle name="Normal 3 18 11 2" xfId="9722"/>
    <cellStyle name="Normal 3 18 11 2 2" xfId="27292"/>
    <cellStyle name="Normal 3 18 11 3" xfId="9723"/>
    <cellStyle name="Normal 3 18 11 3 2" xfId="27293"/>
    <cellStyle name="Normal 3 18 11 4" xfId="9724"/>
    <cellStyle name="Normal 3 18 11 4 2" xfId="27294"/>
    <cellStyle name="Normal 3 18 11 5" xfId="9725"/>
    <cellStyle name="Normal 3 18 11 5 2" xfId="27295"/>
    <cellStyle name="Normal 3 18 11 6" xfId="9726"/>
    <cellStyle name="Normal 3 18 11 6 2" xfId="27296"/>
    <cellStyle name="Normal 3 18 11 7" xfId="9727"/>
    <cellStyle name="Normal 3 18 11 7 2" xfId="27297"/>
    <cellStyle name="Normal 3 18 11 8" xfId="9728"/>
    <cellStyle name="Normal 3 18 11 8 2" xfId="27298"/>
    <cellStyle name="Normal 3 18 11 9" xfId="9729"/>
    <cellStyle name="Normal 3 18 11 9 2" xfId="27299"/>
    <cellStyle name="Normal 3 18 12" xfId="9730"/>
    <cellStyle name="Normal 3 18 12 10" xfId="9731"/>
    <cellStyle name="Normal 3 18 12 10 2" xfId="27301"/>
    <cellStyle name="Normal 3 18 12 11" xfId="9732"/>
    <cellStyle name="Normal 3 18 12 11 2" xfId="27302"/>
    <cellStyle name="Normal 3 18 12 12" xfId="9733"/>
    <cellStyle name="Normal 3 18 12 12 2" xfId="27303"/>
    <cellStyle name="Normal 3 18 12 13" xfId="9734"/>
    <cellStyle name="Normal 3 18 12 13 2" xfId="27304"/>
    <cellStyle name="Normal 3 18 12 14" xfId="9735"/>
    <cellStyle name="Normal 3 18 12 14 2" xfId="27305"/>
    <cellStyle name="Normal 3 18 12 15" xfId="27300"/>
    <cellStyle name="Normal 3 18 12 2" xfId="9736"/>
    <cellStyle name="Normal 3 18 12 2 2" xfId="27306"/>
    <cellStyle name="Normal 3 18 12 3" xfId="9737"/>
    <cellStyle name="Normal 3 18 12 3 2" xfId="27307"/>
    <cellStyle name="Normal 3 18 12 4" xfId="9738"/>
    <cellStyle name="Normal 3 18 12 4 2" xfId="27308"/>
    <cellStyle name="Normal 3 18 12 5" xfId="9739"/>
    <cellStyle name="Normal 3 18 12 5 2" xfId="27309"/>
    <cellStyle name="Normal 3 18 12 6" xfId="9740"/>
    <cellStyle name="Normal 3 18 12 6 2" xfId="27310"/>
    <cellStyle name="Normal 3 18 12 7" xfId="9741"/>
    <cellStyle name="Normal 3 18 12 7 2" xfId="27311"/>
    <cellStyle name="Normal 3 18 12 8" xfId="9742"/>
    <cellStyle name="Normal 3 18 12 8 2" xfId="27312"/>
    <cellStyle name="Normal 3 18 12 9" xfId="9743"/>
    <cellStyle name="Normal 3 18 12 9 2" xfId="27313"/>
    <cellStyle name="Normal 3 18 13" xfId="9744"/>
    <cellStyle name="Normal 3 18 13 10" xfId="9745"/>
    <cellStyle name="Normal 3 18 13 10 2" xfId="27315"/>
    <cellStyle name="Normal 3 18 13 11" xfId="9746"/>
    <cellStyle name="Normal 3 18 13 11 2" xfId="27316"/>
    <cellStyle name="Normal 3 18 13 12" xfId="9747"/>
    <cellStyle name="Normal 3 18 13 12 2" xfId="27317"/>
    <cellStyle name="Normal 3 18 13 13" xfId="9748"/>
    <cellStyle name="Normal 3 18 13 13 2" xfId="27318"/>
    <cellStyle name="Normal 3 18 13 14" xfId="9749"/>
    <cellStyle name="Normal 3 18 13 14 2" xfId="27319"/>
    <cellStyle name="Normal 3 18 13 15" xfId="27314"/>
    <cellStyle name="Normal 3 18 13 2" xfId="9750"/>
    <cellStyle name="Normal 3 18 13 2 2" xfId="27320"/>
    <cellStyle name="Normal 3 18 13 3" xfId="9751"/>
    <cellStyle name="Normal 3 18 13 3 2" xfId="27321"/>
    <cellStyle name="Normal 3 18 13 4" xfId="9752"/>
    <cellStyle name="Normal 3 18 13 4 2" xfId="27322"/>
    <cellStyle name="Normal 3 18 13 5" xfId="9753"/>
    <cellStyle name="Normal 3 18 13 5 2" xfId="27323"/>
    <cellStyle name="Normal 3 18 13 6" xfId="9754"/>
    <cellStyle name="Normal 3 18 13 6 2" xfId="27324"/>
    <cellStyle name="Normal 3 18 13 7" xfId="9755"/>
    <cellStyle name="Normal 3 18 13 7 2" xfId="27325"/>
    <cellStyle name="Normal 3 18 13 8" xfId="9756"/>
    <cellStyle name="Normal 3 18 13 8 2" xfId="27326"/>
    <cellStyle name="Normal 3 18 13 9" xfId="9757"/>
    <cellStyle name="Normal 3 18 13 9 2" xfId="27327"/>
    <cellStyle name="Normal 3 18 14" xfId="9758"/>
    <cellStyle name="Normal 3 18 14 10" xfId="9759"/>
    <cellStyle name="Normal 3 18 14 10 2" xfId="27329"/>
    <cellStyle name="Normal 3 18 14 11" xfId="9760"/>
    <cellStyle name="Normal 3 18 14 11 2" xfId="27330"/>
    <cellStyle name="Normal 3 18 14 12" xfId="9761"/>
    <cellStyle name="Normal 3 18 14 12 2" xfId="27331"/>
    <cellStyle name="Normal 3 18 14 13" xfId="9762"/>
    <cellStyle name="Normal 3 18 14 13 2" xfId="27332"/>
    <cellStyle name="Normal 3 18 14 14" xfId="9763"/>
    <cellStyle name="Normal 3 18 14 14 2" xfId="27333"/>
    <cellStyle name="Normal 3 18 14 15" xfId="27328"/>
    <cellStyle name="Normal 3 18 14 2" xfId="9764"/>
    <cellStyle name="Normal 3 18 14 2 2" xfId="27334"/>
    <cellStyle name="Normal 3 18 14 3" xfId="9765"/>
    <cellStyle name="Normal 3 18 14 3 2" xfId="27335"/>
    <cellStyle name="Normal 3 18 14 4" xfId="9766"/>
    <cellStyle name="Normal 3 18 14 4 2" xfId="27336"/>
    <cellStyle name="Normal 3 18 14 5" xfId="9767"/>
    <cellStyle name="Normal 3 18 14 5 2" xfId="27337"/>
    <cellStyle name="Normal 3 18 14 6" xfId="9768"/>
    <cellStyle name="Normal 3 18 14 6 2" xfId="27338"/>
    <cellStyle name="Normal 3 18 14 7" xfId="9769"/>
    <cellStyle name="Normal 3 18 14 7 2" xfId="27339"/>
    <cellStyle name="Normal 3 18 14 8" xfId="9770"/>
    <cellStyle name="Normal 3 18 14 8 2" xfId="27340"/>
    <cellStyle name="Normal 3 18 14 9" xfId="9771"/>
    <cellStyle name="Normal 3 18 14 9 2" xfId="27341"/>
    <cellStyle name="Normal 3 18 15" xfId="9772"/>
    <cellStyle name="Normal 3 18 15 2" xfId="27342"/>
    <cellStyle name="Normal 3 18 16" xfId="9773"/>
    <cellStyle name="Normal 3 18 16 2" xfId="27343"/>
    <cellStyle name="Normal 3 18 17" xfId="9774"/>
    <cellStyle name="Normal 3 18 17 2" xfId="27344"/>
    <cellStyle name="Normal 3 18 18" xfId="9775"/>
    <cellStyle name="Normal 3 18 18 2" xfId="27345"/>
    <cellStyle name="Normal 3 18 19" xfId="9776"/>
    <cellStyle name="Normal 3 18 19 2" xfId="27346"/>
    <cellStyle name="Normal 3 18 2" xfId="9777"/>
    <cellStyle name="Normal 3 18 20" xfId="9778"/>
    <cellStyle name="Normal 3 18 20 2" xfId="27347"/>
    <cellStyle name="Normal 3 18 21" xfId="9779"/>
    <cellStyle name="Normal 3 18 21 2" xfId="27348"/>
    <cellStyle name="Normal 3 18 22" xfId="9780"/>
    <cellStyle name="Normal 3 18 22 2" xfId="27349"/>
    <cellStyle name="Normal 3 18 23" xfId="9781"/>
    <cellStyle name="Normal 3 18 23 2" xfId="27350"/>
    <cellStyle name="Normal 3 18 24" xfId="9782"/>
    <cellStyle name="Normal 3 18 24 2" xfId="27351"/>
    <cellStyle name="Normal 3 18 25" xfId="9783"/>
    <cellStyle name="Normal 3 18 25 2" xfId="27352"/>
    <cellStyle name="Normal 3 18 26" xfId="9784"/>
    <cellStyle name="Normal 3 18 26 2" xfId="27353"/>
    <cellStyle name="Normal 3 18 27" xfId="9785"/>
    <cellStyle name="Normal 3 18 27 2" xfId="27354"/>
    <cellStyle name="Normal 3 18 28" xfId="27271"/>
    <cellStyle name="Normal 3 18 3" xfId="9786"/>
    <cellStyle name="Normal 3 18 4" xfId="9787"/>
    <cellStyle name="Normal 3 18 5" xfId="9788"/>
    <cellStyle name="Normal 3 18 6" xfId="9789"/>
    <cellStyle name="Normal 3 18 6 10" xfId="9790"/>
    <cellStyle name="Normal 3 18 6 10 2" xfId="27356"/>
    <cellStyle name="Normal 3 18 6 11" xfId="9791"/>
    <cellStyle name="Normal 3 18 6 11 2" xfId="27357"/>
    <cellStyle name="Normal 3 18 6 12" xfId="9792"/>
    <cellStyle name="Normal 3 18 6 12 2" xfId="27358"/>
    <cellStyle name="Normal 3 18 6 13" xfId="9793"/>
    <cellStyle name="Normal 3 18 6 13 2" xfId="27359"/>
    <cellStyle name="Normal 3 18 6 14" xfId="9794"/>
    <cellStyle name="Normal 3 18 6 14 2" xfId="27360"/>
    <cellStyle name="Normal 3 18 6 15" xfId="9795"/>
    <cellStyle name="Normal 3 18 6 15 2" xfId="27361"/>
    <cellStyle name="Normal 3 18 6 16" xfId="27355"/>
    <cellStyle name="Normal 3 18 6 2" xfId="9796"/>
    <cellStyle name="Normal 3 18 6 2 10" xfId="9797"/>
    <cellStyle name="Normal 3 18 6 2 10 2" xfId="27363"/>
    <cellStyle name="Normal 3 18 6 2 11" xfId="9798"/>
    <cellStyle name="Normal 3 18 6 2 11 2" xfId="27364"/>
    <cellStyle name="Normal 3 18 6 2 12" xfId="9799"/>
    <cellStyle name="Normal 3 18 6 2 12 2" xfId="27365"/>
    <cellStyle name="Normal 3 18 6 2 13" xfId="9800"/>
    <cellStyle name="Normal 3 18 6 2 13 2" xfId="27366"/>
    <cellStyle name="Normal 3 18 6 2 14" xfId="9801"/>
    <cellStyle name="Normal 3 18 6 2 14 2" xfId="27367"/>
    <cellStyle name="Normal 3 18 6 2 15" xfId="27362"/>
    <cellStyle name="Normal 3 18 6 2 2" xfId="9802"/>
    <cellStyle name="Normal 3 18 6 2 2 2" xfId="27368"/>
    <cellStyle name="Normal 3 18 6 2 3" xfId="9803"/>
    <cellStyle name="Normal 3 18 6 2 3 2" xfId="27369"/>
    <cellStyle name="Normal 3 18 6 2 4" xfId="9804"/>
    <cellStyle name="Normal 3 18 6 2 4 2" xfId="27370"/>
    <cellStyle name="Normal 3 18 6 2 5" xfId="9805"/>
    <cellStyle name="Normal 3 18 6 2 5 2" xfId="27371"/>
    <cellStyle name="Normal 3 18 6 2 6" xfId="9806"/>
    <cellStyle name="Normal 3 18 6 2 6 2" xfId="27372"/>
    <cellStyle name="Normal 3 18 6 2 7" xfId="9807"/>
    <cellStyle name="Normal 3 18 6 2 7 2" xfId="27373"/>
    <cellStyle name="Normal 3 18 6 2 8" xfId="9808"/>
    <cellStyle name="Normal 3 18 6 2 8 2" xfId="27374"/>
    <cellStyle name="Normal 3 18 6 2 9" xfId="9809"/>
    <cellStyle name="Normal 3 18 6 2 9 2" xfId="27375"/>
    <cellStyle name="Normal 3 18 6 3" xfId="9810"/>
    <cellStyle name="Normal 3 18 6 3 2" xfId="27376"/>
    <cellStyle name="Normal 3 18 6 4" xfId="9811"/>
    <cellStyle name="Normal 3 18 6 4 2" xfId="27377"/>
    <cellStyle name="Normal 3 18 6 5" xfId="9812"/>
    <cellStyle name="Normal 3 18 6 5 2" xfId="27378"/>
    <cellStyle name="Normal 3 18 6 6" xfId="9813"/>
    <cellStyle name="Normal 3 18 6 6 2" xfId="27379"/>
    <cellStyle name="Normal 3 18 6 7" xfId="9814"/>
    <cellStyle name="Normal 3 18 6 7 2" xfId="27380"/>
    <cellStyle name="Normal 3 18 6 8" xfId="9815"/>
    <cellStyle name="Normal 3 18 6 8 2" xfId="27381"/>
    <cellStyle name="Normal 3 18 6 9" xfId="9816"/>
    <cellStyle name="Normal 3 18 6 9 2" xfId="27382"/>
    <cellStyle name="Normal 3 18 7" xfId="9817"/>
    <cellStyle name="Normal 3 18 7 10" xfId="9818"/>
    <cellStyle name="Normal 3 18 7 10 2" xfId="27384"/>
    <cellStyle name="Normal 3 18 7 11" xfId="9819"/>
    <cellStyle name="Normal 3 18 7 11 2" xfId="27385"/>
    <cellStyle name="Normal 3 18 7 12" xfId="9820"/>
    <cellStyle name="Normal 3 18 7 12 2" xfId="27386"/>
    <cellStyle name="Normal 3 18 7 13" xfId="9821"/>
    <cellStyle name="Normal 3 18 7 13 2" xfId="27387"/>
    <cellStyle name="Normal 3 18 7 14" xfId="9822"/>
    <cellStyle name="Normal 3 18 7 14 2" xfId="27388"/>
    <cellStyle name="Normal 3 18 7 15" xfId="9823"/>
    <cellStyle name="Normal 3 18 7 15 2" xfId="27389"/>
    <cellStyle name="Normal 3 18 7 16" xfId="27383"/>
    <cellStyle name="Normal 3 18 7 2" xfId="9824"/>
    <cellStyle name="Normal 3 18 7 2 10" xfId="9825"/>
    <cellStyle name="Normal 3 18 7 2 10 2" xfId="27391"/>
    <cellStyle name="Normal 3 18 7 2 11" xfId="9826"/>
    <cellStyle name="Normal 3 18 7 2 11 2" xfId="27392"/>
    <cellStyle name="Normal 3 18 7 2 12" xfId="9827"/>
    <cellStyle name="Normal 3 18 7 2 12 2" xfId="27393"/>
    <cellStyle name="Normal 3 18 7 2 13" xfId="9828"/>
    <cellStyle name="Normal 3 18 7 2 13 2" xfId="27394"/>
    <cellStyle name="Normal 3 18 7 2 14" xfId="9829"/>
    <cellStyle name="Normal 3 18 7 2 14 2" xfId="27395"/>
    <cellStyle name="Normal 3 18 7 2 15" xfId="27390"/>
    <cellStyle name="Normal 3 18 7 2 2" xfId="9830"/>
    <cellStyle name="Normal 3 18 7 2 2 2" xfId="27396"/>
    <cellStyle name="Normal 3 18 7 2 3" xfId="9831"/>
    <cellStyle name="Normal 3 18 7 2 3 2" xfId="27397"/>
    <cellStyle name="Normal 3 18 7 2 4" xfId="9832"/>
    <cellStyle name="Normal 3 18 7 2 4 2" xfId="27398"/>
    <cellStyle name="Normal 3 18 7 2 5" xfId="9833"/>
    <cellStyle name="Normal 3 18 7 2 5 2" xfId="27399"/>
    <cellStyle name="Normal 3 18 7 2 6" xfId="9834"/>
    <cellStyle name="Normal 3 18 7 2 6 2" xfId="27400"/>
    <cellStyle name="Normal 3 18 7 2 7" xfId="9835"/>
    <cellStyle name="Normal 3 18 7 2 7 2" xfId="27401"/>
    <cellStyle name="Normal 3 18 7 2 8" xfId="9836"/>
    <cellStyle name="Normal 3 18 7 2 8 2" xfId="27402"/>
    <cellStyle name="Normal 3 18 7 2 9" xfId="9837"/>
    <cellStyle name="Normal 3 18 7 2 9 2" xfId="27403"/>
    <cellStyle name="Normal 3 18 7 3" xfId="9838"/>
    <cellStyle name="Normal 3 18 7 3 2" xfId="27404"/>
    <cellStyle name="Normal 3 18 7 4" xfId="9839"/>
    <cellStyle name="Normal 3 18 7 4 2" xfId="27405"/>
    <cellStyle name="Normal 3 18 7 5" xfId="9840"/>
    <cellStyle name="Normal 3 18 7 5 2" xfId="27406"/>
    <cellStyle name="Normal 3 18 7 6" xfId="9841"/>
    <cellStyle name="Normal 3 18 7 6 2" xfId="27407"/>
    <cellStyle name="Normal 3 18 7 7" xfId="9842"/>
    <cellStyle name="Normal 3 18 7 7 2" xfId="27408"/>
    <cellStyle name="Normal 3 18 7 8" xfId="9843"/>
    <cellStyle name="Normal 3 18 7 8 2" xfId="27409"/>
    <cellStyle name="Normal 3 18 7 9" xfId="9844"/>
    <cellStyle name="Normal 3 18 7 9 2" xfId="27410"/>
    <cellStyle name="Normal 3 18 8" xfId="9845"/>
    <cellStyle name="Normal 3 18 8 10" xfId="9846"/>
    <cellStyle name="Normal 3 18 8 10 2" xfId="27412"/>
    <cellStyle name="Normal 3 18 8 11" xfId="9847"/>
    <cellStyle name="Normal 3 18 8 11 2" xfId="27413"/>
    <cellStyle name="Normal 3 18 8 12" xfId="9848"/>
    <cellStyle name="Normal 3 18 8 12 2" xfId="27414"/>
    <cellStyle name="Normal 3 18 8 13" xfId="9849"/>
    <cellStyle name="Normal 3 18 8 13 2" xfId="27415"/>
    <cellStyle name="Normal 3 18 8 14" xfId="9850"/>
    <cellStyle name="Normal 3 18 8 14 2" xfId="27416"/>
    <cellStyle name="Normal 3 18 8 15" xfId="9851"/>
    <cellStyle name="Normal 3 18 8 15 2" xfId="27417"/>
    <cellStyle name="Normal 3 18 8 16" xfId="27411"/>
    <cellStyle name="Normal 3 18 8 2" xfId="9852"/>
    <cellStyle name="Normal 3 18 8 2 10" xfId="9853"/>
    <cellStyle name="Normal 3 18 8 2 10 2" xfId="27419"/>
    <cellStyle name="Normal 3 18 8 2 11" xfId="9854"/>
    <cellStyle name="Normal 3 18 8 2 11 2" xfId="27420"/>
    <cellStyle name="Normal 3 18 8 2 12" xfId="9855"/>
    <cellStyle name="Normal 3 18 8 2 12 2" xfId="27421"/>
    <cellStyle name="Normal 3 18 8 2 13" xfId="9856"/>
    <cellStyle name="Normal 3 18 8 2 13 2" xfId="27422"/>
    <cellStyle name="Normal 3 18 8 2 14" xfId="9857"/>
    <cellStyle name="Normal 3 18 8 2 14 2" xfId="27423"/>
    <cellStyle name="Normal 3 18 8 2 15" xfId="27418"/>
    <cellStyle name="Normal 3 18 8 2 2" xfId="9858"/>
    <cellStyle name="Normal 3 18 8 2 2 2" xfId="27424"/>
    <cellStyle name="Normal 3 18 8 2 3" xfId="9859"/>
    <cellStyle name="Normal 3 18 8 2 3 2" xfId="27425"/>
    <cellStyle name="Normal 3 18 8 2 4" xfId="9860"/>
    <cellStyle name="Normal 3 18 8 2 4 2" xfId="27426"/>
    <cellStyle name="Normal 3 18 8 2 5" xfId="9861"/>
    <cellStyle name="Normal 3 18 8 2 5 2" xfId="27427"/>
    <cellStyle name="Normal 3 18 8 2 6" xfId="9862"/>
    <cellStyle name="Normal 3 18 8 2 6 2" xfId="27428"/>
    <cellStyle name="Normal 3 18 8 2 7" xfId="9863"/>
    <cellStyle name="Normal 3 18 8 2 7 2" xfId="27429"/>
    <cellStyle name="Normal 3 18 8 2 8" xfId="9864"/>
    <cellStyle name="Normal 3 18 8 2 8 2" xfId="27430"/>
    <cellStyle name="Normal 3 18 8 2 9" xfId="9865"/>
    <cellStyle name="Normal 3 18 8 2 9 2" xfId="27431"/>
    <cellStyle name="Normal 3 18 8 3" xfId="9866"/>
    <cellStyle name="Normal 3 18 8 3 2" xfId="27432"/>
    <cellStyle name="Normal 3 18 8 4" xfId="9867"/>
    <cellStyle name="Normal 3 18 8 4 2" xfId="27433"/>
    <cellStyle name="Normal 3 18 8 5" xfId="9868"/>
    <cellStyle name="Normal 3 18 8 5 2" xfId="27434"/>
    <cellStyle name="Normal 3 18 8 6" xfId="9869"/>
    <cellStyle name="Normal 3 18 8 6 2" xfId="27435"/>
    <cellStyle name="Normal 3 18 8 7" xfId="9870"/>
    <cellStyle name="Normal 3 18 8 7 2" xfId="27436"/>
    <cellStyle name="Normal 3 18 8 8" xfId="9871"/>
    <cellStyle name="Normal 3 18 8 8 2" xfId="27437"/>
    <cellStyle name="Normal 3 18 8 9" xfId="9872"/>
    <cellStyle name="Normal 3 18 8 9 2" xfId="27438"/>
    <cellStyle name="Normal 3 18 9" xfId="9873"/>
    <cellStyle name="Normal 3 18 9 10" xfId="9874"/>
    <cellStyle name="Normal 3 18 9 10 2" xfId="27440"/>
    <cellStyle name="Normal 3 18 9 11" xfId="9875"/>
    <cellStyle name="Normal 3 18 9 11 2" xfId="27441"/>
    <cellStyle name="Normal 3 18 9 12" xfId="9876"/>
    <cellStyle name="Normal 3 18 9 12 2" xfId="27442"/>
    <cellStyle name="Normal 3 18 9 13" xfId="9877"/>
    <cellStyle name="Normal 3 18 9 13 2" xfId="27443"/>
    <cellStyle name="Normal 3 18 9 14" xfId="9878"/>
    <cellStyle name="Normal 3 18 9 14 2" xfId="27444"/>
    <cellStyle name="Normal 3 18 9 15" xfId="27439"/>
    <cellStyle name="Normal 3 18 9 2" xfId="9879"/>
    <cellStyle name="Normal 3 18 9 2 2" xfId="27445"/>
    <cellStyle name="Normal 3 18 9 3" xfId="9880"/>
    <cellStyle name="Normal 3 18 9 3 2" xfId="27446"/>
    <cellStyle name="Normal 3 18 9 4" xfId="9881"/>
    <cellStyle name="Normal 3 18 9 4 2" xfId="27447"/>
    <cellStyle name="Normal 3 18 9 5" xfId="9882"/>
    <cellStyle name="Normal 3 18 9 5 2" xfId="27448"/>
    <cellStyle name="Normal 3 18 9 6" xfId="9883"/>
    <cellStyle name="Normal 3 18 9 6 2" xfId="27449"/>
    <cellStyle name="Normal 3 18 9 7" xfId="9884"/>
    <cellStyle name="Normal 3 18 9 7 2" xfId="27450"/>
    <cellStyle name="Normal 3 18 9 8" xfId="9885"/>
    <cellStyle name="Normal 3 18 9 8 2" xfId="27451"/>
    <cellStyle name="Normal 3 18 9 9" xfId="9886"/>
    <cellStyle name="Normal 3 18 9 9 2" xfId="27452"/>
    <cellStyle name="Normal 3 19" xfId="9887"/>
    <cellStyle name="Normal 3 19 10" xfId="9888"/>
    <cellStyle name="Normal 3 19 10 10" xfId="9889"/>
    <cellStyle name="Normal 3 19 10 10 2" xfId="27455"/>
    <cellStyle name="Normal 3 19 10 11" xfId="9890"/>
    <cellStyle name="Normal 3 19 10 11 2" xfId="27456"/>
    <cellStyle name="Normal 3 19 10 12" xfId="9891"/>
    <cellStyle name="Normal 3 19 10 12 2" xfId="27457"/>
    <cellStyle name="Normal 3 19 10 13" xfId="9892"/>
    <cellStyle name="Normal 3 19 10 13 2" xfId="27458"/>
    <cellStyle name="Normal 3 19 10 14" xfId="9893"/>
    <cellStyle name="Normal 3 19 10 14 2" xfId="27459"/>
    <cellStyle name="Normal 3 19 10 15" xfId="27454"/>
    <cellStyle name="Normal 3 19 10 2" xfId="9894"/>
    <cellStyle name="Normal 3 19 10 2 2" xfId="27460"/>
    <cellStyle name="Normal 3 19 10 3" xfId="9895"/>
    <cellStyle name="Normal 3 19 10 3 2" xfId="27461"/>
    <cellStyle name="Normal 3 19 10 4" xfId="9896"/>
    <cellStyle name="Normal 3 19 10 4 2" xfId="27462"/>
    <cellStyle name="Normal 3 19 10 5" xfId="9897"/>
    <cellStyle name="Normal 3 19 10 5 2" xfId="27463"/>
    <cellStyle name="Normal 3 19 10 6" xfId="9898"/>
    <cellStyle name="Normal 3 19 10 6 2" xfId="27464"/>
    <cellStyle name="Normal 3 19 10 7" xfId="9899"/>
    <cellStyle name="Normal 3 19 10 7 2" xfId="27465"/>
    <cellStyle name="Normal 3 19 10 8" xfId="9900"/>
    <cellStyle name="Normal 3 19 10 8 2" xfId="27466"/>
    <cellStyle name="Normal 3 19 10 9" xfId="9901"/>
    <cellStyle name="Normal 3 19 10 9 2" xfId="27467"/>
    <cellStyle name="Normal 3 19 11" xfId="9902"/>
    <cellStyle name="Normal 3 19 11 10" xfId="9903"/>
    <cellStyle name="Normal 3 19 11 10 2" xfId="27469"/>
    <cellStyle name="Normal 3 19 11 11" xfId="9904"/>
    <cellStyle name="Normal 3 19 11 11 2" xfId="27470"/>
    <cellStyle name="Normal 3 19 11 12" xfId="9905"/>
    <cellStyle name="Normal 3 19 11 12 2" xfId="27471"/>
    <cellStyle name="Normal 3 19 11 13" xfId="9906"/>
    <cellStyle name="Normal 3 19 11 13 2" xfId="27472"/>
    <cellStyle name="Normal 3 19 11 14" xfId="9907"/>
    <cellStyle name="Normal 3 19 11 14 2" xfId="27473"/>
    <cellStyle name="Normal 3 19 11 15" xfId="27468"/>
    <cellStyle name="Normal 3 19 11 2" xfId="9908"/>
    <cellStyle name="Normal 3 19 11 2 2" xfId="27474"/>
    <cellStyle name="Normal 3 19 11 3" xfId="9909"/>
    <cellStyle name="Normal 3 19 11 3 2" xfId="27475"/>
    <cellStyle name="Normal 3 19 11 4" xfId="9910"/>
    <cellStyle name="Normal 3 19 11 4 2" xfId="27476"/>
    <cellStyle name="Normal 3 19 11 5" xfId="9911"/>
    <cellStyle name="Normal 3 19 11 5 2" xfId="27477"/>
    <cellStyle name="Normal 3 19 11 6" xfId="9912"/>
    <cellStyle name="Normal 3 19 11 6 2" xfId="27478"/>
    <cellStyle name="Normal 3 19 11 7" xfId="9913"/>
    <cellStyle name="Normal 3 19 11 7 2" xfId="27479"/>
    <cellStyle name="Normal 3 19 11 8" xfId="9914"/>
    <cellStyle name="Normal 3 19 11 8 2" xfId="27480"/>
    <cellStyle name="Normal 3 19 11 9" xfId="9915"/>
    <cellStyle name="Normal 3 19 11 9 2" xfId="27481"/>
    <cellStyle name="Normal 3 19 12" xfId="9916"/>
    <cellStyle name="Normal 3 19 12 10" xfId="9917"/>
    <cellStyle name="Normal 3 19 12 10 2" xfId="27483"/>
    <cellStyle name="Normal 3 19 12 11" xfId="9918"/>
    <cellStyle name="Normal 3 19 12 11 2" xfId="27484"/>
    <cellStyle name="Normal 3 19 12 12" xfId="9919"/>
    <cellStyle name="Normal 3 19 12 12 2" xfId="27485"/>
    <cellStyle name="Normal 3 19 12 13" xfId="9920"/>
    <cellStyle name="Normal 3 19 12 13 2" xfId="27486"/>
    <cellStyle name="Normal 3 19 12 14" xfId="9921"/>
    <cellStyle name="Normal 3 19 12 14 2" xfId="27487"/>
    <cellStyle name="Normal 3 19 12 15" xfId="27482"/>
    <cellStyle name="Normal 3 19 12 2" xfId="9922"/>
    <cellStyle name="Normal 3 19 12 2 2" xfId="27488"/>
    <cellStyle name="Normal 3 19 12 3" xfId="9923"/>
    <cellStyle name="Normal 3 19 12 3 2" xfId="27489"/>
    <cellStyle name="Normal 3 19 12 4" xfId="9924"/>
    <cellStyle name="Normal 3 19 12 4 2" xfId="27490"/>
    <cellStyle name="Normal 3 19 12 5" xfId="9925"/>
    <cellStyle name="Normal 3 19 12 5 2" xfId="27491"/>
    <cellStyle name="Normal 3 19 12 6" xfId="9926"/>
    <cellStyle name="Normal 3 19 12 6 2" xfId="27492"/>
    <cellStyle name="Normal 3 19 12 7" xfId="9927"/>
    <cellStyle name="Normal 3 19 12 7 2" xfId="27493"/>
    <cellStyle name="Normal 3 19 12 8" xfId="9928"/>
    <cellStyle name="Normal 3 19 12 8 2" xfId="27494"/>
    <cellStyle name="Normal 3 19 12 9" xfId="9929"/>
    <cellStyle name="Normal 3 19 12 9 2" xfId="27495"/>
    <cellStyle name="Normal 3 19 13" xfId="9930"/>
    <cellStyle name="Normal 3 19 13 10" xfId="9931"/>
    <cellStyle name="Normal 3 19 13 10 2" xfId="27497"/>
    <cellStyle name="Normal 3 19 13 11" xfId="9932"/>
    <cellStyle name="Normal 3 19 13 11 2" xfId="27498"/>
    <cellStyle name="Normal 3 19 13 12" xfId="9933"/>
    <cellStyle name="Normal 3 19 13 12 2" xfId="27499"/>
    <cellStyle name="Normal 3 19 13 13" xfId="9934"/>
    <cellStyle name="Normal 3 19 13 13 2" xfId="27500"/>
    <cellStyle name="Normal 3 19 13 14" xfId="9935"/>
    <cellStyle name="Normal 3 19 13 14 2" xfId="27501"/>
    <cellStyle name="Normal 3 19 13 15" xfId="27496"/>
    <cellStyle name="Normal 3 19 13 2" xfId="9936"/>
    <cellStyle name="Normal 3 19 13 2 2" xfId="27502"/>
    <cellStyle name="Normal 3 19 13 3" xfId="9937"/>
    <cellStyle name="Normal 3 19 13 3 2" xfId="27503"/>
    <cellStyle name="Normal 3 19 13 4" xfId="9938"/>
    <cellStyle name="Normal 3 19 13 4 2" xfId="27504"/>
    <cellStyle name="Normal 3 19 13 5" xfId="9939"/>
    <cellStyle name="Normal 3 19 13 5 2" xfId="27505"/>
    <cellStyle name="Normal 3 19 13 6" xfId="9940"/>
    <cellStyle name="Normal 3 19 13 6 2" xfId="27506"/>
    <cellStyle name="Normal 3 19 13 7" xfId="9941"/>
    <cellStyle name="Normal 3 19 13 7 2" xfId="27507"/>
    <cellStyle name="Normal 3 19 13 8" xfId="9942"/>
    <cellStyle name="Normal 3 19 13 8 2" xfId="27508"/>
    <cellStyle name="Normal 3 19 13 9" xfId="9943"/>
    <cellStyle name="Normal 3 19 13 9 2" xfId="27509"/>
    <cellStyle name="Normal 3 19 14" xfId="9944"/>
    <cellStyle name="Normal 3 19 14 10" xfId="9945"/>
    <cellStyle name="Normal 3 19 14 10 2" xfId="27511"/>
    <cellStyle name="Normal 3 19 14 11" xfId="9946"/>
    <cellStyle name="Normal 3 19 14 11 2" xfId="27512"/>
    <cellStyle name="Normal 3 19 14 12" xfId="9947"/>
    <cellStyle name="Normal 3 19 14 12 2" xfId="27513"/>
    <cellStyle name="Normal 3 19 14 13" xfId="9948"/>
    <cellStyle name="Normal 3 19 14 13 2" xfId="27514"/>
    <cellStyle name="Normal 3 19 14 14" xfId="9949"/>
    <cellStyle name="Normal 3 19 14 14 2" xfId="27515"/>
    <cellStyle name="Normal 3 19 14 15" xfId="27510"/>
    <cellStyle name="Normal 3 19 14 2" xfId="9950"/>
    <cellStyle name="Normal 3 19 14 2 2" xfId="27516"/>
    <cellStyle name="Normal 3 19 14 3" xfId="9951"/>
    <cellStyle name="Normal 3 19 14 3 2" xfId="27517"/>
    <cellStyle name="Normal 3 19 14 4" xfId="9952"/>
    <cellStyle name="Normal 3 19 14 4 2" xfId="27518"/>
    <cellStyle name="Normal 3 19 14 5" xfId="9953"/>
    <cellStyle name="Normal 3 19 14 5 2" xfId="27519"/>
    <cellStyle name="Normal 3 19 14 6" xfId="9954"/>
    <cellStyle name="Normal 3 19 14 6 2" xfId="27520"/>
    <cellStyle name="Normal 3 19 14 7" xfId="9955"/>
    <cellStyle name="Normal 3 19 14 7 2" xfId="27521"/>
    <cellStyle name="Normal 3 19 14 8" xfId="9956"/>
    <cellStyle name="Normal 3 19 14 8 2" xfId="27522"/>
    <cellStyle name="Normal 3 19 14 9" xfId="9957"/>
    <cellStyle name="Normal 3 19 14 9 2" xfId="27523"/>
    <cellStyle name="Normal 3 19 15" xfId="9958"/>
    <cellStyle name="Normal 3 19 15 2" xfId="27524"/>
    <cellStyle name="Normal 3 19 16" xfId="9959"/>
    <cellStyle name="Normal 3 19 16 2" xfId="27525"/>
    <cellStyle name="Normal 3 19 17" xfId="9960"/>
    <cellStyle name="Normal 3 19 17 2" xfId="27526"/>
    <cellStyle name="Normal 3 19 18" xfId="9961"/>
    <cellStyle name="Normal 3 19 18 2" xfId="27527"/>
    <cellStyle name="Normal 3 19 19" xfId="9962"/>
    <cellStyle name="Normal 3 19 19 2" xfId="27528"/>
    <cellStyle name="Normal 3 19 2" xfId="9963"/>
    <cellStyle name="Normal 3 19 20" xfId="9964"/>
    <cellStyle name="Normal 3 19 20 2" xfId="27529"/>
    <cellStyle name="Normal 3 19 21" xfId="9965"/>
    <cellStyle name="Normal 3 19 21 2" xfId="27530"/>
    <cellStyle name="Normal 3 19 22" xfId="9966"/>
    <cellStyle name="Normal 3 19 22 2" xfId="27531"/>
    <cellStyle name="Normal 3 19 23" xfId="9967"/>
    <cellStyle name="Normal 3 19 23 2" xfId="27532"/>
    <cellStyle name="Normal 3 19 24" xfId="9968"/>
    <cellStyle name="Normal 3 19 24 2" xfId="27533"/>
    <cellStyle name="Normal 3 19 25" xfId="9969"/>
    <cellStyle name="Normal 3 19 25 2" xfId="27534"/>
    <cellStyle name="Normal 3 19 26" xfId="9970"/>
    <cellStyle name="Normal 3 19 26 2" xfId="27535"/>
    <cellStyle name="Normal 3 19 27" xfId="9971"/>
    <cellStyle name="Normal 3 19 27 2" xfId="27536"/>
    <cellStyle name="Normal 3 19 28" xfId="27453"/>
    <cellStyle name="Normal 3 19 3" xfId="9972"/>
    <cellStyle name="Normal 3 19 4" xfId="9973"/>
    <cellStyle name="Normal 3 19 5" xfId="9974"/>
    <cellStyle name="Normal 3 19 6" xfId="9975"/>
    <cellStyle name="Normal 3 19 6 10" xfId="9976"/>
    <cellStyle name="Normal 3 19 6 10 2" xfId="27538"/>
    <cellStyle name="Normal 3 19 6 11" xfId="9977"/>
    <cellStyle name="Normal 3 19 6 11 2" xfId="27539"/>
    <cellStyle name="Normal 3 19 6 12" xfId="9978"/>
    <cellStyle name="Normal 3 19 6 12 2" xfId="27540"/>
    <cellStyle name="Normal 3 19 6 13" xfId="9979"/>
    <cellStyle name="Normal 3 19 6 13 2" xfId="27541"/>
    <cellStyle name="Normal 3 19 6 14" xfId="9980"/>
    <cellStyle name="Normal 3 19 6 14 2" xfId="27542"/>
    <cellStyle name="Normal 3 19 6 15" xfId="9981"/>
    <cellStyle name="Normal 3 19 6 15 2" xfId="27543"/>
    <cellStyle name="Normal 3 19 6 16" xfId="27537"/>
    <cellStyle name="Normal 3 19 6 2" xfId="9982"/>
    <cellStyle name="Normal 3 19 6 2 10" xfId="9983"/>
    <cellStyle name="Normal 3 19 6 2 10 2" xfId="27545"/>
    <cellStyle name="Normal 3 19 6 2 11" xfId="9984"/>
    <cellStyle name="Normal 3 19 6 2 11 2" xfId="27546"/>
    <cellStyle name="Normal 3 19 6 2 12" xfId="9985"/>
    <cellStyle name="Normal 3 19 6 2 12 2" xfId="27547"/>
    <cellStyle name="Normal 3 19 6 2 13" xfId="9986"/>
    <cellStyle name="Normal 3 19 6 2 13 2" xfId="27548"/>
    <cellStyle name="Normal 3 19 6 2 14" xfId="9987"/>
    <cellStyle name="Normal 3 19 6 2 14 2" xfId="27549"/>
    <cellStyle name="Normal 3 19 6 2 15" xfId="27544"/>
    <cellStyle name="Normal 3 19 6 2 2" xfId="9988"/>
    <cellStyle name="Normal 3 19 6 2 2 2" xfId="27550"/>
    <cellStyle name="Normal 3 19 6 2 3" xfId="9989"/>
    <cellStyle name="Normal 3 19 6 2 3 2" xfId="27551"/>
    <cellStyle name="Normal 3 19 6 2 4" xfId="9990"/>
    <cellStyle name="Normal 3 19 6 2 4 2" xfId="27552"/>
    <cellStyle name="Normal 3 19 6 2 5" xfId="9991"/>
    <cellStyle name="Normal 3 19 6 2 5 2" xfId="27553"/>
    <cellStyle name="Normal 3 19 6 2 6" xfId="9992"/>
    <cellStyle name="Normal 3 19 6 2 6 2" xfId="27554"/>
    <cellStyle name="Normal 3 19 6 2 7" xfId="9993"/>
    <cellStyle name="Normal 3 19 6 2 7 2" xfId="27555"/>
    <cellStyle name="Normal 3 19 6 2 8" xfId="9994"/>
    <cellStyle name="Normal 3 19 6 2 8 2" xfId="27556"/>
    <cellStyle name="Normal 3 19 6 2 9" xfId="9995"/>
    <cellStyle name="Normal 3 19 6 2 9 2" xfId="27557"/>
    <cellStyle name="Normal 3 19 6 3" xfId="9996"/>
    <cellStyle name="Normal 3 19 6 3 2" xfId="27558"/>
    <cellStyle name="Normal 3 19 6 4" xfId="9997"/>
    <cellStyle name="Normal 3 19 6 4 2" xfId="27559"/>
    <cellStyle name="Normal 3 19 6 5" xfId="9998"/>
    <cellStyle name="Normal 3 19 6 5 2" xfId="27560"/>
    <cellStyle name="Normal 3 19 6 6" xfId="9999"/>
    <cellStyle name="Normal 3 19 6 6 2" xfId="27561"/>
    <cellStyle name="Normal 3 19 6 7" xfId="10000"/>
    <cellStyle name="Normal 3 19 6 7 2" xfId="27562"/>
    <cellStyle name="Normal 3 19 6 8" xfId="10001"/>
    <cellStyle name="Normal 3 19 6 8 2" xfId="27563"/>
    <cellStyle name="Normal 3 19 6 9" xfId="10002"/>
    <cellStyle name="Normal 3 19 6 9 2" xfId="27564"/>
    <cellStyle name="Normal 3 19 7" xfId="10003"/>
    <cellStyle name="Normal 3 19 7 10" xfId="10004"/>
    <cellStyle name="Normal 3 19 7 10 2" xfId="27566"/>
    <cellStyle name="Normal 3 19 7 11" xfId="10005"/>
    <cellStyle name="Normal 3 19 7 11 2" xfId="27567"/>
    <cellStyle name="Normal 3 19 7 12" xfId="10006"/>
    <cellStyle name="Normal 3 19 7 12 2" xfId="27568"/>
    <cellStyle name="Normal 3 19 7 13" xfId="10007"/>
    <cellStyle name="Normal 3 19 7 13 2" xfId="27569"/>
    <cellStyle name="Normal 3 19 7 14" xfId="10008"/>
    <cellStyle name="Normal 3 19 7 14 2" xfId="27570"/>
    <cellStyle name="Normal 3 19 7 15" xfId="10009"/>
    <cellStyle name="Normal 3 19 7 15 2" xfId="27571"/>
    <cellStyle name="Normal 3 19 7 16" xfId="27565"/>
    <cellStyle name="Normal 3 19 7 2" xfId="10010"/>
    <cellStyle name="Normal 3 19 7 2 10" xfId="10011"/>
    <cellStyle name="Normal 3 19 7 2 10 2" xfId="27573"/>
    <cellStyle name="Normal 3 19 7 2 11" xfId="10012"/>
    <cellStyle name="Normal 3 19 7 2 11 2" xfId="27574"/>
    <cellStyle name="Normal 3 19 7 2 12" xfId="10013"/>
    <cellStyle name="Normal 3 19 7 2 12 2" xfId="27575"/>
    <cellStyle name="Normal 3 19 7 2 13" xfId="10014"/>
    <cellStyle name="Normal 3 19 7 2 13 2" xfId="27576"/>
    <cellStyle name="Normal 3 19 7 2 14" xfId="10015"/>
    <cellStyle name="Normal 3 19 7 2 14 2" xfId="27577"/>
    <cellStyle name="Normal 3 19 7 2 15" xfId="27572"/>
    <cellStyle name="Normal 3 19 7 2 2" xfId="10016"/>
    <cellStyle name="Normal 3 19 7 2 2 2" xfId="27578"/>
    <cellStyle name="Normal 3 19 7 2 3" xfId="10017"/>
    <cellStyle name="Normal 3 19 7 2 3 2" xfId="27579"/>
    <cellStyle name="Normal 3 19 7 2 4" xfId="10018"/>
    <cellStyle name="Normal 3 19 7 2 4 2" xfId="27580"/>
    <cellStyle name="Normal 3 19 7 2 5" xfId="10019"/>
    <cellStyle name="Normal 3 19 7 2 5 2" xfId="27581"/>
    <cellStyle name="Normal 3 19 7 2 6" xfId="10020"/>
    <cellStyle name="Normal 3 19 7 2 6 2" xfId="27582"/>
    <cellStyle name="Normal 3 19 7 2 7" xfId="10021"/>
    <cellStyle name="Normal 3 19 7 2 7 2" xfId="27583"/>
    <cellStyle name="Normal 3 19 7 2 8" xfId="10022"/>
    <cellStyle name="Normal 3 19 7 2 8 2" xfId="27584"/>
    <cellStyle name="Normal 3 19 7 2 9" xfId="10023"/>
    <cellStyle name="Normal 3 19 7 2 9 2" xfId="27585"/>
    <cellStyle name="Normal 3 19 7 3" xfId="10024"/>
    <cellStyle name="Normal 3 19 7 3 2" xfId="27586"/>
    <cellStyle name="Normal 3 19 7 4" xfId="10025"/>
    <cellStyle name="Normal 3 19 7 4 2" xfId="27587"/>
    <cellStyle name="Normal 3 19 7 5" xfId="10026"/>
    <cellStyle name="Normal 3 19 7 5 2" xfId="27588"/>
    <cellStyle name="Normal 3 19 7 6" xfId="10027"/>
    <cellStyle name="Normal 3 19 7 6 2" xfId="27589"/>
    <cellStyle name="Normal 3 19 7 7" xfId="10028"/>
    <cellStyle name="Normal 3 19 7 7 2" xfId="27590"/>
    <cellStyle name="Normal 3 19 7 8" xfId="10029"/>
    <cellStyle name="Normal 3 19 7 8 2" xfId="27591"/>
    <cellStyle name="Normal 3 19 7 9" xfId="10030"/>
    <cellStyle name="Normal 3 19 7 9 2" xfId="27592"/>
    <cellStyle name="Normal 3 19 8" xfId="10031"/>
    <cellStyle name="Normal 3 19 8 10" xfId="10032"/>
    <cellStyle name="Normal 3 19 8 10 2" xfId="27594"/>
    <cellStyle name="Normal 3 19 8 11" xfId="10033"/>
    <cellStyle name="Normal 3 19 8 11 2" xfId="27595"/>
    <cellStyle name="Normal 3 19 8 12" xfId="10034"/>
    <cellStyle name="Normal 3 19 8 12 2" xfId="27596"/>
    <cellStyle name="Normal 3 19 8 13" xfId="10035"/>
    <cellStyle name="Normal 3 19 8 13 2" xfId="27597"/>
    <cellStyle name="Normal 3 19 8 14" xfId="10036"/>
    <cellStyle name="Normal 3 19 8 14 2" xfId="27598"/>
    <cellStyle name="Normal 3 19 8 15" xfId="10037"/>
    <cellStyle name="Normal 3 19 8 15 2" xfId="27599"/>
    <cellStyle name="Normal 3 19 8 16" xfId="27593"/>
    <cellStyle name="Normal 3 19 8 2" xfId="10038"/>
    <cellStyle name="Normal 3 19 8 2 10" xfId="10039"/>
    <cellStyle name="Normal 3 19 8 2 10 2" xfId="27601"/>
    <cellStyle name="Normal 3 19 8 2 11" xfId="10040"/>
    <cellStyle name="Normal 3 19 8 2 11 2" xfId="27602"/>
    <cellStyle name="Normal 3 19 8 2 12" xfId="10041"/>
    <cellStyle name="Normal 3 19 8 2 12 2" xfId="27603"/>
    <cellStyle name="Normal 3 19 8 2 13" xfId="10042"/>
    <cellStyle name="Normal 3 19 8 2 13 2" xfId="27604"/>
    <cellStyle name="Normal 3 19 8 2 14" xfId="10043"/>
    <cellStyle name="Normal 3 19 8 2 14 2" xfId="27605"/>
    <cellStyle name="Normal 3 19 8 2 15" xfId="27600"/>
    <cellStyle name="Normal 3 19 8 2 2" xfId="10044"/>
    <cellStyle name="Normal 3 19 8 2 2 2" xfId="27606"/>
    <cellStyle name="Normal 3 19 8 2 3" xfId="10045"/>
    <cellStyle name="Normal 3 19 8 2 3 2" xfId="27607"/>
    <cellStyle name="Normal 3 19 8 2 4" xfId="10046"/>
    <cellStyle name="Normal 3 19 8 2 4 2" xfId="27608"/>
    <cellStyle name="Normal 3 19 8 2 5" xfId="10047"/>
    <cellStyle name="Normal 3 19 8 2 5 2" xfId="27609"/>
    <cellStyle name="Normal 3 19 8 2 6" xfId="10048"/>
    <cellStyle name="Normal 3 19 8 2 6 2" xfId="27610"/>
    <cellStyle name="Normal 3 19 8 2 7" xfId="10049"/>
    <cellStyle name="Normal 3 19 8 2 7 2" xfId="27611"/>
    <cellStyle name="Normal 3 19 8 2 8" xfId="10050"/>
    <cellStyle name="Normal 3 19 8 2 8 2" xfId="27612"/>
    <cellStyle name="Normal 3 19 8 2 9" xfId="10051"/>
    <cellStyle name="Normal 3 19 8 2 9 2" xfId="27613"/>
    <cellStyle name="Normal 3 19 8 3" xfId="10052"/>
    <cellStyle name="Normal 3 19 8 3 2" xfId="27614"/>
    <cellStyle name="Normal 3 19 8 4" xfId="10053"/>
    <cellStyle name="Normal 3 19 8 4 2" xfId="27615"/>
    <cellStyle name="Normal 3 19 8 5" xfId="10054"/>
    <cellStyle name="Normal 3 19 8 5 2" xfId="27616"/>
    <cellStyle name="Normal 3 19 8 6" xfId="10055"/>
    <cellStyle name="Normal 3 19 8 6 2" xfId="27617"/>
    <cellStyle name="Normal 3 19 8 7" xfId="10056"/>
    <cellStyle name="Normal 3 19 8 7 2" xfId="27618"/>
    <cellStyle name="Normal 3 19 8 8" xfId="10057"/>
    <cellStyle name="Normal 3 19 8 8 2" xfId="27619"/>
    <cellStyle name="Normal 3 19 8 9" xfId="10058"/>
    <cellStyle name="Normal 3 19 8 9 2" xfId="27620"/>
    <cellStyle name="Normal 3 19 9" xfId="10059"/>
    <cellStyle name="Normal 3 19 9 10" xfId="10060"/>
    <cellStyle name="Normal 3 19 9 10 2" xfId="27622"/>
    <cellStyle name="Normal 3 19 9 11" xfId="10061"/>
    <cellStyle name="Normal 3 19 9 11 2" xfId="27623"/>
    <cellStyle name="Normal 3 19 9 12" xfId="10062"/>
    <cellStyle name="Normal 3 19 9 12 2" xfId="27624"/>
    <cellStyle name="Normal 3 19 9 13" xfId="10063"/>
    <cellStyle name="Normal 3 19 9 13 2" xfId="27625"/>
    <cellStyle name="Normal 3 19 9 14" xfId="10064"/>
    <cellStyle name="Normal 3 19 9 14 2" xfId="27626"/>
    <cellStyle name="Normal 3 19 9 15" xfId="27621"/>
    <cellStyle name="Normal 3 19 9 2" xfId="10065"/>
    <cellStyle name="Normal 3 19 9 2 2" xfId="27627"/>
    <cellStyle name="Normal 3 19 9 3" xfId="10066"/>
    <cellStyle name="Normal 3 19 9 3 2" xfId="27628"/>
    <cellStyle name="Normal 3 19 9 4" xfId="10067"/>
    <cellStyle name="Normal 3 19 9 4 2" xfId="27629"/>
    <cellStyle name="Normal 3 19 9 5" xfId="10068"/>
    <cellStyle name="Normal 3 19 9 5 2" xfId="27630"/>
    <cellStyle name="Normal 3 19 9 6" xfId="10069"/>
    <cellStyle name="Normal 3 19 9 6 2" xfId="27631"/>
    <cellStyle name="Normal 3 19 9 7" xfId="10070"/>
    <cellStyle name="Normal 3 19 9 7 2" xfId="27632"/>
    <cellStyle name="Normal 3 19 9 8" xfId="10071"/>
    <cellStyle name="Normal 3 19 9 8 2" xfId="27633"/>
    <cellStyle name="Normal 3 19 9 9" xfId="10072"/>
    <cellStyle name="Normal 3 19 9 9 2" xfId="27634"/>
    <cellStyle name="Normal 3 2" xfId="53"/>
    <cellStyle name="Normal 3 2 10" xfId="177"/>
    <cellStyle name="Normal 3 2 10 2" xfId="502"/>
    <cellStyle name="Normal 3 2 11" xfId="10073"/>
    <cellStyle name="Normal 3 2 12" xfId="10074"/>
    <cellStyle name="Normal 3 2 13" xfId="10075"/>
    <cellStyle name="Normal 3 2 14" xfId="10076"/>
    <cellStyle name="Normal 3 2 15" xfId="10077"/>
    <cellStyle name="Normal 3 2 16" xfId="10078"/>
    <cellStyle name="Normal 3 2 17" xfId="10079"/>
    <cellStyle name="Normal 3 2 18" xfId="10080"/>
    <cellStyle name="Normal 3 2 19" xfId="10081"/>
    <cellStyle name="Normal 3 2 2" xfId="54"/>
    <cellStyle name="Normal 3 2 2 2" xfId="37668"/>
    <cellStyle name="Normal 3 2 2 3" xfId="27635"/>
    <cellStyle name="Normal 3 2 20" xfId="10082"/>
    <cellStyle name="Normal 3 2 21" xfId="10083"/>
    <cellStyle name="Normal 3 2 22" xfId="10084"/>
    <cellStyle name="Normal 3 2 23" xfId="10085"/>
    <cellStyle name="Normal 3 2 24" xfId="10086"/>
    <cellStyle name="Normal 3 2 25" xfId="10087"/>
    <cellStyle name="Normal 3 2 25 10" xfId="10088"/>
    <cellStyle name="Normal 3 2 25 10 2" xfId="27637"/>
    <cellStyle name="Normal 3 2 25 11" xfId="10089"/>
    <cellStyle name="Normal 3 2 25 11 2" xfId="27638"/>
    <cellStyle name="Normal 3 2 25 12" xfId="10090"/>
    <cellStyle name="Normal 3 2 25 12 2" xfId="27639"/>
    <cellStyle name="Normal 3 2 25 13" xfId="10091"/>
    <cellStyle name="Normal 3 2 25 13 2" xfId="27640"/>
    <cellStyle name="Normal 3 2 25 14" xfId="10092"/>
    <cellStyle name="Normal 3 2 25 14 2" xfId="27641"/>
    <cellStyle name="Normal 3 2 25 15" xfId="10093"/>
    <cellStyle name="Normal 3 2 25 15 2" xfId="27642"/>
    <cellStyle name="Normal 3 2 25 16" xfId="27636"/>
    <cellStyle name="Normal 3 2 25 2" xfId="10094"/>
    <cellStyle name="Normal 3 2 25 2 10" xfId="10095"/>
    <cellStyle name="Normal 3 2 25 2 10 2" xfId="27644"/>
    <cellStyle name="Normal 3 2 25 2 11" xfId="10096"/>
    <cellStyle name="Normal 3 2 25 2 11 2" xfId="27645"/>
    <cellStyle name="Normal 3 2 25 2 12" xfId="10097"/>
    <cellStyle name="Normal 3 2 25 2 12 2" xfId="27646"/>
    <cellStyle name="Normal 3 2 25 2 13" xfId="10098"/>
    <cellStyle name="Normal 3 2 25 2 13 2" xfId="27647"/>
    <cellStyle name="Normal 3 2 25 2 14" xfId="10099"/>
    <cellStyle name="Normal 3 2 25 2 14 2" xfId="27648"/>
    <cellStyle name="Normal 3 2 25 2 15" xfId="27643"/>
    <cellStyle name="Normal 3 2 25 2 2" xfId="10100"/>
    <cellStyle name="Normal 3 2 25 2 2 2" xfId="27649"/>
    <cellStyle name="Normal 3 2 25 2 3" xfId="10101"/>
    <cellStyle name="Normal 3 2 25 2 3 2" xfId="27650"/>
    <cellStyle name="Normal 3 2 25 2 4" xfId="10102"/>
    <cellStyle name="Normal 3 2 25 2 4 2" xfId="27651"/>
    <cellStyle name="Normal 3 2 25 2 5" xfId="10103"/>
    <cellStyle name="Normal 3 2 25 2 5 2" xfId="27652"/>
    <cellStyle name="Normal 3 2 25 2 6" xfId="10104"/>
    <cellStyle name="Normal 3 2 25 2 6 2" xfId="27653"/>
    <cellStyle name="Normal 3 2 25 2 7" xfId="10105"/>
    <cellStyle name="Normal 3 2 25 2 7 2" xfId="27654"/>
    <cellStyle name="Normal 3 2 25 2 8" xfId="10106"/>
    <cellStyle name="Normal 3 2 25 2 8 2" xfId="27655"/>
    <cellStyle name="Normal 3 2 25 2 9" xfId="10107"/>
    <cellStyle name="Normal 3 2 25 2 9 2" xfId="27656"/>
    <cellStyle name="Normal 3 2 25 3" xfId="10108"/>
    <cellStyle name="Normal 3 2 25 3 2" xfId="27657"/>
    <cellStyle name="Normal 3 2 25 4" xfId="10109"/>
    <cellStyle name="Normal 3 2 25 4 2" xfId="27658"/>
    <cellStyle name="Normal 3 2 25 5" xfId="10110"/>
    <cellStyle name="Normal 3 2 25 5 2" xfId="27659"/>
    <cellStyle name="Normal 3 2 25 6" xfId="10111"/>
    <cellStyle name="Normal 3 2 25 6 2" xfId="27660"/>
    <cellStyle name="Normal 3 2 25 7" xfId="10112"/>
    <cellStyle name="Normal 3 2 25 7 2" xfId="27661"/>
    <cellStyle name="Normal 3 2 25 8" xfId="10113"/>
    <cellStyle name="Normal 3 2 25 8 2" xfId="27662"/>
    <cellStyle name="Normal 3 2 25 9" xfId="10114"/>
    <cellStyle name="Normal 3 2 25 9 2" xfId="27663"/>
    <cellStyle name="Normal 3 2 26" xfId="10115"/>
    <cellStyle name="Normal 3 2 26 10" xfId="10116"/>
    <cellStyle name="Normal 3 2 26 10 2" xfId="27665"/>
    <cellStyle name="Normal 3 2 26 11" xfId="10117"/>
    <cellStyle name="Normal 3 2 26 11 2" xfId="27666"/>
    <cellStyle name="Normal 3 2 26 12" xfId="10118"/>
    <cellStyle name="Normal 3 2 26 12 2" xfId="27667"/>
    <cellStyle name="Normal 3 2 26 13" xfId="10119"/>
    <cellStyle name="Normal 3 2 26 13 2" xfId="27668"/>
    <cellStyle name="Normal 3 2 26 14" xfId="10120"/>
    <cellStyle name="Normal 3 2 26 14 2" xfId="27669"/>
    <cellStyle name="Normal 3 2 26 15" xfId="10121"/>
    <cellStyle name="Normal 3 2 26 15 2" xfId="27670"/>
    <cellStyle name="Normal 3 2 26 16" xfId="27664"/>
    <cellStyle name="Normal 3 2 26 2" xfId="10122"/>
    <cellStyle name="Normal 3 2 26 2 10" xfId="10123"/>
    <cellStyle name="Normal 3 2 26 2 10 2" xfId="27672"/>
    <cellStyle name="Normal 3 2 26 2 11" xfId="10124"/>
    <cellStyle name="Normal 3 2 26 2 11 2" xfId="27673"/>
    <cellStyle name="Normal 3 2 26 2 12" xfId="10125"/>
    <cellStyle name="Normal 3 2 26 2 12 2" xfId="27674"/>
    <cellStyle name="Normal 3 2 26 2 13" xfId="10126"/>
    <cellStyle name="Normal 3 2 26 2 13 2" xfId="27675"/>
    <cellStyle name="Normal 3 2 26 2 14" xfId="10127"/>
    <cellStyle name="Normal 3 2 26 2 14 2" xfId="27676"/>
    <cellStyle name="Normal 3 2 26 2 15" xfId="27671"/>
    <cellStyle name="Normal 3 2 26 2 2" xfId="10128"/>
    <cellStyle name="Normal 3 2 26 2 2 2" xfId="27677"/>
    <cellStyle name="Normal 3 2 26 2 3" xfId="10129"/>
    <cellStyle name="Normal 3 2 26 2 3 2" xfId="27678"/>
    <cellStyle name="Normal 3 2 26 2 4" xfId="10130"/>
    <cellStyle name="Normal 3 2 26 2 4 2" xfId="27679"/>
    <cellStyle name="Normal 3 2 26 2 5" xfId="10131"/>
    <cellStyle name="Normal 3 2 26 2 5 2" xfId="27680"/>
    <cellStyle name="Normal 3 2 26 2 6" xfId="10132"/>
    <cellStyle name="Normal 3 2 26 2 6 2" xfId="27681"/>
    <cellStyle name="Normal 3 2 26 2 7" xfId="10133"/>
    <cellStyle name="Normal 3 2 26 2 7 2" xfId="27682"/>
    <cellStyle name="Normal 3 2 26 2 8" xfId="10134"/>
    <cellStyle name="Normal 3 2 26 2 8 2" xfId="27683"/>
    <cellStyle name="Normal 3 2 26 2 9" xfId="10135"/>
    <cellStyle name="Normal 3 2 26 2 9 2" xfId="27684"/>
    <cellStyle name="Normal 3 2 26 3" xfId="10136"/>
    <cellStyle name="Normal 3 2 26 3 2" xfId="27685"/>
    <cellStyle name="Normal 3 2 26 4" xfId="10137"/>
    <cellStyle name="Normal 3 2 26 4 2" xfId="27686"/>
    <cellStyle name="Normal 3 2 26 5" xfId="10138"/>
    <cellStyle name="Normal 3 2 26 5 2" xfId="27687"/>
    <cellStyle name="Normal 3 2 26 6" xfId="10139"/>
    <cellStyle name="Normal 3 2 26 6 2" xfId="27688"/>
    <cellStyle name="Normal 3 2 26 7" xfId="10140"/>
    <cellStyle name="Normal 3 2 26 7 2" xfId="27689"/>
    <cellStyle name="Normal 3 2 26 8" xfId="10141"/>
    <cellStyle name="Normal 3 2 26 8 2" xfId="27690"/>
    <cellStyle name="Normal 3 2 26 9" xfId="10142"/>
    <cellStyle name="Normal 3 2 26 9 2" xfId="27691"/>
    <cellStyle name="Normal 3 2 27" xfId="10143"/>
    <cellStyle name="Normal 3 2 27 10" xfId="10144"/>
    <cellStyle name="Normal 3 2 27 10 2" xfId="27693"/>
    <cellStyle name="Normal 3 2 27 11" xfId="10145"/>
    <cellStyle name="Normal 3 2 27 11 2" xfId="27694"/>
    <cellStyle name="Normal 3 2 27 12" xfId="10146"/>
    <cellStyle name="Normal 3 2 27 12 2" xfId="27695"/>
    <cellStyle name="Normal 3 2 27 13" xfId="10147"/>
    <cellStyle name="Normal 3 2 27 13 2" xfId="27696"/>
    <cellStyle name="Normal 3 2 27 14" xfId="10148"/>
    <cellStyle name="Normal 3 2 27 14 2" xfId="27697"/>
    <cellStyle name="Normal 3 2 27 15" xfId="10149"/>
    <cellStyle name="Normal 3 2 27 15 2" xfId="27698"/>
    <cellStyle name="Normal 3 2 27 16" xfId="27692"/>
    <cellStyle name="Normal 3 2 27 2" xfId="10150"/>
    <cellStyle name="Normal 3 2 27 2 10" xfId="10151"/>
    <cellStyle name="Normal 3 2 27 2 10 2" xfId="27700"/>
    <cellStyle name="Normal 3 2 27 2 11" xfId="10152"/>
    <cellStyle name="Normal 3 2 27 2 11 2" xfId="27701"/>
    <cellStyle name="Normal 3 2 27 2 12" xfId="10153"/>
    <cellStyle name="Normal 3 2 27 2 12 2" xfId="27702"/>
    <cellStyle name="Normal 3 2 27 2 13" xfId="10154"/>
    <cellStyle name="Normal 3 2 27 2 13 2" xfId="27703"/>
    <cellStyle name="Normal 3 2 27 2 14" xfId="10155"/>
    <cellStyle name="Normal 3 2 27 2 14 2" xfId="27704"/>
    <cellStyle name="Normal 3 2 27 2 15" xfId="27699"/>
    <cellStyle name="Normal 3 2 27 2 2" xfId="10156"/>
    <cellStyle name="Normal 3 2 27 2 2 2" xfId="27705"/>
    <cellStyle name="Normal 3 2 27 2 3" xfId="10157"/>
    <cellStyle name="Normal 3 2 27 2 3 2" xfId="27706"/>
    <cellStyle name="Normal 3 2 27 2 4" xfId="10158"/>
    <cellStyle name="Normal 3 2 27 2 4 2" xfId="27707"/>
    <cellStyle name="Normal 3 2 27 2 5" xfId="10159"/>
    <cellStyle name="Normal 3 2 27 2 5 2" xfId="27708"/>
    <cellStyle name="Normal 3 2 27 2 6" xfId="10160"/>
    <cellStyle name="Normal 3 2 27 2 6 2" xfId="27709"/>
    <cellStyle name="Normal 3 2 27 2 7" xfId="10161"/>
    <cellStyle name="Normal 3 2 27 2 7 2" xfId="27710"/>
    <cellStyle name="Normal 3 2 27 2 8" xfId="10162"/>
    <cellStyle name="Normal 3 2 27 2 8 2" xfId="27711"/>
    <cellStyle name="Normal 3 2 27 2 9" xfId="10163"/>
    <cellStyle name="Normal 3 2 27 2 9 2" xfId="27712"/>
    <cellStyle name="Normal 3 2 27 3" xfId="10164"/>
    <cellStyle name="Normal 3 2 27 3 2" xfId="27713"/>
    <cellStyle name="Normal 3 2 27 4" xfId="10165"/>
    <cellStyle name="Normal 3 2 27 4 2" xfId="27714"/>
    <cellStyle name="Normal 3 2 27 5" xfId="10166"/>
    <cellStyle name="Normal 3 2 27 5 2" xfId="27715"/>
    <cellStyle name="Normal 3 2 27 6" xfId="10167"/>
    <cellStyle name="Normal 3 2 27 6 2" xfId="27716"/>
    <cellStyle name="Normal 3 2 27 7" xfId="10168"/>
    <cellStyle name="Normal 3 2 27 7 2" xfId="27717"/>
    <cellStyle name="Normal 3 2 27 8" xfId="10169"/>
    <cellStyle name="Normal 3 2 27 8 2" xfId="27718"/>
    <cellStyle name="Normal 3 2 27 9" xfId="10170"/>
    <cellStyle name="Normal 3 2 27 9 2" xfId="27719"/>
    <cellStyle name="Normal 3 2 28" xfId="10171"/>
    <cellStyle name="Normal 3 2 28 10" xfId="10172"/>
    <cellStyle name="Normal 3 2 28 10 2" xfId="27721"/>
    <cellStyle name="Normal 3 2 28 11" xfId="10173"/>
    <cellStyle name="Normal 3 2 28 11 2" xfId="27722"/>
    <cellStyle name="Normal 3 2 28 12" xfId="10174"/>
    <cellStyle name="Normal 3 2 28 12 2" xfId="27723"/>
    <cellStyle name="Normal 3 2 28 13" xfId="10175"/>
    <cellStyle name="Normal 3 2 28 13 2" xfId="27724"/>
    <cellStyle name="Normal 3 2 28 14" xfId="10176"/>
    <cellStyle name="Normal 3 2 28 14 2" xfId="27725"/>
    <cellStyle name="Normal 3 2 28 15" xfId="27720"/>
    <cellStyle name="Normal 3 2 28 2" xfId="10177"/>
    <cellStyle name="Normal 3 2 28 2 2" xfId="27726"/>
    <cellStyle name="Normal 3 2 28 3" xfId="10178"/>
    <cellStyle name="Normal 3 2 28 3 2" xfId="27727"/>
    <cellStyle name="Normal 3 2 28 4" xfId="10179"/>
    <cellStyle name="Normal 3 2 28 4 2" xfId="27728"/>
    <cellStyle name="Normal 3 2 28 5" xfId="10180"/>
    <cellStyle name="Normal 3 2 28 5 2" xfId="27729"/>
    <cellStyle name="Normal 3 2 28 6" xfId="10181"/>
    <cellStyle name="Normal 3 2 28 6 2" xfId="27730"/>
    <cellStyle name="Normal 3 2 28 7" xfId="10182"/>
    <cellStyle name="Normal 3 2 28 7 2" xfId="27731"/>
    <cellStyle name="Normal 3 2 28 8" xfId="10183"/>
    <cellStyle name="Normal 3 2 28 8 2" xfId="27732"/>
    <cellStyle name="Normal 3 2 28 9" xfId="10184"/>
    <cellStyle name="Normal 3 2 28 9 2" xfId="27733"/>
    <cellStyle name="Normal 3 2 29" xfId="10185"/>
    <cellStyle name="Normal 3 2 29 10" xfId="10186"/>
    <cellStyle name="Normal 3 2 29 10 2" xfId="27735"/>
    <cellStyle name="Normal 3 2 29 11" xfId="10187"/>
    <cellStyle name="Normal 3 2 29 11 2" xfId="27736"/>
    <cellStyle name="Normal 3 2 29 12" xfId="10188"/>
    <cellStyle name="Normal 3 2 29 12 2" xfId="27737"/>
    <cellStyle name="Normal 3 2 29 13" xfId="10189"/>
    <cellStyle name="Normal 3 2 29 13 2" xfId="27738"/>
    <cellStyle name="Normal 3 2 29 14" xfId="10190"/>
    <cellStyle name="Normal 3 2 29 14 2" xfId="27739"/>
    <cellStyle name="Normal 3 2 29 15" xfId="27734"/>
    <cellStyle name="Normal 3 2 29 2" xfId="10191"/>
    <cellStyle name="Normal 3 2 29 2 2" xfId="27740"/>
    <cellStyle name="Normal 3 2 29 3" xfId="10192"/>
    <cellStyle name="Normal 3 2 29 3 2" xfId="27741"/>
    <cellStyle name="Normal 3 2 29 4" xfId="10193"/>
    <cellStyle name="Normal 3 2 29 4 2" xfId="27742"/>
    <cellStyle name="Normal 3 2 29 5" xfId="10194"/>
    <cellStyle name="Normal 3 2 29 5 2" xfId="27743"/>
    <cellStyle name="Normal 3 2 29 6" xfId="10195"/>
    <cellStyle name="Normal 3 2 29 6 2" xfId="27744"/>
    <cellStyle name="Normal 3 2 29 7" xfId="10196"/>
    <cellStyle name="Normal 3 2 29 7 2" xfId="27745"/>
    <cellStyle name="Normal 3 2 29 8" xfId="10197"/>
    <cellStyle name="Normal 3 2 29 8 2" xfId="27746"/>
    <cellStyle name="Normal 3 2 29 9" xfId="10198"/>
    <cellStyle name="Normal 3 2 29 9 2" xfId="27747"/>
    <cellStyle name="Normal 3 2 3" xfId="55"/>
    <cellStyle name="Normal 3 2 3 10" xfId="10199"/>
    <cellStyle name="Normal 3 2 3 10 2" xfId="27749"/>
    <cellStyle name="Normal 3 2 3 11" xfId="10200"/>
    <cellStyle name="Normal 3 2 3 11 2" xfId="27750"/>
    <cellStyle name="Normal 3 2 3 12" xfId="10201"/>
    <cellStyle name="Normal 3 2 3 12 2" xfId="27751"/>
    <cellStyle name="Normal 3 2 3 13" xfId="10202"/>
    <cellStyle name="Normal 3 2 3 13 2" xfId="27752"/>
    <cellStyle name="Normal 3 2 3 14" xfId="10203"/>
    <cellStyle name="Normal 3 2 3 14 2" xfId="27753"/>
    <cellStyle name="Normal 3 2 3 15" xfId="10204"/>
    <cellStyle name="Normal 3 2 3 15 2" xfId="27754"/>
    <cellStyle name="Normal 3 2 3 16" xfId="10205"/>
    <cellStyle name="Normal 3 2 3 16 2" xfId="27755"/>
    <cellStyle name="Normal 3 2 3 17" xfId="10206"/>
    <cellStyle name="Normal 3 2 3 17 2" xfId="27756"/>
    <cellStyle name="Normal 3 2 3 18" xfId="37669"/>
    <cellStyle name="Normal 3 2 3 19" xfId="27748"/>
    <cellStyle name="Normal 3 2 3 2" xfId="10207"/>
    <cellStyle name="Normal 3 2 3 3" xfId="10208"/>
    <cellStyle name="Normal 3 2 3 4" xfId="10209"/>
    <cellStyle name="Normal 3 2 3 5" xfId="10210"/>
    <cellStyle name="Normal 3 2 3 5 2" xfId="27757"/>
    <cellStyle name="Normal 3 2 3 6" xfId="10211"/>
    <cellStyle name="Normal 3 2 3 6 2" xfId="27758"/>
    <cellStyle name="Normal 3 2 3 7" xfId="10212"/>
    <cellStyle name="Normal 3 2 3 7 2" xfId="27759"/>
    <cellStyle name="Normal 3 2 3 8" xfId="10213"/>
    <cellStyle name="Normal 3 2 3 8 2" xfId="27760"/>
    <cellStyle name="Normal 3 2 3 9" xfId="10214"/>
    <cellStyle name="Normal 3 2 3 9 2" xfId="27761"/>
    <cellStyle name="Normal 3 2 30" xfId="10215"/>
    <cellStyle name="Normal 3 2 30 10" xfId="10216"/>
    <cellStyle name="Normal 3 2 30 10 2" xfId="27763"/>
    <cellStyle name="Normal 3 2 30 11" xfId="10217"/>
    <cellStyle name="Normal 3 2 30 11 2" xfId="27764"/>
    <cellStyle name="Normal 3 2 30 12" xfId="10218"/>
    <cellStyle name="Normal 3 2 30 12 2" xfId="27765"/>
    <cellStyle name="Normal 3 2 30 13" xfId="10219"/>
    <cellStyle name="Normal 3 2 30 13 2" xfId="27766"/>
    <cellStyle name="Normal 3 2 30 14" xfId="10220"/>
    <cellStyle name="Normal 3 2 30 14 2" xfId="27767"/>
    <cellStyle name="Normal 3 2 30 15" xfId="27762"/>
    <cellStyle name="Normal 3 2 30 2" xfId="10221"/>
    <cellStyle name="Normal 3 2 30 2 2" xfId="27768"/>
    <cellStyle name="Normal 3 2 30 3" xfId="10222"/>
    <cellStyle name="Normal 3 2 30 3 2" xfId="27769"/>
    <cellStyle name="Normal 3 2 30 4" xfId="10223"/>
    <cellStyle name="Normal 3 2 30 4 2" xfId="27770"/>
    <cellStyle name="Normal 3 2 30 5" xfId="10224"/>
    <cellStyle name="Normal 3 2 30 5 2" xfId="27771"/>
    <cellStyle name="Normal 3 2 30 6" xfId="10225"/>
    <cellStyle name="Normal 3 2 30 6 2" xfId="27772"/>
    <cellStyle name="Normal 3 2 30 7" xfId="10226"/>
    <cellStyle name="Normal 3 2 30 7 2" xfId="27773"/>
    <cellStyle name="Normal 3 2 30 8" xfId="10227"/>
    <cellStyle name="Normal 3 2 30 8 2" xfId="27774"/>
    <cellStyle name="Normal 3 2 30 9" xfId="10228"/>
    <cellStyle name="Normal 3 2 30 9 2" xfId="27775"/>
    <cellStyle name="Normal 3 2 31" xfId="10229"/>
    <cellStyle name="Normal 3 2 31 10" xfId="10230"/>
    <cellStyle name="Normal 3 2 31 10 2" xfId="27777"/>
    <cellStyle name="Normal 3 2 31 11" xfId="10231"/>
    <cellStyle name="Normal 3 2 31 11 2" xfId="27778"/>
    <cellStyle name="Normal 3 2 31 12" xfId="10232"/>
    <cellStyle name="Normal 3 2 31 12 2" xfId="27779"/>
    <cellStyle name="Normal 3 2 31 13" xfId="10233"/>
    <cellStyle name="Normal 3 2 31 13 2" xfId="27780"/>
    <cellStyle name="Normal 3 2 31 14" xfId="10234"/>
    <cellStyle name="Normal 3 2 31 14 2" xfId="27781"/>
    <cellStyle name="Normal 3 2 31 15" xfId="27776"/>
    <cellStyle name="Normal 3 2 31 2" xfId="10235"/>
    <cellStyle name="Normal 3 2 31 2 2" xfId="27782"/>
    <cellStyle name="Normal 3 2 31 3" xfId="10236"/>
    <cellStyle name="Normal 3 2 31 3 2" xfId="27783"/>
    <cellStyle name="Normal 3 2 31 4" xfId="10237"/>
    <cellStyle name="Normal 3 2 31 4 2" xfId="27784"/>
    <cellStyle name="Normal 3 2 31 5" xfId="10238"/>
    <cellStyle name="Normal 3 2 31 5 2" xfId="27785"/>
    <cellStyle name="Normal 3 2 31 6" xfId="10239"/>
    <cellStyle name="Normal 3 2 31 6 2" xfId="27786"/>
    <cellStyle name="Normal 3 2 31 7" xfId="10240"/>
    <cellStyle name="Normal 3 2 31 7 2" xfId="27787"/>
    <cellStyle name="Normal 3 2 31 8" xfId="10241"/>
    <cellStyle name="Normal 3 2 31 8 2" xfId="27788"/>
    <cellStyle name="Normal 3 2 31 9" xfId="10242"/>
    <cellStyle name="Normal 3 2 31 9 2" xfId="27789"/>
    <cellStyle name="Normal 3 2 32" xfId="10243"/>
    <cellStyle name="Normal 3 2 32 10" xfId="10244"/>
    <cellStyle name="Normal 3 2 32 10 2" xfId="27791"/>
    <cellStyle name="Normal 3 2 32 11" xfId="10245"/>
    <cellStyle name="Normal 3 2 32 11 2" xfId="27792"/>
    <cellStyle name="Normal 3 2 32 12" xfId="10246"/>
    <cellStyle name="Normal 3 2 32 12 2" xfId="27793"/>
    <cellStyle name="Normal 3 2 32 13" xfId="10247"/>
    <cellStyle name="Normal 3 2 32 13 2" xfId="27794"/>
    <cellStyle name="Normal 3 2 32 14" xfId="10248"/>
    <cellStyle name="Normal 3 2 32 14 2" xfId="27795"/>
    <cellStyle name="Normal 3 2 32 15" xfId="27790"/>
    <cellStyle name="Normal 3 2 32 2" xfId="10249"/>
    <cellStyle name="Normal 3 2 32 2 2" xfId="27796"/>
    <cellStyle name="Normal 3 2 32 3" xfId="10250"/>
    <cellStyle name="Normal 3 2 32 3 2" xfId="27797"/>
    <cellStyle name="Normal 3 2 32 4" xfId="10251"/>
    <cellStyle name="Normal 3 2 32 4 2" xfId="27798"/>
    <cellStyle name="Normal 3 2 32 5" xfId="10252"/>
    <cellStyle name="Normal 3 2 32 5 2" xfId="27799"/>
    <cellStyle name="Normal 3 2 32 6" xfId="10253"/>
    <cellStyle name="Normal 3 2 32 6 2" xfId="27800"/>
    <cellStyle name="Normal 3 2 32 7" xfId="10254"/>
    <cellStyle name="Normal 3 2 32 7 2" xfId="27801"/>
    <cellStyle name="Normal 3 2 32 8" xfId="10255"/>
    <cellStyle name="Normal 3 2 32 8 2" xfId="27802"/>
    <cellStyle name="Normal 3 2 32 9" xfId="10256"/>
    <cellStyle name="Normal 3 2 32 9 2" xfId="27803"/>
    <cellStyle name="Normal 3 2 33" xfId="10257"/>
    <cellStyle name="Normal 3 2 33 10" xfId="10258"/>
    <cellStyle name="Normal 3 2 33 10 2" xfId="27805"/>
    <cellStyle name="Normal 3 2 33 11" xfId="10259"/>
    <cellStyle name="Normal 3 2 33 11 2" xfId="27806"/>
    <cellStyle name="Normal 3 2 33 12" xfId="10260"/>
    <cellStyle name="Normal 3 2 33 12 2" xfId="27807"/>
    <cellStyle name="Normal 3 2 33 13" xfId="10261"/>
    <cellStyle name="Normal 3 2 33 13 2" xfId="27808"/>
    <cellStyle name="Normal 3 2 33 14" xfId="10262"/>
    <cellStyle name="Normal 3 2 33 14 2" xfId="27809"/>
    <cellStyle name="Normal 3 2 33 15" xfId="27804"/>
    <cellStyle name="Normal 3 2 33 2" xfId="10263"/>
    <cellStyle name="Normal 3 2 33 2 2" xfId="27810"/>
    <cellStyle name="Normal 3 2 33 3" xfId="10264"/>
    <cellStyle name="Normal 3 2 33 3 2" xfId="27811"/>
    <cellStyle name="Normal 3 2 33 4" xfId="10265"/>
    <cellStyle name="Normal 3 2 33 4 2" xfId="27812"/>
    <cellStyle name="Normal 3 2 33 5" xfId="10266"/>
    <cellStyle name="Normal 3 2 33 5 2" xfId="27813"/>
    <cellStyle name="Normal 3 2 33 6" xfId="10267"/>
    <cellStyle name="Normal 3 2 33 6 2" xfId="27814"/>
    <cellStyle name="Normal 3 2 33 7" xfId="10268"/>
    <cellStyle name="Normal 3 2 33 7 2" xfId="27815"/>
    <cellStyle name="Normal 3 2 33 8" xfId="10269"/>
    <cellStyle name="Normal 3 2 33 8 2" xfId="27816"/>
    <cellStyle name="Normal 3 2 33 9" xfId="10270"/>
    <cellStyle name="Normal 3 2 33 9 2" xfId="27817"/>
    <cellStyle name="Normal 3 2 34" xfId="10271"/>
    <cellStyle name="Normal 3 2 35" xfId="10272"/>
    <cellStyle name="Normal 3 2 36" xfId="10273"/>
    <cellStyle name="Normal 3 2 36 10" xfId="10274"/>
    <cellStyle name="Normal 3 2 36 10 2" xfId="27819"/>
    <cellStyle name="Normal 3 2 36 11" xfId="10275"/>
    <cellStyle name="Normal 3 2 36 11 2" xfId="27820"/>
    <cellStyle name="Normal 3 2 36 12" xfId="10276"/>
    <cellStyle name="Normal 3 2 36 12 2" xfId="27821"/>
    <cellStyle name="Normal 3 2 36 13" xfId="10277"/>
    <cellStyle name="Normal 3 2 36 13 2" xfId="27822"/>
    <cellStyle name="Normal 3 2 36 14" xfId="10278"/>
    <cellStyle name="Normal 3 2 36 14 2" xfId="27823"/>
    <cellStyle name="Normal 3 2 36 15" xfId="27818"/>
    <cellStyle name="Normal 3 2 36 2" xfId="10279"/>
    <cellStyle name="Normal 3 2 36 2 2" xfId="27824"/>
    <cellStyle name="Normal 3 2 36 3" xfId="10280"/>
    <cellStyle name="Normal 3 2 36 3 2" xfId="27825"/>
    <cellStyle name="Normal 3 2 36 4" xfId="10281"/>
    <cellStyle name="Normal 3 2 36 4 2" xfId="27826"/>
    <cellStyle name="Normal 3 2 36 5" xfId="10282"/>
    <cellStyle name="Normal 3 2 36 5 2" xfId="27827"/>
    <cellStyle name="Normal 3 2 36 6" xfId="10283"/>
    <cellStyle name="Normal 3 2 36 6 2" xfId="27828"/>
    <cellStyle name="Normal 3 2 36 7" xfId="10284"/>
    <cellStyle name="Normal 3 2 36 7 2" xfId="27829"/>
    <cellStyle name="Normal 3 2 36 8" xfId="10285"/>
    <cellStyle name="Normal 3 2 36 8 2" xfId="27830"/>
    <cellStyle name="Normal 3 2 36 9" xfId="10286"/>
    <cellStyle name="Normal 3 2 36 9 2" xfId="27831"/>
    <cellStyle name="Normal 3 2 37" xfId="10287"/>
    <cellStyle name="Normal 3 2 37 10" xfId="10288"/>
    <cellStyle name="Normal 3 2 37 10 2" xfId="27833"/>
    <cellStyle name="Normal 3 2 37 11" xfId="10289"/>
    <cellStyle name="Normal 3 2 37 11 2" xfId="27834"/>
    <cellStyle name="Normal 3 2 37 12" xfId="10290"/>
    <cellStyle name="Normal 3 2 37 12 2" xfId="27835"/>
    <cellStyle name="Normal 3 2 37 13" xfId="10291"/>
    <cellStyle name="Normal 3 2 37 13 2" xfId="27836"/>
    <cellStyle name="Normal 3 2 37 14" xfId="10292"/>
    <cellStyle name="Normal 3 2 37 14 2" xfId="27837"/>
    <cellStyle name="Normal 3 2 37 15" xfId="27832"/>
    <cellStyle name="Normal 3 2 37 2" xfId="10293"/>
    <cellStyle name="Normal 3 2 37 2 2" xfId="27838"/>
    <cellStyle name="Normal 3 2 37 3" xfId="10294"/>
    <cellStyle name="Normal 3 2 37 3 2" xfId="27839"/>
    <cellStyle name="Normal 3 2 37 4" xfId="10295"/>
    <cellStyle name="Normal 3 2 37 4 2" xfId="27840"/>
    <cellStyle name="Normal 3 2 37 5" xfId="10296"/>
    <cellStyle name="Normal 3 2 37 5 2" xfId="27841"/>
    <cellStyle name="Normal 3 2 37 6" xfId="10297"/>
    <cellStyle name="Normal 3 2 37 6 2" xfId="27842"/>
    <cellStyle name="Normal 3 2 37 7" xfId="10298"/>
    <cellStyle name="Normal 3 2 37 7 2" xfId="27843"/>
    <cellStyle name="Normal 3 2 37 8" xfId="10299"/>
    <cellStyle name="Normal 3 2 37 8 2" xfId="27844"/>
    <cellStyle name="Normal 3 2 37 9" xfId="10300"/>
    <cellStyle name="Normal 3 2 37 9 2" xfId="27845"/>
    <cellStyle name="Normal 3 2 38" xfId="37667"/>
    <cellStyle name="Normal 3 2 4" xfId="56"/>
    <cellStyle name="Normal 3 2 4 2" xfId="37670"/>
    <cellStyle name="Normal 3 2 4 3" xfId="27846"/>
    <cellStyle name="Normal 3 2 5" xfId="57"/>
    <cellStyle name="Normal 3 2 5 2" xfId="37671"/>
    <cellStyle name="Normal 3 2 5 3" xfId="27847"/>
    <cellStyle name="Normal 3 2 6" xfId="58"/>
    <cellStyle name="Normal 3 2 6 2" xfId="37672"/>
    <cellStyle name="Normal 3 2 6 3" xfId="27848"/>
    <cellStyle name="Normal 3 2 7" xfId="59"/>
    <cellStyle name="Normal 3 2 7 2" xfId="37673"/>
    <cellStyle name="Normal 3 2 7 3" xfId="27849"/>
    <cellStyle name="Normal 3 2 8" xfId="60"/>
    <cellStyle name="Normal 3 2 8 2" xfId="37674"/>
    <cellStyle name="Normal 3 2 8 3" xfId="27850"/>
    <cellStyle name="Normal 3 2 9" xfId="61"/>
    <cellStyle name="Normal 3 2 9 2" xfId="37675"/>
    <cellStyle name="Normal 3 2 9 3" xfId="27851"/>
    <cellStyle name="Normal 3 20" xfId="10301"/>
    <cellStyle name="Normal 3 20 10" xfId="10302"/>
    <cellStyle name="Normal 3 20 10 10" xfId="10303"/>
    <cellStyle name="Normal 3 20 10 10 2" xfId="27854"/>
    <cellStyle name="Normal 3 20 10 11" xfId="10304"/>
    <cellStyle name="Normal 3 20 10 11 2" xfId="27855"/>
    <cellStyle name="Normal 3 20 10 12" xfId="10305"/>
    <cellStyle name="Normal 3 20 10 12 2" xfId="27856"/>
    <cellStyle name="Normal 3 20 10 13" xfId="10306"/>
    <cellStyle name="Normal 3 20 10 13 2" xfId="27857"/>
    <cellStyle name="Normal 3 20 10 14" xfId="10307"/>
    <cellStyle name="Normal 3 20 10 14 2" xfId="27858"/>
    <cellStyle name="Normal 3 20 10 15" xfId="27853"/>
    <cellStyle name="Normal 3 20 10 2" xfId="10308"/>
    <cellStyle name="Normal 3 20 10 2 2" xfId="27859"/>
    <cellStyle name="Normal 3 20 10 3" xfId="10309"/>
    <cellStyle name="Normal 3 20 10 3 2" xfId="27860"/>
    <cellStyle name="Normal 3 20 10 4" xfId="10310"/>
    <cellStyle name="Normal 3 20 10 4 2" xfId="27861"/>
    <cellStyle name="Normal 3 20 10 5" xfId="10311"/>
    <cellStyle name="Normal 3 20 10 5 2" xfId="27862"/>
    <cellStyle name="Normal 3 20 10 6" xfId="10312"/>
    <cellStyle name="Normal 3 20 10 6 2" xfId="27863"/>
    <cellStyle name="Normal 3 20 10 7" xfId="10313"/>
    <cellStyle name="Normal 3 20 10 7 2" xfId="27864"/>
    <cellStyle name="Normal 3 20 10 8" xfId="10314"/>
    <cellStyle name="Normal 3 20 10 8 2" xfId="27865"/>
    <cellStyle name="Normal 3 20 10 9" xfId="10315"/>
    <cellStyle name="Normal 3 20 10 9 2" xfId="27866"/>
    <cellStyle name="Normal 3 20 11" xfId="10316"/>
    <cellStyle name="Normal 3 20 11 10" xfId="10317"/>
    <cellStyle name="Normal 3 20 11 10 2" xfId="27868"/>
    <cellStyle name="Normal 3 20 11 11" xfId="10318"/>
    <cellStyle name="Normal 3 20 11 11 2" xfId="27869"/>
    <cellStyle name="Normal 3 20 11 12" xfId="10319"/>
    <cellStyle name="Normal 3 20 11 12 2" xfId="27870"/>
    <cellStyle name="Normal 3 20 11 13" xfId="10320"/>
    <cellStyle name="Normal 3 20 11 13 2" xfId="27871"/>
    <cellStyle name="Normal 3 20 11 14" xfId="10321"/>
    <cellStyle name="Normal 3 20 11 14 2" xfId="27872"/>
    <cellStyle name="Normal 3 20 11 15" xfId="27867"/>
    <cellStyle name="Normal 3 20 11 2" xfId="10322"/>
    <cellStyle name="Normal 3 20 11 2 2" xfId="27873"/>
    <cellStyle name="Normal 3 20 11 3" xfId="10323"/>
    <cellStyle name="Normal 3 20 11 3 2" xfId="27874"/>
    <cellStyle name="Normal 3 20 11 4" xfId="10324"/>
    <cellStyle name="Normal 3 20 11 4 2" xfId="27875"/>
    <cellStyle name="Normal 3 20 11 5" xfId="10325"/>
    <cellStyle name="Normal 3 20 11 5 2" xfId="27876"/>
    <cellStyle name="Normal 3 20 11 6" xfId="10326"/>
    <cellStyle name="Normal 3 20 11 6 2" xfId="27877"/>
    <cellStyle name="Normal 3 20 11 7" xfId="10327"/>
    <cellStyle name="Normal 3 20 11 7 2" xfId="27878"/>
    <cellStyle name="Normal 3 20 11 8" xfId="10328"/>
    <cellStyle name="Normal 3 20 11 8 2" xfId="27879"/>
    <cellStyle name="Normal 3 20 11 9" xfId="10329"/>
    <cellStyle name="Normal 3 20 11 9 2" xfId="27880"/>
    <cellStyle name="Normal 3 20 12" xfId="10330"/>
    <cellStyle name="Normal 3 20 12 10" xfId="10331"/>
    <cellStyle name="Normal 3 20 12 10 2" xfId="27882"/>
    <cellStyle name="Normal 3 20 12 11" xfId="10332"/>
    <cellStyle name="Normal 3 20 12 11 2" xfId="27883"/>
    <cellStyle name="Normal 3 20 12 12" xfId="10333"/>
    <cellStyle name="Normal 3 20 12 12 2" xfId="27884"/>
    <cellStyle name="Normal 3 20 12 13" xfId="10334"/>
    <cellStyle name="Normal 3 20 12 13 2" xfId="27885"/>
    <cellStyle name="Normal 3 20 12 14" xfId="10335"/>
    <cellStyle name="Normal 3 20 12 14 2" xfId="27886"/>
    <cellStyle name="Normal 3 20 12 15" xfId="27881"/>
    <cellStyle name="Normal 3 20 12 2" xfId="10336"/>
    <cellStyle name="Normal 3 20 12 2 2" xfId="27887"/>
    <cellStyle name="Normal 3 20 12 3" xfId="10337"/>
    <cellStyle name="Normal 3 20 12 3 2" xfId="27888"/>
    <cellStyle name="Normal 3 20 12 4" xfId="10338"/>
    <cellStyle name="Normal 3 20 12 4 2" xfId="27889"/>
    <cellStyle name="Normal 3 20 12 5" xfId="10339"/>
    <cellStyle name="Normal 3 20 12 5 2" xfId="27890"/>
    <cellStyle name="Normal 3 20 12 6" xfId="10340"/>
    <cellStyle name="Normal 3 20 12 6 2" xfId="27891"/>
    <cellStyle name="Normal 3 20 12 7" xfId="10341"/>
    <cellStyle name="Normal 3 20 12 7 2" xfId="27892"/>
    <cellStyle name="Normal 3 20 12 8" xfId="10342"/>
    <cellStyle name="Normal 3 20 12 8 2" xfId="27893"/>
    <cellStyle name="Normal 3 20 12 9" xfId="10343"/>
    <cellStyle name="Normal 3 20 12 9 2" xfId="27894"/>
    <cellStyle name="Normal 3 20 13" xfId="10344"/>
    <cellStyle name="Normal 3 20 13 10" xfId="10345"/>
    <cellStyle name="Normal 3 20 13 10 2" xfId="27896"/>
    <cellStyle name="Normal 3 20 13 11" xfId="10346"/>
    <cellStyle name="Normal 3 20 13 11 2" xfId="27897"/>
    <cellStyle name="Normal 3 20 13 12" xfId="10347"/>
    <cellStyle name="Normal 3 20 13 12 2" xfId="27898"/>
    <cellStyle name="Normal 3 20 13 13" xfId="10348"/>
    <cellStyle name="Normal 3 20 13 13 2" xfId="27899"/>
    <cellStyle name="Normal 3 20 13 14" xfId="10349"/>
    <cellStyle name="Normal 3 20 13 14 2" xfId="27900"/>
    <cellStyle name="Normal 3 20 13 15" xfId="27895"/>
    <cellStyle name="Normal 3 20 13 2" xfId="10350"/>
    <cellStyle name="Normal 3 20 13 2 2" xfId="27901"/>
    <cellStyle name="Normal 3 20 13 3" xfId="10351"/>
    <cellStyle name="Normal 3 20 13 3 2" xfId="27902"/>
    <cellStyle name="Normal 3 20 13 4" xfId="10352"/>
    <cellStyle name="Normal 3 20 13 4 2" xfId="27903"/>
    <cellStyle name="Normal 3 20 13 5" xfId="10353"/>
    <cellStyle name="Normal 3 20 13 5 2" xfId="27904"/>
    <cellStyle name="Normal 3 20 13 6" xfId="10354"/>
    <cellStyle name="Normal 3 20 13 6 2" xfId="27905"/>
    <cellStyle name="Normal 3 20 13 7" xfId="10355"/>
    <cellStyle name="Normal 3 20 13 7 2" xfId="27906"/>
    <cellStyle name="Normal 3 20 13 8" xfId="10356"/>
    <cellStyle name="Normal 3 20 13 8 2" xfId="27907"/>
    <cellStyle name="Normal 3 20 13 9" xfId="10357"/>
    <cellStyle name="Normal 3 20 13 9 2" xfId="27908"/>
    <cellStyle name="Normal 3 20 14" xfId="10358"/>
    <cellStyle name="Normal 3 20 14 10" xfId="10359"/>
    <cellStyle name="Normal 3 20 14 10 2" xfId="27910"/>
    <cellStyle name="Normal 3 20 14 11" xfId="10360"/>
    <cellStyle name="Normal 3 20 14 11 2" xfId="27911"/>
    <cellStyle name="Normal 3 20 14 12" xfId="10361"/>
    <cellStyle name="Normal 3 20 14 12 2" xfId="27912"/>
    <cellStyle name="Normal 3 20 14 13" xfId="10362"/>
    <cellStyle name="Normal 3 20 14 13 2" xfId="27913"/>
    <cellStyle name="Normal 3 20 14 14" xfId="10363"/>
    <cellStyle name="Normal 3 20 14 14 2" xfId="27914"/>
    <cellStyle name="Normal 3 20 14 15" xfId="27909"/>
    <cellStyle name="Normal 3 20 14 2" xfId="10364"/>
    <cellStyle name="Normal 3 20 14 2 2" xfId="27915"/>
    <cellStyle name="Normal 3 20 14 3" xfId="10365"/>
    <cellStyle name="Normal 3 20 14 3 2" xfId="27916"/>
    <cellStyle name="Normal 3 20 14 4" xfId="10366"/>
    <cellStyle name="Normal 3 20 14 4 2" xfId="27917"/>
    <cellStyle name="Normal 3 20 14 5" xfId="10367"/>
    <cellStyle name="Normal 3 20 14 5 2" xfId="27918"/>
    <cellStyle name="Normal 3 20 14 6" xfId="10368"/>
    <cellStyle name="Normal 3 20 14 6 2" xfId="27919"/>
    <cellStyle name="Normal 3 20 14 7" xfId="10369"/>
    <cellStyle name="Normal 3 20 14 7 2" xfId="27920"/>
    <cellStyle name="Normal 3 20 14 8" xfId="10370"/>
    <cellStyle name="Normal 3 20 14 8 2" xfId="27921"/>
    <cellStyle name="Normal 3 20 14 9" xfId="10371"/>
    <cellStyle name="Normal 3 20 14 9 2" xfId="27922"/>
    <cellStyle name="Normal 3 20 15" xfId="10372"/>
    <cellStyle name="Normal 3 20 15 2" xfId="27923"/>
    <cellStyle name="Normal 3 20 16" xfId="10373"/>
    <cellStyle name="Normal 3 20 16 2" xfId="27924"/>
    <cellStyle name="Normal 3 20 17" xfId="10374"/>
    <cellStyle name="Normal 3 20 17 2" xfId="27925"/>
    <cellStyle name="Normal 3 20 18" xfId="10375"/>
    <cellStyle name="Normal 3 20 18 2" xfId="27926"/>
    <cellStyle name="Normal 3 20 19" xfId="10376"/>
    <cellStyle name="Normal 3 20 19 2" xfId="27927"/>
    <cellStyle name="Normal 3 20 2" xfId="10377"/>
    <cellStyle name="Normal 3 20 20" xfId="10378"/>
    <cellStyle name="Normal 3 20 20 2" xfId="27928"/>
    <cellStyle name="Normal 3 20 21" xfId="10379"/>
    <cellStyle name="Normal 3 20 21 2" xfId="27929"/>
    <cellStyle name="Normal 3 20 22" xfId="10380"/>
    <cellStyle name="Normal 3 20 22 2" xfId="27930"/>
    <cellStyle name="Normal 3 20 23" xfId="10381"/>
    <cellStyle name="Normal 3 20 23 2" xfId="27931"/>
    <cellStyle name="Normal 3 20 24" xfId="10382"/>
    <cellStyle name="Normal 3 20 24 2" xfId="27932"/>
    <cellStyle name="Normal 3 20 25" xfId="10383"/>
    <cellStyle name="Normal 3 20 25 2" xfId="27933"/>
    <cellStyle name="Normal 3 20 26" xfId="10384"/>
    <cellStyle name="Normal 3 20 26 2" xfId="27934"/>
    <cellStyle name="Normal 3 20 27" xfId="10385"/>
    <cellStyle name="Normal 3 20 27 2" xfId="27935"/>
    <cellStyle name="Normal 3 20 28" xfId="27852"/>
    <cellStyle name="Normal 3 20 3" xfId="10386"/>
    <cellStyle name="Normal 3 20 4" xfId="10387"/>
    <cellStyle name="Normal 3 20 5" xfId="10388"/>
    <cellStyle name="Normal 3 20 6" xfId="10389"/>
    <cellStyle name="Normal 3 20 6 10" xfId="10390"/>
    <cellStyle name="Normal 3 20 6 10 2" xfId="27937"/>
    <cellStyle name="Normal 3 20 6 11" xfId="10391"/>
    <cellStyle name="Normal 3 20 6 11 2" xfId="27938"/>
    <cellStyle name="Normal 3 20 6 12" xfId="10392"/>
    <cellStyle name="Normal 3 20 6 12 2" xfId="27939"/>
    <cellStyle name="Normal 3 20 6 13" xfId="10393"/>
    <cellStyle name="Normal 3 20 6 13 2" xfId="27940"/>
    <cellStyle name="Normal 3 20 6 14" xfId="10394"/>
    <cellStyle name="Normal 3 20 6 14 2" xfId="27941"/>
    <cellStyle name="Normal 3 20 6 15" xfId="10395"/>
    <cellStyle name="Normal 3 20 6 15 2" xfId="27942"/>
    <cellStyle name="Normal 3 20 6 16" xfId="27936"/>
    <cellStyle name="Normal 3 20 6 2" xfId="10396"/>
    <cellStyle name="Normal 3 20 6 2 10" xfId="10397"/>
    <cellStyle name="Normal 3 20 6 2 10 2" xfId="27944"/>
    <cellStyle name="Normal 3 20 6 2 11" xfId="10398"/>
    <cellStyle name="Normal 3 20 6 2 11 2" xfId="27945"/>
    <cellStyle name="Normal 3 20 6 2 12" xfId="10399"/>
    <cellStyle name="Normal 3 20 6 2 12 2" xfId="27946"/>
    <cellStyle name="Normal 3 20 6 2 13" xfId="10400"/>
    <cellStyle name="Normal 3 20 6 2 13 2" xfId="27947"/>
    <cellStyle name="Normal 3 20 6 2 14" xfId="10401"/>
    <cellStyle name="Normal 3 20 6 2 14 2" xfId="27948"/>
    <cellStyle name="Normal 3 20 6 2 15" xfId="27943"/>
    <cellStyle name="Normal 3 20 6 2 2" xfId="10402"/>
    <cellStyle name="Normal 3 20 6 2 2 2" xfId="27949"/>
    <cellStyle name="Normal 3 20 6 2 3" xfId="10403"/>
    <cellStyle name="Normal 3 20 6 2 3 2" xfId="27950"/>
    <cellStyle name="Normal 3 20 6 2 4" xfId="10404"/>
    <cellStyle name="Normal 3 20 6 2 4 2" xfId="27951"/>
    <cellStyle name="Normal 3 20 6 2 5" xfId="10405"/>
    <cellStyle name="Normal 3 20 6 2 5 2" xfId="27952"/>
    <cellStyle name="Normal 3 20 6 2 6" xfId="10406"/>
    <cellStyle name="Normal 3 20 6 2 6 2" xfId="27953"/>
    <cellStyle name="Normal 3 20 6 2 7" xfId="10407"/>
    <cellStyle name="Normal 3 20 6 2 7 2" xfId="27954"/>
    <cellStyle name="Normal 3 20 6 2 8" xfId="10408"/>
    <cellStyle name="Normal 3 20 6 2 8 2" xfId="27955"/>
    <cellStyle name="Normal 3 20 6 2 9" xfId="10409"/>
    <cellStyle name="Normal 3 20 6 2 9 2" xfId="27956"/>
    <cellStyle name="Normal 3 20 6 3" xfId="10410"/>
    <cellStyle name="Normal 3 20 6 3 2" xfId="27957"/>
    <cellStyle name="Normal 3 20 6 4" xfId="10411"/>
    <cellStyle name="Normal 3 20 6 4 2" xfId="27958"/>
    <cellStyle name="Normal 3 20 6 5" xfId="10412"/>
    <cellStyle name="Normal 3 20 6 5 2" xfId="27959"/>
    <cellStyle name="Normal 3 20 6 6" xfId="10413"/>
    <cellStyle name="Normal 3 20 6 6 2" xfId="27960"/>
    <cellStyle name="Normal 3 20 6 7" xfId="10414"/>
    <cellStyle name="Normal 3 20 6 7 2" xfId="27961"/>
    <cellStyle name="Normal 3 20 6 8" xfId="10415"/>
    <cellStyle name="Normal 3 20 6 8 2" xfId="27962"/>
    <cellStyle name="Normal 3 20 6 9" xfId="10416"/>
    <cellStyle name="Normal 3 20 6 9 2" xfId="27963"/>
    <cellStyle name="Normal 3 20 7" xfId="10417"/>
    <cellStyle name="Normal 3 20 7 10" xfId="10418"/>
    <cellStyle name="Normal 3 20 7 10 2" xfId="27965"/>
    <cellStyle name="Normal 3 20 7 11" xfId="10419"/>
    <cellStyle name="Normal 3 20 7 11 2" xfId="27966"/>
    <cellStyle name="Normal 3 20 7 12" xfId="10420"/>
    <cellStyle name="Normal 3 20 7 12 2" xfId="27967"/>
    <cellStyle name="Normal 3 20 7 13" xfId="10421"/>
    <cellStyle name="Normal 3 20 7 13 2" xfId="27968"/>
    <cellStyle name="Normal 3 20 7 14" xfId="10422"/>
    <cellStyle name="Normal 3 20 7 14 2" xfId="27969"/>
    <cellStyle name="Normal 3 20 7 15" xfId="10423"/>
    <cellStyle name="Normal 3 20 7 15 2" xfId="27970"/>
    <cellStyle name="Normal 3 20 7 16" xfId="27964"/>
    <cellStyle name="Normal 3 20 7 2" xfId="10424"/>
    <cellStyle name="Normal 3 20 7 2 10" xfId="10425"/>
    <cellStyle name="Normal 3 20 7 2 10 2" xfId="27972"/>
    <cellStyle name="Normal 3 20 7 2 11" xfId="10426"/>
    <cellStyle name="Normal 3 20 7 2 11 2" xfId="27973"/>
    <cellStyle name="Normal 3 20 7 2 12" xfId="10427"/>
    <cellStyle name="Normal 3 20 7 2 12 2" xfId="27974"/>
    <cellStyle name="Normal 3 20 7 2 13" xfId="10428"/>
    <cellStyle name="Normal 3 20 7 2 13 2" xfId="27975"/>
    <cellStyle name="Normal 3 20 7 2 14" xfId="10429"/>
    <cellStyle name="Normal 3 20 7 2 14 2" xfId="27976"/>
    <cellStyle name="Normal 3 20 7 2 15" xfId="27971"/>
    <cellStyle name="Normal 3 20 7 2 2" xfId="10430"/>
    <cellStyle name="Normal 3 20 7 2 2 2" xfId="27977"/>
    <cellStyle name="Normal 3 20 7 2 3" xfId="10431"/>
    <cellStyle name="Normal 3 20 7 2 3 2" xfId="27978"/>
    <cellStyle name="Normal 3 20 7 2 4" xfId="10432"/>
    <cellStyle name="Normal 3 20 7 2 4 2" xfId="27979"/>
    <cellStyle name="Normal 3 20 7 2 5" xfId="10433"/>
    <cellStyle name="Normal 3 20 7 2 5 2" xfId="27980"/>
    <cellStyle name="Normal 3 20 7 2 6" xfId="10434"/>
    <cellStyle name="Normal 3 20 7 2 6 2" xfId="27981"/>
    <cellStyle name="Normal 3 20 7 2 7" xfId="10435"/>
    <cellStyle name="Normal 3 20 7 2 7 2" xfId="27982"/>
    <cellStyle name="Normal 3 20 7 2 8" xfId="10436"/>
    <cellStyle name="Normal 3 20 7 2 8 2" xfId="27983"/>
    <cellStyle name="Normal 3 20 7 2 9" xfId="10437"/>
    <cellStyle name="Normal 3 20 7 2 9 2" xfId="27984"/>
    <cellStyle name="Normal 3 20 7 3" xfId="10438"/>
    <cellStyle name="Normal 3 20 7 3 2" xfId="27985"/>
    <cellStyle name="Normal 3 20 7 4" xfId="10439"/>
    <cellStyle name="Normal 3 20 7 4 2" xfId="27986"/>
    <cellStyle name="Normal 3 20 7 5" xfId="10440"/>
    <cellStyle name="Normal 3 20 7 5 2" xfId="27987"/>
    <cellStyle name="Normal 3 20 7 6" xfId="10441"/>
    <cellStyle name="Normal 3 20 7 6 2" xfId="27988"/>
    <cellStyle name="Normal 3 20 7 7" xfId="10442"/>
    <cellStyle name="Normal 3 20 7 7 2" xfId="27989"/>
    <cellStyle name="Normal 3 20 7 8" xfId="10443"/>
    <cellStyle name="Normal 3 20 7 8 2" xfId="27990"/>
    <cellStyle name="Normal 3 20 7 9" xfId="10444"/>
    <cellStyle name="Normal 3 20 7 9 2" xfId="27991"/>
    <cellStyle name="Normal 3 20 8" xfId="10445"/>
    <cellStyle name="Normal 3 20 8 10" xfId="10446"/>
    <cellStyle name="Normal 3 20 8 10 2" xfId="27993"/>
    <cellStyle name="Normal 3 20 8 11" xfId="10447"/>
    <cellStyle name="Normal 3 20 8 11 2" xfId="27994"/>
    <cellStyle name="Normal 3 20 8 12" xfId="10448"/>
    <cellStyle name="Normal 3 20 8 12 2" xfId="27995"/>
    <cellStyle name="Normal 3 20 8 13" xfId="10449"/>
    <cellStyle name="Normal 3 20 8 13 2" xfId="27996"/>
    <cellStyle name="Normal 3 20 8 14" xfId="10450"/>
    <cellStyle name="Normal 3 20 8 14 2" xfId="27997"/>
    <cellStyle name="Normal 3 20 8 15" xfId="10451"/>
    <cellStyle name="Normal 3 20 8 15 2" xfId="27998"/>
    <cellStyle name="Normal 3 20 8 16" xfId="27992"/>
    <cellStyle name="Normal 3 20 8 2" xfId="10452"/>
    <cellStyle name="Normal 3 20 8 2 10" xfId="10453"/>
    <cellStyle name="Normal 3 20 8 2 10 2" xfId="28000"/>
    <cellStyle name="Normal 3 20 8 2 11" xfId="10454"/>
    <cellStyle name="Normal 3 20 8 2 11 2" xfId="28001"/>
    <cellStyle name="Normal 3 20 8 2 12" xfId="10455"/>
    <cellStyle name="Normal 3 20 8 2 12 2" xfId="28002"/>
    <cellStyle name="Normal 3 20 8 2 13" xfId="10456"/>
    <cellStyle name="Normal 3 20 8 2 13 2" xfId="28003"/>
    <cellStyle name="Normal 3 20 8 2 14" xfId="10457"/>
    <cellStyle name="Normal 3 20 8 2 14 2" xfId="28004"/>
    <cellStyle name="Normal 3 20 8 2 15" xfId="27999"/>
    <cellStyle name="Normal 3 20 8 2 2" xfId="10458"/>
    <cellStyle name="Normal 3 20 8 2 2 2" xfId="28005"/>
    <cellStyle name="Normal 3 20 8 2 3" xfId="10459"/>
    <cellStyle name="Normal 3 20 8 2 3 2" xfId="28006"/>
    <cellStyle name="Normal 3 20 8 2 4" xfId="10460"/>
    <cellStyle name="Normal 3 20 8 2 4 2" xfId="28007"/>
    <cellStyle name="Normal 3 20 8 2 5" xfId="10461"/>
    <cellStyle name="Normal 3 20 8 2 5 2" xfId="28008"/>
    <cellStyle name="Normal 3 20 8 2 6" xfId="10462"/>
    <cellStyle name="Normal 3 20 8 2 6 2" xfId="28009"/>
    <cellStyle name="Normal 3 20 8 2 7" xfId="10463"/>
    <cellStyle name="Normal 3 20 8 2 7 2" xfId="28010"/>
    <cellStyle name="Normal 3 20 8 2 8" xfId="10464"/>
    <cellStyle name="Normal 3 20 8 2 8 2" xfId="28011"/>
    <cellStyle name="Normal 3 20 8 2 9" xfId="10465"/>
    <cellStyle name="Normal 3 20 8 2 9 2" xfId="28012"/>
    <cellStyle name="Normal 3 20 8 3" xfId="10466"/>
    <cellStyle name="Normal 3 20 8 3 2" xfId="28013"/>
    <cellStyle name="Normal 3 20 8 4" xfId="10467"/>
    <cellStyle name="Normal 3 20 8 4 2" xfId="28014"/>
    <cellStyle name="Normal 3 20 8 5" xfId="10468"/>
    <cellStyle name="Normal 3 20 8 5 2" xfId="28015"/>
    <cellStyle name="Normal 3 20 8 6" xfId="10469"/>
    <cellStyle name="Normal 3 20 8 6 2" xfId="28016"/>
    <cellStyle name="Normal 3 20 8 7" xfId="10470"/>
    <cellStyle name="Normal 3 20 8 7 2" xfId="28017"/>
    <cellStyle name="Normal 3 20 8 8" xfId="10471"/>
    <cellStyle name="Normal 3 20 8 8 2" xfId="28018"/>
    <cellStyle name="Normal 3 20 8 9" xfId="10472"/>
    <cellStyle name="Normal 3 20 8 9 2" xfId="28019"/>
    <cellStyle name="Normal 3 20 9" xfId="10473"/>
    <cellStyle name="Normal 3 20 9 10" xfId="10474"/>
    <cellStyle name="Normal 3 20 9 10 2" xfId="28021"/>
    <cellStyle name="Normal 3 20 9 11" xfId="10475"/>
    <cellStyle name="Normal 3 20 9 11 2" xfId="28022"/>
    <cellStyle name="Normal 3 20 9 12" xfId="10476"/>
    <cellStyle name="Normal 3 20 9 12 2" xfId="28023"/>
    <cellStyle name="Normal 3 20 9 13" xfId="10477"/>
    <cellStyle name="Normal 3 20 9 13 2" xfId="28024"/>
    <cellStyle name="Normal 3 20 9 14" xfId="10478"/>
    <cellStyle name="Normal 3 20 9 14 2" xfId="28025"/>
    <cellStyle name="Normal 3 20 9 15" xfId="28020"/>
    <cellStyle name="Normal 3 20 9 2" xfId="10479"/>
    <cellStyle name="Normal 3 20 9 2 2" xfId="28026"/>
    <cellStyle name="Normal 3 20 9 3" xfId="10480"/>
    <cellStyle name="Normal 3 20 9 3 2" xfId="28027"/>
    <cellStyle name="Normal 3 20 9 4" xfId="10481"/>
    <cellStyle name="Normal 3 20 9 4 2" xfId="28028"/>
    <cellStyle name="Normal 3 20 9 5" xfId="10482"/>
    <cellStyle name="Normal 3 20 9 5 2" xfId="28029"/>
    <cellStyle name="Normal 3 20 9 6" xfId="10483"/>
    <cellStyle name="Normal 3 20 9 6 2" xfId="28030"/>
    <cellStyle name="Normal 3 20 9 7" xfId="10484"/>
    <cellStyle name="Normal 3 20 9 7 2" xfId="28031"/>
    <cellStyle name="Normal 3 20 9 8" xfId="10485"/>
    <cellStyle name="Normal 3 20 9 8 2" xfId="28032"/>
    <cellStyle name="Normal 3 20 9 9" xfId="10486"/>
    <cellStyle name="Normal 3 20 9 9 2" xfId="28033"/>
    <cellStyle name="Normal 3 21" xfId="10487"/>
    <cellStyle name="Normal 3 21 10" xfId="10488"/>
    <cellStyle name="Normal 3 21 10 10" xfId="10489"/>
    <cellStyle name="Normal 3 21 10 10 2" xfId="28036"/>
    <cellStyle name="Normal 3 21 10 11" xfId="10490"/>
    <cellStyle name="Normal 3 21 10 11 2" xfId="28037"/>
    <cellStyle name="Normal 3 21 10 12" xfId="10491"/>
    <cellStyle name="Normal 3 21 10 12 2" xfId="28038"/>
    <cellStyle name="Normal 3 21 10 13" xfId="10492"/>
    <cellStyle name="Normal 3 21 10 13 2" xfId="28039"/>
    <cellStyle name="Normal 3 21 10 14" xfId="10493"/>
    <cellStyle name="Normal 3 21 10 14 2" xfId="28040"/>
    <cellStyle name="Normal 3 21 10 15" xfId="28035"/>
    <cellStyle name="Normal 3 21 10 2" xfId="10494"/>
    <cellStyle name="Normal 3 21 10 2 2" xfId="28041"/>
    <cellStyle name="Normal 3 21 10 3" xfId="10495"/>
    <cellStyle name="Normal 3 21 10 3 2" xfId="28042"/>
    <cellStyle name="Normal 3 21 10 4" xfId="10496"/>
    <cellStyle name="Normal 3 21 10 4 2" xfId="28043"/>
    <cellStyle name="Normal 3 21 10 5" xfId="10497"/>
    <cellStyle name="Normal 3 21 10 5 2" xfId="28044"/>
    <cellStyle name="Normal 3 21 10 6" xfId="10498"/>
    <cellStyle name="Normal 3 21 10 6 2" xfId="28045"/>
    <cellStyle name="Normal 3 21 10 7" xfId="10499"/>
    <cellStyle name="Normal 3 21 10 7 2" xfId="28046"/>
    <cellStyle name="Normal 3 21 10 8" xfId="10500"/>
    <cellStyle name="Normal 3 21 10 8 2" xfId="28047"/>
    <cellStyle name="Normal 3 21 10 9" xfId="10501"/>
    <cellStyle name="Normal 3 21 10 9 2" xfId="28048"/>
    <cellStyle name="Normal 3 21 11" xfId="10502"/>
    <cellStyle name="Normal 3 21 11 10" xfId="10503"/>
    <cellStyle name="Normal 3 21 11 10 2" xfId="28050"/>
    <cellStyle name="Normal 3 21 11 11" xfId="10504"/>
    <cellStyle name="Normal 3 21 11 11 2" xfId="28051"/>
    <cellStyle name="Normal 3 21 11 12" xfId="10505"/>
    <cellStyle name="Normal 3 21 11 12 2" xfId="28052"/>
    <cellStyle name="Normal 3 21 11 13" xfId="10506"/>
    <cellStyle name="Normal 3 21 11 13 2" xfId="28053"/>
    <cellStyle name="Normal 3 21 11 14" xfId="10507"/>
    <cellStyle name="Normal 3 21 11 14 2" xfId="28054"/>
    <cellStyle name="Normal 3 21 11 15" xfId="28049"/>
    <cellStyle name="Normal 3 21 11 2" xfId="10508"/>
    <cellStyle name="Normal 3 21 11 2 2" xfId="28055"/>
    <cellStyle name="Normal 3 21 11 3" xfId="10509"/>
    <cellStyle name="Normal 3 21 11 3 2" xfId="28056"/>
    <cellStyle name="Normal 3 21 11 4" xfId="10510"/>
    <cellStyle name="Normal 3 21 11 4 2" xfId="28057"/>
    <cellStyle name="Normal 3 21 11 5" xfId="10511"/>
    <cellStyle name="Normal 3 21 11 5 2" xfId="28058"/>
    <cellStyle name="Normal 3 21 11 6" xfId="10512"/>
    <cellStyle name="Normal 3 21 11 6 2" xfId="28059"/>
    <cellStyle name="Normal 3 21 11 7" xfId="10513"/>
    <cellStyle name="Normal 3 21 11 7 2" xfId="28060"/>
    <cellStyle name="Normal 3 21 11 8" xfId="10514"/>
    <cellStyle name="Normal 3 21 11 8 2" xfId="28061"/>
    <cellStyle name="Normal 3 21 11 9" xfId="10515"/>
    <cellStyle name="Normal 3 21 11 9 2" xfId="28062"/>
    <cellStyle name="Normal 3 21 12" xfId="10516"/>
    <cellStyle name="Normal 3 21 12 10" xfId="10517"/>
    <cellStyle name="Normal 3 21 12 10 2" xfId="28064"/>
    <cellStyle name="Normal 3 21 12 11" xfId="10518"/>
    <cellStyle name="Normal 3 21 12 11 2" xfId="28065"/>
    <cellStyle name="Normal 3 21 12 12" xfId="10519"/>
    <cellStyle name="Normal 3 21 12 12 2" xfId="28066"/>
    <cellStyle name="Normal 3 21 12 13" xfId="10520"/>
    <cellStyle name="Normal 3 21 12 13 2" xfId="28067"/>
    <cellStyle name="Normal 3 21 12 14" xfId="10521"/>
    <cellStyle name="Normal 3 21 12 14 2" xfId="28068"/>
    <cellStyle name="Normal 3 21 12 15" xfId="28063"/>
    <cellStyle name="Normal 3 21 12 2" xfId="10522"/>
    <cellStyle name="Normal 3 21 12 2 2" xfId="28069"/>
    <cellStyle name="Normal 3 21 12 3" xfId="10523"/>
    <cellStyle name="Normal 3 21 12 3 2" xfId="28070"/>
    <cellStyle name="Normal 3 21 12 4" xfId="10524"/>
    <cellStyle name="Normal 3 21 12 4 2" xfId="28071"/>
    <cellStyle name="Normal 3 21 12 5" xfId="10525"/>
    <cellStyle name="Normal 3 21 12 5 2" xfId="28072"/>
    <cellStyle name="Normal 3 21 12 6" xfId="10526"/>
    <cellStyle name="Normal 3 21 12 6 2" xfId="28073"/>
    <cellStyle name="Normal 3 21 12 7" xfId="10527"/>
    <cellStyle name="Normal 3 21 12 7 2" xfId="28074"/>
    <cellStyle name="Normal 3 21 12 8" xfId="10528"/>
    <cellStyle name="Normal 3 21 12 8 2" xfId="28075"/>
    <cellStyle name="Normal 3 21 12 9" xfId="10529"/>
    <cellStyle name="Normal 3 21 12 9 2" xfId="28076"/>
    <cellStyle name="Normal 3 21 13" xfId="10530"/>
    <cellStyle name="Normal 3 21 13 10" xfId="10531"/>
    <cellStyle name="Normal 3 21 13 10 2" xfId="28078"/>
    <cellStyle name="Normal 3 21 13 11" xfId="10532"/>
    <cellStyle name="Normal 3 21 13 11 2" xfId="28079"/>
    <cellStyle name="Normal 3 21 13 12" xfId="10533"/>
    <cellStyle name="Normal 3 21 13 12 2" xfId="28080"/>
    <cellStyle name="Normal 3 21 13 13" xfId="10534"/>
    <cellStyle name="Normal 3 21 13 13 2" xfId="28081"/>
    <cellStyle name="Normal 3 21 13 14" xfId="10535"/>
    <cellStyle name="Normal 3 21 13 14 2" xfId="28082"/>
    <cellStyle name="Normal 3 21 13 15" xfId="28077"/>
    <cellStyle name="Normal 3 21 13 2" xfId="10536"/>
    <cellStyle name="Normal 3 21 13 2 2" xfId="28083"/>
    <cellStyle name="Normal 3 21 13 3" xfId="10537"/>
    <cellStyle name="Normal 3 21 13 3 2" xfId="28084"/>
    <cellStyle name="Normal 3 21 13 4" xfId="10538"/>
    <cellStyle name="Normal 3 21 13 4 2" xfId="28085"/>
    <cellStyle name="Normal 3 21 13 5" xfId="10539"/>
    <cellStyle name="Normal 3 21 13 5 2" xfId="28086"/>
    <cellStyle name="Normal 3 21 13 6" xfId="10540"/>
    <cellStyle name="Normal 3 21 13 6 2" xfId="28087"/>
    <cellStyle name="Normal 3 21 13 7" xfId="10541"/>
    <cellStyle name="Normal 3 21 13 7 2" xfId="28088"/>
    <cellStyle name="Normal 3 21 13 8" xfId="10542"/>
    <cellStyle name="Normal 3 21 13 8 2" xfId="28089"/>
    <cellStyle name="Normal 3 21 13 9" xfId="10543"/>
    <cellStyle name="Normal 3 21 13 9 2" xfId="28090"/>
    <cellStyle name="Normal 3 21 14" xfId="10544"/>
    <cellStyle name="Normal 3 21 14 10" xfId="10545"/>
    <cellStyle name="Normal 3 21 14 10 2" xfId="28092"/>
    <cellStyle name="Normal 3 21 14 11" xfId="10546"/>
    <cellStyle name="Normal 3 21 14 11 2" xfId="28093"/>
    <cellStyle name="Normal 3 21 14 12" xfId="10547"/>
    <cellStyle name="Normal 3 21 14 12 2" xfId="28094"/>
    <cellStyle name="Normal 3 21 14 13" xfId="10548"/>
    <cellStyle name="Normal 3 21 14 13 2" xfId="28095"/>
    <cellStyle name="Normal 3 21 14 14" xfId="10549"/>
    <cellStyle name="Normal 3 21 14 14 2" xfId="28096"/>
    <cellStyle name="Normal 3 21 14 15" xfId="28091"/>
    <cellStyle name="Normal 3 21 14 2" xfId="10550"/>
    <cellStyle name="Normal 3 21 14 2 2" xfId="28097"/>
    <cellStyle name="Normal 3 21 14 3" xfId="10551"/>
    <cellStyle name="Normal 3 21 14 3 2" xfId="28098"/>
    <cellStyle name="Normal 3 21 14 4" xfId="10552"/>
    <cellStyle name="Normal 3 21 14 4 2" xfId="28099"/>
    <cellStyle name="Normal 3 21 14 5" xfId="10553"/>
    <cellStyle name="Normal 3 21 14 5 2" xfId="28100"/>
    <cellStyle name="Normal 3 21 14 6" xfId="10554"/>
    <cellStyle name="Normal 3 21 14 6 2" xfId="28101"/>
    <cellStyle name="Normal 3 21 14 7" xfId="10555"/>
    <cellStyle name="Normal 3 21 14 7 2" xfId="28102"/>
    <cellStyle name="Normal 3 21 14 8" xfId="10556"/>
    <cellStyle name="Normal 3 21 14 8 2" xfId="28103"/>
    <cellStyle name="Normal 3 21 14 9" xfId="10557"/>
    <cellStyle name="Normal 3 21 14 9 2" xfId="28104"/>
    <cellStyle name="Normal 3 21 15" xfId="10558"/>
    <cellStyle name="Normal 3 21 15 2" xfId="28105"/>
    <cellStyle name="Normal 3 21 16" xfId="10559"/>
    <cellStyle name="Normal 3 21 16 2" xfId="28106"/>
    <cellStyle name="Normal 3 21 17" xfId="10560"/>
    <cellStyle name="Normal 3 21 17 2" xfId="28107"/>
    <cellStyle name="Normal 3 21 18" xfId="10561"/>
    <cellStyle name="Normal 3 21 18 2" xfId="28108"/>
    <cellStyle name="Normal 3 21 19" xfId="10562"/>
    <cellStyle name="Normal 3 21 19 2" xfId="28109"/>
    <cellStyle name="Normal 3 21 2" xfId="10563"/>
    <cellStyle name="Normal 3 21 20" xfId="10564"/>
    <cellStyle name="Normal 3 21 20 2" xfId="28110"/>
    <cellStyle name="Normal 3 21 21" xfId="10565"/>
    <cellStyle name="Normal 3 21 21 2" xfId="28111"/>
    <cellStyle name="Normal 3 21 22" xfId="10566"/>
    <cellStyle name="Normal 3 21 22 2" xfId="28112"/>
    <cellStyle name="Normal 3 21 23" xfId="10567"/>
    <cellStyle name="Normal 3 21 23 2" xfId="28113"/>
    <cellStyle name="Normal 3 21 24" xfId="10568"/>
    <cellStyle name="Normal 3 21 24 2" xfId="28114"/>
    <cellStyle name="Normal 3 21 25" xfId="10569"/>
    <cellStyle name="Normal 3 21 25 2" xfId="28115"/>
    <cellStyle name="Normal 3 21 26" xfId="10570"/>
    <cellStyle name="Normal 3 21 26 2" xfId="28116"/>
    <cellStyle name="Normal 3 21 27" xfId="10571"/>
    <cellStyle name="Normal 3 21 27 2" xfId="28117"/>
    <cellStyle name="Normal 3 21 28" xfId="28034"/>
    <cellStyle name="Normal 3 21 3" xfId="10572"/>
    <cellStyle name="Normal 3 21 4" xfId="10573"/>
    <cellStyle name="Normal 3 21 5" xfId="10574"/>
    <cellStyle name="Normal 3 21 6" xfId="10575"/>
    <cellStyle name="Normal 3 21 6 10" xfId="10576"/>
    <cellStyle name="Normal 3 21 6 10 2" xfId="28119"/>
    <cellStyle name="Normal 3 21 6 11" xfId="10577"/>
    <cellStyle name="Normal 3 21 6 11 2" xfId="28120"/>
    <cellStyle name="Normal 3 21 6 12" xfId="10578"/>
    <cellStyle name="Normal 3 21 6 12 2" xfId="28121"/>
    <cellStyle name="Normal 3 21 6 13" xfId="10579"/>
    <cellStyle name="Normal 3 21 6 13 2" xfId="28122"/>
    <cellStyle name="Normal 3 21 6 14" xfId="10580"/>
    <cellStyle name="Normal 3 21 6 14 2" xfId="28123"/>
    <cellStyle name="Normal 3 21 6 15" xfId="10581"/>
    <cellStyle name="Normal 3 21 6 15 2" xfId="28124"/>
    <cellStyle name="Normal 3 21 6 16" xfId="28118"/>
    <cellStyle name="Normal 3 21 6 2" xfId="10582"/>
    <cellStyle name="Normal 3 21 6 2 10" xfId="10583"/>
    <cellStyle name="Normal 3 21 6 2 10 2" xfId="28126"/>
    <cellStyle name="Normal 3 21 6 2 11" xfId="10584"/>
    <cellStyle name="Normal 3 21 6 2 11 2" xfId="28127"/>
    <cellStyle name="Normal 3 21 6 2 12" xfId="10585"/>
    <cellStyle name="Normal 3 21 6 2 12 2" xfId="28128"/>
    <cellStyle name="Normal 3 21 6 2 13" xfId="10586"/>
    <cellStyle name="Normal 3 21 6 2 13 2" xfId="28129"/>
    <cellStyle name="Normal 3 21 6 2 14" xfId="10587"/>
    <cellStyle name="Normal 3 21 6 2 14 2" xfId="28130"/>
    <cellStyle name="Normal 3 21 6 2 15" xfId="28125"/>
    <cellStyle name="Normal 3 21 6 2 2" xfId="10588"/>
    <cellStyle name="Normal 3 21 6 2 2 2" xfId="28131"/>
    <cellStyle name="Normal 3 21 6 2 3" xfId="10589"/>
    <cellStyle name="Normal 3 21 6 2 3 2" xfId="28132"/>
    <cellStyle name="Normal 3 21 6 2 4" xfId="10590"/>
    <cellStyle name="Normal 3 21 6 2 4 2" xfId="28133"/>
    <cellStyle name="Normal 3 21 6 2 5" xfId="10591"/>
    <cellStyle name="Normal 3 21 6 2 5 2" xfId="28134"/>
    <cellStyle name="Normal 3 21 6 2 6" xfId="10592"/>
    <cellStyle name="Normal 3 21 6 2 6 2" xfId="28135"/>
    <cellStyle name="Normal 3 21 6 2 7" xfId="10593"/>
    <cellStyle name="Normal 3 21 6 2 7 2" xfId="28136"/>
    <cellStyle name="Normal 3 21 6 2 8" xfId="10594"/>
    <cellStyle name="Normal 3 21 6 2 8 2" xfId="28137"/>
    <cellStyle name="Normal 3 21 6 2 9" xfId="10595"/>
    <cellStyle name="Normal 3 21 6 2 9 2" xfId="28138"/>
    <cellStyle name="Normal 3 21 6 3" xfId="10596"/>
    <cellStyle name="Normal 3 21 6 3 2" xfId="28139"/>
    <cellStyle name="Normal 3 21 6 4" xfId="10597"/>
    <cellStyle name="Normal 3 21 6 4 2" xfId="28140"/>
    <cellStyle name="Normal 3 21 6 5" xfId="10598"/>
    <cellStyle name="Normal 3 21 6 5 2" xfId="28141"/>
    <cellStyle name="Normal 3 21 6 6" xfId="10599"/>
    <cellStyle name="Normal 3 21 6 6 2" xfId="28142"/>
    <cellStyle name="Normal 3 21 6 7" xfId="10600"/>
    <cellStyle name="Normal 3 21 6 7 2" xfId="28143"/>
    <cellStyle name="Normal 3 21 6 8" xfId="10601"/>
    <cellStyle name="Normal 3 21 6 8 2" xfId="28144"/>
    <cellStyle name="Normal 3 21 6 9" xfId="10602"/>
    <cellStyle name="Normal 3 21 6 9 2" xfId="28145"/>
    <cellStyle name="Normal 3 21 7" xfId="10603"/>
    <cellStyle name="Normal 3 21 7 10" xfId="10604"/>
    <cellStyle name="Normal 3 21 7 10 2" xfId="28147"/>
    <cellStyle name="Normal 3 21 7 11" xfId="10605"/>
    <cellStyle name="Normal 3 21 7 11 2" xfId="28148"/>
    <cellStyle name="Normal 3 21 7 12" xfId="10606"/>
    <cellStyle name="Normal 3 21 7 12 2" xfId="28149"/>
    <cellStyle name="Normal 3 21 7 13" xfId="10607"/>
    <cellStyle name="Normal 3 21 7 13 2" xfId="28150"/>
    <cellStyle name="Normal 3 21 7 14" xfId="10608"/>
    <cellStyle name="Normal 3 21 7 14 2" xfId="28151"/>
    <cellStyle name="Normal 3 21 7 15" xfId="10609"/>
    <cellStyle name="Normal 3 21 7 15 2" xfId="28152"/>
    <cellStyle name="Normal 3 21 7 16" xfId="28146"/>
    <cellStyle name="Normal 3 21 7 2" xfId="10610"/>
    <cellStyle name="Normal 3 21 7 2 10" xfId="10611"/>
    <cellStyle name="Normal 3 21 7 2 10 2" xfId="28154"/>
    <cellStyle name="Normal 3 21 7 2 11" xfId="10612"/>
    <cellStyle name="Normal 3 21 7 2 11 2" xfId="28155"/>
    <cellStyle name="Normal 3 21 7 2 12" xfId="10613"/>
    <cellStyle name="Normal 3 21 7 2 12 2" xfId="28156"/>
    <cellStyle name="Normal 3 21 7 2 13" xfId="10614"/>
    <cellStyle name="Normal 3 21 7 2 13 2" xfId="28157"/>
    <cellStyle name="Normal 3 21 7 2 14" xfId="10615"/>
    <cellStyle name="Normal 3 21 7 2 14 2" xfId="28158"/>
    <cellStyle name="Normal 3 21 7 2 15" xfId="28153"/>
    <cellStyle name="Normal 3 21 7 2 2" xfId="10616"/>
    <cellStyle name="Normal 3 21 7 2 2 2" xfId="28159"/>
    <cellStyle name="Normal 3 21 7 2 3" xfId="10617"/>
    <cellStyle name="Normal 3 21 7 2 3 2" xfId="28160"/>
    <cellStyle name="Normal 3 21 7 2 4" xfId="10618"/>
    <cellStyle name="Normal 3 21 7 2 4 2" xfId="28161"/>
    <cellStyle name="Normal 3 21 7 2 5" xfId="10619"/>
    <cellStyle name="Normal 3 21 7 2 5 2" xfId="28162"/>
    <cellStyle name="Normal 3 21 7 2 6" xfId="10620"/>
    <cellStyle name="Normal 3 21 7 2 6 2" xfId="28163"/>
    <cellStyle name="Normal 3 21 7 2 7" xfId="10621"/>
    <cellStyle name="Normal 3 21 7 2 7 2" xfId="28164"/>
    <cellStyle name="Normal 3 21 7 2 8" xfId="10622"/>
    <cellStyle name="Normal 3 21 7 2 8 2" xfId="28165"/>
    <cellStyle name="Normal 3 21 7 2 9" xfId="10623"/>
    <cellStyle name="Normal 3 21 7 2 9 2" xfId="28166"/>
    <cellStyle name="Normal 3 21 7 3" xfId="10624"/>
    <cellStyle name="Normal 3 21 7 3 2" xfId="28167"/>
    <cellStyle name="Normal 3 21 7 4" xfId="10625"/>
    <cellStyle name="Normal 3 21 7 4 2" xfId="28168"/>
    <cellStyle name="Normal 3 21 7 5" xfId="10626"/>
    <cellStyle name="Normal 3 21 7 5 2" xfId="28169"/>
    <cellStyle name="Normal 3 21 7 6" xfId="10627"/>
    <cellStyle name="Normal 3 21 7 6 2" xfId="28170"/>
    <cellStyle name="Normal 3 21 7 7" xfId="10628"/>
    <cellStyle name="Normal 3 21 7 7 2" xfId="28171"/>
    <cellStyle name="Normal 3 21 7 8" xfId="10629"/>
    <cellStyle name="Normal 3 21 7 8 2" xfId="28172"/>
    <cellStyle name="Normal 3 21 7 9" xfId="10630"/>
    <cellStyle name="Normal 3 21 7 9 2" xfId="28173"/>
    <cellStyle name="Normal 3 21 8" xfId="10631"/>
    <cellStyle name="Normal 3 21 8 10" xfId="10632"/>
    <cellStyle name="Normal 3 21 8 10 2" xfId="28175"/>
    <cellStyle name="Normal 3 21 8 11" xfId="10633"/>
    <cellStyle name="Normal 3 21 8 11 2" xfId="28176"/>
    <cellStyle name="Normal 3 21 8 12" xfId="10634"/>
    <cellStyle name="Normal 3 21 8 12 2" xfId="28177"/>
    <cellStyle name="Normal 3 21 8 13" xfId="10635"/>
    <cellStyle name="Normal 3 21 8 13 2" xfId="28178"/>
    <cellStyle name="Normal 3 21 8 14" xfId="10636"/>
    <cellStyle name="Normal 3 21 8 14 2" xfId="28179"/>
    <cellStyle name="Normal 3 21 8 15" xfId="10637"/>
    <cellStyle name="Normal 3 21 8 15 2" xfId="28180"/>
    <cellStyle name="Normal 3 21 8 16" xfId="28174"/>
    <cellStyle name="Normal 3 21 8 2" xfId="10638"/>
    <cellStyle name="Normal 3 21 8 2 10" xfId="10639"/>
    <cellStyle name="Normal 3 21 8 2 10 2" xfId="28182"/>
    <cellStyle name="Normal 3 21 8 2 11" xfId="10640"/>
    <cellStyle name="Normal 3 21 8 2 11 2" xfId="28183"/>
    <cellStyle name="Normal 3 21 8 2 12" xfId="10641"/>
    <cellStyle name="Normal 3 21 8 2 12 2" xfId="28184"/>
    <cellStyle name="Normal 3 21 8 2 13" xfId="10642"/>
    <cellStyle name="Normal 3 21 8 2 13 2" xfId="28185"/>
    <cellStyle name="Normal 3 21 8 2 14" xfId="10643"/>
    <cellStyle name="Normal 3 21 8 2 14 2" xfId="28186"/>
    <cellStyle name="Normal 3 21 8 2 15" xfId="28181"/>
    <cellStyle name="Normal 3 21 8 2 2" xfId="10644"/>
    <cellStyle name="Normal 3 21 8 2 2 2" xfId="28187"/>
    <cellStyle name="Normal 3 21 8 2 3" xfId="10645"/>
    <cellStyle name="Normal 3 21 8 2 3 2" xfId="28188"/>
    <cellStyle name="Normal 3 21 8 2 4" xfId="10646"/>
    <cellStyle name="Normal 3 21 8 2 4 2" xfId="28189"/>
    <cellStyle name="Normal 3 21 8 2 5" xfId="10647"/>
    <cellStyle name="Normal 3 21 8 2 5 2" xfId="28190"/>
    <cellStyle name="Normal 3 21 8 2 6" xfId="10648"/>
    <cellStyle name="Normal 3 21 8 2 6 2" xfId="28191"/>
    <cellStyle name="Normal 3 21 8 2 7" xfId="10649"/>
    <cellStyle name="Normal 3 21 8 2 7 2" xfId="28192"/>
    <cellStyle name="Normal 3 21 8 2 8" xfId="10650"/>
    <cellStyle name="Normal 3 21 8 2 8 2" xfId="28193"/>
    <cellStyle name="Normal 3 21 8 2 9" xfId="10651"/>
    <cellStyle name="Normal 3 21 8 2 9 2" xfId="28194"/>
    <cellStyle name="Normal 3 21 8 3" xfId="10652"/>
    <cellStyle name="Normal 3 21 8 3 2" xfId="28195"/>
    <cellStyle name="Normal 3 21 8 4" xfId="10653"/>
    <cellStyle name="Normal 3 21 8 4 2" xfId="28196"/>
    <cellStyle name="Normal 3 21 8 5" xfId="10654"/>
    <cellStyle name="Normal 3 21 8 5 2" xfId="28197"/>
    <cellStyle name="Normal 3 21 8 6" xfId="10655"/>
    <cellStyle name="Normal 3 21 8 6 2" xfId="28198"/>
    <cellStyle name="Normal 3 21 8 7" xfId="10656"/>
    <cellStyle name="Normal 3 21 8 7 2" xfId="28199"/>
    <cellStyle name="Normal 3 21 8 8" xfId="10657"/>
    <cellStyle name="Normal 3 21 8 8 2" xfId="28200"/>
    <cellStyle name="Normal 3 21 8 9" xfId="10658"/>
    <cellStyle name="Normal 3 21 8 9 2" xfId="28201"/>
    <cellStyle name="Normal 3 21 9" xfId="10659"/>
    <cellStyle name="Normal 3 21 9 10" xfId="10660"/>
    <cellStyle name="Normal 3 21 9 10 2" xfId="28203"/>
    <cellStyle name="Normal 3 21 9 11" xfId="10661"/>
    <cellStyle name="Normal 3 21 9 11 2" xfId="28204"/>
    <cellStyle name="Normal 3 21 9 12" xfId="10662"/>
    <cellStyle name="Normal 3 21 9 12 2" xfId="28205"/>
    <cellStyle name="Normal 3 21 9 13" xfId="10663"/>
    <cellStyle name="Normal 3 21 9 13 2" xfId="28206"/>
    <cellStyle name="Normal 3 21 9 14" xfId="10664"/>
    <cellStyle name="Normal 3 21 9 14 2" xfId="28207"/>
    <cellStyle name="Normal 3 21 9 15" xfId="28202"/>
    <cellStyle name="Normal 3 21 9 2" xfId="10665"/>
    <cellStyle name="Normal 3 21 9 2 2" xfId="28208"/>
    <cellStyle name="Normal 3 21 9 3" xfId="10666"/>
    <cellStyle name="Normal 3 21 9 3 2" xfId="28209"/>
    <cellStyle name="Normal 3 21 9 4" xfId="10667"/>
    <cellStyle name="Normal 3 21 9 4 2" xfId="28210"/>
    <cellStyle name="Normal 3 21 9 5" xfId="10668"/>
    <cellStyle name="Normal 3 21 9 5 2" xfId="28211"/>
    <cellStyle name="Normal 3 21 9 6" xfId="10669"/>
    <cellStyle name="Normal 3 21 9 6 2" xfId="28212"/>
    <cellStyle name="Normal 3 21 9 7" xfId="10670"/>
    <cellStyle name="Normal 3 21 9 7 2" xfId="28213"/>
    <cellStyle name="Normal 3 21 9 8" xfId="10671"/>
    <cellStyle name="Normal 3 21 9 8 2" xfId="28214"/>
    <cellStyle name="Normal 3 21 9 9" xfId="10672"/>
    <cellStyle name="Normal 3 21 9 9 2" xfId="28215"/>
    <cellStyle name="Normal 3 22" xfId="10673"/>
    <cellStyle name="Normal 3 22 10" xfId="10674"/>
    <cellStyle name="Normal 3 22 10 10" xfId="10675"/>
    <cellStyle name="Normal 3 22 10 10 2" xfId="28218"/>
    <cellStyle name="Normal 3 22 10 11" xfId="10676"/>
    <cellStyle name="Normal 3 22 10 11 2" xfId="28219"/>
    <cellStyle name="Normal 3 22 10 12" xfId="10677"/>
    <cellStyle name="Normal 3 22 10 12 2" xfId="28220"/>
    <cellStyle name="Normal 3 22 10 13" xfId="10678"/>
    <cellStyle name="Normal 3 22 10 13 2" xfId="28221"/>
    <cellStyle name="Normal 3 22 10 14" xfId="10679"/>
    <cellStyle name="Normal 3 22 10 14 2" xfId="28222"/>
    <cellStyle name="Normal 3 22 10 15" xfId="28217"/>
    <cellStyle name="Normal 3 22 10 2" xfId="10680"/>
    <cellStyle name="Normal 3 22 10 2 2" xfId="28223"/>
    <cellStyle name="Normal 3 22 10 3" xfId="10681"/>
    <cellStyle name="Normal 3 22 10 3 2" xfId="28224"/>
    <cellStyle name="Normal 3 22 10 4" xfId="10682"/>
    <cellStyle name="Normal 3 22 10 4 2" xfId="28225"/>
    <cellStyle name="Normal 3 22 10 5" xfId="10683"/>
    <cellStyle name="Normal 3 22 10 5 2" xfId="28226"/>
    <cellStyle name="Normal 3 22 10 6" xfId="10684"/>
    <cellStyle name="Normal 3 22 10 6 2" xfId="28227"/>
    <cellStyle name="Normal 3 22 10 7" xfId="10685"/>
    <cellStyle name="Normal 3 22 10 7 2" xfId="28228"/>
    <cellStyle name="Normal 3 22 10 8" xfId="10686"/>
    <cellStyle name="Normal 3 22 10 8 2" xfId="28229"/>
    <cellStyle name="Normal 3 22 10 9" xfId="10687"/>
    <cellStyle name="Normal 3 22 10 9 2" xfId="28230"/>
    <cellStyle name="Normal 3 22 11" xfId="10688"/>
    <cellStyle name="Normal 3 22 11 10" xfId="10689"/>
    <cellStyle name="Normal 3 22 11 10 2" xfId="28232"/>
    <cellStyle name="Normal 3 22 11 11" xfId="10690"/>
    <cellStyle name="Normal 3 22 11 11 2" xfId="28233"/>
    <cellStyle name="Normal 3 22 11 12" xfId="10691"/>
    <cellStyle name="Normal 3 22 11 12 2" xfId="28234"/>
    <cellStyle name="Normal 3 22 11 13" xfId="10692"/>
    <cellStyle name="Normal 3 22 11 13 2" xfId="28235"/>
    <cellStyle name="Normal 3 22 11 14" xfId="10693"/>
    <cellStyle name="Normal 3 22 11 14 2" xfId="28236"/>
    <cellStyle name="Normal 3 22 11 15" xfId="28231"/>
    <cellStyle name="Normal 3 22 11 2" xfId="10694"/>
    <cellStyle name="Normal 3 22 11 2 2" xfId="28237"/>
    <cellStyle name="Normal 3 22 11 3" xfId="10695"/>
    <cellStyle name="Normal 3 22 11 3 2" xfId="28238"/>
    <cellStyle name="Normal 3 22 11 4" xfId="10696"/>
    <cellStyle name="Normal 3 22 11 4 2" xfId="28239"/>
    <cellStyle name="Normal 3 22 11 5" xfId="10697"/>
    <cellStyle name="Normal 3 22 11 5 2" xfId="28240"/>
    <cellStyle name="Normal 3 22 11 6" xfId="10698"/>
    <cellStyle name="Normal 3 22 11 6 2" xfId="28241"/>
    <cellStyle name="Normal 3 22 11 7" xfId="10699"/>
    <cellStyle name="Normal 3 22 11 7 2" xfId="28242"/>
    <cellStyle name="Normal 3 22 11 8" xfId="10700"/>
    <cellStyle name="Normal 3 22 11 8 2" xfId="28243"/>
    <cellStyle name="Normal 3 22 11 9" xfId="10701"/>
    <cellStyle name="Normal 3 22 11 9 2" xfId="28244"/>
    <cellStyle name="Normal 3 22 12" xfId="10702"/>
    <cellStyle name="Normal 3 22 12 10" xfId="10703"/>
    <cellStyle name="Normal 3 22 12 10 2" xfId="28246"/>
    <cellStyle name="Normal 3 22 12 11" xfId="10704"/>
    <cellStyle name="Normal 3 22 12 11 2" xfId="28247"/>
    <cellStyle name="Normal 3 22 12 12" xfId="10705"/>
    <cellStyle name="Normal 3 22 12 12 2" xfId="28248"/>
    <cellStyle name="Normal 3 22 12 13" xfId="10706"/>
    <cellStyle name="Normal 3 22 12 13 2" xfId="28249"/>
    <cellStyle name="Normal 3 22 12 14" xfId="10707"/>
    <cellStyle name="Normal 3 22 12 14 2" xfId="28250"/>
    <cellStyle name="Normal 3 22 12 15" xfId="28245"/>
    <cellStyle name="Normal 3 22 12 2" xfId="10708"/>
    <cellStyle name="Normal 3 22 12 2 2" xfId="28251"/>
    <cellStyle name="Normal 3 22 12 3" xfId="10709"/>
    <cellStyle name="Normal 3 22 12 3 2" xfId="28252"/>
    <cellStyle name="Normal 3 22 12 4" xfId="10710"/>
    <cellStyle name="Normal 3 22 12 4 2" xfId="28253"/>
    <cellStyle name="Normal 3 22 12 5" xfId="10711"/>
    <cellStyle name="Normal 3 22 12 5 2" xfId="28254"/>
    <cellStyle name="Normal 3 22 12 6" xfId="10712"/>
    <cellStyle name="Normal 3 22 12 6 2" xfId="28255"/>
    <cellStyle name="Normal 3 22 12 7" xfId="10713"/>
    <cellStyle name="Normal 3 22 12 7 2" xfId="28256"/>
    <cellStyle name="Normal 3 22 12 8" xfId="10714"/>
    <cellStyle name="Normal 3 22 12 8 2" xfId="28257"/>
    <cellStyle name="Normal 3 22 12 9" xfId="10715"/>
    <cellStyle name="Normal 3 22 12 9 2" xfId="28258"/>
    <cellStyle name="Normal 3 22 13" xfId="10716"/>
    <cellStyle name="Normal 3 22 13 10" xfId="10717"/>
    <cellStyle name="Normal 3 22 13 10 2" xfId="28260"/>
    <cellStyle name="Normal 3 22 13 11" xfId="10718"/>
    <cellStyle name="Normal 3 22 13 11 2" xfId="28261"/>
    <cellStyle name="Normal 3 22 13 12" xfId="10719"/>
    <cellStyle name="Normal 3 22 13 12 2" xfId="28262"/>
    <cellStyle name="Normal 3 22 13 13" xfId="10720"/>
    <cellStyle name="Normal 3 22 13 13 2" xfId="28263"/>
    <cellStyle name="Normal 3 22 13 14" xfId="10721"/>
    <cellStyle name="Normal 3 22 13 14 2" xfId="28264"/>
    <cellStyle name="Normal 3 22 13 15" xfId="28259"/>
    <cellStyle name="Normal 3 22 13 2" xfId="10722"/>
    <cellStyle name="Normal 3 22 13 2 2" xfId="28265"/>
    <cellStyle name="Normal 3 22 13 3" xfId="10723"/>
    <cellStyle name="Normal 3 22 13 3 2" xfId="28266"/>
    <cellStyle name="Normal 3 22 13 4" xfId="10724"/>
    <cellStyle name="Normal 3 22 13 4 2" xfId="28267"/>
    <cellStyle name="Normal 3 22 13 5" xfId="10725"/>
    <cellStyle name="Normal 3 22 13 5 2" xfId="28268"/>
    <cellStyle name="Normal 3 22 13 6" xfId="10726"/>
    <cellStyle name="Normal 3 22 13 6 2" xfId="28269"/>
    <cellStyle name="Normal 3 22 13 7" xfId="10727"/>
    <cellStyle name="Normal 3 22 13 7 2" xfId="28270"/>
    <cellStyle name="Normal 3 22 13 8" xfId="10728"/>
    <cellStyle name="Normal 3 22 13 8 2" xfId="28271"/>
    <cellStyle name="Normal 3 22 13 9" xfId="10729"/>
    <cellStyle name="Normal 3 22 13 9 2" xfId="28272"/>
    <cellStyle name="Normal 3 22 14" xfId="10730"/>
    <cellStyle name="Normal 3 22 14 10" xfId="10731"/>
    <cellStyle name="Normal 3 22 14 10 2" xfId="28274"/>
    <cellStyle name="Normal 3 22 14 11" xfId="10732"/>
    <cellStyle name="Normal 3 22 14 11 2" xfId="28275"/>
    <cellStyle name="Normal 3 22 14 12" xfId="10733"/>
    <cellStyle name="Normal 3 22 14 12 2" xfId="28276"/>
    <cellStyle name="Normal 3 22 14 13" xfId="10734"/>
    <cellStyle name="Normal 3 22 14 13 2" xfId="28277"/>
    <cellStyle name="Normal 3 22 14 14" xfId="10735"/>
    <cellStyle name="Normal 3 22 14 14 2" xfId="28278"/>
    <cellStyle name="Normal 3 22 14 15" xfId="28273"/>
    <cellStyle name="Normal 3 22 14 2" xfId="10736"/>
    <cellStyle name="Normal 3 22 14 2 2" xfId="28279"/>
    <cellStyle name="Normal 3 22 14 3" xfId="10737"/>
    <cellStyle name="Normal 3 22 14 3 2" xfId="28280"/>
    <cellStyle name="Normal 3 22 14 4" xfId="10738"/>
    <cellStyle name="Normal 3 22 14 4 2" xfId="28281"/>
    <cellStyle name="Normal 3 22 14 5" xfId="10739"/>
    <cellStyle name="Normal 3 22 14 5 2" xfId="28282"/>
    <cellStyle name="Normal 3 22 14 6" xfId="10740"/>
    <cellStyle name="Normal 3 22 14 6 2" xfId="28283"/>
    <cellStyle name="Normal 3 22 14 7" xfId="10741"/>
    <cellStyle name="Normal 3 22 14 7 2" xfId="28284"/>
    <cellStyle name="Normal 3 22 14 8" xfId="10742"/>
    <cellStyle name="Normal 3 22 14 8 2" xfId="28285"/>
    <cellStyle name="Normal 3 22 14 9" xfId="10743"/>
    <cellStyle name="Normal 3 22 14 9 2" xfId="28286"/>
    <cellStyle name="Normal 3 22 15" xfId="10744"/>
    <cellStyle name="Normal 3 22 15 2" xfId="28287"/>
    <cellStyle name="Normal 3 22 16" xfId="10745"/>
    <cellStyle name="Normal 3 22 16 2" xfId="28288"/>
    <cellStyle name="Normal 3 22 17" xfId="10746"/>
    <cellStyle name="Normal 3 22 17 2" xfId="28289"/>
    <cellStyle name="Normal 3 22 18" xfId="10747"/>
    <cellStyle name="Normal 3 22 18 2" xfId="28290"/>
    <cellStyle name="Normal 3 22 19" xfId="10748"/>
    <cellStyle name="Normal 3 22 19 2" xfId="28291"/>
    <cellStyle name="Normal 3 22 2" xfId="10749"/>
    <cellStyle name="Normal 3 22 20" xfId="10750"/>
    <cellStyle name="Normal 3 22 20 2" xfId="28292"/>
    <cellStyle name="Normal 3 22 21" xfId="10751"/>
    <cellStyle name="Normal 3 22 21 2" xfId="28293"/>
    <cellStyle name="Normal 3 22 22" xfId="10752"/>
    <cellStyle name="Normal 3 22 22 2" xfId="28294"/>
    <cellStyle name="Normal 3 22 23" xfId="10753"/>
    <cellStyle name="Normal 3 22 23 2" xfId="28295"/>
    <cellStyle name="Normal 3 22 24" xfId="10754"/>
    <cellStyle name="Normal 3 22 24 2" xfId="28296"/>
    <cellStyle name="Normal 3 22 25" xfId="10755"/>
    <cellStyle name="Normal 3 22 25 2" xfId="28297"/>
    <cellStyle name="Normal 3 22 26" xfId="10756"/>
    <cellStyle name="Normal 3 22 26 2" xfId="28298"/>
    <cellStyle name="Normal 3 22 27" xfId="10757"/>
    <cellStyle name="Normal 3 22 27 2" xfId="28299"/>
    <cellStyle name="Normal 3 22 28" xfId="28216"/>
    <cellStyle name="Normal 3 22 3" xfId="10758"/>
    <cellStyle name="Normal 3 22 4" xfId="10759"/>
    <cellStyle name="Normal 3 22 5" xfId="10760"/>
    <cellStyle name="Normal 3 22 6" xfId="10761"/>
    <cellStyle name="Normal 3 22 6 10" xfId="10762"/>
    <cellStyle name="Normal 3 22 6 10 2" xfId="28301"/>
    <cellStyle name="Normal 3 22 6 11" xfId="10763"/>
    <cellStyle name="Normal 3 22 6 11 2" xfId="28302"/>
    <cellStyle name="Normal 3 22 6 12" xfId="10764"/>
    <cellStyle name="Normal 3 22 6 12 2" xfId="28303"/>
    <cellStyle name="Normal 3 22 6 13" xfId="10765"/>
    <cellStyle name="Normal 3 22 6 13 2" xfId="28304"/>
    <cellStyle name="Normal 3 22 6 14" xfId="10766"/>
    <cellStyle name="Normal 3 22 6 14 2" xfId="28305"/>
    <cellStyle name="Normal 3 22 6 15" xfId="10767"/>
    <cellStyle name="Normal 3 22 6 15 2" xfId="28306"/>
    <cellStyle name="Normal 3 22 6 16" xfId="28300"/>
    <cellStyle name="Normal 3 22 6 2" xfId="10768"/>
    <cellStyle name="Normal 3 22 6 2 10" xfId="10769"/>
    <cellStyle name="Normal 3 22 6 2 10 2" xfId="28308"/>
    <cellStyle name="Normal 3 22 6 2 11" xfId="10770"/>
    <cellStyle name="Normal 3 22 6 2 11 2" xfId="28309"/>
    <cellStyle name="Normal 3 22 6 2 12" xfId="10771"/>
    <cellStyle name="Normal 3 22 6 2 12 2" xfId="28310"/>
    <cellStyle name="Normal 3 22 6 2 13" xfId="10772"/>
    <cellStyle name="Normal 3 22 6 2 13 2" xfId="28311"/>
    <cellStyle name="Normal 3 22 6 2 14" xfId="10773"/>
    <cellStyle name="Normal 3 22 6 2 14 2" xfId="28312"/>
    <cellStyle name="Normal 3 22 6 2 15" xfId="28307"/>
    <cellStyle name="Normal 3 22 6 2 2" xfId="10774"/>
    <cellStyle name="Normal 3 22 6 2 2 2" xfId="28313"/>
    <cellStyle name="Normal 3 22 6 2 3" xfId="10775"/>
    <cellStyle name="Normal 3 22 6 2 3 2" xfId="28314"/>
    <cellStyle name="Normal 3 22 6 2 4" xfId="10776"/>
    <cellStyle name="Normal 3 22 6 2 4 2" xfId="28315"/>
    <cellStyle name="Normal 3 22 6 2 5" xfId="10777"/>
    <cellStyle name="Normal 3 22 6 2 5 2" xfId="28316"/>
    <cellStyle name="Normal 3 22 6 2 6" xfId="10778"/>
    <cellStyle name="Normal 3 22 6 2 6 2" xfId="28317"/>
    <cellStyle name="Normal 3 22 6 2 7" xfId="10779"/>
    <cellStyle name="Normal 3 22 6 2 7 2" xfId="28318"/>
    <cellStyle name="Normal 3 22 6 2 8" xfId="10780"/>
    <cellStyle name="Normal 3 22 6 2 8 2" xfId="28319"/>
    <cellStyle name="Normal 3 22 6 2 9" xfId="10781"/>
    <cellStyle name="Normal 3 22 6 2 9 2" xfId="28320"/>
    <cellStyle name="Normal 3 22 6 3" xfId="10782"/>
    <cellStyle name="Normal 3 22 6 3 2" xfId="28321"/>
    <cellStyle name="Normal 3 22 6 4" xfId="10783"/>
    <cellStyle name="Normal 3 22 6 4 2" xfId="28322"/>
    <cellStyle name="Normal 3 22 6 5" xfId="10784"/>
    <cellStyle name="Normal 3 22 6 5 2" xfId="28323"/>
    <cellStyle name="Normal 3 22 6 6" xfId="10785"/>
    <cellStyle name="Normal 3 22 6 6 2" xfId="28324"/>
    <cellStyle name="Normal 3 22 6 7" xfId="10786"/>
    <cellStyle name="Normal 3 22 6 7 2" xfId="28325"/>
    <cellStyle name="Normal 3 22 6 8" xfId="10787"/>
    <cellStyle name="Normal 3 22 6 8 2" xfId="28326"/>
    <cellStyle name="Normal 3 22 6 9" xfId="10788"/>
    <cellStyle name="Normal 3 22 6 9 2" xfId="28327"/>
    <cellStyle name="Normal 3 22 7" xfId="10789"/>
    <cellStyle name="Normal 3 22 7 10" xfId="10790"/>
    <cellStyle name="Normal 3 22 7 10 2" xfId="28329"/>
    <cellStyle name="Normal 3 22 7 11" xfId="10791"/>
    <cellStyle name="Normal 3 22 7 11 2" xfId="28330"/>
    <cellStyle name="Normal 3 22 7 12" xfId="10792"/>
    <cellStyle name="Normal 3 22 7 12 2" xfId="28331"/>
    <cellStyle name="Normal 3 22 7 13" xfId="10793"/>
    <cellStyle name="Normal 3 22 7 13 2" xfId="28332"/>
    <cellStyle name="Normal 3 22 7 14" xfId="10794"/>
    <cellStyle name="Normal 3 22 7 14 2" xfId="28333"/>
    <cellStyle name="Normal 3 22 7 15" xfId="10795"/>
    <cellStyle name="Normal 3 22 7 15 2" xfId="28334"/>
    <cellStyle name="Normal 3 22 7 16" xfId="28328"/>
    <cellStyle name="Normal 3 22 7 2" xfId="10796"/>
    <cellStyle name="Normal 3 22 7 2 10" xfId="10797"/>
    <cellStyle name="Normal 3 22 7 2 10 2" xfId="28336"/>
    <cellStyle name="Normal 3 22 7 2 11" xfId="10798"/>
    <cellStyle name="Normal 3 22 7 2 11 2" xfId="28337"/>
    <cellStyle name="Normal 3 22 7 2 12" xfId="10799"/>
    <cellStyle name="Normal 3 22 7 2 12 2" xfId="28338"/>
    <cellStyle name="Normal 3 22 7 2 13" xfId="10800"/>
    <cellStyle name="Normal 3 22 7 2 13 2" xfId="28339"/>
    <cellStyle name="Normal 3 22 7 2 14" xfId="10801"/>
    <cellStyle name="Normal 3 22 7 2 14 2" xfId="28340"/>
    <cellStyle name="Normal 3 22 7 2 15" xfId="28335"/>
    <cellStyle name="Normal 3 22 7 2 2" xfId="10802"/>
    <cellStyle name="Normal 3 22 7 2 2 2" xfId="28341"/>
    <cellStyle name="Normal 3 22 7 2 3" xfId="10803"/>
    <cellStyle name="Normal 3 22 7 2 3 2" xfId="28342"/>
    <cellStyle name="Normal 3 22 7 2 4" xfId="10804"/>
    <cellStyle name="Normal 3 22 7 2 4 2" xfId="28343"/>
    <cellStyle name="Normal 3 22 7 2 5" xfId="10805"/>
    <cellStyle name="Normal 3 22 7 2 5 2" xfId="28344"/>
    <cellStyle name="Normal 3 22 7 2 6" xfId="10806"/>
    <cellStyle name="Normal 3 22 7 2 6 2" xfId="28345"/>
    <cellStyle name="Normal 3 22 7 2 7" xfId="10807"/>
    <cellStyle name="Normal 3 22 7 2 7 2" xfId="28346"/>
    <cellStyle name="Normal 3 22 7 2 8" xfId="10808"/>
    <cellStyle name="Normal 3 22 7 2 8 2" xfId="28347"/>
    <cellStyle name="Normal 3 22 7 2 9" xfId="10809"/>
    <cellStyle name="Normal 3 22 7 2 9 2" xfId="28348"/>
    <cellStyle name="Normal 3 22 7 3" xfId="10810"/>
    <cellStyle name="Normal 3 22 7 3 2" xfId="28349"/>
    <cellStyle name="Normal 3 22 7 4" xfId="10811"/>
    <cellStyle name="Normal 3 22 7 4 2" xfId="28350"/>
    <cellStyle name="Normal 3 22 7 5" xfId="10812"/>
    <cellStyle name="Normal 3 22 7 5 2" xfId="28351"/>
    <cellStyle name="Normal 3 22 7 6" xfId="10813"/>
    <cellStyle name="Normal 3 22 7 6 2" xfId="28352"/>
    <cellStyle name="Normal 3 22 7 7" xfId="10814"/>
    <cellStyle name="Normal 3 22 7 7 2" xfId="28353"/>
    <cellStyle name="Normal 3 22 7 8" xfId="10815"/>
    <cellStyle name="Normal 3 22 7 8 2" xfId="28354"/>
    <cellStyle name="Normal 3 22 7 9" xfId="10816"/>
    <cellStyle name="Normal 3 22 7 9 2" xfId="28355"/>
    <cellStyle name="Normal 3 22 8" xfId="10817"/>
    <cellStyle name="Normal 3 22 8 10" xfId="10818"/>
    <cellStyle name="Normal 3 22 8 10 2" xfId="28357"/>
    <cellStyle name="Normal 3 22 8 11" xfId="10819"/>
    <cellStyle name="Normal 3 22 8 11 2" xfId="28358"/>
    <cellStyle name="Normal 3 22 8 12" xfId="10820"/>
    <cellStyle name="Normal 3 22 8 12 2" xfId="28359"/>
    <cellStyle name="Normal 3 22 8 13" xfId="10821"/>
    <cellStyle name="Normal 3 22 8 13 2" xfId="28360"/>
    <cellStyle name="Normal 3 22 8 14" xfId="10822"/>
    <cellStyle name="Normal 3 22 8 14 2" xfId="28361"/>
    <cellStyle name="Normal 3 22 8 15" xfId="10823"/>
    <cellStyle name="Normal 3 22 8 15 2" xfId="28362"/>
    <cellStyle name="Normal 3 22 8 16" xfId="28356"/>
    <cellStyle name="Normal 3 22 8 2" xfId="10824"/>
    <cellStyle name="Normal 3 22 8 2 10" xfId="10825"/>
    <cellStyle name="Normal 3 22 8 2 10 2" xfId="28364"/>
    <cellStyle name="Normal 3 22 8 2 11" xfId="10826"/>
    <cellStyle name="Normal 3 22 8 2 11 2" xfId="28365"/>
    <cellStyle name="Normal 3 22 8 2 12" xfId="10827"/>
    <cellStyle name="Normal 3 22 8 2 12 2" xfId="28366"/>
    <cellStyle name="Normal 3 22 8 2 13" xfId="10828"/>
    <cellStyle name="Normal 3 22 8 2 13 2" xfId="28367"/>
    <cellStyle name="Normal 3 22 8 2 14" xfId="10829"/>
    <cellStyle name="Normal 3 22 8 2 14 2" xfId="28368"/>
    <cellStyle name="Normal 3 22 8 2 15" xfId="28363"/>
    <cellStyle name="Normal 3 22 8 2 2" xfId="10830"/>
    <cellStyle name="Normal 3 22 8 2 2 2" xfId="28369"/>
    <cellStyle name="Normal 3 22 8 2 3" xfId="10831"/>
    <cellStyle name="Normal 3 22 8 2 3 2" xfId="28370"/>
    <cellStyle name="Normal 3 22 8 2 4" xfId="10832"/>
    <cellStyle name="Normal 3 22 8 2 4 2" xfId="28371"/>
    <cellStyle name="Normal 3 22 8 2 5" xfId="10833"/>
    <cellStyle name="Normal 3 22 8 2 5 2" xfId="28372"/>
    <cellStyle name="Normal 3 22 8 2 6" xfId="10834"/>
    <cellStyle name="Normal 3 22 8 2 6 2" xfId="28373"/>
    <cellStyle name="Normal 3 22 8 2 7" xfId="10835"/>
    <cellStyle name="Normal 3 22 8 2 7 2" xfId="28374"/>
    <cellStyle name="Normal 3 22 8 2 8" xfId="10836"/>
    <cellStyle name="Normal 3 22 8 2 8 2" xfId="28375"/>
    <cellStyle name="Normal 3 22 8 2 9" xfId="10837"/>
    <cellStyle name="Normal 3 22 8 2 9 2" xfId="28376"/>
    <cellStyle name="Normal 3 22 8 3" xfId="10838"/>
    <cellStyle name="Normal 3 22 8 3 2" xfId="28377"/>
    <cellStyle name="Normal 3 22 8 4" xfId="10839"/>
    <cellStyle name="Normal 3 22 8 4 2" xfId="28378"/>
    <cellStyle name="Normal 3 22 8 5" xfId="10840"/>
    <cellStyle name="Normal 3 22 8 5 2" xfId="28379"/>
    <cellStyle name="Normal 3 22 8 6" xfId="10841"/>
    <cellStyle name="Normal 3 22 8 6 2" xfId="28380"/>
    <cellStyle name="Normal 3 22 8 7" xfId="10842"/>
    <cellStyle name="Normal 3 22 8 7 2" xfId="28381"/>
    <cellStyle name="Normal 3 22 8 8" xfId="10843"/>
    <cellStyle name="Normal 3 22 8 8 2" xfId="28382"/>
    <cellStyle name="Normal 3 22 8 9" xfId="10844"/>
    <cellStyle name="Normal 3 22 8 9 2" xfId="28383"/>
    <cellStyle name="Normal 3 22 9" xfId="10845"/>
    <cellStyle name="Normal 3 22 9 10" xfId="10846"/>
    <cellStyle name="Normal 3 22 9 10 2" xfId="28385"/>
    <cellStyle name="Normal 3 22 9 11" xfId="10847"/>
    <cellStyle name="Normal 3 22 9 11 2" xfId="28386"/>
    <cellStyle name="Normal 3 22 9 12" xfId="10848"/>
    <cellStyle name="Normal 3 22 9 12 2" xfId="28387"/>
    <cellStyle name="Normal 3 22 9 13" xfId="10849"/>
    <cellStyle name="Normal 3 22 9 13 2" xfId="28388"/>
    <cellStyle name="Normal 3 22 9 14" xfId="10850"/>
    <cellStyle name="Normal 3 22 9 14 2" xfId="28389"/>
    <cellStyle name="Normal 3 22 9 15" xfId="28384"/>
    <cellStyle name="Normal 3 22 9 2" xfId="10851"/>
    <cellStyle name="Normal 3 22 9 2 2" xfId="28390"/>
    <cellStyle name="Normal 3 22 9 3" xfId="10852"/>
    <cellStyle name="Normal 3 22 9 3 2" xfId="28391"/>
    <cellStyle name="Normal 3 22 9 4" xfId="10853"/>
    <cellStyle name="Normal 3 22 9 4 2" xfId="28392"/>
    <cellStyle name="Normal 3 22 9 5" xfId="10854"/>
    <cellStyle name="Normal 3 22 9 5 2" xfId="28393"/>
    <cellStyle name="Normal 3 22 9 6" xfId="10855"/>
    <cellStyle name="Normal 3 22 9 6 2" xfId="28394"/>
    <cellStyle name="Normal 3 22 9 7" xfId="10856"/>
    <cellStyle name="Normal 3 22 9 7 2" xfId="28395"/>
    <cellStyle name="Normal 3 22 9 8" xfId="10857"/>
    <cellStyle name="Normal 3 22 9 8 2" xfId="28396"/>
    <cellStyle name="Normal 3 22 9 9" xfId="10858"/>
    <cellStyle name="Normal 3 22 9 9 2" xfId="28397"/>
    <cellStyle name="Normal 3 23" xfId="10859"/>
    <cellStyle name="Normal 3 24" xfId="10860"/>
    <cellStyle name="Normal 3 25" xfId="10861"/>
    <cellStyle name="Normal 3 26" xfId="10862"/>
    <cellStyle name="Normal 3 27" xfId="10863"/>
    <cellStyle name="Normal 3 28" xfId="10864"/>
    <cellStyle name="Normal 3 29" xfId="10865"/>
    <cellStyle name="Normal 3 3" xfId="62"/>
    <cellStyle name="Normal 3 3 10" xfId="10867"/>
    <cellStyle name="Normal 3 3 10 10" xfId="10868"/>
    <cellStyle name="Normal 3 3 10 10 10" xfId="10869"/>
    <cellStyle name="Normal 3 3 10 10 10 2" xfId="28400"/>
    <cellStyle name="Normal 3 3 10 10 11" xfId="10870"/>
    <cellStyle name="Normal 3 3 10 10 11 2" xfId="28401"/>
    <cellStyle name="Normal 3 3 10 10 12" xfId="10871"/>
    <cellStyle name="Normal 3 3 10 10 12 2" xfId="28402"/>
    <cellStyle name="Normal 3 3 10 10 13" xfId="10872"/>
    <cellStyle name="Normal 3 3 10 10 13 2" xfId="28403"/>
    <cellStyle name="Normal 3 3 10 10 14" xfId="10873"/>
    <cellStyle name="Normal 3 3 10 10 14 2" xfId="28404"/>
    <cellStyle name="Normal 3 3 10 10 15" xfId="28399"/>
    <cellStyle name="Normal 3 3 10 10 2" xfId="10874"/>
    <cellStyle name="Normal 3 3 10 10 2 2" xfId="28405"/>
    <cellStyle name="Normal 3 3 10 10 3" xfId="10875"/>
    <cellStyle name="Normal 3 3 10 10 3 2" xfId="28406"/>
    <cellStyle name="Normal 3 3 10 10 4" xfId="10876"/>
    <cellStyle name="Normal 3 3 10 10 4 2" xfId="28407"/>
    <cellStyle name="Normal 3 3 10 10 5" xfId="10877"/>
    <cellStyle name="Normal 3 3 10 10 5 2" xfId="28408"/>
    <cellStyle name="Normal 3 3 10 10 6" xfId="10878"/>
    <cellStyle name="Normal 3 3 10 10 6 2" xfId="28409"/>
    <cellStyle name="Normal 3 3 10 10 7" xfId="10879"/>
    <cellStyle name="Normal 3 3 10 10 7 2" xfId="28410"/>
    <cellStyle name="Normal 3 3 10 10 8" xfId="10880"/>
    <cellStyle name="Normal 3 3 10 10 8 2" xfId="28411"/>
    <cellStyle name="Normal 3 3 10 10 9" xfId="10881"/>
    <cellStyle name="Normal 3 3 10 10 9 2" xfId="28412"/>
    <cellStyle name="Normal 3 3 10 11" xfId="10882"/>
    <cellStyle name="Normal 3 3 10 11 2" xfId="28413"/>
    <cellStyle name="Normal 3 3 10 12" xfId="10883"/>
    <cellStyle name="Normal 3 3 10 12 2" xfId="28414"/>
    <cellStyle name="Normal 3 3 10 13" xfId="10884"/>
    <cellStyle name="Normal 3 3 10 13 2" xfId="28415"/>
    <cellStyle name="Normal 3 3 10 14" xfId="10885"/>
    <cellStyle name="Normal 3 3 10 14 2" xfId="28416"/>
    <cellStyle name="Normal 3 3 10 15" xfId="10886"/>
    <cellStyle name="Normal 3 3 10 15 2" xfId="28417"/>
    <cellStyle name="Normal 3 3 10 16" xfId="10887"/>
    <cellStyle name="Normal 3 3 10 16 2" xfId="28418"/>
    <cellStyle name="Normal 3 3 10 17" xfId="10888"/>
    <cellStyle name="Normal 3 3 10 17 2" xfId="28419"/>
    <cellStyle name="Normal 3 3 10 18" xfId="10889"/>
    <cellStyle name="Normal 3 3 10 18 2" xfId="28420"/>
    <cellStyle name="Normal 3 3 10 19" xfId="10890"/>
    <cellStyle name="Normal 3 3 10 19 2" xfId="28421"/>
    <cellStyle name="Normal 3 3 10 2" xfId="10891"/>
    <cellStyle name="Normal 3 3 10 2 10" xfId="10892"/>
    <cellStyle name="Normal 3 3 10 2 10 2" xfId="28423"/>
    <cellStyle name="Normal 3 3 10 2 11" xfId="10893"/>
    <cellStyle name="Normal 3 3 10 2 11 2" xfId="28424"/>
    <cellStyle name="Normal 3 3 10 2 12" xfId="10894"/>
    <cellStyle name="Normal 3 3 10 2 12 2" xfId="28425"/>
    <cellStyle name="Normal 3 3 10 2 13" xfId="10895"/>
    <cellStyle name="Normal 3 3 10 2 13 2" xfId="28426"/>
    <cellStyle name="Normal 3 3 10 2 14" xfId="10896"/>
    <cellStyle name="Normal 3 3 10 2 14 2" xfId="28427"/>
    <cellStyle name="Normal 3 3 10 2 15" xfId="10897"/>
    <cellStyle name="Normal 3 3 10 2 15 2" xfId="28428"/>
    <cellStyle name="Normal 3 3 10 2 16" xfId="28422"/>
    <cellStyle name="Normal 3 3 10 2 2" xfId="10898"/>
    <cellStyle name="Normal 3 3 10 2 2 10" xfId="10899"/>
    <cellStyle name="Normal 3 3 10 2 2 10 2" xfId="28430"/>
    <cellStyle name="Normal 3 3 10 2 2 11" xfId="10900"/>
    <cellStyle name="Normal 3 3 10 2 2 11 2" xfId="28431"/>
    <cellStyle name="Normal 3 3 10 2 2 12" xfId="10901"/>
    <cellStyle name="Normal 3 3 10 2 2 12 2" xfId="28432"/>
    <cellStyle name="Normal 3 3 10 2 2 13" xfId="10902"/>
    <cellStyle name="Normal 3 3 10 2 2 13 2" xfId="28433"/>
    <cellStyle name="Normal 3 3 10 2 2 14" xfId="10903"/>
    <cellStyle name="Normal 3 3 10 2 2 14 2" xfId="28434"/>
    <cellStyle name="Normal 3 3 10 2 2 15" xfId="28429"/>
    <cellStyle name="Normal 3 3 10 2 2 2" xfId="10904"/>
    <cellStyle name="Normal 3 3 10 2 2 2 2" xfId="28435"/>
    <cellStyle name="Normal 3 3 10 2 2 3" xfId="10905"/>
    <cellStyle name="Normal 3 3 10 2 2 3 2" xfId="28436"/>
    <cellStyle name="Normal 3 3 10 2 2 4" xfId="10906"/>
    <cellStyle name="Normal 3 3 10 2 2 4 2" xfId="28437"/>
    <cellStyle name="Normal 3 3 10 2 2 5" xfId="10907"/>
    <cellStyle name="Normal 3 3 10 2 2 5 2" xfId="28438"/>
    <cellStyle name="Normal 3 3 10 2 2 6" xfId="10908"/>
    <cellStyle name="Normal 3 3 10 2 2 6 2" xfId="28439"/>
    <cellStyle name="Normal 3 3 10 2 2 7" xfId="10909"/>
    <cellStyle name="Normal 3 3 10 2 2 7 2" xfId="28440"/>
    <cellStyle name="Normal 3 3 10 2 2 8" xfId="10910"/>
    <cellStyle name="Normal 3 3 10 2 2 8 2" xfId="28441"/>
    <cellStyle name="Normal 3 3 10 2 2 9" xfId="10911"/>
    <cellStyle name="Normal 3 3 10 2 2 9 2" xfId="28442"/>
    <cellStyle name="Normal 3 3 10 2 3" xfId="10912"/>
    <cellStyle name="Normal 3 3 10 2 3 2" xfId="28443"/>
    <cellStyle name="Normal 3 3 10 2 4" xfId="10913"/>
    <cellStyle name="Normal 3 3 10 2 4 2" xfId="28444"/>
    <cellStyle name="Normal 3 3 10 2 5" xfId="10914"/>
    <cellStyle name="Normal 3 3 10 2 5 2" xfId="28445"/>
    <cellStyle name="Normal 3 3 10 2 6" xfId="10915"/>
    <cellStyle name="Normal 3 3 10 2 6 2" xfId="28446"/>
    <cellStyle name="Normal 3 3 10 2 7" xfId="10916"/>
    <cellStyle name="Normal 3 3 10 2 7 2" xfId="28447"/>
    <cellStyle name="Normal 3 3 10 2 8" xfId="10917"/>
    <cellStyle name="Normal 3 3 10 2 8 2" xfId="28448"/>
    <cellStyle name="Normal 3 3 10 2 9" xfId="10918"/>
    <cellStyle name="Normal 3 3 10 2 9 2" xfId="28449"/>
    <cellStyle name="Normal 3 3 10 20" xfId="10919"/>
    <cellStyle name="Normal 3 3 10 20 2" xfId="28450"/>
    <cellStyle name="Normal 3 3 10 21" xfId="10920"/>
    <cellStyle name="Normal 3 3 10 21 2" xfId="28451"/>
    <cellStyle name="Normal 3 3 10 22" xfId="10921"/>
    <cellStyle name="Normal 3 3 10 22 2" xfId="28452"/>
    <cellStyle name="Normal 3 3 10 23" xfId="10922"/>
    <cellStyle name="Normal 3 3 10 23 2" xfId="28453"/>
    <cellStyle name="Normal 3 3 10 24" xfId="28398"/>
    <cellStyle name="Normal 3 3 10 3" xfId="10923"/>
    <cellStyle name="Normal 3 3 10 3 10" xfId="10924"/>
    <cellStyle name="Normal 3 3 10 3 10 2" xfId="28455"/>
    <cellStyle name="Normal 3 3 10 3 11" xfId="10925"/>
    <cellStyle name="Normal 3 3 10 3 11 2" xfId="28456"/>
    <cellStyle name="Normal 3 3 10 3 12" xfId="10926"/>
    <cellStyle name="Normal 3 3 10 3 12 2" xfId="28457"/>
    <cellStyle name="Normal 3 3 10 3 13" xfId="10927"/>
    <cellStyle name="Normal 3 3 10 3 13 2" xfId="28458"/>
    <cellStyle name="Normal 3 3 10 3 14" xfId="10928"/>
    <cellStyle name="Normal 3 3 10 3 14 2" xfId="28459"/>
    <cellStyle name="Normal 3 3 10 3 15" xfId="10929"/>
    <cellStyle name="Normal 3 3 10 3 15 2" xfId="28460"/>
    <cellStyle name="Normal 3 3 10 3 16" xfId="28454"/>
    <cellStyle name="Normal 3 3 10 3 2" xfId="10930"/>
    <cellStyle name="Normal 3 3 10 3 2 10" xfId="10931"/>
    <cellStyle name="Normal 3 3 10 3 2 10 2" xfId="28462"/>
    <cellStyle name="Normal 3 3 10 3 2 11" xfId="10932"/>
    <cellStyle name="Normal 3 3 10 3 2 11 2" xfId="28463"/>
    <cellStyle name="Normal 3 3 10 3 2 12" xfId="10933"/>
    <cellStyle name="Normal 3 3 10 3 2 12 2" xfId="28464"/>
    <cellStyle name="Normal 3 3 10 3 2 13" xfId="10934"/>
    <cellStyle name="Normal 3 3 10 3 2 13 2" xfId="28465"/>
    <cellStyle name="Normal 3 3 10 3 2 14" xfId="10935"/>
    <cellStyle name="Normal 3 3 10 3 2 14 2" xfId="28466"/>
    <cellStyle name="Normal 3 3 10 3 2 15" xfId="28461"/>
    <cellStyle name="Normal 3 3 10 3 2 2" xfId="10936"/>
    <cellStyle name="Normal 3 3 10 3 2 2 2" xfId="28467"/>
    <cellStyle name="Normal 3 3 10 3 2 3" xfId="10937"/>
    <cellStyle name="Normal 3 3 10 3 2 3 2" xfId="28468"/>
    <cellStyle name="Normal 3 3 10 3 2 4" xfId="10938"/>
    <cellStyle name="Normal 3 3 10 3 2 4 2" xfId="28469"/>
    <cellStyle name="Normal 3 3 10 3 2 5" xfId="10939"/>
    <cellStyle name="Normal 3 3 10 3 2 5 2" xfId="28470"/>
    <cellStyle name="Normal 3 3 10 3 2 6" xfId="10940"/>
    <cellStyle name="Normal 3 3 10 3 2 6 2" xfId="28471"/>
    <cellStyle name="Normal 3 3 10 3 2 7" xfId="10941"/>
    <cellStyle name="Normal 3 3 10 3 2 7 2" xfId="28472"/>
    <cellStyle name="Normal 3 3 10 3 2 8" xfId="10942"/>
    <cellStyle name="Normal 3 3 10 3 2 8 2" xfId="28473"/>
    <cellStyle name="Normal 3 3 10 3 2 9" xfId="10943"/>
    <cellStyle name="Normal 3 3 10 3 2 9 2" xfId="28474"/>
    <cellStyle name="Normal 3 3 10 3 3" xfId="10944"/>
    <cellStyle name="Normal 3 3 10 3 3 2" xfId="28475"/>
    <cellStyle name="Normal 3 3 10 3 4" xfId="10945"/>
    <cellStyle name="Normal 3 3 10 3 4 2" xfId="28476"/>
    <cellStyle name="Normal 3 3 10 3 5" xfId="10946"/>
    <cellStyle name="Normal 3 3 10 3 5 2" xfId="28477"/>
    <cellStyle name="Normal 3 3 10 3 6" xfId="10947"/>
    <cellStyle name="Normal 3 3 10 3 6 2" xfId="28478"/>
    <cellStyle name="Normal 3 3 10 3 7" xfId="10948"/>
    <cellStyle name="Normal 3 3 10 3 7 2" xfId="28479"/>
    <cellStyle name="Normal 3 3 10 3 8" xfId="10949"/>
    <cellStyle name="Normal 3 3 10 3 8 2" xfId="28480"/>
    <cellStyle name="Normal 3 3 10 3 9" xfId="10950"/>
    <cellStyle name="Normal 3 3 10 3 9 2" xfId="28481"/>
    <cellStyle name="Normal 3 3 10 4" xfId="10951"/>
    <cellStyle name="Normal 3 3 10 4 10" xfId="10952"/>
    <cellStyle name="Normal 3 3 10 4 10 2" xfId="28483"/>
    <cellStyle name="Normal 3 3 10 4 11" xfId="10953"/>
    <cellStyle name="Normal 3 3 10 4 11 2" xfId="28484"/>
    <cellStyle name="Normal 3 3 10 4 12" xfId="10954"/>
    <cellStyle name="Normal 3 3 10 4 12 2" xfId="28485"/>
    <cellStyle name="Normal 3 3 10 4 13" xfId="10955"/>
    <cellStyle name="Normal 3 3 10 4 13 2" xfId="28486"/>
    <cellStyle name="Normal 3 3 10 4 14" xfId="10956"/>
    <cellStyle name="Normal 3 3 10 4 14 2" xfId="28487"/>
    <cellStyle name="Normal 3 3 10 4 15" xfId="10957"/>
    <cellStyle name="Normal 3 3 10 4 15 2" xfId="28488"/>
    <cellStyle name="Normal 3 3 10 4 16" xfId="28482"/>
    <cellStyle name="Normal 3 3 10 4 2" xfId="10958"/>
    <cellStyle name="Normal 3 3 10 4 2 10" xfId="10959"/>
    <cellStyle name="Normal 3 3 10 4 2 10 2" xfId="28490"/>
    <cellStyle name="Normal 3 3 10 4 2 11" xfId="10960"/>
    <cellStyle name="Normal 3 3 10 4 2 11 2" xfId="28491"/>
    <cellStyle name="Normal 3 3 10 4 2 12" xfId="10961"/>
    <cellStyle name="Normal 3 3 10 4 2 12 2" xfId="28492"/>
    <cellStyle name="Normal 3 3 10 4 2 13" xfId="10962"/>
    <cellStyle name="Normal 3 3 10 4 2 13 2" xfId="28493"/>
    <cellStyle name="Normal 3 3 10 4 2 14" xfId="10963"/>
    <cellStyle name="Normal 3 3 10 4 2 14 2" xfId="28494"/>
    <cellStyle name="Normal 3 3 10 4 2 15" xfId="28489"/>
    <cellStyle name="Normal 3 3 10 4 2 2" xfId="10964"/>
    <cellStyle name="Normal 3 3 10 4 2 2 2" xfId="28495"/>
    <cellStyle name="Normal 3 3 10 4 2 3" xfId="10965"/>
    <cellStyle name="Normal 3 3 10 4 2 3 2" xfId="28496"/>
    <cellStyle name="Normal 3 3 10 4 2 4" xfId="10966"/>
    <cellStyle name="Normal 3 3 10 4 2 4 2" xfId="28497"/>
    <cellStyle name="Normal 3 3 10 4 2 5" xfId="10967"/>
    <cellStyle name="Normal 3 3 10 4 2 5 2" xfId="28498"/>
    <cellStyle name="Normal 3 3 10 4 2 6" xfId="10968"/>
    <cellStyle name="Normal 3 3 10 4 2 6 2" xfId="28499"/>
    <cellStyle name="Normal 3 3 10 4 2 7" xfId="10969"/>
    <cellStyle name="Normal 3 3 10 4 2 7 2" xfId="28500"/>
    <cellStyle name="Normal 3 3 10 4 2 8" xfId="10970"/>
    <cellStyle name="Normal 3 3 10 4 2 8 2" xfId="28501"/>
    <cellStyle name="Normal 3 3 10 4 2 9" xfId="10971"/>
    <cellStyle name="Normal 3 3 10 4 2 9 2" xfId="28502"/>
    <cellStyle name="Normal 3 3 10 4 3" xfId="10972"/>
    <cellStyle name="Normal 3 3 10 4 3 2" xfId="28503"/>
    <cellStyle name="Normal 3 3 10 4 4" xfId="10973"/>
    <cellStyle name="Normal 3 3 10 4 4 2" xfId="28504"/>
    <cellStyle name="Normal 3 3 10 4 5" xfId="10974"/>
    <cellStyle name="Normal 3 3 10 4 5 2" xfId="28505"/>
    <cellStyle name="Normal 3 3 10 4 6" xfId="10975"/>
    <cellStyle name="Normal 3 3 10 4 6 2" xfId="28506"/>
    <cellStyle name="Normal 3 3 10 4 7" xfId="10976"/>
    <cellStyle name="Normal 3 3 10 4 7 2" xfId="28507"/>
    <cellStyle name="Normal 3 3 10 4 8" xfId="10977"/>
    <cellStyle name="Normal 3 3 10 4 8 2" xfId="28508"/>
    <cellStyle name="Normal 3 3 10 4 9" xfId="10978"/>
    <cellStyle name="Normal 3 3 10 4 9 2" xfId="28509"/>
    <cellStyle name="Normal 3 3 10 5" xfId="10979"/>
    <cellStyle name="Normal 3 3 10 5 10" xfId="10980"/>
    <cellStyle name="Normal 3 3 10 5 10 2" xfId="28511"/>
    <cellStyle name="Normal 3 3 10 5 11" xfId="10981"/>
    <cellStyle name="Normal 3 3 10 5 11 2" xfId="28512"/>
    <cellStyle name="Normal 3 3 10 5 12" xfId="10982"/>
    <cellStyle name="Normal 3 3 10 5 12 2" xfId="28513"/>
    <cellStyle name="Normal 3 3 10 5 13" xfId="10983"/>
    <cellStyle name="Normal 3 3 10 5 13 2" xfId="28514"/>
    <cellStyle name="Normal 3 3 10 5 14" xfId="10984"/>
    <cellStyle name="Normal 3 3 10 5 14 2" xfId="28515"/>
    <cellStyle name="Normal 3 3 10 5 15" xfId="28510"/>
    <cellStyle name="Normal 3 3 10 5 2" xfId="10985"/>
    <cellStyle name="Normal 3 3 10 5 2 2" xfId="28516"/>
    <cellStyle name="Normal 3 3 10 5 3" xfId="10986"/>
    <cellStyle name="Normal 3 3 10 5 3 2" xfId="28517"/>
    <cellStyle name="Normal 3 3 10 5 4" xfId="10987"/>
    <cellStyle name="Normal 3 3 10 5 4 2" xfId="28518"/>
    <cellStyle name="Normal 3 3 10 5 5" xfId="10988"/>
    <cellStyle name="Normal 3 3 10 5 5 2" xfId="28519"/>
    <cellStyle name="Normal 3 3 10 5 6" xfId="10989"/>
    <cellStyle name="Normal 3 3 10 5 6 2" xfId="28520"/>
    <cellStyle name="Normal 3 3 10 5 7" xfId="10990"/>
    <cellStyle name="Normal 3 3 10 5 7 2" xfId="28521"/>
    <cellStyle name="Normal 3 3 10 5 8" xfId="10991"/>
    <cellStyle name="Normal 3 3 10 5 8 2" xfId="28522"/>
    <cellStyle name="Normal 3 3 10 5 9" xfId="10992"/>
    <cellStyle name="Normal 3 3 10 5 9 2" xfId="28523"/>
    <cellStyle name="Normal 3 3 10 6" xfId="10993"/>
    <cellStyle name="Normal 3 3 10 6 10" xfId="10994"/>
    <cellStyle name="Normal 3 3 10 6 10 2" xfId="28525"/>
    <cellStyle name="Normal 3 3 10 6 11" xfId="10995"/>
    <cellStyle name="Normal 3 3 10 6 11 2" xfId="28526"/>
    <cellStyle name="Normal 3 3 10 6 12" xfId="10996"/>
    <cellStyle name="Normal 3 3 10 6 12 2" xfId="28527"/>
    <cellStyle name="Normal 3 3 10 6 13" xfId="10997"/>
    <cellStyle name="Normal 3 3 10 6 13 2" xfId="28528"/>
    <cellStyle name="Normal 3 3 10 6 14" xfId="10998"/>
    <cellStyle name="Normal 3 3 10 6 14 2" xfId="28529"/>
    <cellStyle name="Normal 3 3 10 6 15" xfId="28524"/>
    <cellStyle name="Normal 3 3 10 6 2" xfId="10999"/>
    <cellStyle name="Normal 3 3 10 6 2 2" xfId="28530"/>
    <cellStyle name="Normal 3 3 10 6 3" xfId="11000"/>
    <cellStyle name="Normal 3 3 10 6 3 2" xfId="28531"/>
    <cellStyle name="Normal 3 3 10 6 4" xfId="11001"/>
    <cellStyle name="Normal 3 3 10 6 4 2" xfId="28532"/>
    <cellStyle name="Normal 3 3 10 6 5" xfId="11002"/>
    <cellStyle name="Normal 3 3 10 6 5 2" xfId="28533"/>
    <cellStyle name="Normal 3 3 10 6 6" xfId="11003"/>
    <cellStyle name="Normal 3 3 10 6 6 2" xfId="28534"/>
    <cellStyle name="Normal 3 3 10 6 7" xfId="11004"/>
    <cellStyle name="Normal 3 3 10 6 7 2" xfId="28535"/>
    <cellStyle name="Normal 3 3 10 6 8" xfId="11005"/>
    <cellStyle name="Normal 3 3 10 6 8 2" xfId="28536"/>
    <cellStyle name="Normal 3 3 10 6 9" xfId="11006"/>
    <cellStyle name="Normal 3 3 10 6 9 2" xfId="28537"/>
    <cellStyle name="Normal 3 3 10 7" xfId="11007"/>
    <cellStyle name="Normal 3 3 10 7 10" xfId="11008"/>
    <cellStyle name="Normal 3 3 10 7 10 2" xfId="28539"/>
    <cellStyle name="Normal 3 3 10 7 11" xfId="11009"/>
    <cellStyle name="Normal 3 3 10 7 11 2" xfId="28540"/>
    <cellStyle name="Normal 3 3 10 7 12" xfId="11010"/>
    <cellStyle name="Normal 3 3 10 7 12 2" xfId="28541"/>
    <cellStyle name="Normal 3 3 10 7 13" xfId="11011"/>
    <cellStyle name="Normal 3 3 10 7 13 2" xfId="28542"/>
    <cellStyle name="Normal 3 3 10 7 14" xfId="11012"/>
    <cellStyle name="Normal 3 3 10 7 14 2" xfId="28543"/>
    <cellStyle name="Normal 3 3 10 7 15" xfId="28538"/>
    <cellStyle name="Normal 3 3 10 7 2" xfId="11013"/>
    <cellStyle name="Normal 3 3 10 7 2 2" xfId="28544"/>
    <cellStyle name="Normal 3 3 10 7 3" xfId="11014"/>
    <cellStyle name="Normal 3 3 10 7 3 2" xfId="28545"/>
    <cellStyle name="Normal 3 3 10 7 4" xfId="11015"/>
    <cellStyle name="Normal 3 3 10 7 4 2" xfId="28546"/>
    <cellStyle name="Normal 3 3 10 7 5" xfId="11016"/>
    <cellStyle name="Normal 3 3 10 7 5 2" xfId="28547"/>
    <cellStyle name="Normal 3 3 10 7 6" xfId="11017"/>
    <cellStyle name="Normal 3 3 10 7 6 2" xfId="28548"/>
    <cellStyle name="Normal 3 3 10 7 7" xfId="11018"/>
    <cellStyle name="Normal 3 3 10 7 7 2" xfId="28549"/>
    <cellStyle name="Normal 3 3 10 7 8" xfId="11019"/>
    <cellStyle name="Normal 3 3 10 7 8 2" xfId="28550"/>
    <cellStyle name="Normal 3 3 10 7 9" xfId="11020"/>
    <cellStyle name="Normal 3 3 10 7 9 2" xfId="28551"/>
    <cellStyle name="Normal 3 3 10 8" xfId="11021"/>
    <cellStyle name="Normal 3 3 10 8 10" xfId="11022"/>
    <cellStyle name="Normal 3 3 10 8 10 2" xfId="28553"/>
    <cellStyle name="Normal 3 3 10 8 11" xfId="11023"/>
    <cellStyle name="Normal 3 3 10 8 11 2" xfId="28554"/>
    <cellStyle name="Normal 3 3 10 8 12" xfId="11024"/>
    <cellStyle name="Normal 3 3 10 8 12 2" xfId="28555"/>
    <cellStyle name="Normal 3 3 10 8 13" xfId="11025"/>
    <cellStyle name="Normal 3 3 10 8 13 2" xfId="28556"/>
    <cellStyle name="Normal 3 3 10 8 14" xfId="11026"/>
    <cellStyle name="Normal 3 3 10 8 14 2" xfId="28557"/>
    <cellStyle name="Normal 3 3 10 8 15" xfId="28552"/>
    <cellStyle name="Normal 3 3 10 8 2" xfId="11027"/>
    <cellStyle name="Normal 3 3 10 8 2 2" xfId="28558"/>
    <cellStyle name="Normal 3 3 10 8 3" xfId="11028"/>
    <cellStyle name="Normal 3 3 10 8 3 2" xfId="28559"/>
    <cellStyle name="Normal 3 3 10 8 4" xfId="11029"/>
    <cellStyle name="Normal 3 3 10 8 4 2" xfId="28560"/>
    <cellStyle name="Normal 3 3 10 8 5" xfId="11030"/>
    <cellStyle name="Normal 3 3 10 8 5 2" xfId="28561"/>
    <cellStyle name="Normal 3 3 10 8 6" xfId="11031"/>
    <cellStyle name="Normal 3 3 10 8 6 2" xfId="28562"/>
    <cellStyle name="Normal 3 3 10 8 7" xfId="11032"/>
    <cellStyle name="Normal 3 3 10 8 7 2" xfId="28563"/>
    <cellStyle name="Normal 3 3 10 8 8" xfId="11033"/>
    <cellStyle name="Normal 3 3 10 8 8 2" xfId="28564"/>
    <cellStyle name="Normal 3 3 10 8 9" xfId="11034"/>
    <cellStyle name="Normal 3 3 10 8 9 2" xfId="28565"/>
    <cellStyle name="Normal 3 3 10 9" xfId="11035"/>
    <cellStyle name="Normal 3 3 10 9 10" xfId="11036"/>
    <cellStyle name="Normal 3 3 10 9 10 2" xfId="28567"/>
    <cellStyle name="Normal 3 3 10 9 11" xfId="11037"/>
    <cellStyle name="Normal 3 3 10 9 11 2" xfId="28568"/>
    <cellStyle name="Normal 3 3 10 9 12" xfId="11038"/>
    <cellStyle name="Normal 3 3 10 9 12 2" xfId="28569"/>
    <cellStyle name="Normal 3 3 10 9 13" xfId="11039"/>
    <cellStyle name="Normal 3 3 10 9 13 2" xfId="28570"/>
    <cellStyle name="Normal 3 3 10 9 14" xfId="11040"/>
    <cellStyle name="Normal 3 3 10 9 14 2" xfId="28571"/>
    <cellStyle name="Normal 3 3 10 9 15" xfId="28566"/>
    <cellStyle name="Normal 3 3 10 9 2" xfId="11041"/>
    <cellStyle name="Normal 3 3 10 9 2 2" xfId="28572"/>
    <cellStyle name="Normal 3 3 10 9 3" xfId="11042"/>
    <cellStyle name="Normal 3 3 10 9 3 2" xfId="28573"/>
    <cellStyle name="Normal 3 3 10 9 4" xfId="11043"/>
    <cellStyle name="Normal 3 3 10 9 4 2" xfId="28574"/>
    <cellStyle name="Normal 3 3 10 9 5" xfId="11044"/>
    <cellStyle name="Normal 3 3 10 9 5 2" xfId="28575"/>
    <cellStyle name="Normal 3 3 10 9 6" xfId="11045"/>
    <cellStyle name="Normal 3 3 10 9 6 2" xfId="28576"/>
    <cellStyle name="Normal 3 3 10 9 7" xfId="11046"/>
    <cellStyle name="Normal 3 3 10 9 7 2" xfId="28577"/>
    <cellStyle name="Normal 3 3 10 9 8" xfId="11047"/>
    <cellStyle name="Normal 3 3 10 9 8 2" xfId="28578"/>
    <cellStyle name="Normal 3 3 10 9 9" xfId="11048"/>
    <cellStyle name="Normal 3 3 10 9 9 2" xfId="28579"/>
    <cellStyle name="Normal 3 3 11" xfId="11049"/>
    <cellStyle name="Normal 3 3 11 10" xfId="11050"/>
    <cellStyle name="Normal 3 3 11 10 10" xfId="11051"/>
    <cellStyle name="Normal 3 3 11 10 10 2" xfId="28582"/>
    <cellStyle name="Normal 3 3 11 10 11" xfId="11052"/>
    <cellStyle name="Normal 3 3 11 10 11 2" xfId="28583"/>
    <cellStyle name="Normal 3 3 11 10 12" xfId="11053"/>
    <cellStyle name="Normal 3 3 11 10 12 2" xfId="28584"/>
    <cellStyle name="Normal 3 3 11 10 13" xfId="11054"/>
    <cellStyle name="Normal 3 3 11 10 13 2" xfId="28585"/>
    <cellStyle name="Normal 3 3 11 10 14" xfId="11055"/>
    <cellStyle name="Normal 3 3 11 10 14 2" xfId="28586"/>
    <cellStyle name="Normal 3 3 11 10 15" xfId="28581"/>
    <cellStyle name="Normal 3 3 11 10 2" xfId="11056"/>
    <cellStyle name="Normal 3 3 11 10 2 2" xfId="28587"/>
    <cellStyle name="Normal 3 3 11 10 3" xfId="11057"/>
    <cellStyle name="Normal 3 3 11 10 3 2" xfId="28588"/>
    <cellStyle name="Normal 3 3 11 10 4" xfId="11058"/>
    <cellStyle name="Normal 3 3 11 10 4 2" xfId="28589"/>
    <cellStyle name="Normal 3 3 11 10 5" xfId="11059"/>
    <cellStyle name="Normal 3 3 11 10 5 2" xfId="28590"/>
    <cellStyle name="Normal 3 3 11 10 6" xfId="11060"/>
    <cellStyle name="Normal 3 3 11 10 6 2" xfId="28591"/>
    <cellStyle name="Normal 3 3 11 10 7" xfId="11061"/>
    <cellStyle name="Normal 3 3 11 10 7 2" xfId="28592"/>
    <cellStyle name="Normal 3 3 11 10 8" xfId="11062"/>
    <cellStyle name="Normal 3 3 11 10 8 2" xfId="28593"/>
    <cellStyle name="Normal 3 3 11 10 9" xfId="11063"/>
    <cellStyle name="Normal 3 3 11 10 9 2" xfId="28594"/>
    <cellStyle name="Normal 3 3 11 11" xfId="11064"/>
    <cellStyle name="Normal 3 3 11 11 2" xfId="28595"/>
    <cellStyle name="Normal 3 3 11 12" xfId="11065"/>
    <cellStyle name="Normal 3 3 11 12 2" xfId="28596"/>
    <cellStyle name="Normal 3 3 11 13" xfId="11066"/>
    <cellStyle name="Normal 3 3 11 13 2" xfId="28597"/>
    <cellStyle name="Normal 3 3 11 14" xfId="11067"/>
    <cellStyle name="Normal 3 3 11 14 2" xfId="28598"/>
    <cellStyle name="Normal 3 3 11 15" xfId="11068"/>
    <cellStyle name="Normal 3 3 11 15 2" xfId="28599"/>
    <cellStyle name="Normal 3 3 11 16" xfId="11069"/>
    <cellStyle name="Normal 3 3 11 16 2" xfId="28600"/>
    <cellStyle name="Normal 3 3 11 17" xfId="11070"/>
    <cellStyle name="Normal 3 3 11 17 2" xfId="28601"/>
    <cellStyle name="Normal 3 3 11 18" xfId="11071"/>
    <cellStyle name="Normal 3 3 11 18 2" xfId="28602"/>
    <cellStyle name="Normal 3 3 11 19" xfId="11072"/>
    <cellStyle name="Normal 3 3 11 19 2" xfId="28603"/>
    <cellStyle name="Normal 3 3 11 2" xfId="11073"/>
    <cellStyle name="Normal 3 3 11 2 10" xfId="11074"/>
    <cellStyle name="Normal 3 3 11 2 10 2" xfId="28605"/>
    <cellStyle name="Normal 3 3 11 2 11" xfId="11075"/>
    <cellStyle name="Normal 3 3 11 2 11 2" xfId="28606"/>
    <cellStyle name="Normal 3 3 11 2 12" xfId="11076"/>
    <cellStyle name="Normal 3 3 11 2 12 2" xfId="28607"/>
    <cellStyle name="Normal 3 3 11 2 13" xfId="11077"/>
    <cellStyle name="Normal 3 3 11 2 13 2" xfId="28608"/>
    <cellStyle name="Normal 3 3 11 2 14" xfId="11078"/>
    <cellStyle name="Normal 3 3 11 2 14 2" xfId="28609"/>
    <cellStyle name="Normal 3 3 11 2 15" xfId="11079"/>
    <cellStyle name="Normal 3 3 11 2 15 2" xfId="28610"/>
    <cellStyle name="Normal 3 3 11 2 16" xfId="28604"/>
    <cellStyle name="Normal 3 3 11 2 2" xfId="11080"/>
    <cellStyle name="Normal 3 3 11 2 2 10" xfId="11081"/>
    <cellStyle name="Normal 3 3 11 2 2 10 2" xfId="28612"/>
    <cellStyle name="Normal 3 3 11 2 2 11" xfId="11082"/>
    <cellStyle name="Normal 3 3 11 2 2 11 2" xfId="28613"/>
    <cellStyle name="Normal 3 3 11 2 2 12" xfId="11083"/>
    <cellStyle name="Normal 3 3 11 2 2 12 2" xfId="28614"/>
    <cellStyle name="Normal 3 3 11 2 2 13" xfId="11084"/>
    <cellStyle name="Normal 3 3 11 2 2 13 2" xfId="28615"/>
    <cellStyle name="Normal 3 3 11 2 2 14" xfId="11085"/>
    <cellStyle name="Normal 3 3 11 2 2 14 2" xfId="28616"/>
    <cellStyle name="Normal 3 3 11 2 2 15" xfId="28611"/>
    <cellStyle name="Normal 3 3 11 2 2 2" xfId="11086"/>
    <cellStyle name="Normal 3 3 11 2 2 2 2" xfId="28617"/>
    <cellStyle name="Normal 3 3 11 2 2 3" xfId="11087"/>
    <cellStyle name="Normal 3 3 11 2 2 3 2" xfId="28618"/>
    <cellStyle name="Normal 3 3 11 2 2 4" xfId="11088"/>
    <cellStyle name="Normal 3 3 11 2 2 4 2" xfId="28619"/>
    <cellStyle name="Normal 3 3 11 2 2 5" xfId="11089"/>
    <cellStyle name="Normal 3 3 11 2 2 5 2" xfId="28620"/>
    <cellStyle name="Normal 3 3 11 2 2 6" xfId="11090"/>
    <cellStyle name="Normal 3 3 11 2 2 6 2" xfId="28621"/>
    <cellStyle name="Normal 3 3 11 2 2 7" xfId="11091"/>
    <cellStyle name="Normal 3 3 11 2 2 7 2" xfId="28622"/>
    <cellStyle name="Normal 3 3 11 2 2 8" xfId="11092"/>
    <cellStyle name="Normal 3 3 11 2 2 8 2" xfId="28623"/>
    <cellStyle name="Normal 3 3 11 2 2 9" xfId="11093"/>
    <cellStyle name="Normal 3 3 11 2 2 9 2" xfId="28624"/>
    <cellStyle name="Normal 3 3 11 2 3" xfId="11094"/>
    <cellStyle name="Normal 3 3 11 2 3 2" xfId="28625"/>
    <cellStyle name="Normal 3 3 11 2 4" xfId="11095"/>
    <cellStyle name="Normal 3 3 11 2 4 2" xfId="28626"/>
    <cellStyle name="Normal 3 3 11 2 5" xfId="11096"/>
    <cellStyle name="Normal 3 3 11 2 5 2" xfId="28627"/>
    <cellStyle name="Normal 3 3 11 2 6" xfId="11097"/>
    <cellStyle name="Normal 3 3 11 2 6 2" xfId="28628"/>
    <cellStyle name="Normal 3 3 11 2 7" xfId="11098"/>
    <cellStyle name="Normal 3 3 11 2 7 2" xfId="28629"/>
    <cellStyle name="Normal 3 3 11 2 8" xfId="11099"/>
    <cellStyle name="Normal 3 3 11 2 8 2" xfId="28630"/>
    <cellStyle name="Normal 3 3 11 2 9" xfId="11100"/>
    <cellStyle name="Normal 3 3 11 2 9 2" xfId="28631"/>
    <cellStyle name="Normal 3 3 11 20" xfId="11101"/>
    <cellStyle name="Normal 3 3 11 20 2" xfId="28632"/>
    <cellStyle name="Normal 3 3 11 21" xfId="11102"/>
    <cellStyle name="Normal 3 3 11 21 2" xfId="28633"/>
    <cellStyle name="Normal 3 3 11 22" xfId="11103"/>
    <cellStyle name="Normal 3 3 11 22 2" xfId="28634"/>
    <cellStyle name="Normal 3 3 11 23" xfId="11104"/>
    <cellStyle name="Normal 3 3 11 23 2" xfId="28635"/>
    <cellStyle name="Normal 3 3 11 24" xfId="28580"/>
    <cellStyle name="Normal 3 3 11 3" xfId="11105"/>
    <cellStyle name="Normal 3 3 11 3 10" xfId="11106"/>
    <cellStyle name="Normal 3 3 11 3 10 2" xfId="28637"/>
    <cellStyle name="Normal 3 3 11 3 11" xfId="11107"/>
    <cellStyle name="Normal 3 3 11 3 11 2" xfId="28638"/>
    <cellStyle name="Normal 3 3 11 3 12" xfId="11108"/>
    <cellStyle name="Normal 3 3 11 3 12 2" xfId="28639"/>
    <cellStyle name="Normal 3 3 11 3 13" xfId="11109"/>
    <cellStyle name="Normal 3 3 11 3 13 2" xfId="28640"/>
    <cellStyle name="Normal 3 3 11 3 14" xfId="11110"/>
    <cellStyle name="Normal 3 3 11 3 14 2" xfId="28641"/>
    <cellStyle name="Normal 3 3 11 3 15" xfId="11111"/>
    <cellStyle name="Normal 3 3 11 3 15 2" xfId="28642"/>
    <cellStyle name="Normal 3 3 11 3 16" xfId="28636"/>
    <cellStyle name="Normal 3 3 11 3 2" xfId="11112"/>
    <cellStyle name="Normal 3 3 11 3 2 10" xfId="11113"/>
    <cellStyle name="Normal 3 3 11 3 2 10 2" xfId="28644"/>
    <cellStyle name="Normal 3 3 11 3 2 11" xfId="11114"/>
    <cellStyle name="Normal 3 3 11 3 2 11 2" xfId="28645"/>
    <cellStyle name="Normal 3 3 11 3 2 12" xfId="11115"/>
    <cellStyle name="Normal 3 3 11 3 2 12 2" xfId="28646"/>
    <cellStyle name="Normal 3 3 11 3 2 13" xfId="11116"/>
    <cellStyle name="Normal 3 3 11 3 2 13 2" xfId="28647"/>
    <cellStyle name="Normal 3 3 11 3 2 14" xfId="11117"/>
    <cellStyle name="Normal 3 3 11 3 2 14 2" xfId="28648"/>
    <cellStyle name="Normal 3 3 11 3 2 15" xfId="28643"/>
    <cellStyle name="Normal 3 3 11 3 2 2" xfId="11118"/>
    <cellStyle name="Normal 3 3 11 3 2 2 2" xfId="28649"/>
    <cellStyle name="Normal 3 3 11 3 2 3" xfId="11119"/>
    <cellStyle name="Normal 3 3 11 3 2 3 2" xfId="28650"/>
    <cellStyle name="Normal 3 3 11 3 2 4" xfId="11120"/>
    <cellStyle name="Normal 3 3 11 3 2 4 2" xfId="28651"/>
    <cellStyle name="Normal 3 3 11 3 2 5" xfId="11121"/>
    <cellStyle name="Normal 3 3 11 3 2 5 2" xfId="28652"/>
    <cellStyle name="Normal 3 3 11 3 2 6" xfId="11122"/>
    <cellStyle name="Normal 3 3 11 3 2 6 2" xfId="28653"/>
    <cellStyle name="Normal 3 3 11 3 2 7" xfId="11123"/>
    <cellStyle name="Normal 3 3 11 3 2 7 2" xfId="28654"/>
    <cellStyle name="Normal 3 3 11 3 2 8" xfId="11124"/>
    <cellStyle name="Normal 3 3 11 3 2 8 2" xfId="28655"/>
    <cellStyle name="Normal 3 3 11 3 2 9" xfId="11125"/>
    <cellStyle name="Normal 3 3 11 3 2 9 2" xfId="28656"/>
    <cellStyle name="Normal 3 3 11 3 3" xfId="11126"/>
    <cellStyle name="Normal 3 3 11 3 3 2" xfId="28657"/>
    <cellStyle name="Normal 3 3 11 3 4" xfId="11127"/>
    <cellStyle name="Normal 3 3 11 3 4 2" xfId="28658"/>
    <cellStyle name="Normal 3 3 11 3 5" xfId="11128"/>
    <cellStyle name="Normal 3 3 11 3 5 2" xfId="28659"/>
    <cellStyle name="Normal 3 3 11 3 6" xfId="11129"/>
    <cellStyle name="Normal 3 3 11 3 6 2" xfId="28660"/>
    <cellStyle name="Normal 3 3 11 3 7" xfId="11130"/>
    <cellStyle name="Normal 3 3 11 3 7 2" xfId="28661"/>
    <cellStyle name="Normal 3 3 11 3 8" xfId="11131"/>
    <cellStyle name="Normal 3 3 11 3 8 2" xfId="28662"/>
    <cellStyle name="Normal 3 3 11 3 9" xfId="11132"/>
    <cellStyle name="Normal 3 3 11 3 9 2" xfId="28663"/>
    <cellStyle name="Normal 3 3 11 4" xfId="11133"/>
    <cellStyle name="Normal 3 3 11 4 10" xfId="11134"/>
    <cellStyle name="Normal 3 3 11 4 10 2" xfId="28665"/>
    <cellStyle name="Normal 3 3 11 4 11" xfId="11135"/>
    <cellStyle name="Normal 3 3 11 4 11 2" xfId="28666"/>
    <cellStyle name="Normal 3 3 11 4 12" xfId="11136"/>
    <cellStyle name="Normal 3 3 11 4 12 2" xfId="28667"/>
    <cellStyle name="Normal 3 3 11 4 13" xfId="11137"/>
    <cellStyle name="Normal 3 3 11 4 13 2" xfId="28668"/>
    <cellStyle name="Normal 3 3 11 4 14" xfId="11138"/>
    <cellStyle name="Normal 3 3 11 4 14 2" xfId="28669"/>
    <cellStyle name="Normal 3 3 11 4 15" xfId="11139"/>
    <cellStyle name="Normal 3 3 11 4 15 2" xfId="28670"/>
    <cellStyle name="Normal 3 3 11 4 16" xfId="28664"/>
    <cellStyle name="Normal 3 3 11 4 2" xfId="11140"/>
    <cellStyle name="Normal 3 3 11 4 2 10" xfId="11141"/>
    <cellStyle name="Normal 3 3 11 4 2 10 2" xfId="28672"/>
    <cellStyle name="Normal 3 3 11 4 2 11" xfId="11142"/>
    <cellStyle name="Normal 3 3 11 4 2 11 2" xfId="28673"/>
    <cellStyle name="Normal 3 3 11 4 2 12" xfId="11143"/>
    <cellStyle name="Normal 3 3 11 4 2 12 2" xfId="28674"/>
    <cellStyle name="Normal 3 3 11 4 2 13" xfId="11144"/>
    <cellStyle name="Normal 3 3 11 4 2 13 2" xfId="28675"/>
    <cellStyle name="Normal 3 3 11 4 2 14" xfId="11145"/>
    <cellStyle name="Normal 3 3 11 4 2 14 2" xfId="28676"/>
    <cellStyle name="Normal 3 3 11 4 2 15" xfId="28671"/>
    <cellStyle name="Normal 3 3 11 4 2 2" xfId="11146"/>
    <cellStyle name="Normal 3 3 11 4 2 2 2" xfId="28677"/>
    <cellStyle name="Normal 3 3 11 4 2 3" xfId="11147"/>
    <cellStyle name="Normal 3 3 11 4 2 3 2" xfId="28678"/>
    <cellStyle name="Normal 3 3 11 4 2 4" xfId="11148"/>
    <cellStyle name="Normal 3 3 11 4 2 4 2" xfId="28679"/>
    <cellStyle name="Normal 3 3 11 4 2 5" xfId="11149"/>
    <cellStyle name="Normal 3 3 11 4 2 5 2" xfId="28680"/>
    <cellStyle name="Normal 3 3 11 4 2 6" xfId="11150"/>
    <cellStyle name="Normal 3 3 11 4 2 6 2" xfId="28681"/>
    <cellStyle name="Normal 3 3 11 4 2 7" xfId="11151"/>
    <cellStyle name="Normal 3 3 11 4 2 7 2" xfId="28682"/>
    <cellStyle name="Normal 3 3 11 4 2 8" xfId="11152"/>
    <cellStyle name="Normal 3 3 11 4 2 8 2" xfId="28683"/>
    <cellStyle name="Normal 3 3 11 4 2 9" xfId="11153"/>
    <cellStyle name="Normal 3 3 11 4 2 9 2" xfId="28684"/>
    <cellStyle name="Normal 3 3 11 4 3" xfId="11154"/>
    <cellStyle name="Normal 3 3 11 4 3 2" xfId="28685"/>
    <cellStyle name="Normal 3 3 11 4 4" xfId="11155"/>
    <cellStyle name="Normal 3 3 11 4 4 2" xfId="28686"/>
    <cellStyle name="Normal 3 3 11 4 5" xfId="11156"/>
    <cellStyle name="Normal 3 3 11 4 5 2" xfId="28687"/>
    <cellStyle name="Normal 3 3 11 4 6" xfId="11157"/>
    <cellStyle name="Normal 3 3 11 4 6 2" xfId="28688"/>
    <cellStyle name="Normal 3 3 11 4 7" xfId="11158"/>
    <cellStyle name="Normal 3 3 11 4 7 2" xfId="28689"/>
    <cellStyle name="Normal 3 3 11 4 8" xfId="11159"/>
    <cellStyle name="Normal 3 3 11 4 8 2" xfId="28690"/>
    <cellStyle name="Normal 3 3 11 4 9" xfId="11160"/>
    <cellStyle name="Normal 3 3 11 4 9 2" xfId="28691"/>
    <cellStyle name="Normal 3 3 11 5" xfId="11161"/>
    <cellStyle name="Normal 3 3 11 5 10" xfId="11162"/>
    <cellStyle name="Normal 3 3 11 5 10 2" xfId="28693"/>
    <cellStyle name="Normal 3 3 11 5 11" xfId="11163"/>
    <cellStyle name="Normal 3 3 11 5 11 2" xfId="28694"/>
    <cellStyle name="Normal 3 3 11 5 12" xfId="11164"/>
    <cellStyle name="Normal 3 3 11 5 12 2" xfId="28695"/>
    <cellStyle name="Normal 3 3 11 5 13" xfId="11165"/>
    <cellStyle name="Normal 3 3 11 5 13 2" xfId="28696"/>
    <cellStyle name="Normal 3 3 11 5 14" xfId="11166"/>
    <cellStyle name="Normal 3 3 11 5 14 2" xfId="28697"/>
    <cellStyle name="Normal 3 3 11 5 15" xfId="28692"/>
    <cellStyle name="Normal 3 3 11 5 2" xfId="11167"/>
    <cellStyle name="Normal 3 3 11 5 2 2" xfId="28698"/>
    <cellStyle name="Normal 3 3 11 5 3" xfId="11168"/>
    <cellStyle name="Normal 3 3 11 5 3 2" xfId="28699"/>
    <cellStyle name="Normal 3 3 11 5 4" xfId="11169"/>
    <cellStyle name="Normal 3 3 11 5 4 2" xfId="28700"/>
    <cellStyle name="Normal 3 3 11 5 5" xfId="11170"/>
    <cellStyle name="Normal 3 3 11 5 5 2" xfId="28701"/>
    <cellStyle name="Normal 3 3 11 5 6" xfId="11171"/>
    <cellStyle name="Normal 3 3 11 5 6 2" xfId="28702"/>
    <cellStyle name="Normal 3 3 11 5 7" xfId="11172"/>
    <cellStyle name="Normal 3 3 11 5 7 2" xfId="28703"/>
    <cellStyle name="Normal 3 3 11 5 8" xfId="11173"/>
    <cellStyle name="Normal 3 3 11 5 8 2" xfId="28704"/>
    <cellStyle name="Normal 3 3 11 5 9" xfId="11174"/>
    <cellStyle name="Normal 3 3 11 5 9 2" xfId="28705"/>
    <cellStyle name="Normal 3 3 11 6" xfId="11175"/>
    <cellStyle name="Normal 3 3 11 6 10" xfId="11176"/>
    <cellStyle name="Normal 3 3 11 6 10 2" xfId="28707"/>
    <cellStyle name="Normal 3 3 11 6 11" xfId="11177"/>
    <cellStyle name="Normal 3 3 11 6 11 2" xfId="28708"/>
    <cellStyle name="Normal 3 3 11 6 12" xfId="11178"/>
    <cellStyle name="Normal 3 3 11 6 12 2" xfId="28709"/>
    <cellStyle name="Normal 3 3 11 6 13" xfId="11179"/>
    <cellStyle name="Normal 3 3 11 6 13 2" xfId="28710"/>
    <cellStyle name="Normal 3 3 11 6 14" xfId="11180"/>
    <cellStyle name="Normal 3 3 11 6 14 2" xfId="28711"/>
    <cellStyle name="Normal 3 3 11 6 15" xfId="28706"/>
    <cellStyle name="Normal 3 3 11 6 2" xfId="11181"/>
    <cellStyle name="Normal 3 3 11 6 2 2" xfId="28712"/>
    <cellStyle name="Normal 3 3 11 6 3" xfId="11182"/>
    <cellStyle name="Normal 3 3 11 6 3 2" xfId="28713"/>
    <cellStyle name="Normal 3 3 11 6 4" xfId="11183"/>
    <cellStyle name="Normal 3 3 11 6 4 2" xfId="28714"/>
    <cellStyle name="Normal 3 3 11 6 5" xfId="11184"/>
    <cellStyle name="Normal 3 3 11 6 5 2" xfId="28715"/>
    <cellStyle name="Normal 3 3 11 6 6" xfId="11185"/>
    <cellStyle name="Normal 3 3 11 6 6 2" xfId="28716"/>
    <cellStyle name="Normal 3 3 11 6 7" xfId="11186"/>
    <cellStyle name="Normal 3 3 11 6 7 2" xfId="28717"/>
    <cellStyle name="Normal 3 3 11 6 8" xfId="11187"/>
    <cellStyle name="Normal 3 3 11 6 8 2" xfId="28718"/>
    <cellStyle name="Normal 3 3 11 6 9" xfId="11188"/>
    <cellStyle name="Normal 3 3 11 6 9 2" xfId="28719"/>
    <cellStyle name="Normal 3 3 11 7" xfId="11189"/>
    <cellStyle name="Normal 3 3 11 7 10" xfId="11190"/>
    <cellStyle name="Normal 3 3 11 7 10 2" xfId="28721"/>
    <cellStyle name="Normal 3 3 11 7 11" xfId="11191"/>
    <cellStyle name="Normal 3 3 11 7 11 2" xfId="28722"/>
    <cellStyle name="Normal 3 3 11 7 12" xfId="11192"/>
    <cellStyle name="Normal 3 3 11 7 12 2" xfId="28723"/>
    <cellStyle name="Normal 3 3 11 7 13" xfId="11193"/>
    <cellStyle name="Normal 3 3 11 7 13 2" xfId="28724"/>
    <cellStyle name="Normal 3 3 11 7 14" xfId="11194"/>
    <cellStyle name="Normal 3 3 11 7 14 2" xfId="28725"/>
    <cellStyle name="Normal 3 3 11 7 15" xfId="28720"/>
    <cellStyle name="Normal 3 3 11 7 2" xfId="11195"/>
    <cellStyle name="Normal 3 3 11 7 2 2" xfId="28726"/>
    <cellStyle name="Normal 3 3 11 7 3" xfId="11196"/>
    <cellStyle name="Normal 3 3 11 7 3 2" xfId="28727"/>
    <cellStyle name="Normal 3 3 11 7 4" xfId="11197"/>
    <cellStyle name="Normal 3 3 11 7 4 2" xfId="28728"/>
    <cellStyle name="Normal 3 3 11 7 5" xfId="11198"/>
    <cellStyle name="Normal 3 3 11 7 5 2" xfId="28729"/>
    <cellStyle name="Normal 3 3 11 7 6" xfId="11199"/>
    <cellStyle name="Normal 3 3 11 7 6 2" xfId="28730"/>
    <cellStyle name="Normal 3 3 11 7 7" xfId="11200"/>
    <cellStyle name="Normal 3 3 11 7 7 2" xfId="28731"/>
    <cellStyle name="Normal 3 3 11 7 8" xfId="11201"/>
    <cellStyle name="Normal 3 3 11 7 8 2" xfId="28732"/>
    <cellStyle name="Normal 3 3 11 7 9" xfId="11202"/>
    <cellStyle name="Normal 3 3 11 7 9 2" xfId="28733"/>
    <cellStyle name="Normal 3 3 11 8" xfId="11203"/>
    <cellStyle name="Normal 3 3 11 8 10" xfId="11204"/>
    <cellStyle name="Normal 3 3 11 8 10 2" xfId="28735"/>
    <cellStyle name="Normal 3 3 11 8 11" xfId="11205"/>
    <cellStyle name="Normal 3 3 11 8 11 2" xfId="28736"/>
    <cellStyle name="Normal 3 3 11 8 12" xfId="11206"/>
    <cellStyle name="Normal 3 3 11 8 12 2" xfId="28737"/>
    <cellStyle name="Normal 3 3 11 8 13" xfId="11207"/>
    <cellStyle name="Normal 3 3 11 8 13 2" xfId="28738"/>
    <cellStyle name="Normal 3 3 11 8 14" xfId="11208"/>
    <cellStyle name="Normal 3 3 11 8 14 2" xfId="28739"/>
    <cellStyle name="Normal 3 3 11 8 15" xfId="28734"/>
    <cellStyle name="Normal 3 3 11 8 2" xfId="11209"/>
    <cellStyle name="Normal 3 3 11 8 2 2" xfId="28740"/>
    <cellStyle name="Normal 3 3 11 8 3" xfId="11210"/>
    <cellStyle name="Normal 3 3 11 8 3 2" xfId="28741"/>
    <cellStyle name="Normal 3 3 11 8 4" xfId="11211"/>
    <cellStyle name="Normal 3 3 11 8 4 2" xfId="28742"/>
    <cellStyle name="Normal 3 3 11 8 5" xfId="11212"/>
    <cellStyle name="Normal 3 3 11 8 5 2" xfId="28743"/>
    <cellStyle name="Normal 3 3 11 8 6" xfId="11213"/>
    <cellStyle name="Normal 3 3 11 8 6 2" xfId="28744"/>
    <cellStyle name="Normal 3 3 11 8 7" xfId="11214"/>
    <cellStyle name="Normal 3 3 11 8 7 2" xfId="28745"/>
    <cellStyle name="Normal 3 3 11 8 8" xfId="11215"/>
    <cellStyle name="Normal 3 3 11 8 8 2" xfId="28746"/>
    <cellStyle name="Normal 3 3 11 8 9" xfId="11216"/>
    <cellStyle name="Normal 3 3 11 8 9 2" xfId="28747"/>
    <cellStyle name="Normal 3 3 11 9" xfId="11217"/>
    <cellStyle name="Normal 3 3 11 9 10" xfId="11218"/>
    <cellStyle name="Normal 3 3 11 9 10 2" xfId="28749"/>
    <cellStyle name="Normal 3 3 11 9 11" xfId="11219"/>
    <cellStyle name="Normal 3 3 11 9 11 2" xfId="28750"/>
    <cellStyle name="Normal 3 3 11 9 12" xfId="11220"/>
    <cellStyle name="Normal 3 3 11 9 12 2" xfId="28751"/>
    <cellStyle name="Normal 3 3 11 9 13" xfId="11221"/>
    <cellStyle name="Normal 3 3 11 9 13 2" xfId="28752"/>
    <cellStyle name="Normal 3 3 11 9 14" xfId="11222"/>
    <cellStyle name="Normal 3 3 11 9 14 2" xfId="28753"/>
    <cellStyle name="Normal 3 3 11 9 15" xfId="28748"/>
    <cellStyle name="Normal 3 3 11 9 2" xfId="11223"/>
    <cellStyle name="Normal 3 3 11 9 2 2" xfId="28754"/>
    <cellStyle name="Normal 3 3 11 9 3" xfId="11224"/>
    <cellStyle name="Normal 3 3 11 9 3 2" xfId="28755"/>
    <cellStyle name="Normal 3 3 11 9 4" xfId="11225"/>
    <cellStyle name="Normal 3 3 11 9 4 2" xfId="28756"/>
    <cellStyle name="Normal 3 3 11 9 5" xfId="11226"/>
    <cellStyle name="Normal 3 3 11 9 5 2" xfId="28757"/>
    <cellStyle name="Normal 3 3 11 9 6" xfId="11227"/>
    <cellStyle name="Normal 3 3 11 9 6 2" xfId="28758"/>
    <cellStyle name="Normal 3 3 11 9 7" xfId="11228"/>
    <cellStyle name="Normal 3 3 11 9 7 2" xfId="28759"/>
    <cellStyle name="Normal 3 3 11 9 8" xfId="11229"/>
    <cellStyle name="Normal 3 3 11 9 8 2" xfId="28760"/>
    <cellStyle name="Normal 3 3 11 9 9" xfId="11230"/>
    <cellStyle name="Normal 3 3 11 9 9 2" xfId="28761"/>
    <cellStyle name="Normal 3 3 12" xfId="11231"/>
    <cellStyle name="Normal 3 3 12 10" xfId="11232"/>
    <cellStyle name="Normal 3 3 12 10 10" xfId="11233"/>
    <cellStyle name="Normal 3 3 12 10 10 2" xfId="28764"/>
    <cellStyle name="Normal 3 3 12 10 11" xfId="11234"/>
    <cellStyle name="Normal 3 3 12 10 11 2" xfId="28765"/>
    <cellStyle name="Normal 3 3 12 10 12" xfId="11235"/>
    <cellStyle name="Normal 3 3 12 10 12 2" xfId="28766"/>
    <cellStyle name="Normal 3 3 12 10 13" xfId="11236"/>
    <cellStyle name="Normal 3 3 12 10 13 2" xfId="28767"/>
    <cellStyle name="Normal 3 3 12 10 14" xfId="11237"/>
    <cellStyle name="Normal 3 3 12 10 14 2" xfId="28768"/>
    <cellStyle name="Normal 3 3 12 10 15" xfId="28763"/>
    <cellStyle name="Normal 3 3 12 10 2" xfId="11238"/>
    <cellStyle name="Normal 3 3 12 10 2 2" xfId="28769"/>
    <cellStyle name="Normal 3 3 12 10 3" xfId="11239"/>
    <cellStyle name="Normal 3 3 12 10 3 2" xfId="28770"/>
    <cellStyle name="Normal 3 3 12 10 4" xfId="11240"/>
    <cellStyle name="Normal 3 3 12 10 4 2" xfId="28771"/>
    <cellStyle name="Normal 3 3 12 10 5" xfId="11241"/>
    <cellStyle name="Normal 3 3 12 10 5 2" xfId="28772"/>
    <cellStyle name="Normal 3 3 12 10 6" xfId="11242"/>
    <cellStyle name="Normal 3 3 12 10 6 2" xfId="28773"/>
    <cellStyle name="Normal 3 3 12 10 7" xfId="11243"/>
    <cellStyle name="Normal 3 3 12 10 7 2" xfId="28774"/>
    <cellStyle name="Normal 3 3 12 10 8" xfId="11244"/>
    <cellStyle name="Normal 3 3 12 10 8 2" xfId="28775"/>
    <cellStyle name="Normal 3 3 12 10 9" xfId="11245"/>
    <cellStyle name="Normal 3 3 12 10 9 2" xfId="28776"/>
    <cellStyle name="Normal 3 3 12 11" xfId="11246"/>
    <cellStyle name="Normal 3 3 12 11 2" xfId="28777"/>
    <cellStyle name="Normal 3 3 12 12" xfId="11247"/>
    <cellStyle name="Normal 3 3 12 12 2" xfId="28778"/>
    <cellStyle name="Normal 3 3 12 13" xfId="11248"/>
    <cellStyle name="Normal 3 3 12 13 2" xfId="28779"/>
    <cellStyle name="Normal 3 3 12 14" xfId="11249"/>
    <cellStyle name="Normal 3 3 12 14 2" xfId="28780"/>
    <cellStyle name="Normal 3 3 12 15" xfId="11250"/>
    <cellStyle name="Normal 3 3 12 15 2" xfId="28781"/>
    <cellStyle name="Normal 3 3 12 16" xfId="11251"/>
    <cellStyle name="Normal 3 3 12 16 2" xfId="28782"/>
    <cellStyle name="Normal 3 3 12 17" xfId="11252"/>
    <cellStyle name="Normal 3 3 12 17 2" xfId="28783"/>
    <cellStyle name="Normal 3 3 12 18" xfId="11253"/>
    <cellStyle name="Normal 3 3 12 18 2" xfId="28784"/>
    <cellStyle name="Normal 3 3 12 19" xfId="11254"/>
    <cellStyle name="Normal 3 3 12 19 2" xfId="28785"/>
    <cellStyle name="Normal 3 3 12 2" xfId="11255"/>
    <cellStyle name="Normal 3 3 12 2 10" xfId="11256"/>
    <cellStyle name="Normal 3 3 12 2 10 2" xfId="28787"/>
    <cellStyle name="Normal 3 3 12 2 11" xfId="11257"/>
    <cellStyle name="Normal 3 3 12 2 11 2" xfId="28788"/>
    <cellStyle name="Normal 3 3 12 2 12" xfId="11258"/>
    <cellStyle name="Normal 3 3 12 2 12 2" xfId="28789"/>
    <cellStyle name="Normal 3 3 12 2 13" xfId="11259"/>
    <cellStyle name="Normal 3 3 12 2 13 2" xfId="28790"/>
    <cellStyle name="Normal 3 3 12 2 14" xfId="11260"/>
    <cellStyle name="Normal 3 3 12 2 14 2" xfId="28791"/>
    <cellStyle name="Normal 3 3 12 2 15" xfId="11261"/>
    <cellStyle name="Normal 3 3 12 2 15 2" xfId="28792"/>
    <cellStyle name="Normal 3 3 12 2 16" xfId="28786"/>
    <cellStyle name="Normal 3 3 12 2 2" xfId="11262"/>
    <cellStyle name="Normal 3 3 12 2 2 10" xfId="11263"/>
    <cellStyle name="Normal 3 3 12 2 2 10 2" xfId="28794"/>
    <cellStyle name="Normal 3 3 12 2 2 11" xfId="11264"/>
    <cellStyle name="Normal 3 3 12 2 2 11 2" xfId="28795"/>
    <cellStyle name="Normal 3 3 12 2 2 12" xfId="11265"/>
    <cellStyle name="Normal 3 3 12 2 2 12 2" xfId="28796"/>
    <cellStyle name="Normal 3 3 12 2 2 13" xfId="11266"/>
    <cellStyle name="Normal 3 3 12 2 2 13 2" xfId="28797"/>
    <cellStyle name="Normal 3 3 12 2 2 14" xfId="11267"/>
    <cellStyle name="Normal 3 3 12 2 2 14 2" xfId="28798"/>
    <cellStyle name="Normal 3 3 12 2 2 15" xfId="28793"/>
    <cellStyle name="Normal 3 3 12 2 2 2" xfId="11268"/>
    <cellStyle name="Normal 3 3 12 2 2 2 2" xfId="28799"/>
    <cellStyle name="Normal 3 3 12 2 2 3" xfId="11269"/>
    <cellStyle name="Normal 3 3 12 2 2 3 2" xfId="28800"/>
    <cellStyle name="Normal 3 3 12 2 2 4" xfId="11270"/>
    <cellStyle name="Normal 3 3 12 2 2 4 2" xfId="28801"/>
    <cellStyle name="Normal 3 3 12 2 2 5" xfId="11271"/>
    <cellStyle name="Normal 3 3 12 2 2 5 2" xfId="28802"/>
    <cellStyle name="Normal 3 3 12 2 2 6" xfId="11272"/>
    <cellStyle name="Normal 3 3 12 2 2 6 2" xfId="28803"/>
    <cellStyle name="Normal 3 3 12 2 2 7" xfId="11273"/>
    <cellStyle name="Normal 3 3 12 2 2 7 2" xfId="28804"/>
    <cellStyle name="Normal 3 3 12 2 2 8" xfId="11274"/>
    <cellStyle name="Normal 3 3 12 2 2 8 2" xfId="28805"/>
    <cellStyle name="Normal 3 3 12 2 2 9" xfId="11275"/>
    <cellStyle name="Normal 3 3 12 2 2 9 2" xfId="28806"/>
    <cellStyle name="Normal 3 3 12 2 3" xfId="11276"/>
    <cellStyle name="Normal 3 3 12 2 3 2" xfId="28807"/>
    <cellStyle name="Normal 3 3 12 2 4" xfId="11277"/>
    <cellStyle name="Normal 3 3 12 2 4 2" xfId="28808"/>
    <cellStyle name="Normal 3 3 12 2 5" xfId="11278"/>
    <cellStyle name="Normal 3 3 12 2 5 2" xfId="28809"/>
    <cellStyle name="Normal 3 3 12 2 6" xfId="11279"/>
    <cellStyle name="Normal 3 3 12 2 6 2" xfId="28810"/>
    <cellStyle name="Normal 3 3 12 2 7" xfId="11280"/>
    <cellStyle name="Normal 3 3 12 2 7 2" xfId="28811"/>
    <cellStyle name="Normal 3 3 12 2 8" xfId="11281"/>
    <cellStyle name="Normal 3 3 12 2 8 2" xfId="28812"/>
    <cellStyle name="Normal 3 3 12 2 9" xfId="11282"/>
    <cellStyle name="Normal 3 3 12 2 9 2" xfId="28813"/>
    <cellStyle name="Normal 3 3 12 20" xfId="11283"/>
    <cellStyle name="Normal 3 3 12 20 2" xfId="28814"/>
    <cellStyle name="Normal 3 3 12 21" xfId="11284"/>
    <cellStyle name="Normal 3 3 12 21 2" xfId="28815"/>
    <cellStyle name="Normal 3 3 12 22" xfId="11285"/>
    <cellStyle name="Normal 3 3 12 22 2" xfId="28816"/>
    <cellStyle name="Normal 3 3 12 23" xfId="11286"/>
    <cellStyle name="Normal 3 3 12 23 2" xfId="28817"/>
    <cellStyle name="Normal 3 3 12 24" xfId="28762"/>
    <cellStyle name="Normal 3 3 12 3" xfId="11287"/>
    <cellStyle name="Normal 3 3 12 3 10" xfId="11288"/>
    <cellStyle name="Normal 3 3 12 3 10 2" xfId="28819"/>
    <cellStyle name="Normal 3 3 12 3 11" xfId="11289"/>
    <cellStyle name="Normal 3 3 12 3 11 2" xfId="28820"/>
    <cellStyle name="Normal 3 3 12 3 12" xfId="11290"/>
    <cellStyle name="Normal 3 3 12 3 12 2" xfId="28821"/>
    <cellStyle name="Normal 3 3 12 3 13" xfId="11291"/>
    <cellStyle name="Normal 3 3 12 3 13 2" xfId="28822"/>
    <cellStyle name="Normal 3 3 12 3 14" xfId="11292"/>
    <cellStyle name="Normal 3 3 12 3 14 2" xfId="28823"/>
    <cellStyle name="Normal 3 3 12 3 15" xfId="11293"/>
    <cellStyle name="Normal 3 3 12 3 15 2" xfId="28824"/>
    <cellStyle name="Normal 3 3 12 3 16" xfId="28818"/>
    <cellStyle name="Normal 3 3 12 3 2" xfId="11294"/>
    <cellStyle name="Normal 3 3 12 3 2 10" xfId="11295"/>
    <cellStyle name="Normal 3 3 12 3 2 10 2" xfId="28826"/>
    <cellStyle name="Normal 3 3 12 3 2 11" xfId="11296"/>
    <cellStyle name="Normal 3 3 12 3 2 11 2" xfId="28827"/>
    <cellStyle name="Normal 3 3 12 3 2 12" xfId="11297"/>
    <cellStyle name="Normal 3 3 12 3 2 12 2" xfId="28828"/>
    <cellStyle name="Normal 3 3 12 3 2 13" xfId="11298"/>
    <cellStyle name="Normal 3 3 12 3 2 13 2" xfId="28829"/>
    <cellStyle name="Normal 3 3 12 3 2 14" xfId="11299"/>
    <cellStyle name="Normal 3 3 12 3 2 14 2" xfId="28830"/>
    <cellStyle name="Normal 3 3 12 3 2 15" xfId="28825"/>
    <cellStyle name="Normal 3 3 12 3 2 2" xfId="11300"/>
    <cellStyle name="Normal 3 3 12 3 2 2 2" xfId="28831"/>
    <cellStyle name="Normal 3 3 12 3 2 3" xfId="11301"/>
    <cellStyle name="Normal 3 3 12 3 2 3 2" xfId="28832"/>
    <cellStyle name="Normal 3 3 12 3 2 4" xfId="11302"/>
    <cellStyle name="Normal 3 3 12 3 2 4 2" xfId="28833"/>
    <cellStyle name="Normal 3 3 12 3 2 5" xfId="11303"/>
    <cellStyle name="Normal 3 3 12 3 2 5 2" xfId="28834"/>
    <cellStyle name="Normal 3 3 12 3 2 6" xfId="11304"/>
    <cellStyle name="Normal 3 3 12 3 2 6 2" xfId="28835"/>
    <cellStyle name="Normal 3 3 12 3 2 7" xfId="11305"/>
    <cellStyle name="Normal 3 3 12 3 2 7 2" xfId="28836"/>
    <cellStyle name="Normal 3 3 12 3 2 8" xfId="11306"/>
    <cellStyle name="Normal 3 3 12 3 2 8 2" xfId="28837"/>
    <cellStyle name="Normal 3 3 12 3 2 9" xfId="11307"/>
    <cellStyle name="Normal 3 3 12 3 2 9 2" xfId="28838"/>
    <cellStyle name="Normal 3 3 12 3 3" xfId="11308"/>
    <cellStyle name="Normal 3 3 12 3 3 2" xfId="28839"/>
    <cellStyle name="Normal 3 3 12 3 4" xfId="11309"/>
    <cellStyle name="Normal 3 3 12 3 4 2" xfId="28840"/>
    <cellStyle name="Normal 3 3 12 3 5" xfId="11310"/>
    <cellStyle name="Normal 3 3 12 3 5 2" xfId="28841"/>
    <cellStyle name="Normal 3 3 12 3 6" xfId="11311"/>
    <cellStyle name="Normal 3 3 12 3 6 2" xfId="28842"/>
    <cellStyle name="Normal 3 3 12 3 7" xfId="11312"/>
    <cellStyle name="Normal 3 3 12 3 7 2" xfId="28843"/>
    <cellStyle name="Normal 3 3 12 3 8" xfId="11313"/>
    <cellStyle name="Normal 3 3 12 3 8 2" xfId="28844"/>
    <cellStyle name="Normal 3 3 12 3 9" xfId="11314"/>
    <cellStyle name="Normal 3 3 12 3 9 2" xfId="28845"/>
    <cellStyle name="Normal 3 3 12 4" xfId="11315"/>
    <cellStyle name="Normal 3 3 12 4 10" xfId="11316"/>
    <cellStyle name="Normal 3 3 12 4 10 2" xfId="28847"/>
    <cellStyle name="Normal 3 3 12 4 11" xfId="11317"/>
    <cellStyle name="Normal 3 3 12 4 11 2" xfId="28848"/>
    <cellStyle name="Normal 3 3 12 4 12" xfId="11318"/>
    <cellStyle name="Normal 3 3 12 4 12 2" xfId="28849"/>
    <cellStyle name="Normal 3 3 12 4 13" xfId="11319"/>
    <cellStyle name="Normal 3 3 12 4 13 2" xfId="28850"/>
    <cellStyle name="Normal 3 3 12 4 14" xfId="11320"/>
    <cellStyle name="Normal 3 3 12 4 14 2" xfId="28851"/>
    <cellStyle name="Normal 3 3 12 4 15" xfId="11321"/>
    <cellStyle name="Normal 3 3 12 4 15 2" xfId="28852"/>
    <cellStyle name="Normal 3 3 12 4 16" xfId="28846"/>
    <cellStyle name="Normal 3 3 12 4 2" xfId="11322"/>
    <cellStyle name="Normal 3 3 12 4 2 10" xfId="11323"/>
    <cellStyle name="Normal 3 3 12 4 2 10 2" xfId="28854"/>
    <cellStyle name="Normal 3 3 12 4 2 11" xfId="11324"/>
    <cellStyle name="Normal 3 3 12 4 2 11 2" xfId="28855"/>
    <cellStyle name="Normal 3 3 12 4 2 12" xfId="11325"/>
    <cellStyle name="Normal 3 3 12 4 2 12 2" xfId="28856"/>
    <cellStyle name="Normal 3 3 12 4 2 13" xfId="11326"/>
    <cellStyle name="Normal 3 3 12 4 2 13 2" xfId="28857"/>
    <cellStyle name="Normal 3 3 12 4 2 14" xfId="11327"/>
    <cellStyle name="Normal 3 3 12 4 2 14 2" xfId="28858"/>
    <cellStyle name="Normal 3 3 12 4 2 15" xfId="28853"/>
    <cellStyle name="Normal 3 3 12 4 2 2" xfId="11328"/>
    <cellStyle name="Normal 3 3 12 4 2 2 2" xfId="28859"/>
    <cellStyle name="Normal 3 3 12 4 2 3" xfId="11329"/>
    <cellStyle name="Normal 3 3 12 4 2 3 2" xfId="28860"/>
    <cellStyle name="Normal 3 3 12 4 2 4" xfId="11330"/>
    <cellStyle name="Normal 3 3 12 4 2 4 2" xfId="28861"/>
    <cellStyle name="Normal 3 3 12 4 2 5" xfId="11331"/>
    <cellStyle name="Normal 3 3 12 4 2 5 2" xfId="28862"/>
    <cellStyle name="Normal 3 3 12 4 2 6" xfId="11332"/>
    <cellStyle name="Normal 3 3 12 4 2 6 2" xfId="28863"/>
    <cellStyle name="Normal 3 3 12 4 2 7" xfId="11333"/>
    <cellStyle name="Normal 3 3 12 4 2 7 2" xfId="28864"/>
    <cellStyle name="Normal 3 3 12 4 2 8" xfId="11334"/>
    <cellStyle name="Normal 3 3 12 4 2 8 2" xfId="28865"/>
    <cellStyle name="Normal 3 3 12 4 2 9" xfId="11335"/>
    <cellStyle name="Normal 3 3 12 4 2 9 2" xfId="28866"/>
    <cellStyle name="Normal 3 3 12 4 3" xfId="11336"/>
    <cellStyle name="Normal 3 3 12 4 3 2" xfId="28867"/>
    <cellStyle name="Normal 3 3 12 4 4" xfId="11337"/>
    <cellStyle name="Normal 3 3 12 4 4 2" xfId="28868"/>
    <cellStyle name="Normal 3 3 12 4 5" xfId="11338"/>
    <cellStyle name="Normal 3 3 12 4 5 2" xfId="28869"/>
    <cellStyle name="Normal 3 3 12 4 6" xfId="11339"/>
    <cellStyle name="Normal 3 3 12 4 6 2" xfId="28870"/>
    <cellStyle name="Normal 3 3 12 4 7" xfId="11340"/>
    <cellStyle name="Normal 3 3 12 4 7 2" xfId="28871"/>
    <cellStyle name="Normal 3 3 12 4 8" xfId="11341"/>
    <cellStyle name="Normal 3 3 12 4 8 2" xfId="28872"/>
    <cellStyle name="Normal 3 3 12 4 9" xfId="11342"/>
    <cellStyle name="Normal 3 3 12 4 9 2" xfId="28873"/>
    <cellStyle name="Normal 3 3 12 5" xfId="11343"/>
    <cellStyle name="Normal 3 3 12 5 10" xfId="11344"/>
    <cellStyle name="Normal 3 3 12 5 10 2" xfId="28875"/>
    <cellStyle name="Normal 3 3 12 5 11" xfId="11345"/>
    <cellStyle name="Normal 3 3 12 5 11 2" xfId="28876"/>
    <cellStyle name="Normal 3 3 12 5 12" xfId="11346"/>
    <cellStyle name="Normal 3 3 12 5 12 2" xfId="28877"/>
    <cellStyle name="Normal 3 3 12 5 13" xfId="11347"/>
    <cellStyle name="Normal 3 3 12 5 13 2" xfId="28878"/>
    <cellStyle name="Normal 3 3 12 5 14" xfId="11348"/>
    <cellStyle name="Normal 3 3 12 5 14 2" xfId="28879"/>
    <cellStyle name="Normal 3 3 12 5 15" xfId="28874"/>
    <cellStyle name="Normal 3 3 12 5 2" xfId="11349"/>
    <cellStyle name="Normal 3 3 12 5 2 2" xfId="28880"/>
    <cellStyle name="Normal 3 3 12 5 3" xfId="11350"/>
    <cellStyle name="Normal 3 3 12 5 3 2" xfId="28881"/>
    <cellStyle name="Normal 3 3 12 5 4" xfId="11351"/>
    <cellStyle name="Normal 3 3 12 5 4 2" xfId="28882"/>
    <cellStyle name="Normal 3 3 12 5 5" xfId="11352"/>
    <cellStyle name="Normal 3 3 12 5 5 2" xfId="28883"/>
    <cellStyle name="Normal 3 3 12 5 6" xfId="11353"/>
    <cellStyle name="Normal 3 3 12 5 6 2" xfId="28884"/>
    <cellStyle name="Normal 3 3 12 5 7" xfId="11354"/>
    <cellStyle name="Normal 3 3 12 5 7 2" xfId="28885"/>
    <cellStyle name="Normal 3 3 12 5 8" xfId="11355"/>
    <cellStyle name="Normal 3 3 12 5 8 2" xfId="28886"/>
    <cellStyle name="Normal 3 3 12 5 9" xfId="11356"/>
    <cellStyle name="Normal 3 3 12 5 9 2" xfId="28887"/>
    <cellStyle name="Normal 3 3 12 6" xfId="11357"/>
    <cellStyle name="Normal 3 3 12 6 10" xfId="11358"/>
    <cellStyle name="Normal 3 3 12 6 10 2" xfId="28889"/>
    <cellStyle name="Normal 3 3 12 6 11" xfId="11359"/>
    <cellStyle name="Normal 3 3 12 6 11 2" xfId="28890"/>
    <cellStyle name="Normal 3 3 12 6 12" xfId="11360"/>
    <cellStyle name="Normal 3 3 12 6 12 2" xfId="28891"/>
    <cellStyle name="Normal 3 3 12 6 13" xfId="11361"/>
    <cellStyle name="Normal 3 3 12 6 13 2" xfId="28892"/>
    <cellStyle name="Normal 3 3 12 6 14" xfId="11362"/>
    <cellStyle name="Normal 3 3 12 6 14 2" xfId="28893"/>
    <cellStyle name="Normal 3 3 12 6 15" xfId="28888"/>
    <cellStyle name="Normal 3 3 12 6 2" xfId="11363"/>
    <cellStyle name="Normal 3 3 12 6 2 2" xfId="28894"/>
    <cellStyle name="Normal 3 3 12 6 3" xfId="11364"/>
    <cellStyle name="Normal 3 3 12 6 3 2" xfId="28895"/>
    <cellStyle name="Normal 3 3 12 6 4" xfId="11365"/>
    <cellStyle name="Normal 3 3 12 6 4 2" xfId="28896"/>
    <cellStyle name="Normal 3 3 12 6 5" xfId="11366"/>
    <cellStyle name="Normal 3 3 12 6 5 2" xfId="28897"/>
    <cellStyle name="Normal 3 3 12 6 6" xfId="11367"/>
    <cellStyle name="Normal 3 3 12 6 6 2" xfId="28898"/>
    <cellStyle name="Normal 3 3 12 6 7" xfId="11368"/>
    <cellStyle name="Normal 3 3 12 6 7 2" xfId="28899"/>
    <cellStyle name="Normal 3 3 12 6 8" xfId="11369"/>
    <cellStyle name="Normal 3 3 12 6 8 2" xfId="28900"/>
    <cellStyle name="Normal 3 3 12 6 9" xfId="11370"/>
    <cellStyle name="Normal 3 3 12 6 9 2" xfId="28901"/>
    <cellStyle name="Normal 3 3 12 7" xfId="11371"/>
    <cellStyle name="Normal 3 3 12 7 10" xfId="11372"/>
    <cellStyle name="Normal 3 3 12 7 10 2" xfId="28903"/>
    <cellStyle name="Normal 3 3 12 7 11" xfId="11373"/>
    <cellStyle name="Normal 3 3 12 7 11 2" xfId="28904"/>
    <cellStyle name="Normal 3 3 12 7 12" xfId="11374"/>
    <cellStyle name="Normal 3 3 12 7 12 2" xfId="28905"/>
    <cellStyle name="Normal 3 3 12 7 13" xfId="11375"/>
    <cellStyle name="Normal 3 3 12 7 13 2" xfId="28906"/>
    <cellStyle name="Normal 3 3 12 7 14" xfId="11376"/>
    <cellStyle name="Normal 3 3 12 7 14 2" xfId="28907"/>
    <cellStyle name="Normal 3 3 12 7 15" xfId="28902"/>
    <cellStyle name="Normal 3 3 12 7 2" xfId="11377"/>
    <cellStyle name="Normal 3 3 12 7 2 2" xfId="28908"/>
    <cellStyle name="Normal 3 3 12 7 3" xfId="11378"/>
    <cellStyle name="Normal 3 3 12 7 3 2" xfId="28909"/>
    <cellStyle name="Normal 3 3 12 7 4" xfId="11379"/>
    <cellStyle name="Normal 3 3 12 7 4 2" xfId="28910"/>
    <cellStyle name="Normal 3 3 12 7 5" xfId="11380"/>
    <cellStyle name="Normal 3 3 12 7 5 2" xfId="28911"/>
    <cellStyle name="Normal 3 3 12 7 6" xfId="11381"/>
    <cellStyle name="Normal 3 3 12 7 6 2" xfId="28912"/>
    <cellStyle name="Normal 3 3 12 7 7" xfId="11382"/>
    <cellStyle name="Normal 3 3 12 7 7 2" xfId="28913"/>
    <cellStyle name="Normal 3 3 12 7 8" xfId="11383"/>
    <cellStyle name="Normal 3 3 12 7 8 2" xfId="28914"/>
    <cellStyle name="Normal 3 3 12 7 9" xfId="11384"/>
    <cellStyle name="Normal 3 3 12 7 9 2" xfId="28915"/>
    <cellStyle name="Normal 3 3 12 8" xfId="11385"/>
    <cellStyle name="Normal 3 3 12 8 10" xfId="11386"/>
    <cellStyle name="Normal 3 3 12 8 10 2" xfId="28917"/>
    <cellStyle name="Normal 3 3 12 8 11" xfId="11387"/>
    <cellStyle name="Normal 3 3 12 8 11 2" xfId="28918"/>
    <cellStyle name="Normal 3 3 12 8 12" xfId="11388"/>
    <cellStyle name="Normal 3 3 12 8 12 2" xfId="28919"/>
    <cellStyle name="Normal 3 3 12 8 13" xfId="11389"/>
    <cellStyle name="Normal 3 3 12 8 13 2" xfId="28920"/>
    <cellStyle name="Normal 3 3 12 8 14" xfId="11390"/>
    <cellStyle name="Normal 3 3 12 8 14 2" xfId="28921"/>
    <cellStyle name="Normal 3 3 12 8 15" xfId="28916"/>
    <cellStyle name="Normal 3 3 12 8 2" xfId="11391"/>
    <cellStyle name="Normal 3 3 12 8 2 2" xfId="28922"/>
    <cellStyle name="Normal 3 3 12 8 3" xfId="11392"/>
    <cellStyle name="Normal 3 3 12 8 3 2" xfId="28923"/>
    <cellStyle name="Normal 3 3 12 8 4" xfId="11393"/>
    <cellStyle name="Normal 3 3 12 8 4 2" xfId="28924"/>
    <cellStyle name="Normal 3 3 12 8 5" xfId="11394"/>
    <cellStyle name="Normal 3 3 12 8 5 2" xfId="28925"/>
    <cellStyle name="Normal 3 3 12 8 6" xfId="11395"/>
    <cellStyle name="Normal 3 3 12 8 6 2" xfId="28926"/>
    <cellStyle name="Normal 3 3 12 8 7" xfId="11396"/>
    <cellStyle name="Normal 3 3 12 8 7 2" xfId="28927"/>
    <cellStyle name="Normal 3 3 12 8 8" xfId="11397"/>
    <cellStyle name="Normal 3 3 12 8 8 2" xfId="28928"/>
    <cellStyle name="Normal 3 3 12 8 9" xfId="11398"/>
    <cellStyle name="Normal 3 3 12 8 9 2" xfId="28929"/>
    <cellStyle name="Normal 3 3 12 9" xfId="11399"/>
    <cellStyle name="Normal 3 3 12 9 10" xfId="11400"/>
    <cellStyle name="Normal 3 3 12 9 10 2" xfId="28931"/>
    <cellStyle name="Normal 3 3 12 9 11" xfId="11401"/>
    <cellStyle name="Normal 3 3 12 9 11 2" xfId="28932"/>
    <cellStyle name="Normal 3 3 12 9 12" xfId="11402"/>
    <cellStyle name="Normal 3 3 12 9 12 2" xfId="28933"/>
    <cellStyle name="Normal 3 3 12 9 13" xfId="11403"/>
    <cellStyle name="Normal 3 3 12 9 13 2" xfId="28934"/>
    <cellStyle name="Normal 3 3 12 9 14" xfId="11404"/>
    <cellStyle name="Normal 3 3 12 9 14 2" xfId="28935"/>
    <cellStyle name="Normal 3 3 12 9 15" xfId="28930"/>
    <cellStyle name="Normal 3 3 12 9 2" xfId="11405"/>
    <cellStyle name="Normal 3 3 12 9 2 2" xfId="28936"/>
    <cellStyle name="Normal 3 3 12 9 3" xfId="11406"/>
    <cellStyle name="Normal 3 3 12 9 3 2" xfId="28937"/>
    <cellStyle name="Normal 3 3 12 9 4" xfId="11407"/>
    <cellStyle name="Normal 3 3 12 9 4 2" xfId="28938"/>
    <cellStyle name="Normal 3 3 12 9 5" xfId="11408"/>
    <cellStyle name="Normal 3 3 12 9 5 2" xfId="28939"/>
    <cellStyle name="Normal 3 3 12 9 6" xfId="11409"/>
    <cellStyle name="Normal 3 3 12 9 6 2" xfId="28940"/>
    <cellStyle name="Normal 3 3 12 9 7" xfId="11410"/>
    <cellStyle name="Normal 3 3 12 9 7 2" xfId="28941"/>
    <cellStyle name="Normal 3 3 12 9 8" xfId="11411"/>
    <cellStyle name="Normal 3 3 12 9 8 2" xfId="28942"/>
    <cellStyle name="Normal 3 3 12 9 9" xfId="11412"/>
    <cellStyle name="Normal 3 3 12 9 9 2" xfId="28943"/>
    <cellStyle name="Normal 3 3 13" xfId="11413"/>
    <cellStyle name="Normal 3 3 13 10" xfId="11414"/>
    <cellStyle name="Normal 3 3 13 10 10" xfId="11415"/>
    <cellStyle name="Normal 3 3 13 10 10 2" xfId="28946"/>
    <cellStyle name="Normal 3 3 13 10 11" xfId="11416"/>
    <cellStyle name="Normal 3 3 13 10 11 2" xfId="28947"/>
    <cellStyle name="Normal 3 3 13 10 12" xfId="11417"/>
    <cellStyle name="Normal 3 3 13 10 12 2" xfId="28948"/>
    <cellStyle name="Normal 3 3 13 10 13" xfId="11418"/>
    <cellStyle name="Normal 3 3 13 10 13 2" xfId="28949"/>
    <cellStyle name="Normal 3 3 13 10 14" xfId="11419"/>
    <cellStyle name="Normal 3 3 13 10 14 2" xfId="28950"/>
    <cellStyle name="Normal 3 3 13 10 15" xfId="28945"/>
    <cellStyle name="Normal 3 3 13 10 2" xfId="11420"/>
    <cellStyle name="Normal 3 3 13 10 2 2" xfId="28951"/>
    <cellStyle name="Normal 3 3 13 10 3" xfId="11421"/>
    <cellStyle name="Normal 3 3 13 10 3 2" xfId="28952"/>
    <cellStyle name="Normal 3 3 13 10 4" xfId="11422"/>
    <cellStyle name="Normal 3 3 13 10 4 2" xfId="28953"/>
    <cellStyle name="Normal 3 3 13 10 5" xfId="11423"/>
    <cellStyle name="Normal 3 3 13 10 5 2" xfId="28954"/>
    <cellStyle name="Normal 3 3 13 10 6" xfId="11424"/>
    <cellStyle name="Normal 3 3 13 10 6 2" xfId="28955"/>
    <cellStyle name="Normal 3 3 13 10 7" xfId="11425"/>
    <cellStyle name="Normal 3 3 13 10 7 2" xfId="28956"/>
    <cellStyle name="Normal 3 3 13 10 8" xfId="11426"/>
    <cellStyle name="Normal 3 3 13 10 8 2" xfId="28957"/>
    <cellStyle name="Normal 3 3 13 10 9" xfId="11427"/>
    <cellStyle name="Normal 3 3 13 10 9 2" xfId="28958"/>
    <cellStyle name="Normal 3 3 13 11" xfId="11428"/>
    <cellStyle name="Normal 3 3 13 11 2" xfId="28959"/>
    <cellStyle name="Normal 3 3 13 12" xfId="11429"/>
    <cellStyle name="Normal 3 3 13 12 2" xfId="28960"/>
    <cellStyle name="Normal 3 3 13 13" xfId="11430"/>
    <cellStyle name="Normal 3 3 13 13 2" xfId="28961"/>
    <cellStyle name="Normal 3 3 13 14" xfId="11431"/>
    <cellStyle name="Normal 3 3 13 14 2" xfId="28962"/>
    <cellStyle name="Normal 3 3 13 15" xfId="11432"/>
    <cellStyle name="Normal 3 3 13 15 2" xfId="28963"/>
    <cellStyle name="Normal 3 3 13 16" xfId="11433"/>
    <cellStyle name="Normal 3 3 13 16 2" xfId="28964"/>
    <cellStyle name="Normal 3 3 13 17" xfId="11434"/>
    <cellStyle name="Normal 3 3 13 17 2" xfId="28965"/>
    <cellStyle name="Normal 3 3 13 18" xfId="11435"/>
    <cellStyle name="Normal 3 3 13 18 2" xfId="28966"/>
    <cellStyle name="Normal 3 3 13 19" xfId="11436"/>
    <cellStyle name="Normal 3 3 13 19 2" xfId="28967"/>
    <cellStyle name="Normal 3 3 13 2" xfId="11437"/>
    <cellStyle name="Normal 3 3 13 2 10" xfId="11438"/>
    <cellStyle name="Normal 3 3 13 2 10 2" xfId="28969"/>
    <cellStyle name="Normal 3 3 13 2 11" xfId="11439"/>
    <cellStyle name="Normal 3 3 13 2 11 2" xfId="28970"/>
    <cellStyle name="Normal 3 3 13 2 12" xfId="11440"/>
    <cellStyle name="Normal 3 3 13 2 12 2" xfId="28971"/>
    <cellStyle name="Normal 3 3 13 2 13" xfId="11441"/>
    <cellStyle name="Normal 3 3 13 2 13 2" xfId="28972"/>
    <cellStyle name="Normal 3 3 13 2 14" xfId="11442"/>
    <cellStyle name="Normal 3 3 13 2 14 2" xfId="28973"/>
    <cellStyle name="Normal 3 3 13 2 15" xfId="11443"/>
    <cellStyle name="Normal 3 3 13 2 15 2" xfId="28974"/>
    <cellStyle name="Normal 3 3 13 2 16" xfId="28968"/>
    <cellStyle name="Normal 3 3 13 2 2" xfId="11444"/>
    <cellStyle name="Normal 3 3 13 2 2 10" xfId="11445"/>
    <cellStyle name="Normal 3 3 13 2 2 10 2" xfId="28976"/>
    <cellStyle name="Normal 3 3 13 2 2 11" xfId="11446"/>
    <cellStyle name="Normal 3 3 13 2 2 11 2" xfId="28977"/>
    <cellStyle name="Normal 3 3 13 2 2 12" xfId="11447"/>
    <cellStyle name="Normal 3 3 13 2 2 12 2" xfId="28978"/>
    <cellStyle name="Normal 3 3 13 2 2 13" xfId="11448"/>
    <cellStyle name="Normal 3 3 13 2 2 13 2" xfId="28979"/>
    <cellStyle name="Normal 3 3 13 2 2 14" xfId="11449"/>
    <cellStyle name="Normal 3 3 13 2 2 14 2" xfId="28980"/>
    <cellStyle name="Normal 3 3 13 2 2 15" xfId="28975"/>
    <cellStyle name="Normal 3 3 13 2 2 2" xfId="11450"/>
    <cellStyle name="Normal 3 3 13 2 2 2 2" xfId="28981"/>
    <cellStyle name="Normal 3 3 13 2 2 3" xfId="11451"/>
    <cellStyle name="Normal 3 3 13 2 2 3 2" xfId="28982"/>
    <cellStyle name="Normal 3 3 13 2 2 4" xfId="11452"/>
    <cellStyle name="Normal 3 3 13 2 2 4 2" xfId="28983"/>
    <cellStyle name="Normal 3 3 13 2 2 5" xfId="11453"/>
    <cellStyle name="Normal 3 3 13 2 2 5 2" xfId="28984"/>
    <cellStyle name="Normal 3 3 13 2 2 6" xfId="11454"/>
    <cellStyle name="Normal 3 3 13 2 2 6 2" xfId="28985"/>
    <cellStyle name="Normal 3 3 13 2 2 7" xfId="11455"/>
    <cellStyle name="Normal 3 3 13 2 2 7 2" xfId="28986"/>
    <cellStyle name="Normal 3 3 13 2 2 8" xfId="11456"/>
    <cellStyle name="Normal 3 3 13 2 2 8 2" xfId="28987"/>
    <cellStyle name="Normal 3 3 13 2 2 9" xfId="11457"/>
    <cellStyle name="Normal 3 3 13 2 2 9 2" xfId="28988"/>
    <cellStyle name="Normal 3 3 13 2 3" xfId="11458"/>
    <cellStyle name="Normal 3 3 13 2 3 2" xfId="28989"/>
    <cellStyle name="Normal 3 3 13 2 4" xfId="11459"/>
    <cellStyle name="Normal 3 3 13 2 4 2" xfId="28990"/>
    <cellStyle name="Normal 3 3 13 2 5" xfId="11460"/>
    <cellStyle name="Normal 3 3 13 2 5 2" xfId="28991"/>
    <cellStyle name="Normal 3 3 13 2 6" xfId="11461"/>
    <cellStyle name="Normal 3 3 13 2 6 2" xfId="28992"/>
    <cellStyle name="Normal 3 3 13 2 7" xfId="11462"/>
    <cellStyle name="Normal 3 3 13 2 7 2" xfId="28993"/>
    <cellStyle name="Normal 3 3 13 2 8" xfId="11463"/>
    <cellStyle name="Normal 3 3 13 2 8 2" xfId="28994"/>
    <cellStyle name="Normal 3 3 13 2 9" xfId="11464"/>
    <cellStyle name="Normal 3 3 13 2 9 2" xfId="28995"/>
    <cellStyle name="Normal 3 3 13 20" xfId="11465"/>
    <cellStyle name="Normal 3 3 13 20 2" xfId="28996"/>
    <cellStyle name="Normal 3 3 13 21" xfId="11466"/>
    <cellStyle name="Normal 3 3 13 21 2" xfId="28997"/>
    <cellStyle name="Normal 3 3 13 22" xfId="11467"/>
    <cellStyle name="Normal 3 3 13 22 2" xfId="28998"/>
    <cellStyle name="Normal 3 3 13 23" xfId="11468"/>
    <cellStyle name="Normal 3 3 13 23 2" xfId="28999"/>
    <cellStyle name="Normal 3 3 13 24" xfId="28944"/>
    <cellStyle name="Normal 3 3 13 3" xfId="11469"/>
    <cellStyle name="Normal 3 3 13 3 10" xfId="11470"/>
    <cellStyle name="Normal 3 3 13 3 10 2" xfId="29001"/>
    <cellStyle name="Normal 3 3 13 3 11" xfId="11471"/>
    <cellStyle name="Normal 3 3 13 3 11 2" xfId="29002"/>
    <cellStyle name="Normal 3 3 13 3 12" xfId="11472"/>
    <cellStyle name="Normal 3 3 13 3 12 2" xfId="29003"/>
    <cellStyle name="Normal 3 3 13 3 13" xfId="11473"/>
    <cellStyle name="Normal 3 3 13 3 13 2" xfId="29004"/>
    <cellStyle name="Normal 3 3 13 3 14" xfId="11474"/>
    <cellStyle name="Normal 3 3 13 3 14 2" xfId="29005"/>
    <cellStyle name="Normal 3 3 13 3 15" xfId="11475"/>
    <cellStyle name="Normal 3 3 13 3 15 2" xfId="29006"/>
    <cellStyle name="Normal 3 3 13 3 16" xfId="29000"/>
    <cellStyle name="Normal 3 3 13 3 2" xfId="11476"/>
    <cellStyle name="Normal 3 3 13 3 2 10" xfId="11477"/>
    <cellStyle name="Normal 3 3 13 3 2 10 2" xfId="29008"/>
    <cellStyle name="Normal 3 3 13 3 2 11" xfId="11478"/>
    <cellStyle name="Normal 3 3 13 3 2 11 2" xfId="29009"/>
    <cellStyle name="Normal 3 3 13 3 2 12" xfId="11479"/>
    <cellStyle name="Normal 3 3 13 3 2 12 2" xfId="29010"/>
    <cellStyle name="Normal 3 3 13 3 2 13" xfId="11480"/>
    <cellStyle name="Normal 3 3 13 3 2 13 2" xfId="29011"/>
    <cellStyle name="Normal 3 3 13 3 2 14" xfId="11481"/>
    <cellStyle name="Normal 3 3 13 3 2 14 2" xfId="29012"/>
    <cellStyle name="Normal 3 3 13 3 2 15" xfId="29007"/>
    <cellStyle name="Normal 3 3 13 3 2 2" xfId="11482"/>
    <cellStyle name="Normal 3 3 13 3 2 2 2" xfId="29013"/>
    <cellStyle name="Normal 3 3 13 3 2 3" xfId="11483"/>
    <cellStyle name="Normal 3 3 13 3 2 3 2" xfId="29014"/>
    <cellStyle name="Normal 3 3 13 3 2 4" xfId="11484"/>
    <cellStyle name="Normal 3 3 13 3 2 4 2" xfId="29015"/>
    <cellStyle name="Normal 3 3 13 3 2 5" xfId="11485"/>
    <cellStyle name="Normal 3 3 13 3 2 5 2" xfId="29016"/>
    <cellStyle name="Normal 3 3 13 3 2 6" xfId="11486"/>
    <cellStyle name="Normal 3 3 13 3 2 6 2" xfId="29017"/>
    <cellStyle name="Normal 3 3 13 3 2 7" xfId="11487"/>
    <cellStyle name="Normal 3 3 13 3 2 7 2" xfId="29018"/>
    <cellStyle name="Normal 3 3 13 3 2 8" xfId="11488"/>
    <cellStyle name="Normal 3 3 13 3 2 8 2" xfId="29019"/>
    <cellStyle name="Normal 3 3 13 3 2 9" xfId="11489"/>
    <cellStyle name="Normal 3 3 13 3 2 9 2" xfId="29020"/>
    <cellStyle name="Normal 3 3 13 3 3" xfId="11490"/>
    <cellStyle name="Normal 3 3 13 3 3 2" xfId="29021"/>
    <cellStyle name="Normal 3 3 13 3 4" xfId="11491"/>
    <cellStyle name="Normal 3 3 13 3 4 2" xfId="29022"/>
    <cellStyle name="Normal 3 3 13 3 5" xfId="11492"/>
    <cellStyle name="Normal 3 3 13 3 5 2" xfId="29023"/>
    <cellStyle name="Normal 3 3 13 3 6" xfId="11493"/>
    <cellStyle name="Normal 3 3 13 3 6 2" xfId="29024"/>
    <cellStyle name="Normal 3 3 13 3 7" xfId="11494"/>
    <cellStyle name="Normal 3 3 13 3 7 2" xfId="29025"/>
    <cellStyle name="Normal 3 3 13 3 8" xfId="11495"/>
    <cellStyle name="Normal 3 3 13 3 8 2" xfId="29026"/>
    <cellStyle name="Normal 3 3 13 3 9" xfId="11496"/>
    <cellStyle name="Normal 3 3 13 3 9 2" xfId="29027"/>
    <cellStyle name="Normal 3 3 13 4" xfId="11497"/>
    <cellStyle name="Normal 3 3 13 4 10" xfId="11498"/>
    <cellStyle name="Normal 3 3 13 4 10 2" xfId="29029"/>
    <cellStyle name="Normal 3 3 13 4 11" xfId="11499"/>
    <cellStyle name="Normal 3 3 13 4 11 2" xfId="29030"/>
    <cellStyle name="Normal 3 3 13 4 12" xfId="11500"/>
    <cellStyle name="Normal 3 3 13 4 12 2" xfId="29031"/>
    <cellStyle name="Normal 3 3 13 4 13" xfId="11501"/>
    <cellStyle name="Normal 3 3 13 4 13 2" xfId="29032"/>
    <cellStyle name="Normal 3 3 13 4 14" xfId="11502"/>
    <cellStyle name="Normal 3 3 13 4 14 2" xfId="29033"/>
    <cellStyle name="Normal 3 3 13 4 15" xfId="11503"/>
    <cellStyle name="Normal 3 3 13 4 15 2" xfId="29034"/>
    <cellStyle name="Normal 3 3 13 4 16" xfId="29028"/>
    <cellStyle name="Normal 3 3 13 4 2" xfId="11504"/>
    <cellStyle name="Normal 3 3 13 4 2 10" xfId="11505"/>
    <cellStyle name="Normal 3 3 13 4 2 10 2" xfId="29036"/>
    <cellStyle name="Normal 3 3 13 4 2 11" xfId="11506"/>
    <cellStyle name="Normal 3 3 13 4 2 11 2" xfId="29037"/>
    <cellStyle name="Normal 3 3 13 4 2 12" xfId="11507"/>
    <cellStyle name="Normal 3 3 13 4 2 12 2" xfId="29038"/>
    <cellStyle name="Normal 3 3 13 4 2 13" xfId="11508"/>
    <cellStyle name="Normal 3 3 13 4 2 13 2" xfId="29039"/>
    <cellStyle name="Normal 3 3 13 4 2 14" xfId="11509"/>
    <cellStyle name="Normal 3 3 13 4 2 14 2" xfId="29040"/>
    <cellStyle name="Normal 3 3 13 4 2 15" xfId="29035"/>
    <cellStyle name="Normal 3 3 13 4 2 2" xfId="11510"/>
    <cellStyle name="Normal 3 3 13 4 2 2 2" xfId="29041"/>
    <cellStyle name="Normal 3 3 13 4 2 3" xfId="11511"/>
    <cellStyle name="Normal 3 3 13 4 2 3 2" xfId="29042"/>
    <cellStyle name="Normal 3 3 13 4 2 4" xfId="11512"/>
    <cellStyle name="Normal 3 3 13 4 2 4 2" xfId="29043"/>
    <cellStyle name="Normal 3 3 13 4 2 5" xfId="11513"/>
    <cellStyle name="Normal 3 3 13 4 2 5 2" xfId="29044"/>
    <cellStyle name="Normal 3 3 13 4 2 6" xfId="11514"/>
    <cellStyle name="Normal 3 3 13 4 2 6 2" xfId="29045"/>
    <cellStyle name="Normal 3 3 13 4 2 7" xfId="11515"/>
    <cellStyle name="Normal 3 3 13 4 2 7 2" xfId="29046"/>
    <cellStyle name="Normal 3 3 13 4 2 8" xfId="11516"/>
    <cellStyle name="Normal 3 3 13 4 2 8 2" xfId="29047"/>
    <cellStyle name="Normal 3 3 13 4 2 9" xfId="11517"/>
    <cellStyle name="Normal 3 3 13 4 2 9 2" xfId="29048"/>
    <cellStyle name="Normal 3 3 13 4 3" xfId="11518"/>
    <cellStyle name="Normal 3 3 13 4 3 2" xfId="29049"/>
    <cellStyle name="Normal 3 3 13 4 4" xfId="11519"/>
    <cellStyle name="Normal 3 3 13 4 4 2" xfId="29050"/>
    <cellStyle name="Normal 3 3 13 4 5" xfId="11520"/>
    <cellStyle name="Normal 3 3 13 4 5 2" xfId="29051"/>
    <cellStyle name="Normal 3 3 13 4 6" xfId="11521"/>
    <cellStyle name="Normal 3 3 13 4 6 2" xfId="29052"/>
    <cellStyle name="Normal 3 3 13 4 7" xfId="11522"/>
    <cellStyle name="Normal 3 3 13 4 7 2" xfId="29053"/>
    <cellStyle name="Normal 3 3 13 4 8" xfId="11523"/>
    <cellStyle name="Normal 3 3 13 4 8 2" xfId="29054"/>
    <cellStyle name="Normal 3 3 13 4 9" xfId="11524"/>
    <cellStyle name="Normal 3 3 13 4 9 2" xfId="29055"/>
    <cellStyle name="Normal 3 3 13 5" xfId="11525"/>
    <cellStyle name="Normal 3 3 13 5 10" xfId="11526"/>
    <cellStyle name="Normal 3 3 13 5 10 2" xfId="29057"/>
    <cellStyle name="Normal 3 3 13 5 11" xfId="11527"/>
    <cellStyle name="Normal 3 3 13 5 11 2" xfId="29058"/>
    <cellStyle name="Normal 3 3 13 5 12" xfId="11528"/>
    <cellStyle name="Normal 3 3 13 5 12 2" xfId="29059"/>
    <cellStyle name="Normal 3 3 13 5 13" xfId="11529"/>
    <cellStyle name="Normal 3 3 13 5 13 2" xfId="29060"/>
    <cellStyle name="Normal 3 3 13 5 14" xfId="11530"/>
    <cellStyle name="Normal 3 3 13 5 14 2" xfId="29061"/>
    <cellStyle name="Normal 3 3 13 5 15" xfId="29056"/>
    <cellStyle name="Normal 3 3 13 5 2" xfId="11531"/>
    <cellStyle name="Normal 3 3 13 5 2 2" xfId="29062"/>
    <cellStyle name="Normal 3 3 13 5 3" xfId="11532"/>
    <cellStyle name="Normal 3 3 13 5 3 2" xfId="29063"/>
    <cellStyle name="Normal 3 3 13 5 4" xfId="11533"/>
    <cellStyle name="Normal 3 3 13 5 4 2" xfId="29064"/>
    <cellStyle name="Normal 3 3 13 5 5" xfId="11534"/>
    <cellStyle name="Normal 3 3 13 5 5 2" xfId="29065"/>
    <cellStyle name="Normal 3 3 13 5 6" xfId="11535"/>
    <cellStyle name="Normal 3 3 13 5 6 2" xfId="29066"/>
    <cellStyle name="Normal 3 3 13 5 7" xfId="11536"/>
    <cellStyle name="Normal 3 3 13 5 7 2" xfId="29067"/>
    <cellStyle name="Normal 3 3 13 5 8" xfId="11537"/>
    <cellStyle name="Normal 3 3 13 5 8 2" xfId="29068"/>
    <cellStyle name="Normal 3 3 13 5 9" xfId="11538"/>
    <cellStyle name="Normal 3 3 13 5 9 2" xfId="29069"/>
    <cellStyle name="Normal 3 3 13 6" xfId="11539"/>
    <cellStyle name="Normal 3 3 13 6 10" xfId="11540"/>
    <cellStyle name="Normal 3 3 13 6 10 2" xfId="29071"/>
    <cellStyle name="Normal 3 3 13 6 11" xfId="11541"/>
    <cellStyle name="Normal 3 3 13 6 11 2" xfId="29072"/>
    <cellStyle name="Normal 3 3 13 6 12" xfId="11542"/>
    <cellStyle name="Normal 3 3 13 6 12 2" xfId="29073"/>
    <cellStyle name="Normal 3 3 13 6 13" xfId="11543"/>
    <cellStyle name="Normal 3 3 13 6 13 2" xfId="29074"/>
    <cellStyle name="Normal 3 3 13 6 14" xfId="11544"/>
    <cellStyle name="Normal 3 3 13 6 14 2" xfId="29075"/>
    <cellStyle name="Normal 3 3 13 6 15" xfId="29070"/>
    <cellStyle name="Normal 3 3 13 6 2" xfId="11545"/>
    <cellStyle name="Normal 3 3 13 6 2 2" xfId="29076"/>
    <cellStyle name="Normal 3 3 13 6 3" xfId="11546"/>
    <cellStyle name="Normal 3 3 13 6 3 2" xfId="29077"/>
    <cellStyle name="Normal 3 3 13 6 4" xfId="11547"/>
    <cellStyle name="Normal 3 3 13 6 4 2" xfId="29078"/>
    <cellStyle name="Normal 3 3 13 6 5" xfId="11548"/>
    <cellStyle name="Normal 3 3 13 6 5 2" xfId="29079"/>
    <cellStyle name="Normal 3 3 13 6 6" xfId="11549"/>
    <cellStyle name="Normal 3 3 13 6 6 2" xfId="29080"/>
    <cellStyle name="Normal 3 3 13 6 7" xfId="11550"/>
    <cellStyle name="Normal 3 3 13 6 7 2" xfId="29081"/>
    <cellStyle name="Normal 3 3 13 6 8" xfId="11551"/>
    <cellStyle name="Normal 3 3 13 6 8 2" xfId="29082"/>
    <cellStyle name="Normal 3 3 13 6 9" xfId="11552"/>
    <cellStyle name="Normal 3 3 13 6 9 2" xfId="29083"/>
    <cellStyle name="Normal 3 3 13 7" xfId="11553"/>
    <cellStyle name="Normal 3 3 13 7 10" xfId="11554"/>
    <cellStyle name="Normal 3 3 13 7 10 2" xfId="29085"/>
    <cellStyle name="Normal 3 3 13 7 11" xfId="11555"/>
    <cellStyle name="Normal 3 3 13 7 11 2" xfId="29086"/>
    <cellStyle name="Normal 3 3 13 7 12" xfId="11556"/>
    <cellStyle name="Normal 3 3 13 7 12 2" xfId="29087"/>
    <cellStyle name="Normal 3 3 13 7 13" xfId="11557"/>
    <cellStyle name="Normal 3 3 13 7 13 2" xfId="29088"/>
    <cellStyle name="Normal 3 3 13 7 14" xfId="11558"/>
    <cellStyle name="Normal 3 3 13 7 14 2" xfId="29089"/>
    <cellStyle name="Normal 3 3 13 7 15" xfId="29084"/>
    <cellStyle name="Normal 3 3 13 7 2" xfId="11559"/>
    <cellStyle name="Normal 3 3 13 7 2 2" xfId="29090"/>
    <cellStyle name="Normal 3 3 13 7 3" xfId="11560"/>
    <cellStyle name="Normal 3 3 13 7 3 2" xfId="29091"/>
    <cellStyle name="Normal 3 3 13 7 4" xfId="11561"/>
    <cellStyle name="Normal 3 3 13 7 4 2" xfId="29092"/>
    <cellStyle name="Normal 3 3 13 7 5" xfId="11562"/>
    <cellStyle name="Normal 3 3 13 7 5 2" xfId="29093"/>
    <cellStyle name="Normal 3 3 13 7 6" xfId="11563"/>
    <cellStyle name="Normal 3 3 13 7 6 2" xfId="29094"/>
    <cellStyle name="Normal 3 3 13 7 7" xfId="11564"/>
    <cellStyle name="Normal 3 3 13 7 7 2" xfId="29095"/>
    <cellStyle name="Normal 3 3 13 7 8" xfId="11565"/>
    <cellStyle name="Normal 3 3 13 7 8 2" xfId="29096"/>
    <cellStyle name="Normal 3 3 13 7 9" xfId="11566"/>
    <cellStyle name="Normal 3 3 13 7 9 2" xfId="29097"/>
    <cellStyle name="Normal 3 3 13 8" xfId="11567"/>
    <cellStyle name="Normal 3 3 13 8 10" xfId="11568"/>
    <cellStyle name="Normal 3 3 13 8 10 2" xfId="29099"/>
    <cellStyle name="Normal 3 3 13 8 11" xfId="11569"/>
    <cellStyle name="Normal 3 3 13 8 11 2" xfId="29100"/>
    <cellStyle name="Normal 3 3 13 8 12" xfId="11570"/>
    <cellStyle name="Normal 3 3 13 8 12 2" xfId="29101"/>
    <cellStyle name="Normal 3 3 13 8 13" xfId="11571"/>
    <cellStyle name="Normal 3 3 13 8 13 2" xfId="29102"/>
    <cellStyle name="Normal 3 3 13 8 14" xfId="11572"/>
    <cellStyle name="Normal 3 3 13 8 14 2" xfId="29103"/>
    <cellStyle name="Normal 3 3 13 8 15" xfId="29098"/>
    <cellStyle name="Normal 3 3 13 8 2" xfId="11573"/>
    <cellStyle name="Normal 3 3 13 8 2 2" xfId="29104"/>
    <cellStyle name="Normal 3 3 13 8 3" xfId="11574"/>
    <cellStyle name="Normal 3 3 13 8 3 2" xfId="29105"/>
    <cellStyle name="Normal 3 3 13 8 4" xfId="11575"/>
    <cellStyle name="Normal 3 3 13 8 4 2" xfId="29106"/>
    <cellStyle name="Normal 3 3 13 8 5" xfId="11576"/>
    <cellStyle name="Normal 3 3 13 8 5 2" xfId="29107"/>
    <cellStyle name="Normal 3 3 13 8 6" xfId="11577"/>
    <cellStyle name="Normal 3 3 13 8 6 2" xfId="29108"/>
    <cellStyle name="Normal 3 3 13 8 7" xfId="11578"/>
    <cellStyle name="Normal 3 3 13 8 7 2" xfId="29109"/>
    <cellStyle name="Normal 3 3 13 8 8" xfId="11579"/>
    <cellStyle name="Normal 3 3 13 8 8 2" xfId="29110"/>
    <cellStyle name="Normal 3 3 13 8 9" xfId="11580"/>
    <cellStyle name="Normal 3 3 13 8 9 2" xfId="29111"/>
    <cellStyle name="Normal 3 3 13 9" xfId="11581"/>
    <cellStyle name="Normal 3 3 13 9 10" xfId="11582"/>
    <cellStyle name="Normal 3 3 13 9 10 2" xfId="29113"/>
    <cellStyle name="Normal 3 3 13 9 11" xfId="11583"/>
    <cellStyle name="Normal 3 3 13 9 11 2" xfId="29114"/>
    <cellStyle name="Normal 3 3 13 9 12" xfId="11584"/>
    <cellStyle name="Normal 3 3 13 9 12 2" xfId="29115"/>
    <cellStyle name="Normal 3 3 13 9 13" xfId="11585"/>
    <cellStyle name="Normal 3 3 13 9 13 2" xfId="29116"/>
    <cellStyle name="Normal 3 3 13 9 14" xfId="11586"/>
    <cellStyle name="Normal 3 3 13 9 14 2" xfId="29117"/>
    <cellStyle name="Normal 3 3 13 9 15" xfId="29112"/>
    <cellStyle name="Normal 3 3 13 9 2" xfId="11587"/>
    <cellStyle name="Normal 3 3 13 9 2 2" xfId="29118"/>
    <cellStyle name="Normal 3 3 13 9 3" xfId="11588"/>
    <cellStyle name="Normal 3 3 13 9 3 2" xfId="29119"/>
    <cellStyle name="Normal 3 3 13 9 4" xfId="11589"/>
    <cellStyle name="Normal 3 3 13 9 4 2" xfId="29120"/>
    <cellStyle name="Normal 3 3 13 9 5" xfId="11590"/>
    <cellStyle name="Normal 3 3 13 9 5 2" xfId="29121"/>
    <cellStyle name="Normal 3 3 13 9 6" xfId="11591"/>
    <cellStyle name="Normal 3 3 13 9 6 2" xfId="29122"/>
    <cellStyle name="Normal 3 3 13 9 7" xfId="11592"/>
    <cellStyle name="Normal 3 3 13 9 7 2" xfId="29123"/>
    <cellStyle name="Normal 3 3 13 9 8" xfId="11593"/>
    <cellStyle name="Normal 3 3 13 9 8 2" xfId="29124"/>
    <cellStyle name="Normal 3 3 13 9 9" xfId="11594"/>
    <cellStyle name="Normal 3 3 13 9 9 2" xfId="29125"/>
    <cellStyle name="Normal 3 3 14" xfId="11595"/>
    <cellStyle name="Normal 3 3 14 10" xfId="11596"/>
    <cellStyle name="Normal 3 3 14 10 10" xfId="11597"/>
    <cellStyle name="Normal 3 3 14 10 10 2" xfId="29128"/>
    <cellStyle name="Normal 3 3 14 10 11" xfId="11598"/>
    <cellStyle name="Normal 3 3 14 10 11 2" xfId="29129"/>
    <cellStyle name="Normal 3 3 14 10 12" xfId="11599"/>
    <cellStyle name="Normal 3 3 14 10 12 2" xfId="29130"/>
    <cellStyle name="Normal 3 3 14 10 13" xfId="11600"/>
    <cellStyle name="Normal 3 3 14 10 13 2" xfId="29131"/>
    <cellStyle name="Normal 3 3 14 10 14" xfId="11601"/>
    <cellStyle name="Normal 3 3 14 10 14 2" xfId="29132"/>
    <cellStyle name="Normal 3 3 14 10 15" xfId="29127"/>
    <cellStyle name="Normal 3 3 14 10 2" xfId="11602"/>
    <cellStyle name="Normal 3 3 14 10 2 2" xfId="29133"/>
    <cellStyle name="Normal 3 3 14 10 3" xfId="11603"/>
    <cellStyle name="Normal 3 3 14 10 3 2" xfId="29134"/>
    <cellStyle name="Normal 3 3 14 10 4" xfId="11604"/>
    <cellStyle name="Normal 3 3 14 10 4 2" xfId="29135"/>
    <cellStyle name="Normal 3 3 14 10 5" xfId="11605"/>
    <cellStyle name="Normal 3 3 14 10 5 2" xfId="29136"/>
    <cellStyle name="Normal 3 3 14 10 6" xfId="11606"/>
    <cellStyle name="Normal 3 3 14 10 6 2" xfId="29137"/>
    <cellStyle name="Normal 3 3 14 10 7" xfId="11607"/>
    <cellStyle name="Normal 3 3 14 10 7 2" xfId="29138"/>
    <cellStyle name="Normal 3 3 14 10 8" xfId="11608"/>
    <cellStyle name="Normal 3 3 14 10 8 2" xfId="29139"/>
    <cellStyle name="Normal 3 3 14 10 9" xfId="11609"/>
    <cellStyle name="Normal 3 3 14 10 9 2" xfId="29140"/>
    <cellStyle name="Normal 3 3 14 11" xfId="11610"/>
    <cellStyle name="Normal 3 3 14 11 2" xfId="29141"/>
    <cellStyle name="Normal 3 3 14 12" xfId="11611"/>
    <cellStyle name="Normal 3 3 14 12 2" xfId="29142"/>
    <cellStyle name="Normal 3 3 14 13" xfId="11612"/>
    <cellStyle name="Normal 3 3 14 13 2" xfId="29143"/>
    <cellStyle name="Normal 3 3 14 14" xfId="11613"/>
    <cellStyle name="Normal 3 3 14 14 2" xfId="29144"/>
    <cellStyle name="Normal 3 3 14 15" xfId="11614"/>
    <cellStyle name="Normal 3 3 14 15 2" xfId="29145"/>
    <cellStyle name="Normal 3 3 14 16" xfId="11615"/>
    <cellStyle name="Normal 3 3 14 16 2" xfId="29146"/>
    <cellStyle name="Normal 3 3 14 17" xfId="11616"/>
    <cellStyle name="Normal 3 3 14 17 2" xfId="29147"/>
    <cellStyle name="Normal 3 3 14 18" xfId="11617"/>
    <cellStyle name="Normal 3 3 14 18 2" xfId="29148"/>
    <cellStyle name="Normal 3 3 14 19" xfId="11618"/>
    <cellStyle name="Normal 3 3 14 19 2" xfId="29149"/>
    <cellStyle name="Normal 3 3 14 2" xfId="11619"/>
    <cellStyle name="Normal 3 3 14 2 10" xfId="11620"/>
    <cellStyle name="Normal 3 3 14 2 10 2" xfId="29151"/>
    <cellStyle name="Normal 3 3 14 2 11" xfId="11621"/>
    <cellStyle name="Normal 3 3 14 2 11 2" xfId="29152"/>
    <cellStyle name="Normal 3 3 14 2 12" xfId="11622"/>
    <cellStyle name="Normal 3 3 14 2 12 2" xfId="29153"/>
    <cellStyle name="Normal 3 3 14 2 13" xfId="11623"/>
    <cellStyle name="Normal 3 3 14 2 13 2" xfId="29154"/>
    <cellStyle name="Normal 3 3 14 2 14" xfId="11624"/>
    <cellStyle name="Normal 3 3 14 2 14 2" xfId="29155"/>
    <cellStyle name="Normal 3 3 14 2 15" xfId="11625"/>
    <cellStyle name="Normal 3 3 14 2 15 2" xfId="29156"/>
    <cellStyle name="Normal 3 3 14 2 16" xfId="29150"/>
    <cellStyle name="Normal 3 3 14 2 2" xfId="11626"/>
    <cellStyle name="Normal 3 3 14 2 2 10" xfId="11627"/>
    <cellStyle name="Normal 3 3 14 2 2 10 2" xfId="29158"/>
    <cellStyle name="Normal 3 3 14 2 2 11" xfId="11628"/>
    <cellStyle name="Normal 3 3 14 2 2 11 2" xfId="29159"/>
    <cellStyle name="Normal 3 3 14 2 2 12" xfId="11629"/>
    <cellStyle name="Normal 3 3 14 2 2 12 2" xfId="29160"/>
    <cellStyle name="Normal 3 3 14 2 2 13" xfId="11630"/>
    <cellStyle name="Normal 3 3 14 2 2 13 2" xfId="29161"/>
    <cellStyle name="Normal 3 3 14 2 2 14" xfId="11631"/>
    <cellStyle name="Normal 3 3 14 2 2 14 2" xfId="29162"/>
    <cellStyle name="Normal 3 3 14 2 2 15" xfId="29157"/>
    <cellStyle name="Normal 3 3 14 2 2 2" xfId="11632"/>
    <cellStyle name="Normal 3 3 14 2 2 2 2" xfId="29163"/>
    <cellStyle name="Normal 3 3 14 2 2 3" xfId="11633"/>
    <cellStyle name="Normal 3 3 14 2 2 3 2" xfId="29164"/>
    <cellStyle name="Normal 3 3 14 2 2 4" xfId="11634"/>
    <cellStyle name="Normal 3 3 14 2 2 4 2" xfId="29165"/>
    <cellStyle name="Normal 3 3 14 2 2 5" xfId="11635"/>
    <cellStyle name="Normal 3 3 14 2 2 5 2" xfId="29166"/>
    <cellStyle name="Normal 3 3 14 2 2 6" xfId="11636"/>
    <cellStyle name="Normal 3 3 14 2 2 6 2" xfId="29167"/>
    <cellStyle name="Normal 3 3 14 2 2 7" xfId="11637"/>
    <cellStyle name="Normal 3 3 14 2 2 7 2" xfId="29168"/>
    <cellStyle name="Normal 3 3 14 2 2 8" xfId="11638"/>
    <cellStyle name="Normal 3 3 14 2 2 8 2" xfId="29169"/>
    <cellStyle name="Normal 3 3 14 2 2 9" xfId="11639"/>
    <cellStyle name="Normal 3 3 14 2 2 9 2" xfId="29170"/>
    <cellStyle name="Normal 3 3 14 2 3" xfId="11640"/>
    <cellStyle name="Normal 3 3 14 2 3 2" xfId="29171"/>
    <cellStyle name="Normal 3 3 14 2 4" xfId="11641"/>
    <cellStyle name="Normal 3 3 14 2 4 2" xfId="29172"/>
    <cellStyle name="Normal 3 3 14 2 5" xfId="11642"/>
    <cellStyle name="Normal 3 3 14 2 5 2" xfId="29173"/>
    <cellStyle name="Normal 3 3 14 2 6" xfId="11643"/>
    <cellStyle name="Normal 3 3 14 2 6 2" xfId="29174"/>
    <cellStyle name="Normal 3 3 14 2 7" xfId="11644"/>
    <cellStyle name="Normal 3 3 14 2 7 2" xfId="29175"/>
    <cellStyle name="Normal 3 3 14 2 8" xfId="11645"/>
    <cellStyle name="Normal 3 3 14 2 8 2" xfId="29176"/>
    <cellStyle name="Normal 3 3 14 2 9" xfId="11646"/>
    <cellStyle name="Normal 3 3 14 2 9 2" xfId="29177"/>
    <cellStyle name="Normal 3 3 14 20" xfId="11647"/>
    <cellStyle name="Normal 3 3 14 20 2" xfId="29178"/>
    <cellStyle name="Normal 3 3 14 21" xfId="11648"/>
    <cellStyle name="Normal 3 3 14 21 2" xfId="29179"/>
    <cellStyle name="Normal 3 3 14 22" xfId="11649"/>
    <cellStyle name="Normal 3 3 14 22 2" xfId="29180"/>
    <cellStyle name="Normal 3 3 14 23" xfId="11650"/>
    <cellStyle name="Normal 3 3 14 23 2" xfId="29181"/>
    <cellStyle name="Normal 3 3 14 24" xfId="29126"/>
    <cellStyle name="Normal 3 3 14 3" xfId="11651"/>
    <cellStyle name="Normal 3 3 14 3 10" xfId="11652"/>
    <cellStyle name="Normal 3 3 14 3 10 2" xfId="29183"/>
    <cellStyle name="Normal 3 3 14 3 11" xfId="11653"/>
    <cellStyle name="Normal 3 3 14 3 11 2" xfId="29184"/>
    <cellStyle name="Normal 3 3 14 3 12" xfId="11654"/>
    <cellStyle name="Normal 3 3 14 3 12 2" xfId="29185"/>
    <cellStyle name="Normal 3 3 14 3 13" xfId="11655"/>
    <cellStyle name="Normal 3 3 14 3 13 2" xfId="29186"/>
    <cellStyle name="Normal 3 3 14 3 14" xfId="11656"/>
    <cellStyle name="Normal 3 3 14 3 14 2" xfId="29187"/>
    <cellStyle name="Normal 3 3 14 3 15" xfId="11657"/>
    <cellStyle name="Normal 3 3 14 3 15 2" xfId="29188"/>
    <cellStyle name="Normal 3 3 14 3 16" xfId="29182"/>
    <cellStyle name="Normal 3 3 14 3 2" xfId="11658"/>
    <cellStyle name="Normal 3 3 14 3 2 10" xfId="11659"/>
    <cellStyle name="Normal 3 3 14 3 2 10 2" xfId="29190"/>
    <cellStyle name="Normal 3 3 14 3 2 11" xfId="11660"/>
    <cellStyle name="Normal 3 3 14 3 2 11 2" xfId="29191"/>
    <cellStyle name="Normal 3 3 14 3 2 12" xfId="11661"/>
    <cellStyle name="Normal 3 3 14 3 2 12 2" xfId="29192"/>
    <cellStyle name="Normal 3 3 14 3 2 13" xfId="11662"/>
    <cellStyle name="Normal 3 3 14 3 2 13 2" xfId="29193"/>
    <cellStyle name="Normal 3 3 14 3 2 14" xfId="11663"/>
    <cellStyle name="Normal 3 3 14 3 2 14 2" xfId="29194"/>
    <cellStyle name="Normal 3 3 14 3 2 15" xfId="29189"/>
    <cellStyle name="Normal 3 3 14 3 2 2" xfId="11664"/>
    <cellStyle name="Normal 3 3 14 3 2 2 2" xfId="29195"/>
    <cellStyle name="Normal 3 3 14 3 2 3" xfId="11665"/>
    <cellStyle name="Normal 3 3 14 3 2 3 2" xfId="29196"/>
    <cellStyle name="Normal 3 3 14 3 2 4" xfId="11666"/>
    <cellStyle name="Normal 3 3 14 3 2 4 2" xfId="29197"/>
    <cellStyle name="Normal 3 3 14 3 2 5" xfId="11667"/>
    <cellStyle name="Normal 3 3 14 3 2 5 2" xfId="29198"/>
    <cellStyle name="Normal 3 3 14 3 2 6" xfId="11668"/>
    <cellStyle name="Normal 3 3 14 3 2 6 2" xfId="29199"/>
    <cellStyle name="Normal 3 3 14 3 2 7" xfId="11669"/>
    <cellStyle name="Normal 3 3 14 3 2 7 2" xfId="29200"/>
    <cellStyle name="Normal 3 3 14 3 2 8" xfId="11670"/>
    <cellStyle name="Normal 3 3 14 3 2 8 2" xfId="29201"/>
    <cellStyle name="Normal 3 3 14 3 2 9" xfId="11671"/>
    <cellStyle name="Normal 3 3 14 3 2 9 2" xfId="29202"/>
    <cellStyle name="Normal 3 3 14 3 3" xfId="11672"/>
    <cellStyle name="Normal 3 3 14 3 3 2" xfId="29203"/>
    <cellStyle name="Normal 3 3 14 3 4" xfId="11673"/>
    <cellStyle name="Normal 3 3 14 3 4 2" xfId="29204"/>
    <cellStyle name="Normal 3 3 14 3 5" xfId="11674"/>
    <cellStyle name="Normal 3 3 14 3 5 2" xfId="29205"/>
    <cellStyle name="Normal 3 3 14 3 6" xfId="11675"/>
    <cellStyle name="Normal 3 3 14 3 6 2" xfId="29206"/>
    <cellStyle name="Normal 3 3 14 3 7" xfId="11676"/>
    <cellStyle name="Normal 3 3 14 3 7 2" xfId="29207"/>
    <cellStyle name="Normal 3 3 14 3 8" xfId="11677"/>
    <cellStyle name="Normal 3 3 14 3 8 2" xfId="29208"/>
    <cellStyle name="Normal 3 3 14 3 9" xfId="11678"/>
    <cellStyle name="Normal 3 3 14 3 9 2" xfId="29209"/>
    <cellStyle name="Normal 3 3 14 4" xfId="11679"/>
    <cellStyle name="Normal 3 3 14 4 10" xfId="11680"/>
    <cellStyle name="Normal 3 3 14 4 10 2" xfId="29211"/>
    <cellStyle name="Normal 3 3 14 4 11" xfId="11681"/>
    <cellStyle name="Normal 3 3 14 4 11 2" xfId="29212"/>
    <cellStyle name="Normal 3 3 14 4 12" xfId="11682"/>
    <cellStyle name="Normal 3 3 14 4 12 2" xfId="29213"/>
    <cellStyle name="Normal 3 3 14 4 13" xfId="11683"/>
    <cellStyle name="Normal 3 3 14 4 13 2" xfId="29214"/>
    <cellStyle name="Normal 3 3 14 4 14" xfId="11684"/>
    <cellStyle name="Normal 3 3 14 4 14 2" xfId="29215"/>
    <cellStyle name="Normal 3 3 14 4 15" xfId="11685"/>
    <cellStyle name="Normal 3 3 14 4 15 2" xfId="29216"/>
    <cellStyle name="Normal 3 3 14 4 16" xfId="29210"/>
    <cellStyle name="Normal 3 3 14 4 2" xfId="11686"/>
    <cellStyle name="Normal 3 3 14 4 2 10" xfId="11687"/>
    <cellStyle name="Normal 3 3 14 4 2 10 2" xfId="29218"/>
    <cellStyle name="Normal 3 3 14 4 2 11" xfId="11688"/>
    <cellStyle name="Normal 3 3 14 4 2 11 2" xfId="29219"/>
    <cellStyle name="Normal 3 3 14 4 2 12" xfId="11689"/>
    <cellStyle name="Normal 3 3 14 4 2 12 2" xfId="29220"/>
    <cellStyle name="Normal 3 3 14 4 2 13" xfId="11690"/>
    <cellStyle name="Normal 3 3 14 4 2 13 2" xfId="29221"/>
    <cellStyle name="Normal 3 3 14 4 2 14" xfId="11691"/>
    <cellStyle name="Normal 3 3 14 4 2 14 2" xfId="29222"/>
    <cellStyle name="Normal 3 3 14 4 2 15" xfId="29217"/>
    <cellStyle name="Normal 3 3 14 4 2 2" xfId="11692"/>
    <cellStyle name="Normal 3 3 14 4 2 2 2" xfId="29223"/>
    <cellStyle name="Normal 3 3 14 4 2 3" xfId="11693"/>
    <cellStyle name="Normal 3 3 14 4 2 3 2" xfId="29224"/>
    <cellStyle name="Normal 3 3 14 4 2 4" xfId="11694"/>
    <cellStyle name="Normal 3 3 14 4 2 4 2" xfId="29225"/>
    <cellStyle name="Normal 3 3 14 4 2 5" xfId="11695"/>
    <cellStyle name="Normal 3 3 14 4 2 5 2" xfId="29226"/>
    <cellStyle name="Normal 3 3 14 4 2 6" xfId="11696"/>
    <cellStyle name="Normal 3 3 14 4 2 6 2" xfId="29227"/>
    <cellStyle name="Normal 3 3 14 4 2 7" xfId="11697"/>
    <cellStyle name="Normal 3 3 14 4 2 7 2" xfId="29228"/>
    <cellStyle name="Normal 3 3 14 4 2 8" xfId="11698"/>
    <cellStyle name="Normal 3 3 14 4 2 8 2" xfId="29229"/>
    <cellStyle name="Normal 3 3 14 4 2 9" xfId="11699"/>
    <cellStyle name="Normal 3 3 14 4 2 9 2" xfId="29230"/>
    <cellStyle name="Normal 3 3 14 4 3" xfId="11700"/>
    <cellStyle name="Normal 3 3 14 4 3 2" xfId="29231"/>
    <cellStyle name="Normal 3 3 14 4 4" xfId="11701"/>
    <cellStyle name="Normal 3 3 14 4 4 2" xfId="29232"/>
    <cellStyle name="Normal 3 3 14 4 5" xfId="11702"/>
    <cellStyle name="Normal 3 3 14 4 5 2" xfId="29233"/>
    <cellStyle name="Normal 3 3 14 4 6" xfId="11703"/>
    <cellStyle name="Normal 3 3 14 4 6 2" xfId="29234"/>
    <cellStyle name="Normal 3 3 14 4 7" xfId="11704"/>
    <cellStyle name="Normal 3 3 14 4 7 2" xfId="29235"/>
    <cellStyle name="Normal 3 3 14 4 8" xfId="11705"/>
    <cellStyle name="Normal 3 3 14 4 8 2" xfId="29236"/>
    <cellStyle name="Normal 3 3 14 4 9" xfId="11706"/>
    <cellStyle name="Normal 3 3 14 4 9 2" xfId="29237"/>
    <cellStyle name="Normal 3 3 14 5" xfId="11707"/>
    <cellStyle name="Normal 3 3 14 5 10" xfId="11708"/>
    <cellStyle name="Normal 3 3 14 5 10 2" xfId="29239"/>
    <cellStyle name="Normal 3 3 14 5 11" xfId="11709"/>
    <cellStyle name="Normal 3 3 14 5 11 2" xfId="29240"/>
    <cellStyle name="Normal 3 3 14 5 12" xfId="11710"/>
    <cellStyle name="Normal 3 3 14 5 12 2" xfId="29241"/>
    <cellStyle name="Normal 3 3 14 5 13" xfId="11711"/>
    <cellStyle name="Normal 3 3 14 5 13 2" xfId="29242"/>
    <cellStyle name="Normal 3 3 14 5 14" xfId="11712"/>
    <cellStyle name="Normal 3 3 14 5 14 2" xfId="29243"/>
    <cellStyle name="Normal 3 3 14 5 15" xfId="29238"/>
    <cellStyle name="Normal 3 3 14 5 2" xfId="11713"/>
    <cellStyle name="Normal 3 3 14 5 2 2" xfId="29244"/>
    <cellStyle name="Normal 3 3 14 5 3" xfId="11714"/>
    <cellStyle name="Normal 3 3 14 5 3 2" xfId="29245"/>
    <cellStyle name="Normal 3 3 14 5 4" xfId="11715"/>
    <cellStyle name="Normal 3 3 14 5 4 2" xfId="29246"/>
    <cellStyle name="Normal 3 3 14 5 5" xfId="11716"/>
    <cellStyle name="Normal 3 3 14 5 5 2" xfId="29247"/>
    <cellStyle name="Normal 3 3 14 5 6" xfId="11717"/>
    <cellStyle name="Normal 3 3 14 5 6 2" xfId="29248"/>
    <cellStyle name="Normal 3 3 14 5 7" xfId="11718"/>
    <cellStyle name="Normal 3 3 14 5 7 2" xfId="29249"/>
    <cellStyle name="Normal 3 3 14 5 8" xfId="11719"/>
    <cellStyle name="Normal 3 3 14 5 8 2" xfId="29250"/>
    <cellStyle name="Normal 3 3 14 5 9" xfId="11720"/>
    <cellStyle name="Normal 3 3 14 5 9 2" xfId="29251"/>
    <cellStyle name="Normal 3 3 14 6" xfId="11721"/>
    <cellStyle name="Normal 3 3 14 6 10" xfId="11722"/>
    <cellStyle name="Normal 3 3 14 6 10 2" xfId="29253"/>
    <cellStyle name="Normal 3 3 14 6 11" xfId="11723"/>
    <cellStyle name="Normal 3 3 14 6 11 2" xfId="29254"/>
    <cellStyle name="Normal 3 3 14 6 12" xfId="11724"/>
    <cellStyle name="Normal 3 3 14 6 12 2" xfId="29255"/>
    <cellStyle name="Normal 3 3 14 6 13" xfId="11725"/>
    <cellStyle name="Normal 3 3 14 6 13 2" xfId="29256"/>
    <cellStyle name="Normal 3 3 14 6 14" xfId="11726"/>
    <cellStyle name="Normal 3 3 14 6 14 2" xfId="29257"/>
    <cellStyle name="Normal 3 3 14 6 15" xfId="29252"/>
    <cellStyle name="Normal 3 3 14 6 2" xfId="11727"/>
    <cellStyle name="Normal 3 3 14 6 2 2" xfId="29258"/>
    <cellStyle name="Normal 3 3 14 6 3" xfId="11728"/>
    <cellStyle name="Normal 3 3 14 6 3 2" xfId="29259"/>
    <cellStyle name="Normal 3 3 14 6 4" xfId="11729"/>
    <cellStyle name="Normal 3 3 14 6 4 2" xfId="29260"/>
    <cellStyle name="Normal 3 3 14 6 5" xfId="11730"/>
    <cellStyle name="Normal 3 3 14 6 5 2" xfId="29261"/>
    <cellStyle name="Normal 3 3 14 6 6" xfId="11731"/>
    <cellStyle name="Normal 3 3 14 6 6 2" xfId="29262"/>
    <cellStyle name="Normal 3 3 14 6 7" xfId="11732"/>
    <cellStyle name="Normal 3 3 14 6 7 2" xfId="29263"/>
    <cellStyle name="Normal 3 3 14 6 8" xfId="11733"/>
    <cellStyle name="Normal 3 3 14 6 8 2" xfId="29264"/>
    <cellStyle name="Normal 3 3 14 6 9" xfId="11734"/>
    <cellStyle name="Normal 3 3 14 6 9 2" xfId="29265"/>
    <cellStyle name="Normal 3 3 14 7" xfId="11735"/>
    <cellStyle name="Normal 3 3 14 7 10" xfId="11736"/>
    <cellStyle name="Normal 3 3 14 7 10 2" xfId="29267"/>
    <cellStyle name="Normal 3 3 14 7 11" xfId="11737"/>
    <cellStyle name="Normal 3 3 14 7 11 2" xfId="29268"/>
    <cellStyle name="Normal 3 3 14 7 12" xfId="11738"/>
    <cellStyle name="Normal 3 3 14 7 12 2" xfId="29269"/>
    <cellStyle name="Normal 3 3 14 7 13" xfId="11739"/>
    <cellStyle name="Normal 3 3 14 7 13 2" xfId="29270"/>
    <cellStyle name="Normal 3 3 14 7 14" xfId="11740"/>
    <cellStyle name="Normal 3 3 14 7 14 2" xfId="29271"/>
    <cellStyle name="Normal 3 3 14 7 15" xfId="29266"/>
    <cellStyle name="Normal 3 3 14 7 2" xfId="11741"/>
    <cellStyle name="Normal 3 3 14 7 2 2" xfId="29272"/>
    <cellStyle name="Normal 3 3 14 7 3" xfId="11742"/>
    <cellStyle name="Normal 3 3 14 7 3 2" xfId="29273"/>
    <cellStyle name="Normal 3 3 14 7 4" xfId="11743"/>
    <cellStyle name="Normal 3 3 14 7 4 2" xfId="29274"/>
    <cellStyle name="Normal 3 3 14 7 5" xfId="11744"/>
    <cellStyle name="Normal 3 3 14 7 5 2" xfId="29275"/>
    <cellStyle name="Normal 3 3 14 7 6" xfId="11745"/>
    <cellStyle name="Normal 3 3 14 7 6 2" xfId="29276"/>
    <cellStyle name="Normal 3 3 14 7 7" xfId="11746"/>
    <cellStyle name="Normal 3 3 14 7 7 2" xfId="29277"/>
    <cellStyle name="Normal 3 3 14 7 8" xfId="11747"/>
    <cellStyle name="Normal 3 3 14 7 8 2" xfId="29278"/>
    <cellStyle name="Normal 3 3 14 7 9" xfId="11748"/>
    <cellStyle name="Normal 3 3 14 7 9 2" xfId="29279"/>
    <cellStyle name="Normal 3 3 14 8" xfId="11749"/>
    <cellStyle name="Normal 3 3 14 8 10" xfId="11750"/>
    <cellStyle name="Normal 3 3 14 8 10 2" xfId="29281"/>
    <cellStyle name="Normal 3 3 14 8 11" xfId="11751"/>
    <cellStyle name="Normal 3 3 14 8 11 2" xfId="29282"/>
    <cellStyle name="Normal 3 3 14 8 12" xfId="11752"/>
    <cellStyle name="Normal 3 3 14 8 12 2" xfId="29283"/>
    <cellStyle name="Normal 3 3 14 8 13" xfId="11753"/>
    <cellStyle name="Normal 3 3 14 8 13 2" xfId="29284"/>
    <cellStyle name="Normal 3 3 14 8 14" xfId="11754"/>
    <cellStyle name="Normal 3 3 14 8 14 2" xfId="29285"/>
    <cellStyle name="Normal 3 3 14 8 15" xfId="29280"/>
    <cellStyle name="Normal 3 3 14 8 2" xfId="11755"/>
    <cellStyle name="Normal 3 3 14 8 2 2" xfId="29286"/>
    <cellStyle name="Normal 3 3 14 8 3" xfId="11756"/>
    <cellStyle name="Normal 3 3 14 8 3 2" xfId="29287"/>
    <cellStyle name="Normal 3 3 14 8 4" xfId="11757"/>
    <cellStyle name="Normal 3 3 14 8 4 2" xfId="29288"/>
    <cellStyle name="Normal 3 3 14 8 5" xfId="11758"/>
    <cellStyle name="Normal 3 3 14 8 5 2" xfId="29289"/>
    <cellStyle name="Normal 3 3 14 8 6" xfId="11759"/>
    <cellStyle name="Normal 3 3 14 8 6 2" xfId="29290"/>
    <cellStyle name="Normal 3 3 14 8 7" xfId="11760"/>
    <cellStyle name="Normal 3 3 14 8 7 2" xfId="29291"/>
    <cellStyle name="Normal 3 3 14 8 8" xfId="11761"/>
    <cellStyle name="Normal 3 3 14 8 8 2" xfId="29292"/>
    <cellStyle name="Normal 3 3 14 8 9" xfId="11762"/>
    <cellStyle name="Normal 3 3 14 8 9 2" xfId="29293"/>
    <cellStyle name="Normal 3 3 14 9" xfId="11763"/>
    <cellStyle name="Normal 3 3 14 9 10" xfId="11764"/>
    <cellStyle name="Normal 3 3 14 9 10 2" xfId="29295"/>
    <cellStyle name="Normal 3 3 14 9 11" xfId="11765"/>
    <cellStyle name="Normal 3 3 14 9 11 2" xfId="29296"/>
    <cellStyle name="Normal 3 3 14 9 12" xfId="11766"/>
    <cellStyle name="Normal 3 3 14 9 12 2" xfId="29297"/>
    <cellStyle name="Normal 3 3 14 9 13" xfId="11767"/>
    <cellStyle name="Normal 3 3 14 9 13 2" xfId="29298"/>
    <cellStyle name="Normal 3 3 14 9 14" xfId="11768"/>
    <cellStyle name="Normal 3 3 14 9 14 2" xfId="29299"/>
    <cellStyle name="Normal 3 3 14 9 15" xfId="29294"/>
    <cellStyle name="Normal 3 3 14 9 2" xfId="11769"/>
    <cellStyle name="Normal 3 3 14 9 2 2" xfId="29300"/>
    <cellStyle name="Normal 3 3 14 9 3" xfId="11770"/>
    <cellStyle name="Normal 3 3 14 9 3 2" xfId="29301"/>
    <cellStyle name="Normal 3 3 14 9 4" xfId="11771"/>
    <cellStyle name="Normal 3 3 14 9 4 2" xfId="29302"/>
    <cellStyle name="Normal 3 3 14 9 5" xfId="11772"/>
    <cellStyle name="Normal 3 3 14 9 5 2" xfId="29303"/>
    <cellStyle name="Normal 3 3 14 9 6" xfId="11773"/>
    <cellStyle name="Normal 3 3 14 9 6 2" xfId="29304"/>
    <cellStyle name="Normal 3 3 14 9 7" xfId="11774"/>
    <cellStyle name="Normal 3 3 14 9 7 2" xfId="29305"/>
    <cellStyle name="Normal 3 3 14 9 8" xfId="11775"/>
    <cellStyle name="Normal 3 3 14 9 8 2" xfId="29306"/>
    <cellStyle name="Normal 3 3 14 9 9" xfId="11776"/>
    <cellStyle name="Normal 3 3 14 9 9 2" xfId="29307"/>
    <cellStyle name="Normal 3 3 15" xfId="11777"/>
    <cellStyle name="Normal 3 3 15 10" xfId="11778"/>
    <cellStyle name="Normal 3 3 15 10 10" xfId="11779"/>
    <cellStyle name="Normal 3 3 15 10 10 2" xfId="29310"/>
    <cellStyle name="Normal 3 3 15 10 11" xfId="11780"/>
    <cellStyle name="Normal 3 3 15 10 11 2" xfId="29311"/>
    <cellStyle name="Normal 3 3 15 10 12" xfId="11781"/>
    <cellStyle name="Normal 3 3 15 10 12 2" xfId="29312"/>
    <cellStyle name="Normal 3 3 15 10 13" xfId="11782"/>
    <cellStyle name="Normal 3 3 15 10 13 2" xfId="29313"/>
    <cellStyle name="Normal 3 3 15 10 14" xfId="11783"/>
    <cellStyle name="Normal 3 3 15 10 14 2" xfId="29314"/>
    <cellStyle name="Normal 3 3 15 10 15" xfId="29309"/>
    <cellStyle name="Normal 3 3 15 10 2" xfId="11784"/>
    <cellStyle name="Normal 3 3 15 10 2 2" xfId="29315"/>
    <cellStyle name="Normal 3 3 15 10 3" xfId="11785"/>
    <cellStyle name="Normal 3 3 15 10 3 2" xfId="29316"/>
    <cellStyle name="Normal 3 3 15 10 4" xfId="11786"/>
    <cellStyle name="Normal 3 3 15 10 4 2" xfId="29317"/>
    <cellStyle name="Normal 3 3 15 10 5" xfId="11787"/>
    <cellStyle name="Normal 3 3 15 10 5 2" xfId="29318"/>
    <cellStyle name="Normal 3 3 15 10 6" xfId="11788"/>
    <cellStyle name="Normal 3 3 15 10 6 2" xfId="29319"/>
    <cellStyle name="Normal 3 3 15 10 7" xfId="11789"/>
    <cellStyle name="Normal 3 3 15 10 7 2" xfId="29320"/>
    <cellStyle name="Normal 3 3 15 10 8" xfId="11790"/>
    <cellStyle name="Normal 3 3 15 10 8 2" xfId="29321"/>
    <cellStyle name="Normal 3 3 15 10 9" xfId="11791"/>
    <cellStyle name="Normal 3 3 15 10 9 2" xfId="29322"/>
    <cellStyle name="Normal 3 3 15 11" xfId="11792"/>
    <cellStyle name="Normal 3 3 15 11 2" xfId="29323"/>
    <cellStyle name="Normal 3 3 15 12" xfId="11793"/>
    <cellStyle name="Normal 3 3 15 12 2" xfId="29324"/>
    <cellStyle name="Normal 3 3 15 13" xfId="11794"/>
    <cellStyle name="Normal 3 3 15 13 2" xfId="29325"/>
    <cellStyle name="Normal 3 3 15 14" xfId="11795"/>
    <cellStyle name="Normal 3 3 15 14 2" xfId="29326"/>
    <cellStyle name="Normal 3 3 15 15" xfId="11796"/>
    <cellStyle name="Normal 3 3 15 15 2" xfId="29327"/>
    <cellStyle name="Normal 3 3 15 16" xfId="11797"/>
    <cellStyle name="Normal 3 3 15 16 2" xfId="29328"/>
    <cellStyle name="Normal 3 3 15 17" xfId="11798"/>
    <cellStyle name="Normal 3 3 15 17 2" xfId="29329"/>
    <cellStyle name="Normal 3 3 15 18" xfId="11799"/>
    <cellStyle name="Normal 3 3 15 18 2" xfId="29330"/>
    <cellStyle name="Normal 3 3 15 19" xfId="11800"/>
    <cellStyle name="Normal 3 3 15 19 2" xfId="29331"/>
    <cellStyle name="Normal 3 3 15 2" xfId="11801"/>
    <cellStyle name="Normal 3 3 15 2 10" xfId="11802"/>
    <cellStyle name="Normal 3 3 15 2 10 2" xfId="29333"/>
    <cellStyle name="Normal 3 3 15 2 11" xfId="11803"/>
    <cellStyle name="Normal 3 3 15 2 11 2" xfId="29334"/>
    <cellStyle name="Normal 3 3 15 2 12" xfId="11804"/>
    <cellStyle name="Normal 3 3 15 2 12 2" xfId="29335"/>
    <cellStyle name="Normal 3 3 15 2 13" xfId="11805"/>
    <cellStyle name="Normal 3 3 15 2 13 2" xfId="29336"/>
    <cellStyle name="Normal 3 3 15 2 14" xfId="11806"/>
    <cellStyle name="Normal 3 3 15 2 14 2" xfId="29337"/>
    <cellStyle name="Normal 3 3 15 2 15" xfId="11807"/>
    <cellStyle name="Normal 3 3 15 2 15 2" xfId="29338"/>
    <cellStyle name="Normal 3 3 15 2 16" xfId="29332"/>
    <cellStyle name="Normal 3 3 15 2 2" xfId="11808"/>
    <cellStyle name="Normal 3 3 15 2 2 10" xfId="11809"/>
    <cellStyle name="Normal 3 3 15 2 2 10 2" xfId="29340"/>
    <cellStyle name="Normal 3 3 15 2 2 11" xfId="11810"/>
    <cellStyle name="Normal 3 3 15 2 2 11 2" xfId="29341"/>
    <cellStyle name="Normal 3 3 15 2 2 12" xfId="11811"/>
    <cellStyle name="Normal 3 3 15 2 2 12 2" xfId="29342"/>
    <cellStyle name="Normal 3 3 15 2 2 13" xfId="11812"/>
    <cellStyle name="Normal 3 3 15 2 2 13 2" xfId="29343"/>
    <cellStyle name="Normal 3 3 15 2 2 14" xfId="11813"/>
    <cellStyle name="Normal 3 3 15 2 2 14 2" xfId="29344"/>
    <cellStyle name="Normal 3 3 15 2 2 15" xfId="29339"/>
    <cellStyle name="Normal 3 3 15 2 2 2" xfId="11814"/>
    <cellStyle name="Normal 3 3 15 2 2 2 2" xfId="29345"/>
    <cellStyle name="Normal 3 3 15 2 2 3" xfId="11815"/>
    <cellStyle name="Normal 3 3 15 2 2 3 2" xfId="29346"/>
    <cellStyle name="Normal 3 3 15 2 2 4" xfId="11816"/>
    <cellStyle name="Normal 3 3 15 2 2 4 2" xfId="29347"/>
    <cellStyle name="Normal 3 3 15 2 2 5" xfId="11817"/>
    <cellStyle name="Normal 3 3 15 2 2 5 2" xfId="29348"/>
    <cellStyle name="Normal 3 3 15 2 2 6" xfId="11818"/>
    <cellStyle name="Normal 3 3 15 2 2 6 2" xfId="29349"/>
    <cellStyle name="Normal 3 3 15 2 2 7" xfId="11819"/>
    <cellStyle name="Normal 3 3 15 2 2 7 2" xfId="29350"/>
    <cellStyle name="Normal 3 3 15 2 2 8" xfId="11820"/>
    <cellStyle name="Normal 3 3 15 2 2 8 2" xfId="29351"/>
    <cellStyle name="Normal 3 3 15 2 2 9" xfId="11821"/>
    <cellStyle name="Normal 3 3 15 2 2 9 2" xfId="29352"/>
    <cellStyle name="Normal 3 3 15 2 3" xfId="11822"/>
    <cellStyle name="Normal 3 3 15 2 3 2" xfId="29353"/>
    <cellStyle name="Normal 3 3 15 2 4" xfId="11823"/>
    <cellStyle name="Normal 3 3 15 2 4 2" xfId="29354"/>
    <cellStyle name="Normal 3 3 15 2 5" xfId="11824"/>
    <cellStyle name="Normal 3 3 15 2 5 2" xfId="29355"/>
    <cellStyle name="Normal 3 3 15 2 6" xfId="11825"/>
    <cellStyle name="Normal 3 3 15 2 6 2" xfId="29356"/>
    <cellStyle name="Normal 3 3 15 2 7" xfId="11826"/>
    <cellStyle name="Normal 3 3 15 2 7 2" xfId="29357"/>
    <cellStyle name="Normal 3 3 15 2 8" xfId="11827"/>
    <cellStyle name="Normal 3 3 15 2 8 2" xfId="29358"/>
    <cellStyle name="Normal 3 3 15 2 9" xfId="11828"/>
    <cellStyle name="Normal 3 3 15 2 9 2" xfId="29359"/>
    <cellStyle name="Normal 3 3 15 20" xfId="11829"/>
    <cellStyle name="Normal 3 3 15 20 2" xfId="29360"/>
    <cellStyle name="Normal 3 3 15 21" xfId="11830"/>
    <cellStyle name="Normal 3 3 15 21 2" xfId="29361"/>
    <cellStyle name="Normal 3 3 15 22" xfId="11831"/>
    <cellStyle name="Normal 3 3 15 22 2" xfId="29362"/>
    <cellStyle name="Normal 3 3 15 23" xfId="11832"/>
    <cellStyle name="Normal 3 3 15 23 2" xfId="29363"/>
    <cellStyle name="Normal 3 3 15 24" xfId="29308"/>
    <cellStyle name="Normal 3 3 15 3" xfId="11833"/>
    <cellStyle name="Normal 3 3 15 3 10" xfId="11834"/>
    <cellStyle name="Normal 3 3 15 3 10 2" xfId="29365"/>
    <cellStyle name="Normal 3 3 15 3 11" xfId="11835"/>
    <cellStyle name="Normal 3 3 15 3 11 2" xfId="29366"/>
    <cellStyle name="Normal 3 3 15 3 12" xfId="11836"/>
    <cellStyle name="Normal 3 3 15 3 12 2" xfId="29367"/>
    <cellStyle name="Normal 3 3 15 3 13" xfId="11837"/>
    <cellStyle name="Normal 3 3 15 3 13 2" xfId="29368"/>
    <cellStyle name="Normal 3 3 15 3 14" xfId="11838"/>
    <cellStyle name="Normal 3 3 15 3 14 2" xfId="29369"/>
    <cellStyle name="Normal 3 3 15 3 15" xfId="11839"/>
    <cellStyle name="Normal 3 3 15 3 15 2" xfId="29370"/>
    <cellStyle name="Normal 3 3 15 3 16" xfId="29364"/>
    <cellStyle name="Normal 3 3 15 3 2" xfId="11840"/>
    <cellStyle name="Normal 3 3 15 3 2 10" xfId="11841"/>
    <cellStyle name="Normal 3 3 15 3 2 10 2" xfId="29372"/>
    <cellStyle name="Normal 3 3 15 3 2 11" xfId="11842"/>
    <cellStyle name="Normal 3 3 15 3 2 11 2" xfId="29373"/>
    <cellStyle name="Normal 3 3 15 3 2 12" xfId="11843"/>
    <cellStyle name="Normal 3 3 15 3 2 12 2" xfId="29374"/>
    <cellStyle name="Normal 3 3 15 3 2 13" xfId="11844"/>
    <cellStyle name="Normal 3 3 15 3 2 13 2" xfId="29375"/>
    <cellStyle name="Normal 3 3 15 3 2 14" xfId="11845"/>
    <cellStyle name="Normal 3 3 15 3 2 14 2" xfId="29376"/>
    <cellStyle name="Normal 3 3 15 3 2 15" xfId="29371"/>
    <cellStyle name="Normal 3 3 15 3 2 2" xfId="11846"/>
    <cellStyle name="Normal 3 3 15 3 2 2 2" xfId="29377"/>
    <cellStyle name="Normal 3 3 15 3 2 3" xfId="11847"/>
    <cellStyle name="Normal 3 3 15 3 2 3 2" xfId="29378"/>
    <cellStyle name="Normal 3 3 15 3 2 4" xfId="11848"/>
    <cellStyle name="Normal 3 3 15 3 2 4 2" xfId="29379"/>
    <cellStyle name="Normal 3 3 15 3 2 5" xfId="11849"/>
    <cellStyle name="Normal 3 3 15 3 2 5 2" xfId="29380"/>
    <cellStyle name="Normal 3 3 15 3 2 6" xfId="11850"/>
    <cellStyle name="Normal 3 3 15 3 2 6 2" xfId="29381"/>
    <cellStyle name="Normal 3 3 15 3 2 7" xfId="11851"/>
    <cellStyle name="Normal 3 3 15 3 2 7 2" xfId="29382"/>
    <cellStyle name="Normal 3 3 15 3 2 8" xfId="11852"/>
    <cellStyle name="Normal 3 3 15 3 2 8 2" xfId="29383"/>
    <cellStyle name="Normal 3 3 15 3 2 9" xfId="11853"/>
    <cellStyle name="Normal 3 3 15 3 2 9 2" xfId="29384"/>
    <cellStyle name="Normal 3 3 15 3 3" xfId="11854"/>
    <cellStyle name="Normal 3 3 15 3 3 2" xfId="29385"/>
    <cellStyle name="Normal 3 3 15 3 4" xfId="11855"/>
    <cellStyle name="Normal 3 3 15 3 4 2" xfId="29386"/>
    <cellStyle name="Normal 3 3 15 3 5" xfId="11856"/>
    <cellStyle name="Normal 3 3 15 3 5 2" xfId="29387"/>
    <cellStyle name="Normal 3 3 15 3 6" xfId="11857"/>
    <cellStyle name="Normal 3 3 15 3 6 2" xfId="29388"/>
    <cellStyle name="Normal 3 3 15 3 7" xfId="11858"/>
    <cellStyle name="Normal 3 3 15 3 7 2" xfId="29389"/>
    <cellStyle name="Normal 3 3 15 3 8" xfId="11859"/>
    <cellStyle name="Normal 3 3 15 3 8 2" xfId="29390"/>
    <cellStyle name="Normal 3 3 15 3 9" xfId="11860"/>
    <cellStyle name="Normal 3 3 15 3 9 2" xfId="29391"/>
    <cellStyle name="Normal 3 3 15 4" xfId="11861"/>
    <cellStyle name="Normal 3 3 15 4 10" xfId="11862"/>
    <cellStyle name="Normal 3 3 15 4 10 2" xfId="29393"/>
    <cellStyle name="Normal 3 3 15 4 11" xfId="11863"/>
    <cellStyle name="Normal 3 3 15 4 11 2" xfId="29394"/>
    <cellStyle name="Normal 3 3 15 4 12" xfId="11864"/>
    <cellStyle name="Normal 3 3 15 4 12 2" xfId="29395"/>
    <cellStyle name="Normal 3 3 15 4 13" xfId="11865"/>
    <cellStyle name="Normal 3 3 15 4 13 2" xfId="29396"/>
    <cellStyle name="Normal 3 3 15 4 14" xfId="11866"/>
    <cellStyle name="Normal 3 3 15 4 14 2" xfId="29397"/>
    <cellStyle name="Normal 3 3 15 4 15" xfId="11867"/>
    <cellStyle name="Normal 3 3 15 4 15 2" xfId="29398"/>
    <cellStyle name="Normal 3 3 15 4 16" xfId="29392"/>
    <cellStyle name="Normal 3 3 15 4 2" xfId="11868"/>
    <cellStyle name="Normal 3 3 15 4 2 10" xfId="11869"/>
    <cellStyle name="Normal 3 3 15 4 2 10 2" xfId="29400"/>
    <cellStyle name="Normal 3 3 15 4 2 11" xfId="11870"/>
    <cellStyle name="Normal 3 3 15 4 2 11 2" xfId="29401"/>
    <cellStyle name="Normal 3 3 15 4 2 12" xfId="11871"/>
    <cellStyle name="Normal 3 3 15 4 2 12 2" xfId="29402"/>
    <cellStyle name="Normal 3 3 15 4 2 13" xfId="11872"/>
    <cellStyle name="Normal 3 3 15 4 2 13 2" xfId="29403"/>
    <cellStyle name="Normal 3 3 15 4 2 14" xfId="11873"/>
    <cellStyle name="Normal 3 3 15 4 2 14 2" xfId="29404"/>
    <cellStyle name="Normal 3 3 15 4 2 15" xfId="29399"/>
    <cellStyle name="Normal 3 3 15 4 2 2" xfId="11874"/>
    <cellStyle name="Normal 3 3 15 4 2 2 2" xfId="29405"/>
    <cellStyle name="Normal 3 3 15 4 2 3" xfId="11875"/>
    <cellStyle name="Normal 3 3 15 4 2 3 2" xfId="29406"/>
    <cellStyle name="Normal 3 3 15 4 2 4" xfId="11876"/>
    <cellStyle name="Normal 3 3 15 4 2 4 2" xfId="29407"/>
    <cellStyle name="Normal 3 3 15 4 2 5" xfId="11877"/>
    <cellStyle name="Normal 3 3 15 4 2 5 2" xfId="29408"/>
    <cellStyle name="Normal 3 3 15 4 2 6" xfId="11878"/>
    <cellStyle name="Normal 3 3 15 4 2 6 2" xfId="29409"/>
    <cellStyle name="Normal 3 3 15 4 2 7" xfId="11879"/>
    <cellStyle name="Normal 3 3 15 4 2 7 2" xfId="29410"/>
    <cellStyle name="Normal 3 3 15 4 2 8" xfId="11880"/>
    <cellStyle name="Normal 3 3 15 4 2 8 2" xfId="29411"/>
    <cellStyle name="Normal 3 3 15 4 2 9" xfId="11881"/>
    <cellStyle name="Normal 3 3 15 4 2 9 2" xfId="29412"/>
    <cellStyle name="Normal 3 3 15 4 3" xfId="11882"/>
    <cellStyle name="Normal 3 3 15 4 3 2" xfId="29413"/>
    <cellStyle name="Normal 3 3 15 4 4" xfId="11883"/>
    <cellStyle name="Normal 3 3 15 4 4 2" xfId="29414"/>
    <cellStyle name="Normal 3 3 15 4 5" xfId="11884"/>
    <cellStyle name="Normal 3 3 15 4 5 2" xfId="29415"/>
    <cellStyle name="Normal 3 3 15 4 6" xfId="11885"/>
    <cellStyle name="Normal 3 3 15 4 6 2" xfId="29416"/>
    <cellStyle name="Normal 3 3 15 4 7" xfId="11886"/>
    <cellStyle name="Normal 3 3 15 4 7 2" xfId="29417"/>
    <cellStyle name="Normal 3 3 15 4 8" xfId="11887"/>
    <cellStyle name="Normal 3 3 15 4 8 2" xfId="29418"/>
    <cellStyle name="Normal 3 3 15 4 9" xfId="11888"/>
    <cellStyle name="Normal 3 3 15 4 9 2" xfId="29419"/>
    <cellStyle name="Normal 3 3 15 5" xfId="11889"/>
    <cellStyle name="Normal 3 3 15 5 10" xfId="11890"/>
    <cellStyle name="Normal 3 3 15 5 10 2" xfId="29421"/>
    <cellStyle name="Normal 3 3 15 5 11" xfId="11891"/>
    <cellStyle name="Normal 3 3 15 5 11 2" xfId="29422"/>
    <cellStyle name="Normal 3 3 15 5 12" xfId="11892"/>
    <cellStyle name="Normal 3 3 15 5 12 2" xfId="29423"/>
    <cellStyle name="Normal 3 3 15 5 13" xfId="11893"/>
    <cellStyle name="Normal 3 3 15 5 13 2" xfId="29424"/>
    <cellStyle name="Normal 3 3 15 5 14" xfId="11894"/>
    <cellStyle name="Normal 3 3 15 5 14 2" xfId="29425"/>
    <cellStyle name="Normal 3 3 15 5 15" xfId="29420"/>
    <cellStyle name="Normal 3 3 15 5 2" xfId="11895"/>
    <cellStyle name="Normal 3 3 15 5 2 2" xfId="29426"/>
    <cellStyle name="Normal 3 3 15 5 3" xfId="11896"/>
    <cellStyle name="Normal 3 3 15 5 3 2" xfId="29427"/>
    <cellStyle name="Normal 3 3 15 5 4" xfId="11897"/>
    <cellStyle name="Normal 3 3 15 5 4 2" xfId="29428"/>
    <cellStyle name="Normal 3 3 15 5 5" xfId="11898"/>
    <cellStyle name="Normal 3 3 15 5 5 2" xfId="29429"/>
    <cellStyle name="Normal 3 3 15 5 6" xfId="11899"/>
    <cellStyle name="Normal 3 3 15 5 6 2" xfId="29430"/>
    <cellStyle name="Normal 3 3 15 5 7" xfId="11900"/>
    <cellStyle name="Normal 3 3 15 5 7 2" xfId="29431"/>
    <cellStyle name="Normal 3 3 15 5 8" xfId="11901"/>
    <cellStyle name="Normal 3 3 15 5 8 2" xfId="29432"/>
    <cellStyle name="Normal 3 3 15 5 9" xfId="11902"/>
    <cellStyle name="Normal 3 3 15 5 9 2" xfId="29433"/>
    <cellStyle name="Normal 3 3 15 6" xfId="11903"/>
    <cellStyle name="Normal 3 3 15 6 10" xfId="11904"/>
    <cellStyle name="Normal 3 3 15 6 10 2" xfId="29435"/>
    <cellStyle name="Normal 3 3 15 6 11" xfId="11905"/>
    <cellStyle name="Normal 3 3 15 6 11 2" xfId="29436"/>
    <cellStyle name="Normal 3 3 15 6 12" xfId="11906"/>
    <cellStyle name="Normal 3 3 15 6 12 2" xfId="29437"/>
    <cellStyle name="Normal 3 3 15 6 13" xfId="11907"/>
    <cellStyle name="Normal 3 3 15 6 13 2" xfId="29438"/>
    <cellStyle name="Normal 3 3 15 6 14" xfId="11908"/>
    <cellStyle name="Normal 3 3 15 6 14 2" xfId="29439"/>
    <cellStyle name="Normal 3 3 15 6 15" xfId="29434"/>
    <cellStyle name="Normal 3 3 15 6 2" xfId="11909"/>
    <cellStyle name="Normal 3 3 15 6 2 2" xfId="29440"/>
    <cellStyle name="Normal 3 3 15 6 3" xfId="11910"/>
    <cellStyle name="Normal 3 3 15 6 3 2" xfId="29441"/>
    <cellStyle name="Normal 3 3 15 6 4" xfId="11911"/>
    <cellStyle name="Normal 3 3 15 6 4 2" xfId="29442"/>
    <cellStyle name="Normal 3 3 15 6 5" xfId="11912"/>
    <cellStyle name="Normal 3 3 15 6 5 2" xfId="29443"/>
    <cellStyle name="Normal 3 3 15 6 6" xfId="11913"/>
    <cellStyle name="Normal 3 3 15 6 6 2" xfId="29444"/>
    <cellStyle name="Normal 3 3 15 6 7" xfId="11914"/>
    <cellStyle name="Normal 3 3 15 6 7 2" xfId="29445"/>
    <cellStyle name="Normal 3 3 15 6 8" xfId="11915"/>
    <cellStyle name="Normal 3 3 15 6 8 2" xfId="29446"/>
    <cellStyle name="Normal 3 3 15 6 9" xfId="11916"/>
    <cellStyle name="Normal 3 3 15 6 9 2" xfId="29447"/>
    <cellStyle name="Normal 3 3 15 7" xfId="11917"/>
    <cellStyle name="Normal 3 3 15 7 10" xfId="11918"/>
    <cellStyle name="Normal 3 3 15 7 10 2" xfId="29449"/>
    <cellStyle name="Normal 3 3 15 7 11" xfId="11919"/>
    <cellStyle name="Normal 3 3 15 7 11 2" xfId="29450"/>
    <cellStyle name="Normal 3 3 15 7 12" xfId="11920"/>
    <cellStyle name="Normal 3 3 15 7 12 2" xfId="29451"/>
    <cellStyle name="Normal 3 3 15 7 13" xfId="11921"/>
    <cellStyle name="Normal 3 3 15 7 13 2" xfId="29452"/>
    <cellStyle name="Normal 3 3 15 7 14" xfId="11922"/>
    <cellStyle name="Normal 3 3 15 7 14 2" xfId="29453"/>
    <cellStyle name="Normal 3 3 15 7 15" xfId="29448"/>
    <cellStyle name="Normal 3 3 15 7 2" xfId="11923"/>
    <cellStyle name="Normal 3 3 15 7 2 2" xfId="29454"/>
    <cellStyle name="Normal 3 3 15 7 3" xfId="11924"/>
    <cellStyle name="Normal 3 3 15 7 3 2" xfId="29455"/>
    <cellStyle name="Normal 3 3 15 7 4" xfId="11925"/>
    <cellStyle name="Normal 3 3 15 7 4 2" xfId="29456"/>
    <cellStyle name="Normal 3 3 15 7 5" xfId="11926"/>
    <cellStyle name="Normal 3 3 15 7 5 2" xfId="29457"/>
    <cellStyle name="Normal 3 3 15 7 6" xfId="11927"/>
    <cellStyle name="Normal 3 3 15 7 6 2" xfId="29458"/>
    <cellStyle name="Normal 3 3 15 7 7" xfId="11928"/>
    <cellStyle name="Normal 3 3 15 7 7 2" xfId="29459"/>
    <cellStyle name="Normal 3 3 15 7 8" xfId="11929"/>
    <cellStyle name="Normal 3 3 15 7 8 2" xfId="29460"/>
    <cellStyle name="Normal 3 3 15 7 9" xfId="11930"/>
    <cellStyle name="Normal 3 3 15 7 9 2" xfId="29461"/>
    <cellStyle name="Normal 3 3 15 8" xfId="11931"/>
    <cellStyle name="Normal 3 3 15 8 10" xfId="11932"/>
    <cellStyle name="Normal 3 3 15 8 10 2" xfId="29463"/>
    <cellStyle name="Normal 3 3 15 8 11" xfId="11933"/>
    <cellStyle name="Normal 3 3 15 8 11 2" xfId="29464"/>
    <cellStyle name="Normal 3 3 15 8 12" xfId="11934"/>
    <cellStyle name="Normal 3 3 15 8 12 2" xfId="29465"/>
    <cellStyle name="Normal 3 3 15 8 13" xfId="11935"/>
    <cellStyle name="Normal 3 3 15 8 13 2" xfId="29466"/>
    <cellStyle name="Normal 3 3 15 8 14" xfId="11936"/>
    <cellStyle name="Normal 3 3 15 8 14 2" xfId="29467"/>
    <cellStyle name="Normal 3 3 15 8 15" xfId="29462"/>
    <cellStyle name="Normal 3 3 15 8 2" xfId="11937"/>
    <cellStyle name="Normal 3 3 15 8 2 2" xfId="29468"/>
    <cellStyle name="Normal 3 3 15 8 3" xfId="11938"/>
    <cellStyle name="Normal 3 3 15 8 3 2" xfId="29469"/>
    <cellStyle name="Normal 3 3 15 8 4" xfId="11939"/>
    <cellStyle name="Normal 3 3 15 8 4 2" xfId="29470"/>
    <cellStyle name="Normal 3 3 15 8 5" xfId="11940"/>
    <cellStyle name="Normal 3 3 15 8 5 2" xfId="29471"/>
    <cellStyle name="Normal 3 3 15 8 6" xfId="11941"/>
    <cellStyle name="Normal 3 3 15 8 6 2" xfId="29472"/>
    <cellStyle name="Normal 3 3 15 8 7" xfId="11942"/>
    <cellStyle name="Normal 3 3 15 8 7 2" xfId="29473"/>
    <cellStyle name="Normal 3 3 15 8 8" xfId="11943"/>
    <cellStyle name="Normal 3 3 15 8 8 2" xfId="29474"/>
    <cellStyle name="Normal 3 3 15 8 9" xfId="11944"/>
    <cellStyle name="Normal 3 3 15 8 9 2" xfId="29475"/>
    <cellStyle name="Normal 3 3 15 9" xfId="11945"/>
    <cellStyle name="Normal 3 3 15 9 10" xfId="11946"/>
    <cellStyle name="Normal 3 3 15 9 10 2" xfId="29477"/>
    <cellStyle name="Normal 3 3 15 9 11" xfId="11947"/>
    <cellStyle name="Normal 3 3 15 9 11 2" xfId="29478"/>
    <cellStyle name="Normal 3 3 15 9 12" xfId="11948"/>
    <cellStyle name="Normal 3 3 15 9 12 2" xfId="29479"/>
    <cellStyle name="Normal 3 3 15 9 13" xfId="11949"/>
    <cellStyle name="Normal 3 3 15 9 13 2" xfId="29480"/>
    <cellStyle name="Normal 3 3 15 9 14" xfId="11950"/>
    <cellStyle name="Normal 3 3 15 9 14 2" xfId="29481"/>
    <cellStyle name="Normal 3 3 15 9 15" xfId="29476"/>
    <cellStyle name="Normal 3 3 15 9 2" xfId="11951"/>
    <cellStyle name="Normal 3 3 15 9 2 2" xfId="29482"/>
    <cellStyle name="Normal 3 3 15 9 3" xfId="11952"/>
    <cellStyle name="Normal 3 3 15 9 3 2" xfId="29483"/>
    <cellStyle name="Normal 3 3 15 9 4" xfId="11953"/>
    <cellStyle name="Normal 3 3 15 9 4 2" xfId="29484"/>
    <cellStyle name="Normal 3 3 15 9 5" xfId="11954"/>
    <cellStyle name="Normal 3 3 15 9 5 2" xfId="29485"/>
    <cellStyle name="Normal 3 3 15 9 6" xfId="11955"/>
    <cellStyle name="Normal 3 3 15 9 6 2" xfId="29486"/>
    <cellStyle name="Normal 3 3 15 9 7" xfId="11956"/>
    <cellStyle name="Normal 3 3 15 9 7 2" xfId="29487"/>
    <cellStyle name="Normal 3 3 15 9 8" xfId="11957"/>
    <cellStyle name="Normal 3 3 15 9 8 2" xfId="29488"/>
    <cellStyle name="Normal 3 3 15 9 9" xfId="11958"/>
    <cellStyle name="Normal 3 3 15 9 9 2" xfId="29489"/>
    <cellStyle name="Normal 3 3 16" xfId="11959"/>
    <cellStyle name="Normal 3 3 16 10" xfId="11960"/>
    <cellStyle name="Normal 3 3 16 10 10" xfId="11961"/>
    <cellStyle name="Normal 3 3 16 10 10 2" xfId="29492"/>
    <cellStyle name="Normal 3 3 16 10 11" xfId="11962"/>
    <cellStyle name="Normal 3 3 16 10 11 2" xfId="29493"/>
    <cellStyle name="Normal 3 3 16 10 12" xfId="11963"/>
    <cellStyle name="Normal 3 3 16 10 12 2" xfId="29494"/>
    <cellStyle name="Normal 3 3 16 10 13" xfId="11964"/>
    <cellStyle name="Normal 3 3 16 10 13 2" xfId="29495"/>
    <cellStyle name="Normal 3 3 16 10 14" xfId="11965"/>
    <cellStyle name="Normal 3 3 16 10 14 2" xfId="29496"/>
    <cellStyle name="Normal 3 3 16 10 15" xfId="29491"/>
    <cellStyle name="Normal 3 3 16 10 2" xfId="11966"/>
    <cellStyle name="Normal 3 3 16 10 2 2" xfId="29497"/>
    <cellStyle name="Normal 3 3 16 10 3" xfId="11967"/>
    <cellStyle name="Normal 3 3 16 10 3 2" xfId="29498"/>
    <cellStyle name="Normal 3 3 16 10 4" xfId="11968"/>
    <cellStyle name="Normal 3 3 16 10 4 2" xfId="29499"/>
    <cellStyle name="Normal 3 3 16 10 5" xfId="11969"/>
    <cellStyle name="Normal 3 3 16 10 5 2" xfId="29500"/>
    <cellStyle name="Normal 3 3 16 10 6" xfId="11970"/>
    <cellStyle name="Normal 3 3 16 10 6 2" xfId="29501"/>
    <cellStyle name="Normal 3 3 16 10 7" xfId="11971"/>
    <cellStyle name="Normal 3 3 16 10 7 2" xfId="29502"/>
    <cellStyle name="Normal 3 3 16 10 8" xfId="11972"/>
    <cellStyle name="Normal 3 3 16 10 8 2" xfId="29503"/>
    <cellStyle name="Normal 3 3 16 10 9" xfId="11973"/>
    <cellStyle name="Normal 3 3 16 10 9 2" xfId="29504"/>
    <cellStyle name="Normal 3 3 16 11" xfId="11974"/>
    <cellStyle name="Normal 3 3 16 11 2" xfId="29505"/>
    <cellStyle name="Normal 3 3 16 12" xfId="11975"/>
    <cellStyle name="Normal 3 3 16 12 2" xfId="29506"/>
    <cellStyle name="Normal 3 3 16 13" xfId="11976"/>
    <cellStyle name="Normal 3 3 16 13 2" xfId="29507"/>
    <cellStyle name="Normal 3 3 16 14" xfId="11977"/>
    <cellStyle name="Normal 3 3 16 14 2" xfId="29508"/>
    <cellStyle name="Normal 3 3 16 15" xfId="11978"/>
    <cellStyle name="Normal 3 3 16 15 2" xfId="29509"/>
    <cellStyle name="Normal 3 3 16 16" xfId="11979"/>
    <cellStyle name="Normal 3 3 16 16 2" xfId="29510"/>
    <cellStyle name="Normal 3 3 16 17" xfId="11980"/>
    <cellStyle name="Normal 3 3 16 17 2" xfId="29511"/>
    <cellStyle name="Normal 3 3 16 18" xfId="11981"/>
    <cellStyle name="Normal 3 3 16 18 2" xfId="29512"/>
    <cellStyle name="Normal 3 3 16 19" xfId="11982"/>
    <cellStyle name="Normal 3 3 16 19 2" xfId="29513"/>
    <cellStyle name="Normal 3 3 16 2" xfId="11983"/>
    <cellStyle name="Normal 3 3 16 2 10" xfId="11984"/>
    <cellStyle name="Normal 3 3 16 2 10 2" xfId="29515"/>
    <cellStyle name="Normal 3 3 16 2 11" xfId="11985"/>
    <cellStyle name="Normal 3 3 16 2 11 2" xfId="29516"/>
    <cellStyle name="Normal 3 3 16 2 12" xfId="11986"/>
    <cellStyle name="Normal 3 3 16 2 12 2" xfId="29517"/>
    <cellStyle name="Normal 3 3 16 2 13" xfId="11987"/>
    <cellStyle name="Normal 3 3 16 2 13 2" xfId="29518"/>
    <cellStyle name="Normal 3 3 16 2 14" xfId="11988"/>
    <cellStyle name="Normal 3 3 16 2 14 2" xfId="29519"/>
    <cellStyle name="Normal 3 3 16 2 15" xfId="11989"/>
    <cellStyle name="Normal 3 3 16 2 15 2" xfId="29520"/>
    <cellStyle name="Normal 3 3 16 2 16" xfId="29514"/>
    <cellStyle name="Normal 3 3 16 2 2" xfId="11990"/>
    <cellStyle name="Normal 3 3 16 2 2 10" xfId="11991"/>
    <cellStyle name="Normal 3 3 16 2 2 10 2" xfId="29522"/>
    <cellStyle name="Normal 3 3 16 2 2 11" xfId="11992"/>
    <cellStyle name="Normal 3 3 16 2 2 11 2" xfId="29523"/>
    <cellStyle name="Normal 3 3 16 2 2 12" xfId="11993"/>
    <cellStyle name="Normal 3 3 16 2 2 12 2" xfId="29524"/>
    <cellStyle name="Normal 3 3 16 2 2 13" xfId="11994"/>
    <cellStyle name="Normal 3 3 16 2 2 13 2" xfId="29525"/>
    <cellStyle name="Normal 3 3 16 2 2 14" xfId="11995"/>
    <cellStyle name="Normal 3 3 16 2 2 14 2" xfId="29526"/>
    <cellStyle name="Normal 3 3 16 2 2 15" xfId="29521"/>
    <cellStyle name="Normal 3 3 16 2 2 2" xfId="11996"/>
    <cellStyle name="Normal 3 3 16 2 2 2 2" xfId="29527"/>
    <cellStyle name="Normal 3 3 16 2 2 3" xfId="11997"/>
    <cellStyle name="Normal 3 3 16 2 2 3 2" xfId="29528"/>
    <cellStyle name="Normal 3 3 16 2 2 4" xfId="11998"/>
    <cellStyle name="Normal 3 3 16 2 2 4 2" xfId="29529"/>
    <cellStyle name="Normal 3 3 16 2 2 5" xfId="11999"/>
    <cellStyle name="Normal 3 3 16 2 2 5 2" xfId="29530"/>
    <cellStyle name="Normal 3 3 16 2 2 6" xfId="12000"/>
    <cellStyle name="Normal 3 3 16 2 2 6 2" xfId="29531"/>
    <cellStyle name="Normal 3 3 16 2 2 7" xfId="12001"/>
    <cellStyle name="Normal 3 3 16 2 2 7 2" xfId="29532"/>
    <cellStyle name="Normal 3 3 16 2 2 8" xfId="12002"/>
    <cellStyle name="Normal 3 3 16 2 2 8 2" xfId="29533"/>
    <cellStyle name="Normal 3 3 16 2 2 9" xfId="12003"/>
    <cellStyle name="Normal 3 3 16 2 2 9 2" xfId="29534"/>
    <cellStyle name="Normal 3 3 16 2 3" xfId="12004"/>
    <cellStyle name="Normal 3 3 16 2 3 2" xfId="29535"/>
    <cellStyle name="Normal 3 3 16 2 4" xfId="12005"/>
    <cellStyle name="Normal 3 3 16 2 4 2" xfId="29536"/>
    <cellStyle name="Normal 3 3 16 2 5" xfId="12006"/>
    <cellStyle name="Normal 3 3 16 2 5 2" xfId="29537"/>
    <cellStyle name="Normal 3 3 16 2 6" xfId="12007"/>
    <cellStyle name="Normal 3 3 16 2 6 2" xfId="29538"/>
    <cellStyle name="Normal 3 3 16 2 7" xfId="12008"/>
    <cellStyle name="Normal 3 3 16 2 7 2" xfId="29539"/>
    <cellStyle name="Normal 3 3 16 2 8" xfId="12009"/>
    <cellStyle name="Normal 3 3 16 2 8 2" xfId="29540"/>
    <cellStyle name="Normal 3 3 16 2 9" xfId="12010"/>
    <cellStyle name="Normal 3 3 16 2 9 2" xfId="29541"/>
    <cellStyle name="Normal 3 3 16 20" xfId="12011"/>
    <cellStyle name="Normal 3 3 16 20 2" xfId="29542"/>
    <cellStyle name="Normal 3 3 16 21" xfId="12012"/>
    <cellStyle name="Normal 3 3 16 21 2" xfId="29543"/>
    <cellStyle name="Normal 3 3 16 22" xfId="12013"/>
    <cellStyle name="Normal 3 3 16 22 2" xfId="29544"/>
    <cellStyle name="Normal 3 3 16 23" xfId="12014"/>
    <cellStyle name="Normal 3 3 16 23 2" xfId="29545"/>
    <cellStyle name="Normal 3 3 16 24" xfId="29490"/>
    <cellStyle name="Normal 3 3 16 3" xfId="12015"/>
    <cellStyle name="Normal 3 3 16 3 10" xfId="12016"/>
    <cellStyle name="Normal 3 3 16 3 10 2" xfId="29547"/>
    <cellStyle name="Normal 3 3 16 3 11" xfId="12017"/>
    <cellStyle name="Normal 3 3 16 3 11 2" xfId="29548"/>
    <cellStyle name="Normal 3 3 16 3 12" xfId="12018"/>
    <cellStyle name="Normal 3 3 16 3 12 2" xfId="29549"/>
    <cellStyle name="Normal 3 3 16 3 13" xfId="12019"/>
    <cellStyle name="Normal 3 3 16 3 13 2" xfId="29550"/>
    <cellStyle name="Normal 3 3 16 3 14" xfId="12020"/>
    <cellStyle name="Normal 3 3 16 3 14 2" xfId="29551"/>
    <cellStyle name="Normal 3 3 16 3 15" xfId="12021"/>
    <cellStyle name="Normal 3 3 16 3 15 2" xfId="29552"/>
    <cellStyle name="Normal 3 3 16 3 16" xfId="29546"/>
    <cellStyle name="Normal 3 3 16 3 2" xfId="12022"/>
    <cellStyle name="Normal 3 3 16 3 2 10" xfId="12023"/>
    <cellStyle name="Normal 3 3 16 3 2 10 2" xfId="29554"/>
    <cellStyle name="Normal 3 3 16 3 2 11" xfId="12024"/>
    <cellStyle name="Normal 3 3 16 3 2 11 2" xfId="29555"/>
    <cellStyle name="Normal 3 3 16 3 2 12" xfId="12025"/>
    <cellStyle name="Normal 3 3 16 3 2 12 2" xfId="29556"/>
    <cellStyle name="Normal 3 3 16 3 2 13" xfId="12026"/>
    <cellStyle name="Normal 3 3 16 3 2 13 2" xfId="29557"/>
    <cellStyle name="Normal 3 3 16 3 2 14" xfId="12027"/>
    <cellStyle name="Normal 3 3 16 3 2 14 2" xfId="29558"/>
    <cellStyle name="Normal 3 3 16 3 2 15" xfId="29553"/>
    <cellStyle name="Normal 3 3 16 3 2 2" xfId="12028"/>
    <cellStyle name="Normal 3 3 16 3 2 2 2" xfId="29559"/>
    <cellStyle name="Normal 3 3 16 3 2 3" xfId="12029"/>
    <cellStyle name="Normal 3 3 16 3 2 3 2" xfId="29560"/>
    <cellStyle name="Normal 3 3 16 3 2 4" xfId="12030"/>
    <cellStyle name="Normal 3 3 16 3 2 4 2" xfId="29561"/>
    <cellStyle name="Normal 3 3 16 3 2 5" xfId="12031"/>
    <cellStyle name="Normal 3 3 16 3 2 5 2" xfId="29562"/>
    <cellStyle name="Normal 3 3 16 3 2 6" xfId="12032"/>
    <cellStyle name="Normal 3 3 16 3 2 6 2" xfId="29563"/>
    <cellStyle name="Normal 3 3 16 3 2 7" xfId="12033"/>
    <cellStyle name="Normal 3 3 16 3 2 7 2" xfId="29564"/>
    <cellStyle name="Normal 3 3 16 3 2 8" xfId="12034"/>
    <cellStyle name="Normal 3 3 16 3 2 8 2" xfId="29565"/>
    <cellStyle name="Normal 3 3 16 3 2 9" xfId="12035"/>
    <cellStyle name="Normal 3 3 16 3 2 9 2" xfId="29566"/>
    <cellStyle name="Normal 3 3 16 3 3" xfId="12036"/>
    <cellStyle name="Normal 3 3 16 3 3 2" xfId="29567"/>
    <cellStyle name="Normal 3 3 16 3 4" xfId="12037"/>
    <cellStyle name="Normal 3 3 16 3 4 2" xfId="29568"/>
    <cellStyle name="Normal 3 3 16 3 5" xfId="12038"/>
    <cellStyle name="Normal 3 3 16 3 5 2" xfId="29569"/>
    <cellStyle name="Normal 3 3 16 3 6" xfId="12039"/>
    <cellStyle name="Normal 3 3 16 3 6 2" xfId="29570"/>
    <cellStyle name="Normal 3 3 16 3 7" xfId="12040"/>
    <cellStyle name="Normal 3 3 16 3 7 2" xfId="29571"/>
    <cellStyle name="Normal 3 3 16 3 8" xfId="12041"/>
    <cellStyle name="Normal 3 3 16 3 8 2" xfId="29572"/>
    <cellStyle name="Normal 3 3 16 3 9" xfId="12042"/>
    <cellStyle name="Normal 3 3 16 3 9 2" xfId="29573"/>
    <cellStyle name="Normal 3 3 16 4" xfId="12043"/>
    <cellStyle name="Normal 3 3 16 4 10" xfId="12044"/>
    <cellStyle name="Normal 3 3 16 4 10 2" xfId="29575"/>
    <cellStyle name="Normal 3 3 16 4 11" xfId="12045"/>
    <cellStyle name="Normal 3 3 16 4 11 2" xfId="29576"/>
    <cellStyle name="Normal 3 3 16 4 12" xfId="12046"/>
    <cellStyle name="Normal 3 3 16 4 12 2" xfId="29577"/>
    <cellStyle name="Normal 3 3 16 4 13" xfId="12047"/>
    <cellStyle name="Normal 3 3 16 4 13 2" xfId="29578"/>
    <cellStyle name="Normal 3 3 16 4 14" xfId="12048"/>
    <cellStyle name="Normal 3 3 16 4 14 2" xfId="29579"/>
    <cellStyle name="Normal 3 3 16 4 15" xfId="12049"/>
    <cellStyle name="Normal 3 3 16 4 15 2" xfId="29580"/>
    <cellStyle name="Normal 3 3 16 4 16" xfId="29574"/>
    <cellStyle name="Normal 3 3 16 4 2" xfId="12050"/>
    <cellStyle name="Normal 3 3 16 4 2 10" xfId="12051"/>
    <cellStyle name="Normal 3 3 16 4 2 10 2" xfId="29582"/>
    <cellStyle name="Normal 3 3 16 4 2 11" xfId="12052"/>
    <cellStyle name="Normal 3 3 16 4 2 11 2" xfId="29583"/>
    <cellStyle name="Normal 3 3 16 4 2 12" xfId="12053"/>
    <cellStyle name="Normal 3 3 16 4 2 12 2" xfId="29584"/>
    <cellStyle name="Normal 3 3 16 4 2 13" xfId="12054"/>
    <cellStyle name="Normal 3 3 16 4 2 13 2" xfId="29585"/>
    <cellStyle name="Normal 3 3 16 4 2 14" xfId="12055"/>
    <cellStyle name="Normal 3 3 16 4 2 14 2" xfId="29586"/>
    <cellStyle name="Normal 3 3 16 4 2 15" xfId="29581"/>
    <cellStyle name="Normal 3 3 16 4 2 2" xfId="12056"/>
    <cellStyle name="Normal 3 3 16 4 2 2 2" xfId="29587"/>
    <cellStyle name="Normal 3 3 16 4 2 3" xfId="12057"/>
    <cellStyle name="Normal 3 3 16 4 2 3 2" xfId="29588"/>
    <cellStyle name="Normal 3 3 16 4 2 4" xfId="12058"/>
    <cellStyle name="Normal 3 3 16 4 2 4 2" xfId="29589"/>
    <cellStyle name="Normal 3 3 16 4 2 5" xfId="12059"/>
    <cellStyle name="Normal 3 3 16 4 2 5 2" xfId="29590"/>
    <cellStyle name="Normal 3 3 16 4 2 6" xfId="12060"/>
    <cellStyle name="Normal 3 3 16 4 2 6 2" xfId="29591"/>
    <cellStyle name="Normal 3 3 16 4 2 7" xfId="12061"/>
    <cellStyle name="Normal 3 3 16 4 2 7 2" xfId="29592"/>
    <cellStyle name="Normal 3 3 16 4 2 8" xfId="12062"/>
    <cellStyle name="Normal 3 3 16 4 2 8 2" xfId="29593"/>
    <cellStyle name="Normal 3 3 16 4 2 9" xfId="12063"/>
    <cellStyle name="Normal 3 3 16 4 2 9 2" xfId="29594"/>
    <cellStyle name="Normal 3 3 16 4 3" xfId="12064"/>
    <cellStyle name="Normal 3 3 16 4 3 2" xfId="29595"/>
    <cellStyle name="Normal 3 3 16 4 4" xfId="12065"/>
    <cellStyle name="Normal 3 3 16 4 4 2" xfId="29596"/>
    <cellStyle name="Normal 3 3 16 4 5" xfId="12066"/>
    <cellStyle name="Normal 3 3 16 4 5 2" xfId="29597"/>
    <cellStyle name="Normal 3 3 16 4 6" xfId="12067"/>
    <cellStyle name="Normal 3 3 16 4 6 2" xfId="29598"/>
    <cellStyle name="Normal 3 3 16 4 7" xfId="12068"/>
    <cellStyle name="Normal 3 3 16 4 7 2" xfId="29599"/>
    <cellStyle name="Normal 3 3 16 4 8" xfId="12069"/>
    <cellStyle name="Normal 3 3 16 4 8 2" xfId="29600"/>
    <cellStyle name="Normal 3 3 16 4 9" xfId="12070"/>
    <cellStyle name="Normal 3 3 16 4 9 2" xfId="29601"/>
    <cellStyle name="Normal 3 3 16 5" xfId="12071"/>
    <cellStyle name="Normal 3 3 16 5 10" xfId="12072"/>
    <cellStyle name="Normal 3 3 16 5 10 2" xfId="29603"/>
    <cellStyle name="Normal 3 3 16 5 11" xfId="12073"/>
    <cellStyle name="Normal 3 3 16 5 11 2" xfId="29604"/>
    <cellStyle name="Normal 3 3 16 5 12" xfId="12074"/>
    <cellStyle name="Normal 3 3 16 5 12 2" xfId="29605"/>
    <cellStyle name="Normal 3 3 16 5 13" xfId="12075"/>
    <cellStyle name="Normal 3 3 16 5 13 2" xfId="29606"/>
    <cellStyle name="Normal 3 3 16 5 14" xfId="12076"/>
    <cellStyle name="Normal 3 3 16 5 14 2" xfId="29607"/>
    <cellStyle name="Normal 3 3 16 5 15" xfId="29602"/>
    <cellStyle name="Normal 3 3 16 5 2" xfId="12077"/>
    <cellStyle name="Normal 3 3 16 5 2 2" xfId="29608"/>
    <cellStyle name="Normal 3 3 16 5 3" xfId="12078"/>
    <cellStyle name="Normal 3 3 16 5 3 2" xfId="29609"/>
    <cellStyle name="Normal 3 3 16 5 4" xfId="12079"/>
    <cellStyle name="Normal 3 3 16 5 4 2" xfId="29610"/>
    <cellStyle name="Normal 3 3 16 5 5" xfId="12080"/>
    <cellStyle name="Normal 3 3 16 5 5 2" xfId="29611"/>
    <cellStyle name="Normal 3 3 16 5 6" xfId="12081"/>
    <cellStyle name="Normal 3 3 16 5 6 2" xfId="29612"/>
    <cellStyle name="Normal 3 3 16 5 7" xfId="12082"/>
    <cellStyle name="Normal 3 3 16 5 7 2" xfId="29613"/>
    <cellStyle name="Normal 3 3 16 5 8" xfId="12083"/>
    <cellStyle name="Normal 3 3 16 5 8 2" xfId="29614"/>
    <cellStyle name="Normal 3 3 16 5 9" xfId="12084"/>
    <cellStyle name="Normal 3 3 16 5 9 2" xfId="29615"/>
    <cellStyle name="Normal 3 3 16 6" xfId="12085"/>
    <cellStyle name="Normal 3 3 16 6 10" xfId="12086"/>
    <cellStyle name="Normal 3 3 16 6 10 2" xfId="29617"/>
    <cellStyle name="Normal 3 3 16 6 11" xfId="12087"/>
    <cellStyle name="Normal 3 3 16 6 11 2" xfId="29618"/>
    <cellStyle name="Normal 3 3 16 6 12" xfId="12088"/>
    <cellStyle name="Normal 3 3 16 6 12 2" xfId="29619"/>
    <cellStyle name="Normal 3 3 16 6 13" xfId="12089"/>
    <cellStyle name="Normal 3 3 16 6 13 2" xfId="29620"/>
    <cellStyle name="Normal 3 3 16 6 14" xfId="12090"/>
    <cellStyle name="Normal 3 3 16 6 14 2" xfId="29621"/>
    <cellStyle name="Normal 3 3 16 6 15" xfId="29616"/>
    <cellStyle name="Normal 3 3 16 6 2" xfId="12091"/>
    <cellStyle name="Normal 3 3 16 6 2 2" xfId="29622"/>
    <cellStyle name="Normal 3 3 16 6 3" xfId="12092"/>
    <cellStyle name="Normal 3 3 16 6 3 2" xfId="29623"/>
    <cellStyle name="Normal 3 3 16 6 4" xfId="12093"/>
    <cellStyle name="Normal 3 3 16 6 4 2" xfId="29624"/>
    <cellStyle name="Normal 3 3 16 6 5" xfId="12094"/>
    <cellStyle name="Normal 3 3 16 6 5 2" xfId="29625"/>
    <cellStyle name="Normal 3 3 16 6 6" xfId="12095"/>
    <cellStyle name="Normal 3 3 16 6 6 2" xfId="29626"/>
    <cellStyle name="Normal 3 3 16 6 7" xfId="12096"/>
    <cellStyle name="Normal 3 3 16 6 7 2" xfId="29627"/>
    <cellStyle name="Normal 3 3 16 6 8" xfId="12097"/>
    <cellStyle name="Normal 3 3 16 6 8 2" xfId="29628"/>
    <cellStyle name="Normal 3 3 16 6 9" xfId="12098"/>
    <cellStyle name="Normal 3 3 16 6 9 2" xfId="29629"/>
    <cellStyle name="Normal 3 3 16 7" xfId="12099"/>
    <cellStyle name="Normal 3 3 16 7 10" xfId="12100"/>
    <cellStyle name="Normal 3 3 16 7 10 2" xfId="29631"/>
    <cellStyle name="Normal 3 3 16 7 11" xfId="12101"/>
    <cellStyle name="Normal 3 3 16 7 11 2" xfId="29632"/>
    <cellStyle name="Normal 3 3 16 7 12" xfId="12102"/>
    <cellStyle name="Normal 3 3 16 7 12 2" xfId="29633"/>
    <cellStyle name="Normal 3 3 16 7 13" xfId="12103"/>
    <cellStyle name="Normal 3 3 16 7 13 2" xfId="29634"/>
    <cellStyle name="Normal 3 3 16 7 14" xfId="12104"/>
    <cellStyle name="Normal 3 3 16 7 14 2" xfId="29635"/>
    <cellStyle name="Normal 3 3 16 7 15" xfId="29630"/>
    <cellStyle name="Normal 3 3 16 7 2" xfId="12105"/>
    <cellStyle name="Normal 3 3 16 7 2 2" xfId="29636"/>
    <cellStyle name="Normal 3 3 16 7 3" xfId="12106"/>
    <cellStyle name="Normal 3 3 16 7 3 2" xfId="29637"/>
    <cellStyle name="Normal 3 3 16 7 4" xfId="12107"/>
    <cellStyle name="Normal 3 3 16 7 4 2" xfId="29638"/>
    <cellStyle name="Normal 3 3 16 7 5" xfId="12108"/>
    <cellStyle name="Normal 3 3 16 7 5 2" xfId="29639"/>
    <cellStyle name="Normal 3 3 16 7 6" xfId="12109"/>
    <cellStyle name="Normal 3 3 16 7 6 2" xfId="29640"/>
    <cellStyle name="Normal 3 3 16 7 7" xfId="12110"/>
    <cellStyle name="Normal 3 3 16 7 7 2" xfId="29641"/>
    <cellStyle name="Normal 3 3 16 7 8" xfId="12111"/>
    <cellStyle name="Normal 3 3 16 7 8 2" xfId="29642"/>
    <cellStyle name="Normal 3 3 16 7 9" xfId="12112"/>
    <cellStyle name="Normal 3 3 16 7 9 2" xfId="29643"/>
    <cellStyle name="Normal 3 3 16 8" xfId="12113"/>
    <cellStyle name="Normal 3 3 16 8 10" xfId="12114"/>
    <cellStyle name="Normal 3 3 16 8 10 2" xfId="29645"/>
    <cellStyle name="Normal 3 3 16 8 11" xfId="12115"/>
    <cellStyle name="Normal 3 3 16 8 11 2" xfId="29646"/>
    <cellStyle name="Normal 3 3 16 8 12" xfId="12116"/>
    <cellStyle name="Normal 3 3 16 8 12 2" xfId="29647"/>
    <cellStyle name="Normal 3 3 16 8 13" xfId="12117"/>
    <cellStyle name="Normal 3 3 16 8 13 2" xfId="29648"/>
    <cellStyle name="Normal 3 3 16 8 14" xfId="12118"/>
    <cellStyle name="Normal 3 3 16 8 14 2" xfId="29649"/>
    <cellStyle name="Normal 3 3 16 8 15" xfId="29644"/>
    <cellStyle name="Normal 3 3 16 8 2" xfId="12119"/>
    <cellStyle name="Normal 3 3 16 8 2 2" xfId="29650"/>
    <cellStyle name="Normal 3 3 16 8 3" xfId="12120"/>
    <cellStyle name="Normal 3 3 16 8 3 2" xfId="29651"/>
    <cellStyle name="Normal 3 3 16 8 4" xfId="12121"/>
    <cellStyle name="Normal 3 3 16 8 4 2" xfId="29652"/>
    <cellStyle name="Normal 3 3 16 8 5" xfId="12122"/>
    <cellStyle name="Normal 3 3 16 8 5 2" xfId="29653"/>
    <cellStyle name="Normal 3 3 16 8 6" xfId="12123"/>
    <cellStyle name="Normal 3 3 16 8 6 2" xfId="29654"/>
    <cellStyle name="Normal 3 3 16 8 7" xfId="12124"/>
    <cellStyle name="Normal 3 3 16 8 7 2" xfId="29655"/>
    <cellStyle name="Normal 3 3 16 8 8" xfId="12125"/>
    <cellStyle name="Normal 3 3 16 8 8 2" xfId="29656"/>
    <cellStyle name="Normal 3 3 16 8 9" xfId="12126"/>
    <cellStyle name="Normal 3 3 16 8 9 2" xfId="29657"/>
    <cellStyle name="Normal 3 3 16 9" xfId="12127"/>
    <cellStyle name="Normal 3 3 16 9 10" xfId="12128"/>
    <cellStyle name="Normal 3 3 16 9 10 2" xfId="29659"/>
    <cellStyle name="Normal 3 3 16 9 11" xfId="12129"/>
    <cellStyle name="Normal 3 3 16 9 11 2" xfId="29660"/>
    <cellStyle name="Normal 3 3 16 9 12" xfId="12130"/>
    <cellStyle name="Normal 3 3 16 9 12 2" xfId="29661"/>
    <cellStyle name="Normal 3 3 16 9 13" xfId="12131"/>
    <cellStyle name="Normal 3 3 16 9 13 2" xfId="29662"/>
    <cellStyle name="Normal 3 3 16 9 14" xfId="12132"/>
    <cellStyle name="Normal 3 3 16 9 14 2" xfId="29663"/>
    <cellStyle name="Normal 3 3 16 9 15" xfId="29658"/>
    <cellStyle name="Normal 3 3 16 9 2" xfId="12133"/>
    <cellStyle name="Normal 3 3 16 9 2 2" xfId="29664"/>
    <cellStyle name="Normal 3 3 16 9 3" xfId="12134"/>
    <cellStyle name="Normal 3 3 16 9 3 2" xfId="29665"/>
    <cellStyle name="Normal 3 3 16 9 4" xfId="12135"/>
    <cellStyle name="Normal 3 3 16 9 4 2" xfId="29666"/>
    <cellStyle name="Normal 3 3 16 9 5" xfId="12136"/>
    <cellStyle name="Normal 3 3 16 9 5 2" xfId="29667"/>
    <cellStyle name="Normal 3 3 16 9 6" xfId="12137"/>
    <cellStyle name="Normal 3 3 16 9 6 2" xfId="29668"/>
    <cellStyle name="Normal 3 3 16 9 7" xfId="12138"/>
    <cellStyle name="Normal 3 3 16 9 7 2" xfId="29669"/>
    <cellStyle name="Normal 3 3 16 9 8" xfId="12139"/>
    <cellStyle name="Normal 3 3 16 9 8 2" xfId="29670"/>
    <cellStyle name="Normal 3 3 16 9 9" xfId="12140"/>
    <cellStyle name="Normal 3 3 16 9 9 2" xfId="29671"/>
    <cellStyle name="Normal 3 3 17" xfId="12141"/>
    <cellStyle name="Normal 3 3 17 10" xfId="12142"/>
    <cellStyle name="Normal 3 3 17 10 10" xfId="12143"/>
    <cellStyle name="Normal 3 3 17 10 10 2" xfId="29674"/>
    <cellStyle name="Normal 3 3 17 10 11" xfId="12144"/>
    <cellStyle name="Normal 3 3 17 10 11 2" xfId="29675"/>
    <cellStyle name="Normal 3 3 17 10 12" xfId="12145"/>
    <cellStyle name="Normal 3 3 17 10 12 2" xfId="29676"/>
    <cellStyle name="Normal 3 3 17 10 13" xfId="12146"/>
    <cellStyle name="Normal 3 3 17 10 13 2" xfId="29677"/>
    <cellStyle name="Normal 3 3 17 10 14" xfId="12147"/>
    <cellStyle name="Normal 3 3 17 10 14 2" xfId="29678"/>
    <cellStyle name="Normal 3 3 17 10 15" xfId="29673"/>
    <cellStyle name="Normal 3 3 17 10 2" xfId="12148"/>
    <cellStyle name="Normal 3 3 17 10 2 2" xfId="29679"/>
    <cellStyle name="Normal 3 3 17 10 3" xfId="12149"/>
    <cellStyle name="Normal 3 3 17 10 3 2" xfId="29680"/>
    <cellStyle name="Normal 3 3 17 10 4" xfId="12150"/>
    <cellStyle name="Normal 3 3 17 10 4 2" xfId="29681"/>
    <cellStyle name="Normal 3 3 17 10 5" xfId="12151"/>
    <cellStyle name="Normal 3 3 17 10 5 2" xfId="29682"/>
    <cellStyle name="Normal 3 3 17 10 6" xfId="12152"/>
    <cellStyle name="Normal 3 3 17 10 6 2" xfId="29683"/>
    <cellStyle name="Normal 3 3 17 10 7" xfId="12153"/>
    <cellStyle name="Normal 3 3 17 10 7 2" xfId="29684"/>
    <cellStyle name="Normal 3 3 17 10 8" xfId="12154"/>
    <cellStyle name="Normal 3 3 17 10 8 2" xfId="29685"/>
    <cellStyle name="Normal 3 3 17 10 9" xfId="12155"/>
    <cellStyle name="Normal 3 3 17 10 9 2" xfId="29686"/>
    <cellStyle name="Normal 3 3 17 11" xfId="12156"/>
    <cellStyle name="Normal 3 3 17 11 2" xfId="29687"/>
    <cellStyle name="Normal 3 3 17 12" xfId="12157"/>
    <cellStyle name="Normal 3 3 17 12 2" xfId="29688"/>
    <cellStyle name="Normal 3 3 17 13" xfId="12158"/>
    <cellStyle name="Normal 3 3 17 13 2" xfId="29689"/>
    <cellStyle name="Normal 3 3 17 14" xfId="12159"/>
    <cellStyle name="Normal 3 3 17 14 2" xfId="29690"/>
    <cellStyle name="Normal 3 3 17 15" xfId="12160"/>
    <cellStyle name="Normal 3 3 17 15 2" xfId="29691"/>
    <cellStyle name="Normal 3 3 17 16" xfId="12161"/>
    <cellStyle name="Normal 3 3 17 16 2" xfId="29692"/>
    <cellStyle name="Normal 3 3 17 17" xfId="12162"/>
    <cellStyle name="Normal 3 3 17 17 2" xfId="29693"/>
    <cellStyle name="Normal 3 3 17 18" xfId="12163"/>
    <cellStyle name="Normal 3 3 17 18 2" xfId="29694"/>
    <cellStyle name="Normal 3 3 17 19" xfId="12164"/>
    <cellStyle name="Normal 3 3 17 19 2" xfId="29695"/>
    <cellStyle name="Normal 3 3 17 2" xfId="12165"/>
    <cellStyle name="Normal 3 3 17 2 10" xfId="12166"/>
    <cellStyle name="Normal 3 3 17 2 10 2" xfId="29697"/>
    <cellStyle name="Normal 3 3 17 2 11" xfId="12167"/>
    <cellStyle name="Normal 3 3 17 2 11 2" xfId="29698"/>
    <cellStyle name="Normal 3 3 17 2 12" xfId="12168"/>
    <cellStyle name="Normal 3 3 17 2 12 2" xfId="29699"/>
    <cellStyle name="Normal 3 3 17 2 13" xfId="12169"/>
    <cellStyle name="Normal 3 3 17 2 13 2" xfId="29700"/>
    <cellStyle name="Normal 3 3 17 2 14" xfId="12170"/>
    <cellStyle name="Normal 3 3 17 2 14 2" xfId="29701"/>
    <cellStyle name="Normal 3 3 17 2 15" xfId="12171"/>
    <cellStyle name="Normal 3 3 17 2 15 2" xfId="29702"/>
    <cellStyle name="Normal 3 3 17 2 16" xfId="29696"/>
    <cellStyle name="Normal 3 3 17 2 2" xfId="12172"/>
    <cellStyle name="Normal 3 3 17 2 2 10" xfId="12173"/>
    <cellStyle name="Normal 3 3 17 2 2 10 2" xfId="29704"/>
    <cellStyle name="Normal 3 3 17 2 2 11" xfId="12174"/>
    <cellStyle name="Normal 3 3 17 2 2 11 2" xfId="29705"/>
    <cellStyle name="Normal 3 3 17 2 2 12" xfId="12175"/>
    <cellStyle name="Normal 3 3 17 2 2 12 2" xfId="29706"/>
    <cellStyle name="Normal 3 3 17 2 2 13" xfId="12176"/>
    <cellStyle name="Normal 3 3 17 2 2 13 2" xfId="29707"/>
    <cellStyle name="Normal 3 3 17 2 2 14" xfId="12177"/>
    <cellStyle name="Normal 3 3 17 2 2 14 2" xfId="29708"/>
    <cellStyle name="Normal 3 3 17 2 2 15" xfId="29703"/>
    <cellStyle name="Normal 3 3 17 2 2 2" xfId="12178"/>
    <cellStyle name="Normal 3 3 17 2 2 2 2" xfId="29709"/>
    <cellStyle name="Normal 3 3 17 2 2 3" xfId="12179"/>
    <cellStyle name="Normal 3 3 17 2 2 3 2" xfId="29710"/>
    <cellStyle name="Normal 3 3 17 2 2 4" xfId="12180"/>
    <cellStyle name="Normal 3 3 17 2 2 4 2" xfId="29711"/>
    <cellStyle name="Normal 3 3 17 2 2 5" xfId="12181"/>
    <cellStyle name="Normal 3 3 17 2 2 5 2" xfId="29712"/>
    <cellStyle name="Normal 3 3 17 2 2 6" xfId="12182"/>
    <cellStyle name="Normal 3 3 17 2 2 6 2" xfId="29713"/>
    <cellStyle name="Normal 3 3 17 2 2 7" xfId="12183"/>
    <cellStyle name="Normal 3 3 17 2 2 7 2" xfId="29714"/>
    <cellStyle name="Normal 3 3 17 2 2 8" xfId="12184"/>
    <cellStyle name="Normal 3 3 17 2 2 8 2" xfId="29715"/>
    <cellStyle name="Normal 3 3 17 2 2 9" xfId="12185"/>
    <cellStyle name="Normal 3 3 17 2 2 9 2" xfId="29716"/>
    <cellStyle name="Normal 3 3 17 2 3" xfId="12186"/>
    <cellStyle name="Normal 3 3 17 2 3 2" xfId="29717"/>
    <cellStyle name="Normal 3 3 17 2 4" xfId="12187"/>
    <cellStyle name="Normal 3 3 17 2 4 2" xfId="29718"/>
    <cellStyle name="Normal 3 3 17 2 5" xfId="12188"/>
    <cellStyle name="Normal 3 3 17 2 5 2" xfId="29719"/>
    <cellStyle name="Normal 3 3 17 2 6" xfId="12189"/>
    <cellStyle name="Normal 3 3 17 2 6 2" xfId="29720"/>
    <cellStyle name="Normal 3 3 17 2 7" xfId="12190"/>
    <cellStyle name="Normal 3 3 17 2 7 2" xfId="29721"/>
    <cellStyle name="Normal 3 3 17 2 8" xfId="12191"/>
    <cellStyle name="Normal 3 3 17 2 8 2" xfId="29722"/>
    <cellStyle name="Normal 3 3 17 2 9" xfId="12192"/>
    <cellStyle name="Normal 3 3 17 2 9 2" xfId="29723"/>
    <cellStyle name="Normal 3 3 17 20" xfId="12193"/>
    <cellStyle name="Normal 3 3 17 20 2" xfId="29724"/>
    <cellStyle name="Normal 3 3 17 21" xfId="12194"/>
    <cellStyle name="Normal 3 3 17 21 2" xfId="29725"/>
    <cellStyle name="Normal 3 3 17 22" xfId="12195"/>
    <cellStyle name="Normal 3 3 17 22 2" xfId="29726"/>
    <cellStyle name="Normal 3 3 17 23" xfId="12196"/>
    <cellStyle name="Normal 3 3 17 23 2" xfId="29727"/>
    <cellStyle name="Normal 3 3 17 24" xfId="29672"/>
    <cellStyle name="Normal 3 3 17 3" xfId="12197"/>
    <cellStyle name="Normal 3 3 17 3 10" xfId="12198"/>
    <cellStyle name="Normal 3 3 17 3 10 2" xfId="29729"/>
    <cellStyle name="Normal 3 3 17 3 11" xfId="12199"/>
    <cellStyle name="Normal 3 3 17 3 11 2" xfId="29730"/>
    <cellStyle name="Normal 3 3 17 3 12" xfId="12200"/>
    <cellStyle name="Normal 3 3 17 3 12 2" xfId="29731"/>
    <cellStyle name="Normal 3 3 17 3 13" xfId="12201"/>
    <cellStyle name="Normal 3 3 17 3 13 2" xfId="29732"/>
    <cellStyle name="Normal 3 3 17 3 14" xfId="12202"/>
    <cellStyle name="Normal 3 3 17 3 14 2" xfId="29733"/>
    <cellStyle name="Normal 3 3 17 3 15" xfId="12203"/>
    <cellStyle name="Normal 3 3 17 3 15 2" xfId="29734"/>
    <cellStyle name="Normal 3 3 17 3 16" xfId="29728"/>
    <cellStyle name="Normal 3 3 17 3 2" xfId="12204"/>
    <cellStyle name="Normal 3 3 17 3 2 10" xfId="12205"/>
    <cellStyle name="Normal 3 3 17 3 2 10 2" xfId="29736"/>
    <cellStyle name="Normal 3 3 17 3 2 11" xfId="12206"/>
    <cellStyle name="Normal 3 3 17 3 2 11 2" xfId="29737"/>
    <cellStyle name="Normal 3 3 17 3 2 12" xfId="12207"/>
    <cellStyle name="Normal 3 3 17 3 2 12 2" xfId="29738"/>
    <cellStyle name="Normal 3 3 17 3 2 13" xfId="12208"/>
    <cellStyle name="Normal 3 3 17 3 2 13 2" xfId="29739"/>
    <cellStyle name="Normal 3 3 17 3 2 14" xfId="12209"/>
    <cellStyle name="Normal 3 3 17 3 2 14 2" xfId="29740"/>
    <cellStyle name="Normal 3 3 17 3 2 15" xfId="29735"/>
    <cellStyle name="Normal 3 3 17 3 2 2" xfId="12210"/>
    <cellStyle name="Normal 3 3 17 3 2 2 2" xfId="29741"/>
    <cellStyle name="Normal 3 3 17 3 2 3" xfId="12211"/>
    <cellStyle name="Normal 3 3 17 3 2 3 2" xfId="29742"/>
    <cellStyle name="Normal 3 3 17 3 2 4" xfId="12212"/>
    <cellStyle name="Normal 3 3 17 3 2 4 2" xfId="29743"/>
    <cellStyle name="Normal 3 3 17 3 2 5" xfId="12213"/>
    <cellStyle name="Normal 3 3 17 3 2 5 2" xfId="29744"/>
    <cellStyle name="Normal 3 3 17 3 2 6" xfId="12214"/>
    <cellStyle name="Normal 3 3 17 3 2 6 2" xfId="29745"/>
    <cellStyle name="Normal 3 3 17 3 2 7" xfId="12215"/>
    <cellStyle name="Normal 3 3 17 3 2 7 2" xfId="29746"/>
    <cellStyle name="Normal 3 3 17 3 2 8" xfId="12216"/>
    <cellStyle name="Normal 3 3 17 3 2 8 2" xfId="29747"/>
    <cellStyle name="Normal 3 3 17 3 2 9" xfId="12217"/>
    <cellStyle name="Normal 3 3 17 3 2 9 2" xfId="29748"/>
    <cellStyle name="Normal 3 3 17 3 3" xfId="12218"/>
    <cellStyle name="Normal 3 3 17 3 3 2" xfId="29749"/>
    <cellStyle name="Normal 3 3 17 3 4" xfId="12219"/>
    <cellStyle name="Normal 3 3 17 3 4 2" xfId="29750"/>
    <cellStyle name="Normal 3 3 17 3 5" xfId="12220"/>
    <cellStyle name="Normal 3 3 17 3 5 2" xfId="29751"/>
    <cellStyle name="Normal 3 3 17 3 6" xfId="12221"/>
    <cellStyle name="Normal 3 3 17 3 6 2" xfId="29752"/>
    <cellStyle name="Normal 3 3 17 3 7" xfId="12222"/>
    <cellStyle name="Normal 3 3 17 3 7 2" xfId="29753"/>
    <cellStyle name="Normal 3 3 17 3 8" xfId="12223"/>
    <cellStyle name="Normal 3 3 17 3 8 2" xfId="29754"/>
    <cellStyle name="Normal 3 3 17 3 9" xfId="12224"/>
    <cellStyle name="Normal 3 3 17 3 9 2" xfId="29755"/>
    <cellStyle name="Normal 3 3 17 4" xfId="12225"/>
    <cellStyle name="Normal 3 3 17 4 10" xfId="12226"/>
    <cellStyle name="Normal 3 3 17 4 10 2" xfId="29757"/>
    <cellStyle name="Normal 3 3 17 4 11" xfId="12227"/>
    <cellStyle name="Normal 3 3 17 4 11 2" xfId="29758"/>
    <cellStyle name="Normal 3 3 17 4 12" xfId="12228"/>
    <cellStyle name="Normal 3 3 17 4 12 2" xfId="29759"/>
    <cellStyle name="Normal 3 3 17 4 13" xfId="12229"/>
    <cellStyle name="Normal 3 3 17 4 13 2" xfId="29760"/>
    <cellStyle name="Normal 3 3 17 4 14" xfId="12230"/>
    <cellStyle name="Normal 3 3 17 4 14 2" xfId="29761"/>
    <cellStyle name="Normal 3 3 17 4 15" xfId="12231"/>
    <cellStyle name="Normal 3 3 17 4 15 2" xfId="29762"/>
    <cellStyle name="Normal 3 3 17 4 16" xfId="29756"/>
    <cellStyle name="Normal 3 3 17 4 2" xfId="12232"/>
    <cellStyle name="Normal 3 3 17 4 2 10" xfId="12233"/>
    <cellStyle name="Normal 3 3 17 4 2 10 2" xfId="29764"/>
    <cellStyle name="Normal 3 3 17 4 2 11" xfId="12234"/>
    <cellStyle name="Normal 3 3 17 4 2 11 2" xfId="29765"/>
    <cellStyle name="Normal 3 3 17 4 2 12" xfId="12235"/>
    <cellStyle name="Normal 3 3 17 4 2 12 2" xfId="29766"/>
    <cellStyle name="Normal 3 3 17 4 2 13" xfId="12236"/>
    <cellStyle name="Normal 3 3 17 4 2 13 2" xfId="29767"/>
    <cellStyle name="Normal 3 3 17 4 2 14" xfId="12237"/>
    <cellStyle name="Normal 3 3 17 4 2 14 2" xfId="29768"/>
    <cellStyle name="Normal 3 3 17 4 2 15" xfId="29763"/>
    <cellStyle name="Normal 3 3 17 4 2 2" xfId="12238"/>
    <cellStyle name="Normal 3 3 17 4 2 2 2" xfId="29769"/>
    <cellStyle name="Normal 3 3 17 4 2 3" xfId="12239"/>
    <cellStyle name="Normal 3 3 17 4 2 3 2" xfId="29770"/>
    <cellStyle name="Normal 3 3 17 4 2 4" xfId="12240"/>
    <cellStyle name="Normal 3 3 17 4 2 4 2" xfId="29771"/>
    <cellStyle name="Normal 3 3 17 4 2 5" xfId="12241"/>
    <cellStyle name="Normal 3 3 17 4 2 5 2" xfId="29772"/>
    <cellStyle name="Normal 3 3 17 4 2 6" xfId="12242"/>
    <cellStyle name="Normal 3 3 17 4 2 6 2" xfId="29773"/>
    <cellStyle name="Normal 3 3 17 4 2 7" xfId="12243"/>
    <cellStyle name="Normal 3 3 17 4 2 7 2" xfId="29774"/>
    <cellStyle name="Normal 3 3 17 4 2 8" xfId="12244"/>
    <cellStyle name="Normal 3 3 17 4 2 8 2" xfId="29775"/>
    <cellStyle name="Normal 3 3 17 4 2 9" xfId="12245"/>
    <cellStyle name="Normal 3 3 17 4 2 9 2" xfId="29776"/>
    <cellStyle name="Normal 3 3 17 4 3" xfId="12246"/>
    <cellStyle name="Normal 3 3 17 4 3 2" xfId="29777"/>
    <cellStyle name="Normal 3 3 17 4 4" xfId="12247"/>
    <cellStyle name="Normal 3 3 17 4 4 2" xfId="29778"/>
    <cellStyle name="Normal 3 3 17 4 5" xfId="12248"/>
    <cellStyle name="Normal 3 3 17 4 5 2" xfId="29779"/>
    <cellStyle name="Normal 3 3 17 4 6" xfId="12249"/>
    <cellStyle name="Normal 3 3 17 4 6 2" xfId="29780"/>
    <cellStyle name="Normal 3 3 17 4 7" xfId="12250"/>
    <cellStyle name="Normal 3 3 17 4 7 2" xfId="29781"/>
    <cellStyle name="Normal 3 3 17 4 8" xfId="12251"/>
    <cellStyle name="Normal 3 3 17 4 8 2" xfId="29782"/>
    <cellStyle name="Normal 3 3 17 4 9" xfId="12252"/>
    <cellStyle name="Normal 3 3 17 4 9 2" xfId="29783"/>
    <cellStyle name="Normal 3 3 17 5" xfId="12253"/>
    <cellStyle name="Normal 3 3 17 5 10" xfId="12254"/>
    <cellStyle name="Normal 3 3 17 5 10 2" xfId="29785"/>
    <cellStyle name="Normal 3 3 17 5 11" xfId="12255"/>
    <cellStyle name="Normal 3 3 17 5 11 2" xfId="29786"/>
    <cellStyle name="Normal 3 3 17 5 12" xfId="12256"/>
    <cellStyle name="Normal 3 3 17 5 12 2" xfId="29787"/>
    <cellStyle name="Normal 3 3 17 5 13" xfId="12257"/>
    <cellStyle name="Normal 3 3 17 5 13 2" xfId="29788"/>
    <cellStyle name="Normal 3 3 17 5 14" xfId="12258"/>
    <cellStyle name="Normal 3 3 17 5 14 2" xfId="29789"/>
    <cellStyle name="Normal 3 3 17 5 15" xfId="29784"/>
    <cellStyle name="Normal 3 3 17 5 2" xfId="12259"/>
    <cellStyle name="Normal 3 3 17 5 2 2" xfId="29790"/>
    <cellStyle name="Normal 3 3 17 5 3" xfId="12260"/>
    <cellStyle name="Normal 3 3 17 5 3 2" xfId="29791"/>
    <cellStyle name="Normal 3 3 17 5 4" xfId="12261"/>
    <cellStyle name="Normal 3 3 17 5 4 2" xfId="29792"/>
    <cellStyle name="Normal 3 3 17 5 5" xfId="12262"/>
    <cellStyle name="Normal 3 3 17 5 5 2" xfId="29793"/>
    <cellStyle name="Normal 3 3 17 5 6" xfId="12263"/>
    <cellStyle name="Normal 3 3 17 5 6 2" xfId="29794"/>
    <cellStyle name="Normal 3 3 17 5 7" xfId="12264"/>
    <cellStyle name="Normal 3 3 17 5 7 2" xfId="29795"/>
    <cellStyle name="Normal 3 3 17 5 8" xfId="12265"/>
    <cellStyle name="Normal 3 3 17 5 8 2" xfId="29796"/>
    <cellStyle name="Normal 3 3 17 5 9" xfId="12266"/>
    <cellStyle name="Normal 3 3 17 5 9 2" xfId="29797"/>
    <cellStyle name="Normal 3 3 17 6" xfId="12267"/>
    <cellStyle name="Normal 3 3 17 6 10" xfId="12268"/>
    <cellStyle name="Normal 3 3 17 6 10 2" xfId="29799"/>
    <cellStyle name="Normal 3 3 17 6 11" xfId="12269"/>
    <cellStyle name="Normal 3 3 17 6 11 2" xfId="29800"/>
    <cellStyle name="Normal 3 3 17 6 12" xfId="12270"/>
    <cellStyle name="Normal 3 3 17 6 12 2" xfId="29801"/>
    <cellStyle name="Normal 3 3 17 6 13" xfId="12271"/>
    <cellStyle name="Normal 3 3 17 6 13 2" xfId="29802"/>
    <cellStyle name="Normal 3 3 17 6 14" xfId="12272"/>
    <cellStyle name="Normal 3 3 17 6 14 2" xfId="29803"/>
    <cellStyle name="Normal 3 3 17 6 15" xfId="29798"/>
    <cellStyle name="Normal 3 3 17 6 2" xfId="12273"/>
    <cellStyle name="Normal 3 3 17 6 2 2" xfId="29804"/>
    <cellStyle name="Normal 3 3 17 6 3" xfId="12274"/>
    <cellStyle name="Normal 3 3 17 6 3 2" xfId="29805"/>
    <cellStyle name="Normal 3 3 17 6 4" xfId="12275"/>
    <cellStyle name="Normal 3 3 17 6 4 2" xfId="29806"/>
    <cellStyle name="Normal 3 3 17 6 5" xfId="12276"/>
    <cellStyle name="Normal 3 3 17 6 5 2" xfId="29807"/>
    <cellStyle name="Normal 3 3 17 6 6" xfId="12277"/>
    <cellStyle name="Normal 3 3 17 6 6 2" xfId="29808"/>
    <cellStyle name="Normal 3 3 17 6 7" xfId="12278"/>
    <cellStyle name="Normal 3 3 17 6 7 2" xfId="29809"/>
    <cellStyle name="Normal 3 3 17 6 8" xfId="12279"/>
    <cellStyle name="Normal 3 3 17 6 8 2" xfId="29810"/>
    <cellStyle name="Normal 3 3 17 6 9" xfId="12280"/>
    <cellStyle name="Normal 3 3 17 6 9 2" xfId="29811"/>
    <cellStyle name="Normal 3 3 17 7" xfId="12281"/>
    <cellStyle name="Normal 3 3 17 7 10" xfId="12282"/>
    <cellStyle name="Normal 3 3 17 7 10 2" xfId="29813"/>
    <cellStyle name="Normal 3 3 17 7 11" xfId="12283"/>
    <cellStyle name="Normal 3 3 17 7 11 2" xfId="29814"/>
    <cellStyle name="Normal 3 3 17 7 12" xfId="12284"/>
    <cellStyle name="Normal 3 3 17 7 12 2" xfId="29815"/>
    <cellStyle name="Normal 3 3 17 7 13" xfId="12285"/>
    <cellStyle name="Normal 3 3 17 7 13 2" xfId="29816"/>
    <cellStyle name="Normal 3 3 17 7 14" xfId="12286"/>
    <cellStyle name="Normal 3 3 17 7 14 2" xfId="29817"/>
    <cellStyle name="Normal 3 3 17 7 15" xfId="29812"/>
    <cellStyle name="Normal 3 3 17 7 2" xfId="12287"/>
    <cellStyle name="Normal 3 3 17 7 2 2" xfId="29818"/>
    <cellStyle name="Normal 3 3 17 7 3" xfId="12288"/>
    <cellStyle name="Normal 3 3 17 7 3 2" xfId="29819"/>
    <cellStyle name="Normal 3 3 17 7 4" xfId="12289"/>
    <cellStyle name="Normal 3 3 17 7 4 2" xfId="29820"/>
    <cellStyle name="Normal 3 3 17 7 5" xfId="12290"/>
    <cellStyle name="Normal 3 3 17 7 5 2" xfId="29821"/>
    <cellStyle name="Normal 3 3 17 7 6" xfId="12291"/>
    <cellStyle name="Normal 3 3 17 7 6 2" xfId="29822"/>
    <cellStyle name="Normal 3 3 17 7 7" xfId="12292"/>
    <cellStyle name="Normal 3 3 17 7 7 2" xfId="29823"/>
    <cellStyle name="Normal 3 3 17 7 8" xfId="12293"/>
    <cellStyle name="Normal 3 3 17 7 8 2" xfId="29824"/>
    <cellStyle name="Normal 3 3 17 7 9" xfId="12294"/>
    <cellStyle name="Normal 3 3 17 7 9 2" xfId="29825"/>
    <cellStyle name="Normal 3 3 17 8" xfId="12295"/>
    <cellStyle name="Normal 3 3 17 8 10" xfId="12296"/>
    <cellStyle name="Normal 3 3 17 8 10 2" xfId="29827"/>
    <cellStyle name="Normal 3 3 17 8 11" xfId="12297"/>
    <cellStyle name="Normal 3 3 17 8 11 2" xfId="29828"/>
    <cellStyle name="Normal 3 3 17 8 12" xfId="12298"/>
    <cellStyle name="Normal 3 3 17 8 12 2" xfId="29829"/>
    <cellStyle name="Normal 3 3 17 8 13" xfId="12299"/>
    <cellStyle name="Normal 3 3 17 8 13 2" xfId="29830"/>
    <cellStyle name="Normal 3 3 17 8 14" xfId="12300"/>
    <cellStyle name="Normal 3 3 17 8 14 2" xfId="29831"/>
    <cellStyle name="Normal 3 3 17 8 15" xfId="29826"/>
    <cellStyle name="Normal 3 3 17 8 2" xfId="12301"/>
    <cellStyle name="Normal 3 3 17 8 2 2" xfId="29832"/>
    <cellStyle name="Normal 3 3 17 8 3" xfId="12302"/>
    <cellStyle name="Normal 3 3 17 8 3 2" xfId="29833"/>
    <cellStyle name="Normal 3 3 17 8 4" xfId="12303"/>
    <cellStyle name="Normal 3 3 17 8 4 2" xfId="29834"/>
    <cellStyle name="Normal 3 3 17 8 5" xfId="12304"/>
    <cellStyle name="Normal 3 3 17 8 5 2" xfId="29835"/>
    <cellStyle name="Normal 3 3 17 8 6" xfId="12305"/>
    <cellStyle name="Normal 3 3 17 8 6 2" xfId="29836"/>
    <cellStyle name="Normal 3 3 17 8 7" xfId="12306"/>
    <cellStyle name="Normal 3 3 17 8 7 2" xfId="29837"/>
    <cellStyle name="Normal 3 3 17 8 8" xfId="12307"/>
    <cellStyle name="Normal 3 3 17 8 8 2" xfId="29838"/>
    <cellStyle name="Normal 3 3 17 8 9" xfId="12308"/>
    <cellStyle name="Normal 3 3 17 8 9 2" xfId="29839"/>
    <cellStyle name="Normal 3 3 17 9" xfId="12309"/>
    <cellStyle name="Normal 3 3 17 9 10" xfId="12310"/>
    <cellStyle name="Normal 3 3 17 9 10 2" xfId="29841"/>
    <cellStyle name="Normal 3 3 17 9 11" xfId="12311"/>
    <cellStyle name="Normal 3 3 17 9 11 2" xfId="29842"/>
    <cellStyle name="Normal 3 3 17 9 12" xfId="12312"/>
    <cellStyle name="Normal 3 3 17 9 12 2" xfId="29843"/>
    <cellStyle name="Normal 3 3 17 9 13" xfId="12313"/>
    <cellStyle name="Normal 3 3 17 9 13 2" xfId="29844"/>
    <cellStyle name="Normal 3 3 17 9 14" xfId="12314"/>
    <cellStyle name="Normal 3 3 17 9 14 2" xfId="29845"/>
    <cellStyle name="Normal 3 3 17 9 15" xfId="29840"/>
    <cellStyle name="Normal 3 3 17 9 2" xfId="12315"/>
    <cellStyle name="Normal 3 3 17 9 2 2" xfId="29846"/>
    <cellStyle name="Normal 3 3 17 9 3" xfId="12316"/>
    <cellStyle name="Normal 3 3 17 9 3 2" xfId="29847"/>
    <cellStyle name="Normal 3 3 17 9 4" xfId="12317"/>
    <cellStyle name="Normal 3 3 17 9 4 2" xfId="29848"/>
    <cellStyle name="Normal 3 3 17 9 5" xfId="12318"/>
    <cellStyle name="Normal 3 3 17 9 5 2" xfId="29849"/>
    <cellStyle name="Normal 3 3 17 9 6" xfId="12319"/>
    <cellStyle name="Normal 3 3 17 9 6 2" xfId="29850"/>
    <cellStyle name="Normal 3 3 17 9 7" xfId="12320"/>
    <cellStyle name="Normal 3 3 17 9 7 2" xfId="29851"/>
    <cellStyle name="Normal 3 3 17 9 8" xfId="12321"/>
    <cellStyle name="Normal 3 3 17 9 8 2" xfId="29852"/>
    <cellStyle name="Normal 3 3 17 9 9" xfId="12322"/>
    <cellStyle name="Normal 3 3 17 9 9 2" xfId="29853"/>
    <cellStyle name="Normal 3 3 18" xfId="12323"/>
    <cellStyle name="Normal 3 3 18 10" xfId="12324"/>
    <cellStyle name="Normal 3 3 18 10 10" xfId="12325"/>
    <cellStyle name="Normal 3 3 18 10 10 2" xfId="29856"/>
    <cellStyle name="Normal 3 3 18 10 11" xfId="12326"/>
    <cellStyle name="Normal 3 3 18 10 11 2" xfId="29857"/>
    <cellStyle name="Normal 3 3 18 10 12" xfId="12327"/>
    <cellStyle name="Normal 3 3 18 10 12 2" xfId="29858"/>
    <cellStyle name="Normal 3 3 18 10 13" xfId="12328"/>
    <cellStyle name="Normal 3 3 18 10 13 2" xfId="29859"/>
    <cellStyle name="Normal 3 3 18 10 14" xfId="12329"/>
    <cellStyle name="Normal 3 3 18 10 14 2" xfId="29860"/>
    <cellStyle name="Normal 3 3 18 10 15" xfId="29855"/>
    <cellStyle name="Normal 3 3 18 10 2" xfId="12330"/>
    <cellStyle name="Normal 3 3 18 10 2 2" xfId="29861"/>
    <cellStyle name="Normal 3 3 18 10 3" xfId="12331"/>
    <cellStyle name="Normal 3 3 18 10 3 2" xfId="29862"/>
    <cellStyle name="Normal 3 3 18 10 4" xfId="12332"/>
    <cellStyle name="Normal 3 3 18 10 4 2" xfId="29863"/>
    <cellStyle name="Normal 3 3 18 10 5" xfId="12333"/>
    <cellStyle name="Normal 3 3 18 10 5 2" xfId="29864"/>
    <cellStyle name="Normal 3 3 18 10 6" xfId="12334"/>
    <cellStyle name="Normal 3 3 18 10 6 2" xfId="29865"/>
    <cellStyle name="Normal 3 3 18 10 7" xfId="12335"/>
    <cellStyle name="Normal 3 3 18 10 7 2" xfId="29866"/>
    <cellStyle name="Normal 3 3 18 10 8" xfId="12336"/>
    <cellStyle name="Normal 3 3 18 10 8 2" xfId="29867"/>
    <cellStyle name="Normal 3 3 18 10 9" xfId="12337"/>
    <cellStyle name="Normal 3 3 18 10 9 2" xfId="29868"/>
    <cellStyle name="Normal 3 3 18 11" xfId="12338"/>
    <cellStyle name="Normal 3 3 18 11 2" xfId="29869"/>
    <cellStyle name="Normal 3 3 18 12" xfId="12339"/>
    <cellStyle name="Normal 3 3 18 12 2" xfId="29870"/>
    <cellStyle name="Normal 3 3 18 13" xfId="12340"/>
    <cellStyle name="Normal 3 3 18 13 2" xfId="29871"/>
    <cellStyle name="Normal 3 3 18 14" xfId="12341"/>
    <cellStyle name="Normal 3 3 18 14 2" xfId="29872"/>
    <cellStyle name="Normal 3 3 18 15" xfId="12342"/>
    <cellStyle name="Normal 3 3 18 15 2" xfId="29873"/>
    <cellStyle name="Normal 3 3 18 16" xfId="12343"/>
    <cellStyle name="Normal 3 3 18 16 2" xfId="29874"/>
    <cellStyle name="Normal 3 3 18 17" xfId="12344"/>
    <cellStyle name="Normal 3 3 18 17 2" xfId="29875"/>
    <cellStyle name="Normal 3 3 18 18" xfId="12345"/>
    <cellStyle name="Normal 3 3 18 18 2" xfId="29876"/>
    <cellStyle name="Normal 3 3 18 19" xfId="12346"/>
    <cellStyle name="Normal 3 3 18 19 2" xfId="29877"/>
    <cellStyle name="Normal 3 3 18 2" xfId="12347"/>
    <cellStyle name="Normal 3 3 18 2 10" xfId="12348"/>
    <cellStyle name="Normal 3 3 18 2 10 2" xfId="29879"/>
    <cellStyle name="Normal 3 3 18 2 11" xfId="12349"/>
    <cellStyle name="Normal 3 3 18 2 11 2" xfId="29880"/>
    <cellStyle name="Normal 3 3 18 2 12" xfId="12350"/>
    <cellStyle name="Normal 3 3 18 2 12 2" xfId="29881"/>
    <cellStyle name="Normal 3 3 18 2 13" xfId="12351"/>
    <cellStyle name="Normal 3 3 18 2 13 2" xfId="29882"/>
    <cellStyle name="Normal 3 3 18 2 14" xfId="12352"/>
    <cellStyle name="Normal 3 3 18 2 14 2" xfId="29883"/>
    <cellStyle name="Normal 3 3 18 2 15" xfId="12353"/>
    <cellStyle name="Normal 3 3 18 2 15 2" xfId="29884"/>
    <cellStyle name="Normal 3 3 18 2 16" xfId="29878"/>
    <cellStyle name="Normal 3 3 18 2 2" xfId="12354"/>
    <cellStyle name="Normal 3 3 18 2 2 10" xfId="12355"/>
    <cellStyle name="Normal 3 3 18 2 2 10 2" xfId="29886"/>
    <cellStyle name="Normal 3 3 18 2 2 11" xfId="12356"/>
    <cellStyle name="Normal 3 3 18 2 2 11 2" xfId="29887"/>
    <cellStyle name="Normal 3 3 18 2 2 12" xfId="12357"/>
    <cellStyle name="Normal 3 3 18 2 2 12 2" xfId="29888"/>
    <cellStyle name="Normal 3 3 18 2 2 13" xfId="12358"/>
    <cellStyle name="Normal 3 3 18 2 2 13 2" xfId="29889"/>
    <cellStyle name="Normal 3 3 18 2 2 14" xfId="12359"/>
    <cellStyle name="Normal 3 3 18 2 2 14 2" xfId="29890"/>
    <cellStyle name="Normal 3 3 18 2 2 15" xfId="29885"/>
    <cellStyle name="Normal 3 3 18 2 2 2" xfId="12360"/>
    <cellStyle name="Normal 3 3 18 2 2 2 2" xfId="29891"/>
    <cellStyle name="Normal 3 3 18 2 2 3" xfId="12361"/>
    <cellStyle name="Normal 3 3 18 2 2 3 2" xfId="29892"/>
    <cellStyle name="Normal 3 3 18 2 2 4" xfId="12362"/>
    <cellStyle name="Normal 3 3 18 2 2 4 2" xfId="29893"/>
    <cellStyle name="Normal 3 3 18 2 2 5" xfId="12363"/>
    <cellStyle name="Normal 3 3 18 2 2 5 2" xfId="29894"/>
    <cellStyle name="Normal 3 3 18 2 2 6" xfId="12364"/>
    <cellStyle name="Normal 3 3 18 2 2 6 2" xfId="29895"/>
    <cellStyle name="Normal 3 3 18 2 2 7" xfId="12365"/>
    <cellStyle name="Normal 3 3 18 2 2 7 2" xfId="29896"/>
    <cellStyle name="Normal 3 3 18 2 2 8" xfId="12366"/>
    <cellStyle name="Normal 3 3 18 2 2 8 2" xfId="29897"/>
    <cellStyle name="Normal 3 3 18 2 2 9" xfId="12367"/>
    <cellStyle name="Normal 3 3 18 2 2 9 2" xfId="29898"/>
    <cellStyle name="Normal 3 3 18 2 3" xfId="12368"/>
    <cellStyle name="Normal 3 3 18 2 3 2" xfId="29899"/>
    <cellStyle name="Normal 3 3 18 2 4" xfId="12369"/>
    <cellStyle name="Normal 3 3 18 2 4 2" xfId="29900"/>
    <cellStyle name="Normal 3 3 18 2 5" xfId="12370"/>
    <cellStyle name="Normal 3 3 18 2 5 2" xfId="29901"/>
    <cellStyle name="Normal 3 3 18 2 6" xfId="12371"/>
    <cellStyle name="Normal 3 3 18 2 6 2" xfId="29902"/>
    <cellStyle name="Normal 3 3 18 2 7" xfId="12372"/>
    <cellStyle name="Normal 3 3 18 2 7 2" xfId="29903"/>
    <cellStyle name="Normal 3 3 18 2 8" xfId="12373"/>
    <cellStyle name="Normal 3 3 18 2 8 2" xfId="29904"/>
    <cellStyle name="Normal 3 3 18 2 9" xfId="12374"/>
    <cellStyle name="Normal 3 3 18 2 9 2" xfId="29905"/>
    <cellStyle name="Normal 3 3 18 20" xfId="12375"/>
    <cellStyle name="Normal 3 3 18 20 2" xfId="29906"/>
    <cellStyle name="Normal 3 3 18 21" xfId="12376"/>
    <cellStyle name="Normal 3 3 18 21 2" xfId="29907"/>
    <cellStyle name="Normal 3 3 18 22" xfId="12377"/>
    <cellStyle name="Normal 3 3 18 22 2" xfId="29908"/>
    <cellStyle name="Normal 3 3 18 23" xfId="12378"/>
    <cellStyle name="Normal 3 3 18 23 2" xfId="29909"/>
    <cellStyle name="Normal 3 3 18 24" xfId="29854"/>
    <cellStyle name="Normal 3 3 18 3" xfId="12379"/>
    <cellStyle name="Normal 3 3 18 3 10" xfId="12380"/>
    <cellStyle name="Normal 3 3 18 3 10 2" xfId="29911"/>
    <cellStyle name="Normal 3 3 18 3 11" xfId="12381"/>
    <cellStyle name="Normal 3 3 18 3 11 2" xfId="29912"/>
    <cellStyle name="Normal 3 3 18 3 12" xfId="12382"/>
    <cellStyle name="Normal 3 3 18 3 12 2" xfId="29913"/>
    <cellStyle name="Normal 3 3 18 3 13" xfId="12383"/>
    <cellStyle name="Normal 3 3 18 3 13 2" xfId="29914"/>
    <cellStyle name="Normal 3 3 18 3 14" xfId="12384"/>
    <cellStyle name="Normal 3 3 18 3 14 2" xfId="29915"/>
    <cellStyle name="Normal 3 3 18 3 15" xfId="12385"/>
    <cellStyle name="Normal 3 3 18 3 15 2" xfId="29916"/>
    <cellStyle name="Normal 3 3 18 3 16" xfId="29910"/>
    <cellStyle name="Normal 3 3 18 3 2" xfId="12386"/>
    <cellStyle name="Normal 3 3 18 3 2 10" xfId="12387"/>
    <cellStyle name="Normal 3 3 18 3 2 10 2" xfId="29918"/>
    <cellStyle name="Normal 3 3 18 3 2 11" xfId="12388"/>
    <cellStyle name="Normal 3 3 18 3 2 11 2" xfId="29919"/>
    <cellStyle name="Normal 3 3 18 3 2 12" xfId="12389"/>
    <cellStyle name="Normal 3 3 18 3 2 12 2" xfId="29920"/>
    <cellStyle name="Normal 3 3 18 3 2 13" xfId="12390"/>
    <cellStyle name="Normal 3 3 18 3 2 13 2" xfId="29921"/>
    <cellStyle name="Normal 3 3 18 3 2 14" xfId="12391"/>
    <cellStyle name="Normal 3 3 18 3 2 14 2" xfId="29922"/>
    <cellStyle name="Normal 3 3 18 3 2 15" xfId="29917"/>
    <cellStyle name="Normal 3 3 18 3 2 2" xfId="12392"/>
    <cellStyle name="Normal 3 3 18 3 2 2 2" xfId="29923"/>
    <cellStyle name="Normal 3 3 18 3 2 3" xfId="12393"/>
    <cellStyle name="Normal 3 3 18 3 2 3 2" xfId="29924"/>
    <cellStyle name="Normal 3 3 18 3 2 4" xfId="12394"/>
    <cellStyle name="Normal 3 3 18 3 2 4 2" xfId="29925"/>
    <cellStyle name="Normal 3 3 18 3 2 5" xfId="12395"/>
    <cellStyle name="Normal 3 3 18 3 2 5 2" xfId="29926"/>
    <cellStyle name="Normal 3 3 18 3 2 6" xfId="12396"/>
    <cellStyle name="Normal 3 3 18 3 2 6 2" xfId="29927"/>
    <cellStyle name="Normal 3 3 18 3 2 7" xfId="12397"/>
    <cellStyle name="Normal 3 3 18 3 2 7 2" xfId="29928"/>
    <cellStyle name="Normal 3 3 18 3 2 8" xfId="12398"/>
    <cellStyle name="Normal 3 3 18 3 2 8 2" xfId="29929"/>
    <cellStyle name="Normal 3 3 18 3 2 9" xfId="12399"/>
    <cellStyle name="Normal 3 3 18 3 2 9 2" xfId="29930"/>
    <cellStyle name="Normal 3 3 18 3 3" xfId="12400"/>
    <cellStyle name="Normal 3 3 18 3 3 2" xfId="29931"/>
    <cellStyle name="Normal 3 3 18 3 4" xfId="12401"/>
    <cellStyle name="Normal 3 3 18 3 4 2" xfId="29932"/>
    <cellStyle name="Normal 3 3 18 3 5" xfId="12402"/>
    <cellStyle name="Normal 3 3 18 3 5 2" xfId="29933"/>
    <cellStyle name="Normal 3 3 18 3 6" xfId="12403"/>
    <cellStyle name="Normal 3 3 18 3 6 2" xfId="29934"/>
    <cellStyle name="Normal 3 3 18 3 7" xfId="12404"/>
    <cellStyle name="Normal 3 3 18 3 7 2" xfId="29935"/>
    <cellStyle name="Normal 3 3 18 3 8" xfId="12405"/>
    <cellStyle name="Normal 3 3 18 3 8 2" xfId="29936"/>
    <cellStyle name="Normal 3 3 18 3 9" xfId="12406"/>
    <cellStyle name="Normal 3 3 18 3 9 2" xfId="29937"/>
    <cellStyle name="Normal 3 3 18 4" xfId="12407"/>
    <cellStyle name="Normal 3 3 18 4 10" xfId="12408"/>
    <cellStyle name="Normal 3 3 18 4 10 2" xfId="29939"/>
    <cellStyle name="Normal 3 3 18 4 11" xfId="12409"/>
    <cellStyle name="Normal 3 3 18 4 11 2" xfId="29940"/>
    <cellStyle name="Normal 3 3 18 4 12" xfId="12410"/>
    <cellStyle name="Normal 3 3 18 4 12 2" xfId="29941"/>
    <cellStyle name="Normal 3 3 18 4 13" xfId="12411"/>
    <cellStyle name="Normal 3 3 18 4 13 2" xfId="29942"/>
    <cellStyle name="Normal 3 3 18 4 14" xfId="12412"/>
    <cellStyle name="Normal 3 3 18 4 14 2" xfId="29943"/>
    <cellStyle name="Normal 3 3 18 4 15" xfId="12413"/>
    <cellStyle name="Normal 3 3 18 4 15 2" xfId="29944"/>
    <cellStyle name="Normal 3 3 18 4 16" xfId="29938"/>
    <cellStyle name="Normal 3 3 18 4 2" xfId="12414"/>
    <cellStyle name="Normal 3 3 18 4 2 10" xfId="12415"/>
    <cellStyle name="Normal 3 3 18 4 2 10 2" xfId="29946"/>
    <cellStyle name="Normal 3 3 18 4 2 11" xfId="12416"/>
    <cellStyle name="Normal 3 3 18 4 2 11 2" xfId="29947"/>
    <cellStyle name="Normal 3 3 18 4 2 12" xfId="12417"/>
    <cellStyle name="Normal 3 3 18 4 2 12 2" xfId="29948"/>
    <cellStyle name="Normal 3 3 18 4 2 13" xfId="12418"/>
    <cellStyle name="Normal 3 3 18 4 2 13 2" xfId="29949"/>
    <cellStyle name="Normal 3 3 18 4 2 14" xfId="12419"/>
    <cellStyle name="Normal 3 3 18 4 2 14 2" xfId="29950"/>
    <cellStyle name="Normal 3 3 18 4 2 15" xfId="29945"/>
    <cellStyle name="Normal 3 3 18 4 2 2" xfId="12420"/>
    <cellStyle name="Normal 3 3 18 4 2 2 2" xfId="29951"/>
    <cellStyle name="Normal 3 3 18 4 2 3" xfId="12421"/>
    <cellStyle name="Normal 3 3 18 4 2 3 2" xfId="29952"/>
    <cellStyle name="Normal 3 3 18 4 2 4" xfId="12422"/>
    <cellStyle name="Normal 3 3 18 4 2 4 2" xfId="29953"/>
    <cellStyle name="Normal 3 3 18 4 2 5" xfId="12423"/>
    <cellStyle name="Normal 3 3 18 4 2 5 2" xfId="29954"/>
    <cellStyle name="Normal 3 3 18 4 2 6" xfId="12424"/>
    <cellStyle name="Normal 3 3 18 4 2 6 2" xfId="29955"/>
    <cellStyle name="Normal 3 3 18 4 2 7" xfId="12425"/>
    <cellStyle name="Normal 3 3 18 4 2 7 2" xfId="29956"/>
    <cellStyle name="Normal 3 3 18 4 2 8" xfId="12426"/>
    <cellStyle name="Normal 3 3 18 4 2 8 2" xfId="29957"/>
    <cellStyle name="Normal 3 3 18 4 2 9" xfId="12427"/>
    <cellStyle name="Normal 3 3 18 4 2 9 2" xfId="29958"/>
    <cellStyle name="Normal 3 3 18 4 3" xfId="12428"/>
    <cellStyle name="Normal 3 3 18 4 3 2" xfId="29959"/>
    <cellStyle name="Normal 3 3 18 4 4" xfId="12429"/>
    <cellStyle name="Normal 3 3 18 4 4 2" xfId="29960"/>
    <cellStyle name="Normal 3 3 18 4 5" xfId="12430"/>
    <cellStyle name="Normal 3 3 18 4 5 2" xfId="29961"/>
    <cellStyle name="Normal 3 3 18 4 6" xfId="12431"/>
    <cellStyle name="Normal 3 3 18 4 6 2" xfId="29962"/>
    <cellStyle name="Normal 3 3 18 4 7" xfId="12432"/>
    <cellStyle name="Normal 3 3 18 4 7 2" xfId="29963"/>
    <cellStyle name="Normal 3 3 18 4 8" xfId="12433"/>
    <cellStyle name="Normal 3 3 18 4 8 2" xfId="29964"/>
    <cellStyle name="Normal 3 3 18 4 9" xfId="12434"/>
    <cellStyle name="Normal 3 3 18 4 9 2" xfId="29965"/>
    <cellStyle name="Normal 3 3 18 5" xfId="12435"/>
    <cellStyle name="Normal 3 3 18 5 10" xfId="12436"/>
    <cellStyle name="Normal 3 3 18 5 10 2" xfId="29967"/>
    <cellStyle name="Normal 3 3 18 5 11" xfId="12437"/>
    <cellStyle name="Normal 3 3 18 5 11 2" xfId="29968"/>
    <cellStyle name="Normal 3 3 18 5 12" xfId="12438"/>
    <cellStyle name="Normal 3 3 18 5 12 2" xfId="29969"/>
    <cellStyle name="Normal 3 3 18 5 13" xfId="12439"/>
    <cellStyle name="Normal 3 3 18 5 13 2" xfId="29970"/>
    <cellStyle name="Normal 3 3 18 5 14" xfId="12440"/>
    <cellStyle name="Normal 3 3 18 5 14 2" xfId="29971"/>
    <cellStyle name="Normal 3 3 18 5 15" xfId="29966"/>
    <cellStyle name="Normal 3 3 18 5 2" xfId="12441"/>
    <cellStyle name="Normal 3 3 18 5 2 2" xfId="29972"/>
    <cellStyle name="Normal 3 3 18 5 3" xfId="12442"/>
    <cellStyle name="Normal 3 3 18 5 3 2" xfId="29973"/>
    <cellStyle name="Normal 3 3 18 5 4" xfId="12443"/>
    <cellStyle name="Normal 3 3 18 5 4 2" xfId="29974"/>
    <cellStyle name="Normal 3 3 18 5 5" xfId="12444"/>
    <cellStyle name="Normal 3 3 18 5 5 2" xfId="29975"/>
    <cellStyle name="Normal 3 3 18 5 6" xfId="12445"/>
    <cellStyle name="Normal 3 3 18 5 6 2" xfId="29976"/>
    <cellStyle name="Normal 3 3 18 5 7" xfId="12446"/>
    <cellStyle name="Normal 3 3 18 5 7 2" xfId="29977"/>
    <cellStyle name="Normal 3 3 18 5 8" xfId="12447"/>
    <cellStyle name="Normal 3 3 18 5 8 2" xfId="29978"/>
    <cellStyle name="Normal 3 3 18 5 9" xfId="12448"/>
    <cellStyle name="Normal 3 3 18 5 9 2" xfId="29979"/>
    <cellStyle name="Normal 3 3 18 6" xfId="12449"/>
    <cellStyle name="Normal 3 3 18 6 10" xfId="12450"/>
    <cellStyle name="Normal 3 3 18 6 10 2" xfId="29981"/>
    <cellStyle name="Normal 3 3 18 6 11" xfId="12451"/>
    <cellStyle name="Normal 3 3 18 6 11 2" xfId="29982"/>
    <cellStyle name="Normal 3 3 18 6 12" xfId="12452"/>
    <cellStyle name="Normal 3 3 18 6 12 2" xfId="29983"/>
    <cellStyle name="Normal 3 3 18 6 13" xfId="12453"/>
    <cellStyle name="Normal 3 3 18 6 13 2" xfId="29984"/>
    <cellStyle name="Normal 3 3 18 6 14" xfId="12454"/>
    <cellStyle name="Normal 3 3 18 6 14 2" xfId="29985"/>
    <cellStyle name="Normal 3 3 18 6 15" xfId="29980"/>
    <cellStyle name="Normal 3 3 18 6 2" xfId="12455"/>
    <cellStyle name="Normal 3 3 18 6 2 2" xfId="29986"/>
    <cellStyle name="Normal 3 3 18 6 3" xfId="12456"/>
    <cellStyle name="Normal 3 3 18 6 3 2" xfId="29987"/>
    <cellStyle name="Normal 3 3 18 6 4" xfId="12457"/>
    <cellStyle name="Normal 3 3 18 6 4 2" xfId="29988"/>
    <cellStyle name="Normal 3 3 18 6 5" xfId="12458"/>
    <cellStyle name="Normal 3 3 18 6 5 2" xfId="29989"/>
    <cellStyle name="Normal 3 3 18 6 6" xfId="12459"/>
    <cellStyle name="Normal 3 3 18 6 6 2" xfId="29990"/>
    <cellStyle name="Normal 3 3 18 6 7" xfId="12460"/>
    <cellStyle name="Normal 3 3 18 6 7 2" xfId="29991"/>
    <cellStyle name="Normal 3 3 18 6 8" xfId="12461"/>
    <cellStyle name="Normal 3 3 18 6 8 2" xfId="29992"/>
    <cellStyle name="Normal 3 3 18 6 9" xfId="12462"/>
    <cellStyle name="Normal 3 3 18 6 9 2" xfId="29993"/>
    <cellStyle name="Normal 3 3 18 7" xfId="12463"/>
    <cellStyle name="Normal 3 3 18 7 10" xfId="12464"/>
    <cellStyle name="Normal 3 3 18 7 10 2" xfId="29995"/>
    <cellStyle name="Normal 3 3 18 7 11" xfId="12465"/>
    <cellStyle name="Normal 3 3 18 7 11 2" xfId="29996"/>
    <cellStyle name="Normal 3 3 18 7 12" xfId="12466"/>
    <cellStyle name="Normal 3 3 18 7 12 2" xfId="29997"/>
    <cellStyle name="Normal 3 3 18 7 13" xfId="12467"/>
    <cellStyle name="Normal 3 3 18 7 13 2" xfId="29998"/>
    <cellStyle name="Normal 3 3 18 7 14" xfId="12468"/>
    <cellStyle name="Normal 3 3 18 7 14 2" xfId="29999"/>
    <cellStyle name="Normal 3 3 18 7 15" xfId="29994"/>
    <cellStyle name="Normal 3 3 18 7 2" xfId="12469"/>
    <cellStyle name="Normal 3 3 18 7 2 2" xfId="30000"/>
    <cellStyle name="Normal 3 3 18 7 3" xfId="12470"/>
    <cellStyle name="Normal 3 3 18 7 3 2" xfId="30001"/>
    <cellStyle name="Normal 3 3 18 7 4" xfId="12471"/>
    <cellStyle name="Normal 3 3 18 7 4 2" xfId="30002"/>
    <cellStyle name="Normal 3 3 18 7 5" xfId="12472"/>
    <cellStyle name="Normal 3 3 18 7 5 2" xfId="30003"/>
    <cellStyle name="Normal 3 3 18 7 6" xfId="12473"/>
    <cellStyle name="Normal 3 3 18 7 6 2" xfId="30004"/>
    <cellStyle name="Normal 3 3 18 7 7" xfId="12474"/>
    <cellStyle name="Normal 3 3 18 7 7 2" xfId="30005"/>
    <cellStyle name="Normal 3 3 18 7 8" xfId="12475"/>
    <cellStyle name="Normal 3 3 18 7 8 2" xfId="30006"/>
    <cellStyle name="Normal 3 3 18 7 9" xfId="12476"/>
    <cellStyle name="Normal 3 3 18 7 9 2" xfId="30007"/>
    <cellStyle name="Normal 3 3 18 8" xfId="12477"/>
    <cellStyle name="Normal 3 3 18 8 10" xfId="12478"/>
    <cellStyle name="Normal 3 3 18 8 10 2" xfId="30009"/>
    <cellStyle name="Normal 3 3 18 8 11" xfId="12479"/>
    <cellStyle name="Normal 3 3 18 8 11 2" xfId="30010"/>
    <cellStyle name="Normal 3 3 18 8 12" xfId="12480"/>
    <cellStyle name="Normal 3 3 18 8 12 2" xfId="30011"/>
    <cellStyle name="Normal 3 3 18 8 13" xfId="12481"/>
    <cellStyle name="Normal 3 3 18 8 13 2" xfId="30012"/>
    <cellStyle name="Normal 3 3 18 8 14" xfId="12482"/>
    <cellStyle name="Normal 3 3 18 8 14 2" xfId="30013"/>
    <cellStyle name="Normal 3 3 18 8 15" xfId="30008"/>
    <cellStyle name="Normal 3 3 18 8 2" xfId="12483"/>
    <cellStyle name="Normal 3 3 18 8 2 2" xfId="30014"/>
    <cellStyle name="Normal 3 3 18 8 3" xfId="12484"/>
    <cellStyle name="Normal 3 3 18 8 3 2" xfId="30015"/>
    <cellStyle name="Normal 3 3 18 8 4" xfId="12485"/>
    <cellStyle name="Normal 3 3 18 8 4 2" xfId="30016"/>
    <cellStyle name="Normal 3 3 18 8 5" xfId="12486"/>
    <cellStyle name="Normal 3 3 18 8 5 2" xfId="30017"/>
    <cellStyle name="Normal 3 3 18 8 6" xfId="12487"/>
    <cellStyle name="Normal 3 3 18 8 6 2" xfId="30018"/>
    <cellStyle name="Normal 3 3 18 8 7" xfId="12488"/>
    <cellStyle name="Normal 3 3 18 8 7 2" xfId="30019"/>
    <cellStyle name="Normal 3 3 18 8 8" xfId="12489"/>
    <cellStyle name="Normal 3 3 18 8 8 2" xfId="30020"/>
    <cellStyle name="Normal 3 3 18 8 9" xfId="12490"/>
    <cellStyle name="Normal 3 3 18 8 9 2" xfId="30021"/>
    <cellStyle name="Normal 3 3 18 9" xfId="12491"/>
    <cellStyle name="Normal 3 3 18 9 10" xfId="12492"/>
    <cellStyle name="Normal 3 3 18 9 10 2" xfId="30023"/>
    <cellStyle name="Normal 3 3 18 9 11" xfId="12493"/>
    <cellStyle name="Normal 3 3 18 9 11 2" xfId="30024"/>
    <cellStyle name="Normal 3 3 18 9 12" xfId="12494"/>
    <cellStyle name="Normal 3 3 18 9 12 2" xfId="30025"/>
    <cellStyle name="Normal 3 3 18 9 13" xfId="12495"/>
    <cellStyle name="Normal 3 3 18 9 13 2" xfId="30026"/>
    <cellStyle name="Normal 3 3 18 9 14" xfId="12496"/>
    <cellStyle name="Normal 3 3 18 9 14 2" xfId="30027"/>
    <cellStyle name="Normal 3 3 18 9 15" xfId="30022"/>
    <cellStyle name="Normal 3 3 18 9 2" xfId="12497"/>
    <cellStyle name="Normal 3 3 18 9 2 2" xfId="30028"/>
    <cellStyle name="Normal 3 3 18 9 3" xfId="12498"/>
    <cellStyle name="Normal 3 3 18 9 3 2" xfId="30029"/>
    <cellStyle name="Normal 3 3 18 9 4" xfId="12499"/>
    <cellStyle name="Normal 3 3 18 9 4 2" xfId="30030"/>
    <cellStyle name="Normal 3 3 18 9 5" xfId="12500"/>
    <cellStyle name="Normal 3 3 18 9 5 2" xfId="30031"/>
    <cellStyle name="Normal 3 3 18 9 6" xfId="12501"/>
    <cellStyle name="Normal 3 3 18 9 6 2" xfId="30032"/>
    <cellStyle name="Normal 3 3 18 9 7" xfId="12502"/>
    <cellStyle name="Normal 3 3 18 9 7 2" xfId="30033"/>
    <cellStyle name="Normal 3 3 18 9 8" xfId="12503"/>
    <cellStyle name="Normal 3 3 18 9 8 2" xfId="30034"/>
    <cellStyle name="Normal 3 3 18 9 9" xfId="12504"/>
    <cellStyle name="Normal 3 3 18 9 9 2" xfId="30035"/>
    <cellStyle name="Normal 3 3 19" xfId="12505"/>
    <cellStyle name="Normal 3 3 19 10" xfId="12506"/>
    <cellStyle name="Normal 3 3 19 10 2" xfId="30037"/>
    <cellStyle name="Normal 3 3 19 11" xfId="12507"/>
    <cellStyle name="Normal 3 3 19 11 2" xfId="30038"/>
    <cellStyle name="Normal 3 3 19 12" xfId="12508"/>
    <cellStyle name="Normal 3 3 19 12 2" xfId="30039"/>
    <cellStyle name="Normal 3 3 19 13" xfId="12509"/>
    <cellStyle name="Normal 3 3 19 13 2" xfId="30040"/>
    <cellStyle name="Normal 3 3 19 14" xfId="12510"/>
    <cellStyle name="Normal 3 3 19 14 2" xfId="30041"/>
    <cellStyle name="Normal 3 3 19 15" xfId="12511"/>
    <cellStyle name="Normal 3 3 19 15 2" xfId="30042"/>
    <cellStyle name="Normal 3 3 19 16" xfId="30036"/>
    <cellStyle name="Normal 3 3 19 2" xfId="12512"/>
    <cellStyle name="Normal 3 3 19 2 10" xfId="12513"/>
    <cellStyle name="Normal 3 3 19 2 10 2" xfId="30044"/>
    <cellStyle name="Normal 3 3 19 2 11" xfId="12514"/>
    <cellStyle name="Normal 3 3 19 2 11 2" xfId="30045"/>
    <cellStyle name="Normal 3 3 19 2 12" xfId="12515"/>
    <cellStyle name="Normal 3 3 19 2 12 2" xfId="30046"/>
    <cellStyle name="Normal 3 3 19 2 13" xfId="12516"/>
    <cellStyle name="Normal 3 3 19 2 13 2" xfId="30047"/>
    <cellStyle name="Normal 3 3 19 2 14" xfId="12517"/>
    <cellStyle name="Normal 3 3 19 2 14 2" xfId="30048"/>
    <cellStyle name="Normal 3 3 19 2 15" xfId="30043"/>
    <cellStyle name="Normal 3 3 19 2 2" xfId="12518"/>
    <cellStyle name="Normal 3 3 19 2 2 2" xfId="30049"/>
    <cellStyle name="Normal 3 3 19 2 3" xfId="12519"/>
    <cellStyle name="Normal 3 3 19 2 3 2" xfId="30050"/>
    <cellStyle name="Normal 3 3 19 2 4" xfId="12520"/>
    <cellStyle name="Normal 3 3 19 2 4 2" xfId="30051"/>
    <cellStyle name="Normal 3 3 19 2 5" xfId="12521"/>
    <cellStyle name="Normal 3 3 19 2 5 2" xfId="30052"/>
    <cellStyle name="Normal 3 3 19 2 6" xfId="12522"/>
    <cellStyle name="Normal 3 3 19 2 6 2" xfId="30053"/>
    <cellStyle name="Normal 3 3 19 2 7" xfId="12523"/>
    <cellStyle name="Normal 3 3 19 2 7 2" xfId="30054"/>
    <cellStyle name="Normal 3 3 19 2 8" xfId="12524"/>
    <cellStyle name="Normal 3 3 19 2 8 2" xfId="30055"/>
    <cellStyle name="Normal 3 3 19 2 9" xfId="12525"/>
    <cellStyle name="Normal 3 3 19 2 9 2" xfId="30056"/>
    <cellStyle name="Normal 3 3 19 3" xfId="12526"/>
    <cellStyle name="Normal 3 3 19 3 2" xfId="30057"/>
    <cellStyle name="Normal 3 3 19 4" xfId="12527"/>
    <cellStyle name="Normal 3 3 19 4 2" xfId="30058"/>
    <cellStyle name="Normal 3 3 19 5" xfId="12528"/>
    <cellStyle name="Normal 3 3 19 5 2" xfId="30059"/>
    <cellStyle name="Normal 3 3 19 6" xfId="12529"/>
    <cellStyle name="Normal 3 3 19 6 2" xfId="30060"/>
    <cellStyle name="Normal 3 3 19 7" xfId="12530"/>
    <cellStyle name="Normal 3 3 19 7 2" xfId="30061"/>
    <cellStyle name="Normal 3 3 19 8" xfId="12531"/>
    <cellStyle name="Normal 3 3 19 8 2" xfId="30062"/>
    <cellStyle name="Normal 3 3 19 9" xfId="12532"/>
    <cellStyle name="Normal 3 3 19 9 2" xfId="30063"/>
    <cellStyle name="Normal 3 3 2" xfId="382"/>
    <cellStyle name="Normal 3 3 2 10" xfId="12534"/>
    <cellStyle name="Normal 3 3 2 10 10" xfId="12535"/>
    <cellStyle name="Normal 3 3 2 10 10 2" xfId="30065"/>
    <cellStyle name="Normal 3 3 2 10 11" xfId="12536"/>
    <cellStyle name="Normal 3 3 2 10 11 2" xfId="30066"/>
    <cellStyle name="Normal 3 3 2 10 12" xfId="12537"/>
    <cellStyle name="Normal 3 3 2 10 12 2" xfId="30067"/>
    <cellStyle name="Normal 3 3 2 10 13" xfId="12538"/>
    <cellStyle name="Normal 3 3 2 10 13 2" xfId="30068"/>
    <cellStyle name="Normal 3 3 2 10 14" xfId="12539"/>
    <cellStyle name="Normal 3 3 2 10 14 2" xfId="30069"/>
    <cellStyle name="Normal 3 3 2 10 15" xfId="30064"/>
    <cellStyle name="Normal 3 3 2 10 2" xfId="12540"/>
    <cellStyle name="Normal 3 3 2 10 2 2" xfId="30070"/>
    <cellStyle name="Normal 3 3 2 10 3" xfId="12541"/>
    <cellStyle name="Normal 3 3 2 10 3 2" xfId="30071"/>
    <cellStyle name="Normal 3 3 2 10 4" xfId="12542"/>
    <cellStyle name="Normal 3 3 2 10 4 2" xfId="30072"/>
    <cellStyle name="Normal 3 3 2 10 5" xfId="12543"/>
    <cellStyle name="Normal 3 3 2 10 5 2" xfId="30073"/>
    <cellStyle name="Normal 3 3 2 10 6" xfId="12544"/>
    <cellStyle name="Normal 3 3 2 10 6 2" xfId="30074"/>
    <cellStyle name="Normal 3 3 2 10 7" xfId="12545"/>
    <cellStyle name="Normal 3 3 2 10 7 2" xfId="30075"/>
    <cellStyle name="Normal 3 3 2 10 8" xfId="12546"/>
    <cellStyle name="Normal 3 3 2 10 8 2" xfId="30076"/>
    <cellStyle name="Normal 3 3 2 10 9" xfId="12547"/>
    <cellStyle name="Normal 3 3 2 10 9 2" xfId="30077"/>
    <cellStyle name="Normal 3 3 2 11" xfId="12548"/>
    <cellStyle name="Normal 3 3 2 11 10" xfId="12549"/>
    <cellStyle name="Normal 3 3 2 11 10 2" xfId="30079"/>
    <cellStyle name="Normal 3 3 2 11 11" xfId="12550"/>
    <cellStyle name="Normal 3 3 2 11 11 2" xfId="30080"/>
    <cellStyle name="Normal 3 3 2 11 12" xfId="12551"/>
    <cellStyle name="Normal 3 3 2 11 12 2" xfId="30081"/>
    <cellStyle name="Normal 3 3 2 11 13" xfId="12552"/>
    <cellStyle name="Normal 3 3 2 11 13 2" xfId="30082"/>
    <cellStyle name="Normal 3 3 2 11 14" xfId="12553"/>
    <cellStyle name="Normal 3 3 2 11 14 2" xfId="30083"/>
    <cellStyle name="Normal 3 3 2 11 15" xfId="30078"/>
    <cellStyle name="Normal 3 3 2 11 2" xfId="12554"/>
    <cellStyle name="Normal 3 3 2 11 2 2" xfId="30084"/>
    <cellStyle name="Normal 3 3 2 11 3" xfId="12555"/>
    <cellStyle name="Normal 3 3 2 11 3 2" xfId="30085"/>
    <cellStyle name="Normal 3 3 2 11 4" xfId="12556"/>
    <cellStyle name="Normal 3 3 2 11 4 2" xfId="30086"/>
    <cellStyle name="Normal 3 3 2 11 5" xfId="12557"/>
    <cellStyle name="Normal 3 3 2 11 5 2" xfId="30087"/>
    <cellStyle name="Normal 3 3 2 11 6" xfId="12558"/>
    <cellStyle name="Normal 3 3 2 11 6 2" xfId="30088"/>
    <cellStyle name="Normal 3 3 2 11 7" xfId="12559"/>
    <cellStyle name="Normal 3 3 2 11 7 2" xfId="30089"/>
    <cellStyle name="Normal 3 3 2 11 8" xfId="12560"/>
    <cellStyle name="Normal 3 3 2 11 8 2" xfId="30090"/>
    <cellStyle name="Normal 3 3 2 11 9" xfId="12561"/>
    <cellStyle name="Normal 3 3 2 11 9 2" xfId="30091"/>
    <cellStyle name="Normal 3 3 2 12" xfId="12562"/>
    <cellStyle name="Normal 3 3 2 12 10" xfId="12563"/>
    <cellStyle name="Normal 3 3 2 12 10 2" xfId="30093"/>
    <cellStyle name="Normal 3 3 2 12 11" xfId="12564"/>
    <cellStyle name="Normal 3 3 2 12 11 2" xfId="30094"/>
    <cellStyle name="Normal 3 3 2 12 12" xfId="12565"/>
    <cellStyle name="Normal 3 3 2 12 12 2" xfId="30095"/>
    <cellStyle name="Normal 3 3 2 12 13" xfId="12566"/>
    <cellStyle name="Normal 3 3 2 12 13 2" xfId="30096"/>
    <cellStyle name="Normal 3 3 2 12 14" xfId="12567"/>
    <cellStyle name="Normal 3 3 2 12 14 2" xfId="30097"/>
    <cellStyle name="Normal 3 3 2 12 15" xfId="30092"/>
    <cellStyle name="Normal 3 3 2 12 2" xfId="12568"/>
    <cellStyle name="Normal 3 3 2 12 2 2" xfId="30098"/>
    <cellStyle name="Normal 3 3 2 12 3" xfId="12569"/>
    <cellStyle name="Normal 3 3 2 12 3 2" xfId="30099"/>
    <cellStyle name="Normal 3 3 2 12 4" xfId="12570"/>
    <cellStyle name="Normal 3 3 2 12 4 2" xfId="30100"/>
    <cellStyle name="Normal 3 3 2 12 5" xfId="12571"/>
    <cellStyle name="Normal 3 3 2 12 5 2" xfId="30101"/>
    <cellStyle name="Normal 3 3 2 12 6" xfId="12572"/>
    <cellStyle name="Normal 3 3 2 12 6 2" xfId="30102"/>
    <cellStyle name="Normal 3 3 2 12 7" xfId="12573"/>
    <cellStyle name="Normal 3 3 2 12 7 2" xfId="30103"/>
    <cellStyle name="Normal 3 3 2 12 8" xfId="12574"/>
    <cellStyle name="Normal 3 3 2 12 8 2" xfId="30104"/>
    <cellStyle name="Normal 3 3 2 12 9" xfId="12575"/>
    <cellStyle name="Normal 3 3 2 12 9 2" xfId="30105"/>
    <cellStyle name="Normal 3 3 2 13" xfId="12576"/>
    <cellStyle name="Normal 3 3 2 13 10" xfId="12577"/>
    <cellStyle name="Normal 3 3 2 13 10 2" xfId="30107"/>
    <cellStyle name="Normal 3 3 2 13 11" xfId="12578"/>
    <cellStyle name="Normal 3 3 2 13 11 2" xfId="30108"/>
    <cellStyle name="Normal 3 3 2 13 12" xfId="12579"/>
    <cellStyle name="Normal 3 3 2 13 12 2" xfId="30109"/>
    <cellStyle name="Normal 3 3 2 13 13" xfId="12580"/>
    <cellStyle name="Normal 3 3 2 13 13 2" xfId="30110"/>
    <cellStyle name="Normal 3 3 2 13 14" xfId="12581"/>
    <cellStyle name="Normal 3 3 2 13 14 2" xfId="30111"/>
    <cellStyle name="Normal 3 3 2 13 15" xfId="30106"/>
    <cellStyle name="Normal 3 3 2 13 2" xfId="12582"/>
    <cellStyle name="Normal 3 3 2 13 2 2" xfId="30112"/>
    <cellStyle name="Normal 3 3 2 13 3" xfId="12583"/>
    <cellStyle name="Normal 3 3 2 13 3 2" xfId="30113"/>
    <cellStyle name="Normal 3 3 2 13 4" xfId="12584"/>
    <cellStyle name="Normal 3 3 2 13 4 2" xfId="30114"/>
    <cellStyle name="Normal 3 3 2 13 5" xfId="12585"/>
    <cellStyle name="Normal 3 3 2 13 5 2" xfId="30115"/>
    <cellStyle name="Normal 3 3 2 13 6" xfId="12586"/>
    <cellStyle name="Normal 3 3 2 13 6 2" xfId="30116"/>
    <cellStyle name="Normal 3 3 2 13 7" xfId="12587"/>
    <cellStyle name="Normal 3 3 2 13 7 2" xfId="30117"/>
    <cellStyle name="Normal 3 3 2 13 8" xfId="12588"/>
    <cellStyle name="Normal 3 3 2 13 8 2" xfId="30118"/>
    <cellStyle name="Normal 3 3 2 13 9" xfId="12589"/>
    <cellStyle name="Normal 3 3 2 13 9 2" xfId="30119"/>
    <cellStyle name="Normal 3 3 2 14" xfId="12590"/>
    <cellStyle name="Normal 3 3 2 14 10" xfId="12591"/>
    <cellStyle name="Normal 3 3 2 14 10 2" xfId="30121"/>
    <cellStyle name="Normal 3 3 2 14 11" xfId="12592"/>
    <cellStyle name="Normal 3 3 2 14 11 2" xfId="30122"/>
    <cellStyle name="Normal 3 3 2 14 12" xfId="12593"/>
    <cellStyle name="Normal 3 3 2 14 12 2" xfId="30123"/>
    <cellStyle name="Normal 3 3 2 14 13" xfId="12594"/>
    <cellStyle name="Normal 3 3 2 14 13 2" xfId="30124"/>
    <cellStyle name="Normal 3 3 2 14 14" xfId="12595"/>
    <cellStyle name="Normal 3 3 2 14 14 2" xfId="30125"/>
    <cellStyle name="Normal 3 3 2 14 15" xfId="30120"/>
    <cellStyle name="Normal 3 3 2 14 2" xfId="12596"/>
    <cellStyle name="Normal 3 3 2 14 2 2" xfId="30126"/>
    <cellStyle name="Normal 3 3 2 14 3" xfId="12597"/>
    <cellStyle name="Normal 3 3 2 14 3 2" xfId="30127"/>
    <cellStyle name="Normal 3 3 2 14 4" xfId="12598"/>
    <cellStyle name="Normal 3 3 2 14 4 2" xfId="30128"/>
    <cellStyle name="Normal 3 3 2 14 5" xfId="12599"/>
    <cellStyle name="Normal 3 3 2 14 5 2" xfId="30129"/>
    <cellStyle name="Normal 3 3 2 14 6" xfId="12600"/>
    <cellStyle name="Normal 3 3 2 14 6 2" xfId="30130"/>
    <cellStyle name="Normal 3 3 2 14 7" xfId="12601"/>
    <cellStyle name="Normal 3 3 2 14 7 2" xfId="30131"/>
    <cellStyle name="Normal 3 3 2 14 8" xfId="12602"/>
    <cellStyle name="Normal 3 3 2 14 8 2" xfId="30132"/>
    <cellStyle name="Normal 3 3 2 14 9" xfId="12603"/>
    <cellStyle name="Normal 3 3 2 14 9 2" xfId="30133"/>
    <cellStyle name="Normal 3 3 2 15" xfId="12604"/>
    <cellStyle name="Normal 3 3 2 16" xfId="12605"/>
    <cellStyle name="Normal 3 3 2 17" xfId="12606"/>
    <cellStyle name="Normal 3 3 2 17 10" xfId="12607"/>
    <cellStyle name="Normal 3 3 2 17 10 2" xfId="30135"/>
    <cellStyle name="Normal 3 3 2 17 11" xfId="12608"/>
    <cellStyle name="Normal 3 3 2 17 11 2" xfId="30136"/>
    <cellStyle name="Normal 3 3 2 17 12" xfId="12609"/>
    <cellStyle name="Normal 3 3 2 17 12 2" xfId="30137"/>
    <cellStyle name="Normal 3 3 2 17 13" xfId="12610"/>
    <cellStyle name="Normal 3 3 2 17 13 2" xfId="30138"/>
    <cellStyle name="Normal 3 3 2 17 14" xfId="12611"/>
    <cellStyle name="Normal 3 3 2 17 14 2" xfId="30139"/>
    <cellStyle name="Normal 3 3 2 17 15" xfId="30134"/>
    <cellStyle name="Normal 3 3 2 17 2" xfId="12612"/>
    <cellStyle name="Normal 3 3 2 17 2 2" xfId="30140"/>
    <cellStyle name="Normal 3 3 2 17 3" xfId="12613"/>
    <cellStyle name="Normal 3 3 2 17 3 2" xfId="30141"/>
    <cellStyle name="Normal 3 3 2 17 4" xfId="12614"/>
    <cellStyle name="Normal 3 3 2 17 4 2" xfId="30142"/>
    <cellStyle name="Normal 3 3 2 17 5" xfId="12615"/>
    <cellStyle name="Normal 3 3 2 17 5 2" xfId="30143"/>
    <cellStyle name="Normal 3 3 2 17 6" xfId="12616"/>
    <cellStyle name="Normal 3 3 2 17 6 2" xfId="30144"/>
    <cellStyle name="Normal 3 3 2 17 7" xfId="12617"/>
    <cellStyle name="Normal 3 3 2 17 7 2" xfId="30145"/>
    <cellStyle name="Normal 3 3 2 17 8" xfId="12618"/>
    <cellStyle name="Normal 3 3 2 17 8 2" xfId="30146"/>
    <cellStyle name="Normal 3 3 2 17 9" xfId="12619"/>
    <cellStyle name="Normal 3 3 2 17 9 2" xfId="30147"/>
    <cellStyle name="Normal 3 3 2 18" xfId="12620"/>
    <cellStyle name="Normal 3 3 2 18 10" xfId="12621"/>
    <cellStyle name="Normal 3 3 2 18 10 2" xfId="30149"/>
    <cellStyle name="Normal 3 3 2 18 11" xfId="12622"/>
    <cellStyle name="Normal 3 3 2 18 11 2" xfId="30150"/>
    <cellStyle name="Normal 3 3 2 18 12" xfId="12623"/>
    <cellStyle name="Normal 3 3 2 18 12 2" xfId="30151"/>
    <cellStyle name="Normal 3 3 2 18 13" xfId="12624"/>
    <cellStyle name="Normal 3 3 2 18 13 2" xfId="30152"/>
    <cellStyle name="Normal 3 3 2 18 14" xfId="12625"/>
    <cellStyle name="Normal 3 3 2 18 14 2" xfId="30153"/>
    <cellStyle name="Normal 3 3 2 18 15" xfId="30148"/>
    <cellStyle name="Normal 3 3 2 18 2" xfId="12626"/>
    <cellStyle name="Normal 3 3 2 18 2 2" xfId="30154"/>
    <cellStyle name="Normal 3 3 2 18 3" xfId="12627"/>
    <cellStyle name="Normal 3 3 2 18 3 2" xfId="30155"/>
    <cellStyle name="Normal 3 3 2 18 4" xfId="12628"/>
    <cellStyle name="Normal 3 3 2 18 4 2" xfId="30156"/>
    <cellStyle name="Normal 3 3 2 18 5" xfId="12629"/>
    <cellStyle name="Normal 3 3 2 18 5 2" xfId="30157"/>
    <cellStyle name="Normal 3 3 2 18 6" xfId="12630"/>
    <cellStyle name="Normal 3 3 2 18 6 2" xfId="30158"/>
    <cellStyle name="Normal 3 3 2 18 7" xfId="12631"/>
    <cellStyle name="Normal 3 3 2 18 7 2" xfId="30159"/>
    <cellStyle name="Normal 3 3 2 18 8" xfId="12632"/>
    <cellStyle name="Normal 3 3 2 18 8 2" xfId="30160"/>
    <cellStyle name="Normal 3 3 2 18 9" xfId="12633"/>
    <cellStyle name="Normal 3 3 2 18 9 2" xfId="30161"/>
    <cellStyle name="Normal 3 3 2 19" xfId="12533"/>
    <cellStyle name="Normal 3 3 2 2" xfId="574"/>
    <cellStyle name="Normal 3 3 2 2 10" xfId="12635"/>
    <cellStyle name="Normal 3 3 2 2 10 2" xfId="30163"/>
    <cellStyle name="Normal 3 3 2 2 11" xfId="12636"/>
    <cellStyle name="Normal 3 3 2 2 11 2" xfId="30164"/>
    <cellStyle name="Normal 3 3 2 2 12" xfId="12637"/>
    <cellStyle name="Normal 3 3 2 2 12 2" xfId="30165"/>
    <cellStyle name="Normal 3 3 2 2 13" xfId="12638"/>
    <cellStyle name="Normal 3 3 2 2 13 2" xfId="30166"/>
    <cellStyle name="Normal 3 3 2 2 14" xfId="12639"/>
    <cellStyle name="Normal 3 3 2 2 14 2" xfId="30167"/>
    <cellStyle name="Normal 3 3 2 2 15" xfId="12640"/>
    <cellStyle name="Normal 3 3 2 2 15 2" xfId="30168"/>
    <cellStyle name="Normal 3 3 2 2 16" xfId="12641"/>
    <cellStyle name="Normal 3 3 2 2 16 2" xfId="30169"/>
    <cellStyle name="Normal 3 3 2 2 17" xfId="12642"/>
    <cellStyle name="Normal 3 3 2 2 17 2" xfId="30170"/>
    <cellStyle name="Normal 3 3 2 2 18" xfId="12634"/>
    <cellStyle name="Normal 3 3 2 2 19" xfId="30162"/>
    <cellStyle name="Normal 3 3 2 2 2" xfId="12643"/>
    <cellStyle name="Normal 3 3 2 2 3" xfId="12644"/>
    <cellStyle name="Normal 3 3 2 2 4" xfId="12645"/>
    <cellStyle name="Normal 3 3 2 2 5" xfId="12646"/>
    <cellStyle name="Normal 3 3 2 2 5 2" xfId="30171"/>
    <cellStyle name="Normal 3 3 2 2 6" xfId="12647"/>
    <cellStyle name="Normal 3 3 2 2 6 2" xfId="30172"/>
    <cellStyle name="Normal 3 3 2 2 7" xfId="12648"/>
    <cellStyle name="Normal 3 3 2 2 7 2" xfId="30173"/>
    <cellStyle name="Normal 3 3 2 2 8" xfId="12649"/>
    <cellStyle name="Normal 3 3 2 2 8 2" xfId="30174"/>
    <cellStyle name="Normal 3 3 2 2 9" xfId="12650"/>
    <cellStyle name="Normal 3 3 2 2 9 2" xfId="30175"/>
    <cellStyle name="Normal 3 3 2 3" xfId="12651"/>
    <cellStyle name="Normal 3 3 2 4" xfId="12652"/>
    <cellStyle name="Normal 3 3 2 5" xfId="12653"/>
    <cellStyle name="Normal 3 3 2 6" xfId="12654"/>
    <cellStyle name="Normal 3 3 2 6 10" xfId="12655"/>
    <cellStyle name="Normal 3 3 2 6 10 2" xfId="30177"/>
    <cellStyle name="Normal 3 3 2 6 11" xfId="12656"/>
    <cellStyle name="Normal 3 3 2 6 11 2" xfId="30178"/>
    <cellStyle name="Normal 3 3 2 6 12" xfId="12657"/>
    <cellStyle name="Normal 3 3 2 6 12 2" xfId="30179"/>
    <cellStyle name="Normal 3 3 2 6 13" xfId="12658"/>
    <cellStyle name="Normal 3 3 2 6 13 2" xfId="30180"/>
    <cellStyle name="Normal 3 3 2 6 14" xfId="12659"/>
    <cellStyle name="Normal 3 3 2 6 14 2" xfId="30181"/>
    <cellStyle name="Normal 3 3 2 6 15" xfId="12660"/>
    <cellStyle name="Normal 3 3 2 6 15 2" xfId="30182"/>
    <cellStyle name="Normal 3 3 2 6 16" xfId="30176"/>
    <cellStyle name="Normal 3 3 2 6 2" xfId="12661"/>
    <cellStyle name="Normal 3 3 2 6 2 10" xfId="12662"/>
    <cellStyle name="Normal 3 3 2 6 2 10 2" xfId="30184"/>
    <cellStyle name="Normal 3 3 2 6 2 11" xfId="12663"/>
    <cellStyle name="Normal 3 3 2 6 2 11 2" xfId="30185"/>
    <cellStyle name="Normal 3 3 2 6 2 12" xfId="12664"/>
    <cellStyle name="Normal 3 3 2 6 2 12 2" xfId="30186"/>
    <cellStyle name="Normal 3 3 2 6 2 13" xfId="12665"/>
    <cellStyle name="Normal 3 3 2 6 2 13 2" xfId="30187"/>
    <cellStyle name="Normal 3 3 2 6 2 14" xfId="12666"/>
    <cellStyle name="Normal 3 3 2 6 2 14 2" xfId="30188"/>
    <cellStyle name="Normal 3 3 2 6 2 15" xfId="30183"/>
    <cellStyle name="Normal 3 3 2 6 2 2" xfId="12667"/>
    <cellStyle name="Normal 3 3 2 6 2 2 2" xfId="30189"/>
    <cellStyle name="Normal 3 3 2 6 2 3" xfId="12668"/>
    <cellStyle name="Normal 3 3 2 6 2 3 2" xfId="30190"/>
    <cellStyle name="Normal 3 3 2 6 2 4" xfId="12669"/>
    <cellStyle name="Normal 3 3 2 6 2 4 2" xfId="30191"/>
    <cellStyle name="Normal 3 3 2 6 2 5" xfId="12670"/>
    <cellStyle name="Normal 3 3 2 6 2 5 2" xfId="30192"/>
    <cellStyle name="Normal 3 3 2 6 2 6" xfId="12671"/>
    <cellStyle name="Normal 3 3 2 6 2 6 2" xfId="30193"/>
    <cellStyle name="Normal 3 3 2 6 2 7" xfId="12672"/>
    <cellStyle name="Normal 3 3 2 6 2 7 2" xfId="30194"/>
    <cellStyle name="Normal 3 3 2 6 2 8" xfId="12673"/>
    <cellStyle name="Normal 3 3 2 6 2 8 2" xfId="30195"/>
    <cellStyle name="Normal 3 3 2 6 2 9" xfId="12674"/>
    <cellStyle name="Normal 3 3 2 6 2 9 2" xfId="30196"/>
    <cellStyle name="Normal 3 3 2 6 3" xfId="12675"/>
    <cellStyle name="Normal 3 3 2 6 3 2" xfId="30197"/>
    <cellStyle name="Normal 3 3 2 6 4" xfId="12676"/>
    <cellStyle name="Normal 3 3 2 6 4 2" xfId="30198"/>
    <cellStyle name="Normal 3 3 2 6 5" xfId="12677"/>
    <cellStyle name="Normal 3 3 2 6 5 2" xfId="30199"/>
    <cellStyle name="Normal 3 3 2 6 6" xfId="12678"/>
    <cellStyle name="Normal 3 3 2 6 6 2" xfId="30200"/>
    <cellStyle name="Normal 3 3 2 6 7" xfId="12679"/>
    <cellStyle name="Normal 3 3 2 6 7 2" xfId="30201"/>
    <cellStyle name="Normal 3 3 2 6 8" xfId="12680"/>
    <cellStyle name="Normal 3 3 2 6 8 2" xfId="30202"/>
    <cellStyle name="Normal 3 3 2 6 9" xfId="12681"/>
    <cellStyle name="Normal 3 3 2 6 9 2" xfId="30203"/>
    <cellStyle name="Normal 3 3 2 7" xfId="12682"/>
    <cellStyle name="Normal 3 3 2 7 10" xfId="12683"/>
    <cellStyle name="Normal 3 3 2 7 10 2" xfId="30205"/>
    <cellStyle name="Normal 3 3 2 7 11" xfId="12684"/>
    <cellStyle name="Normal 3 3 2 7 11 2" xfId="30206"/>
    <cellStyle name="Normal 3 3 2 7 12" xfId="12685"/>
    <cellStyle name="Normal 3 3 2 7 12 2" xfId="30207"/>
    <cellStyle name="Normal 3 3 2 7 13" xfId="12686"/>
    <cellStyle name="Normal 3 3 2 7 13 2" xfId="30208"/>
    <cellStyle name="Normal 3 3 2 7 14" xfId="12687"/>
    <cellStyle name="Normal 3 3 2 7 14 2" xfId="30209"/>
    <cellStyle name="Normal 3 3 2 7 15" xfId="12688"/>
    <cellStyle name="Normal 3 3 2 7 15 2" xfId="30210"/>
    <cellStyle name="Normal 3 3 2 7 16" xfId="30204"/>
    <cellStyle name="Normal 3 3 2 7 2" xfId="12689"/>
    <cellStyle name="Normal 3 3 2 7 2 10" xfId="12690"/>
    <cellStyle name="Normal 3 3 2 7 2 10 2" xfId="30212"/>
    <cellStyle name="Normal 3 3 2 7 2 11" xfId="12691"/>
    <cellStyle name="Normal 3 3 2 7 2 11 2" xfId="30213"/>
    <cellStyle name="Normal 3 3 2 7 2 12" xfId="12692"/>
    <cellStyle name="Normal 3 3 2 7 2 12 2" xfId="30214"/>
    <cellStyle name="Normal 3 3 2 7 2 13" xfId="12693"/>
    <cellStyle name="Normal 3 3 2 7 2 13 2" xfId="30215"/>
    <cellStyle name="Normal 3 3 2 7 2 14" xfId="12694"/>
    <cellStyle name="Normal 3 3 2 7 2 14 2" xfId="30216"/>
    <cellStyle name="Normal 3 3 2 7 2 15" xfId="30211"/>
    <cellStyle name="Normal 3 3 2 7 2 2" xfId="12695"/>
    <cellStyle name="Normal 3 3 2 7 2 2 2" xfId="30217"/>
    <cellStyle name="Normal 3 3 2 7 2 3" xfId="12696"/>
    <cellStyle name="Normal 3 3 2 7 2 3 2" xfId="30218"/>
    <cellStyle name="Normal 3 3 2 7 2 4" xfId="12697"/>
    <cellStyle name="Normal 3 3 2 7 2 4 2" xfId="30219"/>
    <cellStyle name="Normal 3 3 2 7 2 5" xfId="12698"/>
    <cellStyle name="Normal 3 3 2 7 2 5 2" xfId="30220"/>
    <cellStyle name="Normal 3 3 2 7 2 6" xfId="12699"/>
    <cellStyle name="Normal 3 3 2 7 2 6 2" xfId="30221"/>
    <cellStyle name="Normal 3 3 2 7 2 7" xfId="12700"/>
    <cellStyle name="Normal 3 3 2 7 2 7 2" xfId="30222"/>
    <cellStyle name="Normal 3 3 2 7 2 8" xfId="12701"/>
    <cellStyle name="Normal 3 3 2 7 2 8 2" xfId="30223"/>
    <cellStyle name="Normal 3 3 2 7 2 9" xfId="12702"/>
    <cellStyle name="Normal 3 3 2 7 2 9 2" xfId="30224"/>
    <cellStyle name="Normal 3 3 2 7 3" xfId="12703"/>
    <cellStyle name="Normal 3 3 2 7 3 2" xfId="30225"/>
    <cellStyle name="Normal 3 3 2 7 4" xfId="12704"/>
    <cellStyle name="Normal 3 3 2 7 4 2" xfId="30226"/>
    <cellStyle name="Normal 3 3 2 7 5" xfId="12705"/>
    <cellStyle name="Normal 3 3 2 7 5 2" xfId="30227"/>
    <cellStyle name="Normal 3 3 2 7 6" xfId="12706"/>
    <cellStyle name="Normal 3 3 2 7 6 2" xfId="30228"/>
    <cellStyle name="Normal 3 3 2 7 7" xfId="12707"/>
    <cellStyle name="Normal 3 3 2 7 7 2" xfId="30229"/>
    <cellStyle name="Normal 3 3 2 7 8" xfId="12708"/>
    <cellStyle name="Normal 3 3 2 7 8 2" xfId="30230"/>
    <cellStyle name="Normal 3 3 2 7 9" xfId="12709"/>
    <cellStyle name="Normal 3 3 2 7 9 2" xfId="30231"/>
    <cellStyle name="Normal 3 3 2 8" xfId="12710"/>
    <cellStyle name="Normal 3 3 2 8 10" xfId="12711"/>
    <cellStyle name="Normal 3 3 2 8 10 2" xfId="30233"/>
    <cellStyle name="Normal 3 3 2 8 11" xfId="12712"/>
    <cellStyle name="Normal 3 3 2 8 11 2" xfId="30234"/>
    <cellStyle name="Normal 3 3 2 8 12" xfId="12713"/>
    <cellStyle name="Normal 3 3 2 8 12 2" xfId="30235"/>
    <cellStyle name="Normal 3 3 2 8 13" xfId="12714"/>
    <cellStyle name="Normal 3 3 2 8 13 2" xfId="30236"/>
    <cellStyle name="Normal 3 3 2 8 14" xfId="12715"/>
    <cellStyle name="Normal 3 3 2 8 14 2" xfId="30237"/>
    <cellStyle name="Normal 3 3 2 8 15" xfId="12716"/>
    <cellStyle name="Normal 3 3 2 8 15 2" xfId="30238"/>
    <cellStyle name="Normal 3 3 2 8 16" xfId="30232"/>
    <cellStyle name="Normal 3 3 2 8 2" xfId="12717"/>
    <cellStyle name="Normal 3 3 2 8 2 10" xfId="12718"/>
    <cellStyle name="Normal 3 3 2 8 2 10 2" xfId="30240"/>
    <cellStyle name="Normal 3 3 2 8 2 11" xfId="12719"/>
    <cellStyle name="Normal 3 3 2 8 2 11 2" xfId="30241"/>
    <cellStyle name="Normal 3 3 2 8 2 12" xfId="12720"/>
    <cellStyle name="Normal 3 3 2 8 2 12 2" xfId="30242"/>
    <cellStyle name="Normal 3 3 2 8 2 13" xfId="12721"/>
    <cellStyle name="Normal 3 3 2 8 2 13 2" xfId="30243"/>
    <cellStyle name="Normal 3 3 2 8 2 14" xfId="12722"/>
    <cellStyle name="Normal 3 3 2 8 2 14 2" xfId="30244"/>
    <cellStyle name="Normal 3 3 2 8 2 15" xfId="30239"/>
    <cellStyle name="Normal 3 3 2 8 2 2" xfId="12723"/>
    <cellStyle name="Normal 3 3 2 8 2 2 2" xfId="30245"/>
    <cellStyle name="Normal 3 3 2 8 2 3" xfId="12724"/>
    <cellStyle name="Normal 3 3 2 8 2 3 2" xfId="30246"/>
    <cellStyle name="Normal 3 3 2 8 2 4" xfId="12725"/>
    <cellStyle name="Normal 3 3 2 8 2 4 2" xfId="30247"/>
    <cellStyle name="Normal 3 3 2 8 2 5" xfId="12726"/>
    <cellStyle name="Normal 3 3 2 8 2 5 2" xfId="30248"/>
    <cellStyle name="Normal 3 3 2 8 2 6" xfId="12727"/>
    <cellStyle name="Normal 3 3 2 8 2 6 2" xfId="30249"/>
    <cellStyle name="Normal 3 3 2 8 2 7" xfId="12728"/>
    <cellStyle name="Normal 3 3 2 8 2 7 2" xfId="30250"/>
    <cellStyle name="Normal 3 3 2 8 2 8" xfId="12729"/>
    <cellStyle name="Normal 3 3 2 8 2 8 2" xfId="30251"/>
    <cellStyle name="Normal 3 3 2 8 2 9" xfId="12730"/>
    <cellStyle name="Normal 3 3 2 8 2 9 2" xfId="30252"/>
    <cellStyle name="Normal 3 3 2 8 3" xfId="12731"/>
    <cellStyle name="Normal 3 3 2 8 3 2" xfId="30253"/>
    <cellStyle name="Normal 3 3 2 8 4" xfId="12732"/>
    <cellStyle name="Normal 3 3 2 8 4 2" xfId="30254"/>
    <cellStyle name="Normal 3 3 2 8 5" xfId="12733"/>
    <cellStyle name="Normal 3 3 2 8 5 2" xfId="30255"/>
    <cellStyle name="Normal 3 3 2 8 6" xfId="12734"/>
    <cellStyle name="Normal 3 3 2 8 6 2" xfId="30256"/>
    <cellStyle name="Normal 3 3 2 8 7" xfId="12735"/>
    <cellStyle name="Normal 3 3 2 8 7 2" xfId="30257"/>
    <cellStyle name="Normal 3 3 2 8 8" xfId="12736"/>
    <cellStyle name="Normal 3 3 2 8 8 2" xfId="30258"/>
    <cellStyle name="Normal 3 3 2 8 9" xfId="12737"/>
    <cellStyle name="Normal 3 3 2 8 9 2" xfId="30259"/>
    <cellStyle name="Normal 3 3 2 9" xfId="12738"/>
    <cellStyle name="Normal 3 3 2 9 10" xfId="12739"/>
    <cellStyle name="Normal 3 3 2 9 10 2" xfId="30261"/>
    <cellStyle name="Normal 3 3 2 9 11" xfId="12740"/>
    <cellStyle name="Normal 3 3 2 9 11 2" xfId="30262"/>
    <cellStyle name="Normal 3 3 2 9 12" xfId="12741"/>
    <cellStyle name="Normal 3 3 2 9 12 2" xfId="30263"/>
    <cellStyle name="Normal 3 3 2 9 13" xfId="12742"/>
    <cellStyle name="Normal 3 3 2 9 13 2" xfId="30264"/>
    <cellStyle name="Normal 3 3 2 9 14" xfId="12743"/>
    <cellStyle name="Normal 3 3 2 9 14 2" xfId="30265"/>
    <cellStyle name="Normal 3 3 2 9 15" xfId="30260"/>
    <cellStyle name="Normal 3 3 2 9 2" xfId="12744"/>
    <cellStyle name="Normal 3 3 2 9 2 2" xfId="30266"/>
    <cellStyle name="Normal 3 3 2 9 3" xfId="12745"/>
    <cellStyle name="Normal 3 3 2 9 3 2" xfId="30267"/>
    <cellStyle name="Normal 3 3 2 9 4" xfId="12746"/>
    <cellStyle name="Normal 3 3 2 9 4 2" xfId="30268"/>
    <cellStyle name="Normal 3 3 2 9 5" xfId="12747"/>
    <cellStyle name="Normal 3 3 2 9 5 2" xfId="30269"/>
    <cellStyle name="Normal 3 3 2 9 6" xfId="12748"/>
    <cellStyle name="Normal 3 3 2 9 6 2" xfId="30270"/>
    <cellStyle name="Normal 3 3 2 9 7" xfId="12749"/>
    <cellStyle name="Normal 3 3 2 9 7 2" xfId="30271"/>
    <cellStyle name="Normal 3 3 2 9 8" xfId="12750"/>
    <cellStyle name="Normal 3 3 2 9 8 2" xfId="30272"/>
    <cellStyle name="Normal 3 3 2 9 9" xfId="12751"/>
    <cellStyle name="Normal 3 3 2 9 9 2" xfId="30273"/>
    <cellStyle name="Normal 3 3 20" xfId="12752"/>
    <cellStyle name="Normal 3 3 20 10" xfId="12753"/>
    <cellStyle name="Normal 3 3 20 10 2" xfId="30275"/>
    <cellStyle name="Normal 3 3 20 11" xfId="12754"/>
    <cellStyle name="Normal 3 3 20 11 2" xfId="30276"/>
    <cellStyle name="Normal 3 3 20 12" xfId="12755"/>
    <cellStyle name="Normal 3 3 20 12 2" xfId="30277"/>
    <cellStyle name="Normal 3 3 20 13" xfId="12756"/>
    <cellStyle name="Normal 3 3 20 13 2" xfId="30278"/>
    <cellStyle name="Normal 3 3 20 14" xfId="12757"/>
    <cellStyle name="Normal 3 3 20 14 2" xfId="30279"/>
    <cellStyle name="Normal 3 3 20 15" xfId="12758"/>
    <cellStyle name="Normal 3 3 20 15 2" xfId="30280"/>
    <cellStyle name="Normal 3 3 20 16" xfId="30274"/>
    <cellStyle name="Normal 3 3 20 2" xfId="12759"/>
    <cellStyle name="Normal 3 3 20 2 10" xfId="12760"/>
    <cellStyle name="Normal 3 3 20 2 10 2" xfId="30282"/>
    <cellStyle name="Normal 3 3 20 2 11" xfId="12761"/>
    <cellStyle name="Normal 3 3 20 2 11 2" xfId="30283"/>
    <cellStyle name="Normal 3 3 20 2 12" xfId="12762"/>
    <cellStyle name="Normal 3 3 20 2 12 2" xfId="30284"/>
    <cellStyle name="Normal 3 3 20 2 13" xfId="12763"/>
    <cellStyle name="Normal 3 3 20 2 13 2" xfId="30285"/>
    <cellStyle name="Normal 3 3 20 2 14" xfId="12764"/>
    <cellStyle name="Normal 3 3 20 2 14 2" xfId="30286"/>
    <cellStyle name="Normal 3 3 20 2 15" xfId="30281"/>
    <cellStyle name="Normal 3 3 20 2 2" xfId="12765"/>
    <cellStyle name="Normal 3 3 20 2 2 2" xfId="30287"/>
    <cellStyle name="Normal 3 3 20 2 3" xfId="12766"/>
    <cellStyle name="Normal 3 3 20 2 3 2" xfId="30288"/>
    <cellStyle name="Normal 3 3 20 2 4" xfId="12767"/>
    <cellStyle name="Normal 3 3 20 2 4 2" xfId="30289"/>
    <cellStyle name="Normal 3 3 20 2 5" xfId="12768"/>
    <cellStyle name="Normal 3 3 20 2 5 2" xfId="30290"/>
    <cellStyle name="Normal 3 3 20 2 6" xfId="12769"/>
    <cellStyle name="Normal 3 3 20 2 6 2" xfId="30291"/>
    <cellStyle name="Normal 3 3 20 2 7" xfId="12770"/>
    <cellStyle name="Normal 3 3 20 2 7 2" xfId="30292"/>
    <cellStyle name="Normal 3 3 20 2 8" xfId="12771"/>
    <cellStyle name="Normal 3 3 20 2 8 2" xfId="30293"/>
    <cellStyle name="Normal 3 3 20 2 9" xfId="12772"/>
    <cellStyle name="Normal 3 3 20 2 9 2" xfId="30294"/>
    <cellStyle name="Normal 3 3 20 3" xfId="12773"/>
    <cellStyle name="Normal 3 3 20 3 2" xfId="30295"/>
    <cellStyle name="Normal 3 3 20 4" xfId="12774"/>
    <cellStyle name="Normal 3 3 20 4 2" xfId="30296"/>
    <cellStyle name="Normal 3 3 20 5" xfId="12775"/>
    <cellStyle name="Normal 3 3 20 5 2" xfId="30297"/>
    <cellStyle name="Normal 3 3 20 6" xfId="12776"/>
    <cellStyle name="Normal 3 3 20 6 2" xfId="30298"/>
    <cellStyle name="Normal 3 3 20 7" xfId="12777"/>
    <cellStyle name="Normal 3 3 20 7 2" xfId="30299"/>
    <cellStyle name="Normal 3 3 20 8" xfId="12778"/>
    <cellStyle name="Normal 3 3 20 8 2" xfId="30300"/>
    <cellStyle name="Normal 3 3 20 9" xfId="12779"/>
    <cellStyle name="Normal 3 3 20 9 2" xfId="30301"/>
    <cellStyle name="Normal 3 3 21" xfId="12780"/>
    <cellStyle name="Normal 3 3 21 10" xfId="12781"/>
    <cellStyle name="Normal 3 3 21 10 2" xfId="30303"/>
    <cellStyle name="Normal 3 3 21 11" xfId="12782"/>
    <cellStyle name="Normal 3 3 21 11 2" xfId="30304"/>
    <cellStyle name="Normal 3 3 21 12" xfId="12783"/>
    <cellStyle name="Normal 3 3 21 12 2" xfId="30305"/>
    <cellStyle name="Normal 3 3 21 13" xfId="12784"/>
    <cellStyle name="Normal 3 3 21 13 2" xfId="30306"/>
    <cellStyle name="Normal 3 3 21 14" xfId="12785"/>
    <cellStyle name="Normal 3 3 21 14 2" xfId="30307"/>
    <cellStyle name="Normal 3 3 21 15" xfId="12786"/>
    <cellStyle name="Normal 3 3 21 15 2" xfId="30308"/>
    <cellStyle name="Normal 3 3 21 16" xfId="30302"/>
    <cellStyle name="Normal 3 3 21 2" xfId="12787"/>
    <cellStyle name="Normal 3 3 21 2 10" xfId="12788"/>
    <cellStyle name="Normal 3 3 21 2 10 2" xfId="30310"/>
    <cellStyle name="Normal 3 3 21 2 11" xfId="12789"/>
    <cellStyle name="Normal 3 3 21 2 11 2" xfId="30311"/>
    <cellStyle name="Normal 3 3 21 2 12" xfId="12790"/>
    <cellStyle name="Normal 3 3 21 2 12 2" xfId="30312"/>
    <cellStyle name="Normal 3 3 21 2 13" xfId="12791"/>
    <cellStyle name="Normal 3 3 21 2 13 2" xfId="30313"/>
    <cellStyle name="Normal 3 3 21 2 14" xfId="12792"/>
    <cellStyle name="Normal 3 3 21 2 14 2" xfId="30314"/>
    <cellStyle name="Normal 3 3 21 2 15" xfId="30309"/>
    <cellStyle name="Normal 3 3 21 2 2" xfId="12793"/>
    <cellStyle name="Normal 3 3 21 2 2 2" xfId="30315"/>
    <cellStyle name="Normal 3 3 21 2 3" xfId="12794"/>
    <cellStyle name="Normal 3 3 21 2 3 2" xfId="30316"/>
    <cellStyle name="Normal 3 3 21 2 4" xfId="12795"/>
    <cellStyle name="Normal 3 3 21 2 4 2" xfId="30317"/>
    <cellStyle name="Normal 3 3 21 2 5" xfId="12796"/>
    <cellStyle name="Normal 3 3 21 2 5 2" xfId="30318"/>
    <cellStyle name="Normal 3 3 21 2 6" xfId="12797"/>
    <cellStyle name="Normal 3 3 21 2 6 2" xfId="30319"/>
    <cellStyle name="Normal 3 3 21 2 7" xfId="12798"/>
    <cellStyle name="Normal 3 3 21 2 7 2" xfId="30320"/>
    <cellStyle name="Normal 3 3 21 2 8" xfId="12799"/>
    <cellStyle name="Normal 3 3 21 2 8 2" xfId="30321"/>
    <cellStyle name="Normal 3 3 21 2 9" xfId="12800"/>
    <cellStyle name="Normal 3 3 21 2 9 2" xfId="30322"/>
    <cellStyle name="Normal 3 3 21 3" xfId="12801"/>
    <cellStyle name="Normal 3 3 21 3 2" xfId="30323"/>
    <cellStyle name="Normal 3 3 21 4" xfId="12802"/>
    <cellStyle name="Normal 3 3 21 4 2" xfId="30324"/>
    <cellStyle name="Normal 3 3 21 5" xfId="12803"/>
    <cellStyle name="Normal 3 3 21 5 2" xfId="30325"/>
    <cellStyle name="Normal 3 3 21 6" xfId="12804"/>
    <cellStyle name="Normal 3 3 21 6 2" xfId="30326"/>
    <cellStyle name="Normal 3 3 21 7" xfId="12805"/>
    <cellStyle name="Normal 3 3 21 7 2" xfId="30327"/>
    <cellStyle name="Normal 3 3 21 8" xfId="12806"/>
    <cellStyle name="Normal 3 3 21 8 2" xfId="30328"/>
    <cellStyle name="Normal 3 3 21 9" xfId="12807"/>
    <cellStyle name="Normal 3 3 21 9 2" xfId="30329"/>
    <cellStyle name="Normal 3 3 22" xfId="12808"/>
    <cellStyle name="Normal 3 3 22 10" xfId="12809"/>
    <cellStyle name="Normal 3 3 22 10 2" xfId="30331"/>
    <cellStyle name="Normal 3 3 22 11" xfId="12810"/>
    <cellStyle name="Normal 3 3 22 11 2" xfId="30332"/>
    <cellStyle name="Normal 3 3 22 12" xfId="12811"/>
    <cellStyle name="Normal 3 3 22 12 2" xfId="30333"/>
    <cellStyle name="Normal 3 3 22 13" xfId="12812"/>
    <cellStyle name="Normal 3 3 22 13 2" xfId="30334"/>
    <cellStyle name="Normal 3 3 22 14" xfId="12813"/>
    <cellStyle name="Normal 3 3 22 14 2" xfId="30335"/>
    <cellStyle name="Normal 3 3 22 15" xfId="30330"/>
    <cellStyle name="Normal 3 3 22 2" xfId="12814"/>
    <cellStyle name="Normal 3 3 22 2 2" xfId="30336"/>
    <cellStyle name="Normal 3 3 22 3" xfId="12815"/>
    <cellStyle name="Normal 3 3 22 3 2" xfId="30337"/>
    <cellStyle name="Normal 3 3 22 4" xfId="12816"/>
    <cellStyle name="Normal 3 3 22 4 2" xfId="30338"/>
    <cellStyle name="Normal 3 3 22 5" xfId="12817"/>
    <cellStyle name="Normal 3 3 22 5 2" xfId="30339"/>
    <cellStyle name="Normal 3 3 22 6" xfId="12818"/>
    <cellStyle name="Normal 3 3 22 6 2" xfId="30340"/>
    <cellStyle name="Normal 3 3 22 7" xfId="12819"/>
    <cellStyle name="Normal 3 3 22 7 2" xfId="30341"/>
    <cellStyle name="Normal 3 3 22 8" xfId="12820"/>
    <cellStyle name="Normal 3 3 22 8 2" xfId="30342"/>
    <cellStyle name="Normal 3 3 22 9" xfId="12821"/>
    <cellStyle name="Normal 3 3 22 9 2" xfId="30343"/>
    <cellStyle name="Normal 3 3 23" xfId="12822"/>
    <cellStyle name="Normal 3 3 23 10" xfId="12823"/>
    <cellStyle name="Normal 3 3 23 10 2" xfId="30345"/>
    <cellStyle name="Normal 3 3 23 11" xfId="12824"/>
    <cellStyle name="Normal 3 3 23 11 2" xfId="30346"/>
    <cellStyle name="Normal 3 3 23 12" xfId="12825"/>
    <cellStyle name="Normal 3 3 23 12 2" xfId="30347"/>
    <cellStyle name="Normal 3 3 23 13" xfId="12826"/>
    <cellStyle name="Normal 3 3 23 13 2" xfId="30348"/>
    <cellStyle name="Normal 3 3 23 14" xfId="12827"/>
    <cellStyle name="Normal 3 3 23 14 2" xfId="30349"/>
    <cellStyle name="Normal 3 3 23 15" xfId="30344"/>
    <cellStyle name="Normal 3 3 23 2" xfId="12828"/>
    <cellStyle name="Normal 3 3 23 2 2" xfId="30350"/>
    <cellStyle name="Normal 3 3 23 3" xfId="12829"/>
    <cellStyle name="Normal 3 3 23 3 2" xfId="30351"/>
    <cellStyle name="Normal 3 3 23 4" xfId="12830"/>
    <cellStyle name="Normal 3 3 23 4 2" xfId="30352"/>
    <cellStyle name="Normal 3 3 23 5" xfId="12831"/>
    <cellStyle name="Normal 3 3 23 5 2" xfId="30353"/>
    <cellStyle name="Normal 3 3 23 6" xfId="12832"/>
    <cellStyle name="Normal 3 3 23 6 2" xfId="30354"/>
    <cellStyle name="Normal 3 3 23 7" xfId="12833"/>
    <cellStyle name="Normal 3 3 23 7 2" xfId="30355"/>
    <cellStyle name="Normal 3 3 23 8" xfId="12834"/>
    <cellStyle name="Normal 3 3 23 8 2" xfId="30356"/>
    <cellStyle name="Normal 3 3 23 9" xfId="12835"/>
    <cellStyle name="Normal 3 3 23 9 2" xfId="30357"/>
    <cellStyle name="Normal 3 3 24" xfId="12836"/>
    <cellStyle name="Normal 3 3 24 10" xfId="12837"/>
    <cellStyle name="Normal 3 3 24 10 2" xfId="30359"/>
    <cellStyle name="Normal 3 3 24 11" xfId="12838"/>
    <cellStyle name="Normal 3 3 24 11 2" xfId="30360"/>
    <cellStyle name="Normal 3 3 24 12" xfId="12839"/>
    <cellStyle name="Normal 3 3 24 12 2" xfId="30361"/>
    <cellStyle name="Normal 3 3 24 13" xfId="12840"/>
    <cellStyle name="Normal 3 3 24 13 2" xfId="30362"/>
    <cellStyle name="Normal 3 3 24 14" xfId="12841"/>
    <cellStyle name="Normal 3 3 24 14 2" xfId="30363"/>
    <cellStyle name="Normal 3 3 24 15" xfId="30358"/>
    <cellStyle name="Normal 3 3 24 2" xfId="12842"/>
    <cellStyle name="Normal 3 3 24 2 2" xfId="30364"/>
    <cellStyle name="Normal 3 3 24 3" xfId="12843"/>
    <cellStyle name="Normal 3 3 24 3 2" xfId="30365"/>
    <cellStyle name="Normal 3 3 24 4" xfId="12844"/>
    <cellStyle name="Normal 3 3 24 4 2" xfId="30366"/>
    <cellStyle name="Normal 3 3 24 5" xfId="12845"/>
    <cellStyle name="Normal 3 3 24 5 2" xfId="30367"/>
    <cellStyle name="Normal 3 3 24 6" xfId="12846"/>
    <cellStyle name="Normal 3 3 24 6 2" xfId="30368"/>
    <cellStyle name="Normal 3 3 24 7" xfId="12847"/>
    <cellStyle name="Normal 3 3 24 7 2" xfId="30369"/>
    <cellStyle name="Normal 3 3 24 8" xfId="12848"/>
    <cellStyle name="Normal 3 3 24 8 2" xfId="30370"/>
    <cellStyle name="Normal 3 3 24 9" xfId="12849"/>
    <cellStyle name="Normal 3 3 24 9 2" xfId="30371"/>
    <cellStyle name="Normal 3 3 25" xfId="12850"/>
    <cellStyle name="Normal 3 3 25 10" xfId="12851"/>
    <cellStyle name="Normal 3 3 25 10 2" xfId="30373"/>
    <cellStyle name="Normal 3 3 25 11" xfId="12852"/>
    <cellStyle name="Normal 3 3 25 11 2" xfId="30374"/>
    <cellStyle name="Normal 3 3 25 12" xfId="12853"/>
    <cellStyle name="Normal 3 3 25 12 2" xfId="30375"/>
    <cellStyle name="Normal 3 3 25 13" xfId="12854"/>
    <cellStyle name="Normal 3 3 25 13 2" xfId="30376"/>
    <cellStyle name="Normal 3 3 25 14" xfId="12855"/>
    <cellStyle name="Normal 3 3 25 14 2" xfId="30377"/>
    <cellStyle name="Normal 3 3 25 15" xfId="30372"/>
    <cellStyle name="Normal 3 3 25 2" xfId="12856"/>
    <cellStyle name="Normal 3 3 25 2 2" xfId="30378"/>
    <cellStyle name="Normal 3 3 25 3" xfId="12857"/>
    <cellStyle name="Normal 3 3 25 3 2" xfId="30379"/>
    <cellStyle name="Normal 3 3 25 4" xfId="12858"/>
    <cellStyle name="Normal 3 3 25 4 2" xfId="30380"/>
    <cellStyle name="Normal 3 3 25 5" xfId="12859"/>
    <cellStyle name="Normal 3 3 25 5 2" xfId="30381"/>
    <cellStyle name="Normal 3 3 25 6" xfId="12860"/>
    <cellStyle name="Normal 3 3 25 6 2" xfId="30382"/>
    <cellStyle name="Normal 3 3 25 7" xfId="12861"/>
    <cellStyle name="Normal 3 3 25 7 2" xfId="30383"/>
    <cellStyle name="Normal 3 3 25 8" xfId="12862"/>
    <cellStyle name="Normal 3 3 25 8 2" xfId="30384"/>
    <cellStyle name="Normal 3 3 25 9" xfId="12863"/>
    <cellStyle name="Normal 3 3 25 9 2" xfId="30385"/>
    <cellStyle name="Normal 3 3 26" xfId="12864"/>
    <cellStyle name="Normal 3 3 26 10" xfId="12865"/>
    <cellStyle name="Normal 3 3 26 10 2" xfId="30387"/>
    <cellStyle name="Normal 3 3 26 11" xfId="12866"/>
    <cellStyle name="Normal 3 3 26 11 2" xfId="30388"/>
    <cellStyle name="Normal 3 3 26 12" xfId="12867"/>
    <cellStyle name="Normal 3 3 26 12 2" xfId="30389"/>
    <cellStyle name="Normal 3 3 26 13" xfId="12868"/>
    <cellStyle name="Normal 3 3 26 13 2" xfId="30390"/>
    <cellStyle name="Normal 3 3 26 14" xfId="12869"/>
    <cellStyle name="Normal 3 3 26 14 2" xfId="30391"/>
    <cellStyle name="Normal 3 3 26 15" xfId="30386"/>
    <cellStyle name="Normal 3 3 26 2" xfId="12870"/>
    <cellStyle name="Normal 3 3 26 2 2" xfId="30392"/>
    <cellStyle name="Normal 3 3 26 3" xfId="12871"/>
    <cellStyle name="Normal 3 3 26 3 2" xfId="30393"/>
    <cellStyle name="Normal 3 3 26 4" xfId="12872"/>
    <cellStyle name="Normal 3 3 26 4 2" xfId="30394"/>
    <cellStyle name="Normal 3 3 26 5" xfId="12873"/>
    <cellStyle name="Normal 3 3 26 5 2" xfId="30395"/>
    <cellStyle name="Normal 3 3 26 6" xfId="12874"/>
    <cellStyle name="Normal 3 3 26 6 2" xfId="30396"/>
    <cellStyle name="Normal 3 3 26 7" xfId="12875"/>
    <cellStyle name="Normal 3 3 26 7 2" xfId="30397"/>
    <cellStyle name="Normal 3 3 26 8" xfId="12876"/>
    <cellStyle name="Normal 3 3 26 8 2" xfId="30398"/>
    <cellStyle name="Normal 3 3 26 9" xfId="12877"/>
    <cellStyle name="Normal 3 3 26 9 2" xfId="30399"/>
    <cellStyle name="Normal 3 3 27" xfId="12878"/>
    <cellStyle name="Normal 3 3 27 10" xfId="12879"/>
    <cellStyle name="Normal 3 3 27 10 2" xfId="30401"/>
    <cellStyle name="Normal 3 3 27 11" xfId="12880"/>
    <cellStyle name="Normal 3 3 27 11 2" xfId="30402"/>
    <cellStyle name="Normal 3 3 27 12" xfId="12881"/>
    <cellStyle name="Normal 3 3 27 12 2" xfId="30403"/>
    <cellStyle name="Normal 3 3 27 13" xfId="12882"/>
    <cellStyle name="Normal 3 3 27 13 2" xfId="30404"/>
    <cellStyle name="Normal 3 3 27 14" xfId="12883"/>
    <cellStyle name="Normal 3 3 27 14 2" xfId="30405"/>
    <cellStyle name="Normal 3 3 27 15" xfId="30400"/>
    <cellStyle name="Normal 3 3 27 2" xfId="12884"/>
    <cellStyle name="Normal 3 3 27 2 2" xfId="30406"/>
    <cellStyle name="Normal 3 3 27 3" xfId="12885"/>
    <cellStyle name="Normal 3 3 27 3 2" xfId="30407"/>
    <cellStyle name="Normal 3 3 27 4" xfId="12886"/>
    <cellStyle name="Normal 3 3 27 4 2" xfId="30408"/>
    <cellStyle name="Normal 3 3 27 5" xfId="12887"/>
    <cellStyle name="Normal 3 3 27 5 2" xfId="30409"/>
    <cellStyle name="Normal 3 3 27 6" xfId="12888"/>
    <cellStyle name="Normal 3 3 27 6 2" xfId="30410"/>
    <cellStyle name="Normal 3 3 27 7" xfId="12889"/>
    <cellStyle name="Normal 3 3 27 7 2" xfId="30411"/>
    <cellStyle name="Normal 3 3 27 8" xfId="12890"/>
    <cellStyle name="Normal 3 3 27 8 2" xfId="30412"/>
    <cellStyle name="Normal 3 3 27 9" xfId="12891"/>
    <cellStyle name="Normal 3 3 27 9 2" xfId="30413"/>
    <cellStyle name="Normal 3 3 28" xfId="12892"/>
    <cellStyle name="Normal 3 3 29" xfId="12893"/>
    <cellStyle name="Normal 3 3 3" xfId="489"/>
    <cellStyle name="Normal 3 3 3 10" xfId="12895"/>
    <cellStyle name="Normal 3 3 3 10 10" xfId="12896"/>
    <cellStyle name="Normal 3 3 3 10 10 2" xfId="30416"/>
    <cellStyle name="Normal 3 3 3 10 11" xfId="12897"/>
    <cellStyle name="Normal 3 3 3 10 11 2" xfId="30417"/>
    <cellStyle name="Normal 3 3 3 10 12" xfId="12898"/>
    <cellStyle name="Normal 3 3 3 10 12 2" xfId="30418"/>
    <cellStyle name="Normal 3 3 3 10 13" xfId="12899"/>
    <cellStyle name="Normal 3 3 3 10 13 2" xfId="30419"/>
    <cellStyle name="Normal 3 3 3 10 14" xfId="12900"/>
    <cellStyle name="Normal 3 3 3 10 14 2" xfId="30420"/>
    <cellStyle name="Normal 3 3 3 10 15" xfId="30415"/>
    <cellStyle name="Normal 3 3 3 10 2" xfId="12901"/>
    <cellStyle name="Normal 3 3 3 10 2 2" xfId="30421"/>
    <cellStyle name="Normal 3 3 3 10 3" xfId="12902"/>
    <cellStyle name="Normal 3 3 3 10 3 2" xfId="30422"/>
    <cellStyle name="Normal 3 3 3 10 4" xfId="12903"/>
    <cellStyle name="Normal 3 3 3 10 4 2" xfId="30423"/>
    <cellStyle name="Normal 3 3 3 10 5" xfId="12904"/>
    <cellStyle name="Normal 3 3 3 10 5 2" xfId="30424"/>
    <cellStyle name="Normal 3 3 3 10 6" xfId="12905"/>
    <cellStyle name="Normal 3 3 3 10 6 2" xfId="30425"/>
    <cellStyle name="Normal 3 3 3 10 7" xfId="12906"/>
    <cellStyle name="Normal 3 3 3 10 7 2" xfId="30426"/>
    <cellStyle name="Normal 3 3 3 10 8" xfId="12907"/>
    <cellStyle name="Normal 3 3 3 10 8 2" xfId="30427"/>
    <cellStyle name="Normal 3 3 3 10 9" xfId="12908"/>
    <cellStyle name="Normal 3 3 3 10 9 2" xfId="30428"/>
    <cellStyle name="Normal 3 3 3 11" xfId="12909"/>
    <cellStyle name="Normal 3 3 3 11 10" xfId="12910"/>
    <cellStyle name="Normal 3 3 3 11 10 2" xfId="30430"/>
    <cellStyle name="Normal 3 3 3 11 11" xfId="12911"/>
    <cellStyle name="Normal 3 3 3 11 11 2" xfId="30431"/>
    <cellStyle name="Normal 3 3 3 11 12" xfId="12912"/>
    <cellStyle name="Normal 3 3 3 11 12 2" xfId="30432"/>
    <cellStyle name="Normal 3 3 3 11 13" xfId="12913"/>
    <cellStyle name="Normal 3 3 3 11 13 2" xfId="30433"/>
    <cellStyle name="Normal 3 3 3 11 14" xfId="12914"/>
    <cellStyle name="Normal 3 3 3 11 14 2" xfId="30434"/>
    <cellStyle name="Normal 3 3 3 11 15" xfId="30429"/>
    <cellStyle name="Normal 3 3 3 11 2" xfId="12915"/>
    <cellStyle name="Normal 3 3 3 11 2 2" xfId="30435"/>
    <cellStyle name="Normal 3 3 3 11 3" xfId="12916"/>
    <cellStyle name="Normal 3 3 3 11 3 2" xfId="30436"/>
    <cellStyle name="Normal 3 3 3 11 4" xfId="12917"/>
    <cellStyle name="Normal 3 3 3 11 4 2" xfId="30437"/>
    <cellStyle name="Normal 3 3 3 11 5" xfId="12918"/>
    <cellStyle name="Normal 3 3 3 11 5 2" xfId="30438"/>
    <cellStyle name="Normal 3 3 3 11 6" xfId="12919"/>
    <cellStyle name="Normal 3 3 3 11 6 2" xfId="30439"/>
    <cellStyle name="Normal 3 3 3 11 7" xfId="12920"/>
    <cellStyle name="Normal 3 3 3 11 7 2" xfId="30440"/>
    <cellStyle name="Normal 3 3 3 11 8" xfId="12921"/>
    <cellStyle name="Normal 3 3 3 11 8 2" xfId="30441"/>
    <cellStyle name="Normal 3 3 3 11 9" xfId="12922"/>
    <cellStyle name="Normal 3 3 3 11 9 2" xfId="30442"/>
    <cellStyle name="Normal 3 3 3 12" xfId="12923"/>
    <cellStyle name="Normal 3 3 3 12 10" xfId="12924"/>
    <cellStyle name="Normal 3 3 3 12 10 2" xfId="30444"/>
    <cellStyle name="Normal 3 3 3 12 11" xfId="12925"/>
    <cellStyle name="Normal 3 3 3 12 11 2" xfId="30445"/>
    <cellStyle name="Normal 3 3 3 12 12" xfId="12926"/>
    <cellStyle name="Normal 3 3 3 12 12 2" xfId="30446"/>
    <cellStyle name="Normal 3 3 3 12 13" xfId="12927"/>
    <cellStyle name="Normal 3 3 3 12 13 2" xfId="30447"/>
    <cellStyle name="Normal 3 3 3 12 14" xfId="12928"/>
    <cellStyle name="Normal 3 3 3 12 14 2" xfId="30448"/>
    <cellStyle name="Normal 3 3 3 12 15" xfId="30443"/>
    <cellStyle name="Normal 3 3 3 12 2" xfId="12929"/>
    <cellStyle name="Normal 3 3 3 12 2 2" xfId="30449"/>
    <cellStyle name="Normal 3 3 3 12 3" xfId="12930"/>
    <cellStyle name="Normal 3 3 3 12 3 2" xfId="30450"/>
    <cellStyle name="Normal 3 3 3 12 4" xfId="12931"/>
    <cellStyle name="Normal 3 3 3 12 4 2" xfId="30451"/>
    <cellStyle name="Normal 3 3 3 12 5" xfId="12932"/>
    <cellStyle name="Normal 3 3 3 12 5 2" xfId="30452"/>
    <cellStyle name="Normal 3 3 3 12 6" xfId="12933"/>
    <cellStyle name="Normal 3 3 3 12 6 2" xfId="30453"/>
    <cellStyle name="Normal 3 3 3 12 7" xfId="12934"/>
    <cellStyle name="Normal 3 3 3 12 7 2" xfId="30454"/>
    <cellStyle name="Normal 3 3 3 12 8" xfId="12935"/>
    <cellStyle name="Normal 3 3 3 12 8 2" xfId="30455"/>
    <cellStyle name="Normal 3 3 3 12 9" xfId="12936"/>
    <cellStyle name="Normal 3 3 3 12 9 2" xfId="30456"/>
    <cellStyle name="Normal 3 3 3 13" xfId="12937"/>
    <cellStyle name="Normal 3 3 3 13 10" xfId="12938"/>
    <cellStyle name="Normal 3 3 3 13 10 2" xfId="30458"/>
    <cellStyle name="Normal 3 3 3 13 11" xfId="12939"/>
    <cellStyle name="Normal 3 3 3 13 11 2" xfId="30459"/>
    <cellStyle name="Normal 3 3 3 13 12" xfId="12940"/>
    <cellStyle name="Normal 3 3 3 13 12 2" xfId="30460"/>
    <cellStyle name="Normal 3 3 3 13 13" xfId="12941"/>
    <cellStyle name="Normal 3 3 3 13 13 2" xfId="30461"/>
    <cellStyle name="Normal 3 3 3 13 14" xfId="12942"/>
    <cellStyle name="Normal 3 3 3 13 14 2" xfId="30462"/>
    <cellStyle name="Normal 3 3 3 13 15" xfId="30457"/>
    <cellStyle name="Normal 3 3 3 13 2" xfId="12943"/>
    <cellStyle name="Normal 3 3 3 13 2 2" xfId="30463"/>
    <cellStyle name="Normal 3 3 3 13 3" xfId="12944"/>
    <cellStyle name="Normal 3 3 3 13 3 2" xfId="30464"/>
    <cellStyle name="Normal 3 3 3 13 4" xfId="12945"/>
    <cellStyle name="Normal 3 3 3 13 4 2" xfId="30465"/>
    <cellStyle name="Normal 3 3 3 13 5" xfId="12946"/>
    <cellStyle name="Normal 3 3 3 13 5 2" xfId="30466"/>
    <cellStyle name="Normal 3 3 3 13 6" xfId="12947"/>
    <cellStyle name="Normal 3 3 3 13 6 2" xfId="30467"/>
    <cellStyle name="Normal 3 3 3 13 7" xfId="12948"/>
    <cellStyle name="Normal 3 3 3 13 7 2" xfId="30468"/>
    <cellStyle name="Normal 3 3 3 13 8" xfId="12949"/>
    <cellStyle name="Normal 3 3 3 13 8 2" xfId="30469"/>
    <cellStyle name="Normal 3 3 3 13 9" xfId="12950"/>
    <cellStyle name="Normal 3 3 3 13 9 2" xfId="30470"/>
    <cellStyle name="Normal 3 3 3 14" xfId="12951"/>
    <cellStyle name="Normal 3 3 3 14 10" xfId="12952"/>
    <cellStyle name="Normal 3 3 3 14 10 2" xfId="30472"/>
    <cellStyle name="Normal 3 3 3 14 11" xfId="12953"/>
    <cellStyle name="Normal 3 3 3 14 11 2" xfId="30473"/>
    <cellStyle name="Normal 3 3 3 14 12" xfId="12954"/>
    <cellStyle name="Normal 3 3 3 14 12 2" xfId="30474"/>
    <cellStyle name="Normal 3 3 3 14 13" xfId="12955"/>
    <cellStyle name="Normal 3 3 3 14 13 2" xfId="30475"/>
    <cellStyle name="Normal 3 3 3 14 14" xfId="12956"/>
    <cellStyle name="Normal 3 3 3 14 14 2" xfId="30476"/>
    <cellStyle name="Normal 3 3 3 14 15" xfId="30471"/>
    <cellStyle name="Normal 3 3 3 14 2" xfId="12957"/>
    <cellStyle name="Normal 3 3 3 14 2 2" xfId="30477"/>
    <cellStyle name="Normal 3 3 3 14 3" xfId="12958"/>
    <cellStyle name="Normal 3 3 3 14 3 2" xfId="30478"/>
    <cellStyle name="Normal 3 3 3 14 4" xfId="12959"/>
    <cellStyle name="Normal 3 3 3 14 4 2" xfId="30479"/>
    <cellStyle name="Normal 3 3 3 14 5" xfId="12960"/>
    <cellStyle name="Normal 3 3 3 14 5 2" xfId="30480"/>
    <cellStyle name="Normal 3 3 3 14 6" xfId="12961"/>
    <cellStyle name="Normal 3 3 3 14 6 2" xfId="30481"/>
    <cellStyle name="Normal 3 3 3 14 7" xfId="12962"/>
    <cellStyle name="Normal 3 3 3 14 7 2" xfId="30482"/>
    <cellStyle name="Normal 3 3 3 14 8" xfId="12963"/>
    <cellStyle name="Normal 3 3 3 14 8 2" xfId="30483"/>
    <cellStyle name="Normal 3 3 3 14 9" xfId="12964"/>
    <cellStyle name="Normal 3 3 3 14 9 2" xfId="30484"/>
    <cellStyle name="Normal 3 3 3 15" xfId="12965"/>
    <cellStyle name="Normal 3 3 3 15 2" xfId="30485"/>
    <cellStyle name="Normal 3 3 3 16" xfId="12966"/>
    <cellStyle name="Normal 3 3 3 16 2" xfId="30486"/>
    <cellStyle name="Normal 3 3 3 17" xfId="12967"/>
    <cellStyle name="Normal 3 3 3 17 2" xfId="30487"/>
    <cellStyle name="Normal 3 3 3 18" xfId="12968"/>
    <cellStyle name="Normal 3 3 3 18 2" xfId="30488"/>
    <cellStyle name="Normal 3 3 3 19" xfId="12969"/>
    <cellStyle name="Normal 3 3 3 19 2" xfId="30489"/>
    <cellStyle name="Normal 3 3 3 2" xfId="12970"/>
    <cellStyle name="Normal 3 3 3 20" xfId="12971"/>
    <cellStyle name="Normal 3 3 3 20 2" xfId="30490"/>
    <cellStyle name="Normal 3 3 3 21" xfId="12972"/>
    <cellStyle name="Normal 3 3 3 21 2" xfId="30491"/>
    <cellStyle name="Normal 3 3 3 22" xfId="12973"/>
    <cellStyle name="Normal 3 3 3 22 2" xfId="30492"/>
    <cellStyle name="Normal 3 3 3 23" xfId="12974"/>
    <cellStyle name="Normal 3 3 3 23 2" xfId="30493"/>
    <cellStyle name="Normal 3 3 3 24" xfId="12975"/>
    <cellStyle name="Normal 3 3 3 24 2" xfId="30494"/>
    <cellStyle name="Normal 3 3 3 25" xfId="12976"/>
    <cellStyle name="Normal 3 3 3 25 2" xfId="30495"/>
    <cellStyle name="Normal 3 3 3 26" xfId="12977"/>
    <cellStyle name="Normal 3 3 3 26 2" xfId="30496"/>
    <cellStyle name="Normal 3 3 3 27" xfId="12978"/>
    <cellStyle name="Normal 3 3 3 27 2" xfId="30497"/>
    <cellStyle name="Normal 3 3 3 28" xfId="12894"/>
    <cellStyle name="Normal 3 3 3 29" xfId="30414"/>
    <cellStyle name="Normal 3 3 3 3" xfId="12979"/>
    <cellStyle name="Normal 3 3 3 4" xfId="12980"/>
    <cellStyle name="Normal 3 3 3 5" xfId="12981"/>
    <cellStyle name="Normal 3 3 3 6" xfId="12982"/>
    <cellStyle name="Normal 3 3 3 6 10" xfId="12983"/>
    <cellStyle name="Normal 3 3 3 6 10 2" xfId="30499"/>
    <cellStyle name="Normal 3 3 3 6 11" xfId="12984"/>
    <cellStyle name="Normal 3 3 3 6 11 2" xfId="30500"/>
    <cellStyle name="Normal 3 3 3 6 12" xfId="12985"/>
    <cellStyle name="Normal 3 3 3 6 12 2" xfId="30501"/>
    <cellStyle name="Normal 3 3 3 6 13" xfId="12986"/>
    <cellStyle name="Normal 3 3 3 6 13 2" xfId="30502"/>
    <cellStyle name="Normal 3 3 3 6 14" xfId="12987"/>
    <cellStyle name="Normal 3 3 3 6 14 2" xfId="30503"/>
    <cellStyle name="Normal 3 3 3 6 15" xfId="12988"/>
    <cellStyle name="Normal 3 3 3 6 15 2" xfId="30504"/>
    <cellStyle name="Normal 3 3 3 6 16" xfId="30498"/>
    <cellStyle name="Normal 3 3 3 6 2" xfId="12989"/>
    <cellStyle name="Normal 3 3 3 6 2 10" xfId="12990"/>
    <cellStyle name="Normal 3 3 3 6 2 10 2" xfId="30506"/>
    <cellStyle name="Normal 3 3 3 6 2 11" xfId="12991"/>
    <cellStyle name="Normal 3 3 3 6 2 11 2" xfId="30507"/>
    <cellStyle name="Normal 3 3 3 6 2 12" xfId="12992"/>
    <cellStyle name="Normal 3 3 3 6 2 12 2" xfId="30508"/>
    <cellStyle name="Normal 3 3 3 6 2 13" xfId="12993"/>
    <cellStyle name="Normal 3 3 3 6 2 13 2" xfId="30509"/>
    <cellStyle name="Normal 3 3 3 6 2 14" xfId="12994"/>
    <cellStyle name="Normal 3 3 3 6 2 14 2" xfId="30510"/>
    <cellStyle name="Normal 3 3 3 6 2 15" xfId="30505"/>
    <cellStyle name="Normal 3 3 3 6 2 2" xfId="12995"/>
    <cellStyle name="Normal 3 3 3 6 2 2 2" xfId="30511"/>
    <cellStyle name="Normal 3 3 3 6 2 3" xfId="12996"/>
    <cellStyle name="Normal 3 3 3 6 2 3 2" xfId="30512"/>
    <cellStyle name="Normal 3 3 3 6 2 4" xfId="12997"/>
    <cellStyle name="Normal 3 3 3 6 2 4 2" xfId="30513"/>
    <cellStyle name="Normal 3 3 3 6 2 5" xfId="12998"/>
    <cellStyle name="Normal 3 3 3 6 2 5 2" xfId="30514"/>
    <cellStyle name="Normal 3 3 3 6 2 6" xfId="12999"/>
    <cellStyle name="Normal 3 3 3 6 2 6 2" xfId="30515"/>
    <cellStyle name="Normal 3 3 3 6 2 7" xfId="13000"/>
    <cellStyle name="Normal 3 3 3 6 2 7 2" xfId="30516"/>
    <cellStyle name="Normal 3 3 3 6 2 8" xfId="13001"/>
    <cellStyle name="Normal 3 3 3 6 2 8 2" xfId="30517"/>
    <cellStyle name="Normal 3 3 3 6 2 9" xfId="13002"/>
    <cellStyle name="Normal 3 3 3 6 2 9 2" xfId="30518"/>
    <cellStyle name="Normal 3 3 3 6 3" xfId="13003"/>
    <cellStyle name="Normal 3 3 3 6 3 2" xfId="30519"/>
    <cellStyle name="Normal 3 3 3 6 4" xfId="13004"/>
    <cellStyle name="Normal 3 3 3 6 4 2" xfId="30520"/>
    <cellStyle name="Normal 3 3 3 6 5" xfId="13005"/>
    <cellStyle name="Normal 3 3 3 6 5 2" xfId="30521"/>
    <cellStyle name="Normal 3 3 3 6 6" xfId="13006"/>
    <cellStyle name="Normal 3 3 3 6 6 2" xfId="30522"/>
    <cellStyle name="Normal 3 3 3 6 7" xfId="13007"/>
    <cellStyle name="Normal 3 3 3 6 7 2" xfId="30523"/>
    <cellStyle name="Normal 3 3 3 6 8" xfId="13008"/>
    <cellStyle name="Normal 3 3 3 6 8 2" xfId="30524"/>
    <cellStyle name="Normal 3 3 3 6 9" xfId="13009"/>
    <cellStyle name="Normal 3 3 3 6 9 2" xfId="30525"/>
    <cellStyle name="Normal 3 3 3 7" xfId="13010"/>
    <cellStyle name="Normal 3 3 3 7 10" xfId="13011"/>
    <cellStyle name="Normal 3 3 3 7 10 2" xfId="30527"/>
    <cellStyle name="Normal 3 3 3 7 11" xfId="13012"/>
    <cellStyle name="Normal 3 3 3 7 11 2" xfId="30528"/>
    <cellStyle name="Normal 3 3 3 7 12" xfId="13013"/>
    <cellStyle name="Normal 3 3 3 7 12 2" xfId="30529"/>
    <cellStyle name="Normal 3 3 3 7 13" xfId="13014"/>
    <cellStyle name="Normal 3 3 3 7 13 2" xfId="30530"/>
    <cellStyle name="Normal 3 3 3 7 14" xfId="13015"/>
    <cellStyle name="Normal 3 3 3 7 14 2" xfId="30531"/>
    <cellStyle name="Normal 3 3 3 7 15" xfId="13016"/>
    <cellStyle name="Normal 3 3 3 7 15 2" xfId="30532"/>
    <cellStyle name="Normal 3 3 3 7 16" xfId="30526"/>
    <cellStyle name="Normal 3 3 3 7 2" xfId="13017"/>
    <cellStyle name="Normal 3 3 3 7 2 10" xfId="13018"/>
    <cellStyle name="Normal 3 3 3 7 2 10 2" xfId="30534"/>
    <cellStyle name="Normal 3 3 3 7 2 11" xfId="13019"/>
    <cellStyle name="Normal 3 3 3 7 2 11 2" xfId="30535"/>
    <cellStyle name="Normal 3 3 3 7 2 12" xfId="13020"/>
    <cellStyle name="Normal 3 3 3 7 2 12 2" xfId="30536"/>
    <cellStyle name="Normal 3 3 3 7 2 13" xfId="13021"/>
    <cellStyle name="Normal 3 3 3 7 2 13 2" xfId="30537"/>
    <cellStyle name="Normal 3 3 3 7 2 14" xfId="13022"/>
    <cellStyle name="Normal 3 3 3 7 2 14 2" xfId="30538"/>
    <cellStyle name="Normal 3 3 3 7 2 15" xfId="30533"/>
    <cellStyle name="Normal 3 3 3 7 2 2" xfId="13023"/>
    <cellStyle name="Normal 3 3 3 7 2 2 2" xfId="30539"/>
    <cellStyle name="Normal 3 3 3 7 2 3" xfId="13024"/>
    <cellStyle name="Normal 3 3 3 7 2 3 2" xfId="30540"/>
    <cellStyle name="Normal 3 3 3 7 2 4" xfId="13025"/>
    <cellStyle name="Normal 3 3 3 7 2 4 2" xfId="30541"/>
    <cellStyle name="Normal 3 3 3 7 2 5" xfId="13026"/>
    <cellStyle name="Normal 3 3 3 7 2 5 2" xfId="30542"/>
    <cellStyle name="Normal 3 3 3 7 2 6" xfId="13027"/>
    <cellStyle name="Normal 3 3 3 7 2 6 2" xfId="30543"/>
    <cellStyle name="Normal 3 3 3 7 2 7" xfId="13028"/>
    <cellStyle name="Normal 3 3 3 7 2 7 2" xfId="30544"/>
    <cellStyle name="Normal 3 3 3 7 2 8" xfId="13029"/>
    <cellStyle name="Normal 3 3 3 7 2 8 2" xfId="30545"/>
    <cellStyle name="Normal 3 3 3 7 2 9" xfId="13030"/>
    <cellStyle name="Normal 3 3 3 7 2 9 2" xfId="30546"/>
    <cellStyle name="Normal 3 3 3 7 3" xfId="13031"/>
    <cellStyle name="Normal 3 3 3 7 3 2" xfId="30547"/>
    <cellStyle name="Normal 3 3 3 7 4" xfId="13032"/>
    <cellStyle name="Normal 3 3 3 7 4 2" xfId="30548"/>
    <cellStyle name="Normal 3 3 3 7 5" xfId="13033"/>
    <cellStyle name="Normal 3 3 3 7 5 2" xfId="30549"/>
    <cellStyle name="Normal 3 3 3 7 6" xfId="13034"/>
    <cellStyle name="Normal 3 3 3 7 6 2" xfId="30550"/>
    <cellStyle name="Normal 3 3 3 7 7" xfId="13035"/>
    <cellStyle name="Normal 3 3 3 7 7 2" xfId="30551"/>
    <cellStyle name="Normal 3 3 3 7 8" xfId="13036"/>
    <cellStyle name="Normal 3 3 3 7 8 2" xfId="30552"/>
    <cellStyle name="Normal 3 3 3 7 9" xfId="13037"/>
    <cellStyle name="Normal 3 3 3 7 9 2" xfId="30553"/>
    <cellStyle name="Normal 3 3 3 8" xfId="13038"/>
    <cellStyle name="Normal 3 3 3 8 10" xfId="13039"/>
    <cellStyle name="Normal 3 3 3 8 10 2" xfId="30555"/>
    <cellStyle name="Normal 3 3 3 8 11" xfId="13040"/>
    <cellStyle name="Normal 3 3 3 8 11 2" xfId="30556"/>
    <cellStyle name="Normal 3 3 3 8 12" xfId="13041"/>
    <cellStyle name="Normal 3 3 3 8 12 2" xfId="30557"/>
    <cellStyle name="Normal 3 3 3 8 13" xfId="13042"/>
    <cellStyle name="Normal 3 3 3 8 13 2" xfId="30558"/>
    <cellStyle name="Normal 3 3 3 8 14" xfId="13043"/>
    <cellStyle name="Normal 3 3 3 8 14 2" xfId="30559"/>
    <cellStyle name="Normal 3 3 3 8 15" xfId="13044"/>
    <cellStyle name="Normal 3 3 3 8 15 2" xfId="30560"/>
    <cellStyle name="Normal 3 3 3 8 16" xfId="30554"/>
    <cellStyle name="Normal 3 3 3 8 2" xfId="13045"/>
    <cellStyle name="Normal 3 3 3 8 2 10" xfId="13046"/>
    <cellStyle name="Normal 3 3 3 8 2 10 2" xfId="30562"/>
    <cellStyle name="Normal 3 3 3 8 2 11" xfId="13047"/>
    <cellStyle name="Normal 3 3 3 8 2 11 2" xfId="30563"/>
    <cellStyle name="Normal 3 3 3 8 2 12" xfId="13048"/>
    <cellStyle name="Normal 3 3 3 8 2 12 2" xfId="30564"/>
    <cellStyle name="Normal 3 3 3 8 2 13" xfId="13049"/>
    <cellStyle name="Normal 3 3 3 8 2 13 2" xfId="30565"/>
    <cellStyle name="Normal 3 3 3 8 2 14" xfId="13050"/>
    <cellStyle name="Normal 3 3 3 8 2 14 2" xfId="30566"/>
    <cellStyle name="Normal 3 3 3 8 2 15" xfId="30561"/>
    <cellStyle name="Normal 3 3 3 8 2 2" xfId="13051"/>
    <cellStyle name="Normal 3 3 3 8 2 2 2" xfId="30567"/>
    <cellStyle name="Normal 3 3 3 8 2 3" xfId="13052"/>
    <cellStyle name="Normal 3 3 3 8 2 3 2" xfId="30568"/>
    <cellStyle name="Normal 3 3 3 8 2 4" xfId="13053"/>
    <cellStyle name="Normal 3 3 3 8 2 4 2" xfId="30569"/>
    <cellStyle name="Normal 3 3 3 8 2 5" xfId="13054"/>
    <cellStyle name="Normal 3 3 3 8 2 5 2" xfId="30570"/>
    <cellStyle name="Normal 3 3 3 8 2 6" xfId="13055"/>
    <cellStyle name="Normal 3 3 3 8 2 6 2" xfId="30571"/>
    <cellStyle name="Normal 3 3 3 8 2 7" xfId="13056"/>
    <cellStyle name="Normal 3 3 3 8 2 7 2" xfId="30572"/>
    <cellStyle name="Normal 3 3 3 8 2 8" xfId="13057"/>
    <cellStyle name="Normal 3 3 3 8 2 8 2" xfId="30573"/>
    <cellStyle name="Normal 3 3 3 8 2 9" xfId="13058"/>
    <cellStyle name="Normal 3 3 3 8 2 9 2" xfId="30574"/>
    <cellStyle name="Normal 3 3 3 8 3" xfId="13059"/>
    <cellStyle name="Normal 3 3 3 8 3 2" xfId="30575"/>
    <cellStyle name="Normal 3 3 3 8 4" xfId="13060"/>
    <cellStyle name="Normal 3 3 3 8 4 2" xfId="30576"/>
    <cellStyle name="Normal 3 3 3 8 5" xfId="13061"/>
    <cellStyle name="Normal 3 3 3 8 5 2" xfId="30577"/>
    <cellStyle name="Normal 3 3 3 8 6" xfId="13062"/>
    <cellStyle name="Normal 3 3 3 8 6 2" xfId="30578"/>
    <cellStyle name="Normal 3 3 3 8 7" xfId="13063"/>
    <cellStyle name="Normal 3 3 3 8 7 2" xfId="30579"/>
    <cellStyle name="Normal 3 3 3 8 8" xfId="13064"/>
    <cellStyle name="Normal 3 3 3 8 8 2" xfId="30580"/>
    <cellStyle name="Normal 3 3 3 8 9" xfId="13065"/>
    <cellStyle name="Normal 3 3 3 8 9 2" xfId="30581"/>
    <cellStyle name="Normal 3 3 3 9" xfId="13066"/>
    <cellStyle name="Normal 3 3 3 9 10" xfId="13067"/>
    <cellStyle name="Normal 3 3 3 9 10 2" xfId="30583"/>
    <cellStyle name="Normal 3 3 3 9 11" xfId="13068"/>
    <cellStyle name="Normal 3 3 3 9 11 2" xfId="30584"/>
    <cellStyle name="Normal 3 3 3 9 12" xfId="13069"/>
    <cellStyle name="Normal 3 3 3 9 12 2" xfId="30585"/>
    <cellStyle name="Normal 3 3 3 9 13" xfId="13070"/>
    <cellStyle name="Normal 3 3 3 9 13 2" xfId="30586"/>
    <cellStyle name="Normal 3 3 3 9 14" xfId="13071"/>
    <cellStyle name="Normal 3 3 3 9 14 2" xfId="30587"/>
    <cellStyle name="Normal 3 3 3 9 15" xfId="30582"/>
    <cellStyle name="Normal 3 3 3 9 2" xfId="13072"/>
    <cellStyle name="Normal 3 3 3 9 2 2" xfId="30588"/>
    <cellStyle name="Normal 3 3 3 9 3" xfId="13073"/>
    <cellStyle name="Normal 3 3 3 9 3 2" xfId="30589"/>
    <cellStyle name="Normal 3 3 3 9 4" xfId="13074"/>
    <cellStyle name="Normal 3 3 3 9 4 2" xfId="30590"/>
    <cellStyle name="Normal 3 3 3 9 5" xfId="13075"/>
    <cellStyle name="Normal 3 3 3 9 5 2" xfId="30591"/>
    <cellStyle name="Normal 3 3 3 9 6" xfId="13076"/>
    <cellStyle name="Normal 3 3 3 9 6 2" xfId="30592"/>
    <cellStyle name="Normal 3 3 3 9 7" xfId="13077"/>
    <cellStyle name="Normal 3 3 3 9 7 2" xfId="30593"/>
    <cellStyle name="Normal 3 3 3 9 8" xfId="13078"/>
    <cellStyle name="Normal 3 3 3 9 8 2" xfId="30594"/>
    <cellStyle name="Normal 3 3 3 9 9" xfId="13079"/>
    <cellStyle name="Normal 3 3 3 9 9 2" xfId="30595"/>
    <cellStyle name="Normal 3 3 30" xfId="13080"/>
    <cellStyle name="Normal 3 3 30 10" xfId="13081"/>
    <cellStyle name="Normal 3 3 30 10 2" xfId="30597"/>
    <cellStyle name="Normal 3 3 30 11" xfId="13082"/>
    <cellStyle name="Normal 3 3 30 11 2" xfId="30598"/>
    <cellStyle name="Normal 3 3 30 12" xfId="13083"/>
    <cellStyle name="Normal 3 3 30 12 2" xfId="30599"/>
    <cellStyle name="Normal 3 3 30 13" xfId="13084"/>
    <cellStyle name="Normal 3 3 30 13 2" xfId="30600"/>
    <cellStyle name="Normal 3 3 30 14" xfId="13085"/>
    <cellStyle name="Normal 3 3 30 14 2" xfId="30601"/>
    <cellStyle name="Normal 3 3 30 15" xfId="30596"/>
    <cellStyle name="Normal 3 3 30 2" xfId="13086"/>
    <cellStyle name="Normal 3 3 30 2 2" xfId="30602"/>
    <cellStyle name="Normal 3 3 30 3" xfId="13087"/>
    <cellStyle name="Normal 3 3 30 3 2" xfId="30603"/>
    <cellStyle name="Normal 3 3 30 4" xfId="13088"/>
    <cellStyle name="Normal 3 3 30 4 2" xfId="30604"/>
    <cellStyle name="Normal 3 3 30 5" xfId="13089"/>
    <cellStyle name="Normal 3 3 30 5 2" xfId="30605"/>
    <cellStyle name="Normal 3 3 30 6" xfId="13090"/>
    <cellStyle name="Normal 3 3 30 6 2" xfId="30606"/>
    <cellStyle name="Normal 3 3 30 7" xfId="13091"/>
    <cellStyle name="Normal 3 3 30 7 2" xfId="30607"/>
    <cellStyle name="Normal 3 3 30 8" xfId="13092"/>
    <cellStyle name="Normal 3 3 30 8 2" xfId="30608"/>
    <cellStyle name="Normal 3 3 30 9" xfId="13093"/>
    <cellStyle name="Normal 3 3 30 9 2" xfId="30609"/>
    <cellStyle name="Normal 3 3 31" xfId="13094"/>
    <cellStyle name="Normal 3 3 31 10" xfId="13095"/>
    <cellStyle name="Normal 3 3 31 10 2" xfId="30611"/>
    <cellStyle name="Normal 3 3 31 11" xfId="13096"/>
    <cellStyle name="Normal 3 3 31 11 2" xfId="30612"/>
    <cellStyle name="Normal 3 3 31 12" xfId="13097"/>
    <cellStyle name="Normal 3 3 31 12 2" xfId="30613"/>
    <cellStyle name="Normal 3 3 31 13" xfId="13098"/>
    <cellStyle name="Normal 3 3 31 13 2" xfId="30614"/>
    <cellStyle name="Normal 3 3 31 14" xfId="13099"/>
    <cellStyle name="Normal 3 3 31 14 2" xfId="30615"/>
    <cellStyle name="Normal 3 3 31 15" xfId="30610"/>
    <cellStyle name="Normal 3 3 31 2" xfId="13100"/>
    <cellStyle name="Normal 3 3 31 2 2" xfId="30616"/>
    <cellStyle name="Normal 3 3 31 3" xfId="13101"/>
    <cellStyle name="Normal 3 3 31 3 2" xfId="30617"/>
    <cellStyle name="Normal 3 3 31 4" xfId="13102"/>
    <cellStyle name="Normal 3 3 31 4 2" xfId="30618"/>
    <cellStyle name="Normal 3 3 31 5" xfId="13103"/>
    <cellStyle name="Normal 3 3 31 5 2" xfId="30619"/>
    <cellStyle name="Normal 3 3 31 6" xfId="13104"/>
    <cellStyle name="Normal 3 3 31 6 2" xfId="30620"/>
    <cellStyle name="Normal 3 3 31 7" xfId="13105"/>
    <cellStyle name="Normal 3 3 31 7 2" xfId="30621"/>
    <cellStyle name="Normal 3 3 31 8" xfId="13106"/>
    <cellStyle name="Normal 3 3 31 8 2" xfId="30622"/>
    <cellStyle name="Normal 3 3 31 9" xfId="13107"/>
    <cellStyle name="Normal 3 3 31 9 2" xfId="30623"/>
    <cellStyle name="Normal 3 3 32" xfId="10866"/>
    <cellStyle name="Normal 3 3 4" xfId="13108"/>
    <cellStyle name="Normal 3 3 4 10" xfId="13109"/>
    <cellStyle name="Normal 3 3 4 10 10" xfId="13110"/>
    <cellStyle name="Normal 3 3 4 10 10 2" xfId="30626"/>
    <cellStyle name="Normal 3 3 4 10 11" xfId="13111"/>
    <cellStyle name="Normal 3 3 4 10 11 2" xfId="30627"/>
    <cellStyle name="Normal 3 3 4 10 12" xfId="13112"/>
    <cellStyle name="Normal 3 3 4 10 12 2" xfId="30628"/>
    <cellStyle name="Normal 3 3 4 10 13" xfId="13113"/>
    <cellStyle name="Normal 3 3 4 10 13 2" xfId="30629"/>
    <cellStyle name="Normal 3 3 4 10 14" xfId="13114"/>
    <cellStyle name="Normal 3 3 4 10 14 2" xfId="30630"/>
    <cellStyle name="Normal 3 3 4 10 15" xfId="30625"/>
    <cellStyle name="Normal 3 3 4 10 2" xfId="13115"/>
    <cellStyle name="Normal 3 3 4 10 2 2" xfId="30631"/>
    <cellStyle name="Normal 3 3 4 10 3" xfId="13116"/>
    <cellStyle name="Normal 3 3 4 10 3 2" xfId="30632"/>
    <cellStyle name="Normal 3 3 4 10 4" xfId="13117"/>
    <cellStyle name="Normal 3 3 4 10 4 2" xfId="30633"/>
    <cellStyle name="Normal 3 3 4 10 5" xfId="13118"/>
    <cellStyle name="Normal 3 3 4 10 5 2" xfId="30634"/>
    <cellStyle name="Normal 3 3 4 10 6" xfId="13119"/>
    <cellStyle name="Normal 3 3 4 10 6 2" xfId="30635"/>
    <cellStyle name="Normal 3 3 4 10 7" xfId="13120"/>
    <cellStyle name="Normal 3 3 4 10 7 2" xfId="30636"/>
    <cellStyle name="Normal 3 3 4 10 8" xfId="13121"/>
    <cellStyle name="Normal 3 3 4 10 8 2" xfId="30637"/>
    <cellStyle name="Normal 3 3 4 10 9" xfId="13122"/>
    <cellStyle name="Normal 3 3 4 10 9 2" xfId="30638"/>
    <cellStyle name="Normal 3 3 4 11" xfId="13123"/>
    <cellStyle name="Normal 3 3 4 11 10" xfId="13124"/>
    <cellStyle name="Normal 3 3 4 11 10 2" xfId="30640"/>
    <cellStyle name="Normal 3 3 4 11 11" xfId="13125"/>
    <cellStyle name="Normal 3 3 4 11 11 2" xfId="30641"/>
    <cellStyle name="Normal 3 3 4 11 12" xfId="13126"/>
    <cellStyle name="Normal 3 3 4 11 12 2" xfId="30642"/>
    <cellStyle name="Normal 3 3 4 11 13" xfId="13127"/>
    <cellStyle name="Normal 3 3 4 11 13 2" xfId="30643"/>
    <cellStyle name="Normal 3 3 4 11 14" xfId="13128"/>
    <cellStyle name="Normal 3 3 4 11 14 2" xfId="30644"/>
    <cellStyle name="Normal 3 3 4 11 15" xfId="30639"/>
    <cellStyle name="Normal 3 3 4 11 2" xfId="13129"/>
    <cellStyle name="Normal 3 3 4 11 2 2" xfId="30645"/>
    <cellStyle name="Normal 3 3 4 11 3" xfId="13130"/>
    <cellStyle name="Normal 3 3 4 11 3 2" xfId="30646"/>
    <cellStyle name="Normal 3 3 4 11 4" xfId="13131"/>
    <cellStyle name="Normal 3 3 4 11 4 2" xfId="30647"/>
    <cellStyle name="Normal 3 3 4 11 5" xfId="13132"/>
    <cellStyle name="Normal 3 3 4 11 5 2" xfId="30648"/>
    <cellStyle name="Normal 3 3 4 11 6" xfId="13133"/>
    <cellStyle name="Normal 3 3 4 11 6 2" xfId="30649"/>
    <cellStyle name="Normal 3 3 4 11 7" xfId="13134"/>
    <cellStyle name="Normal 3 3 4 11 7 2" xfId="30650"/>
    <cellStyle name="Normal 3 3 4 11 8" xfId="13135"/>
    <cellStyle name="Normal 3 3 4 11 8 2" xfId="30651"/>
    <cellStyle name="Normal 3 3 4 11 9" xfId="13136"/>
    <cellStyle name="Normal 3 3 4 11 9 2" xfId="30652"/>
    <cellStyle name="Normal 3 3 4 12" xfId="13137"/>
    <cellStyle name="Normal 3 3 4 12 10" xfId="13138"/>
    <cellStyle name="Normal 3 3 4 12 10 2" xfId="30654"/>
    <cellStyle name="Normal 3 3 4 12 11" xfId="13139"/>
    <cellStyle name="Normal 3 3 4 12 11 2" xfId="30655"/>
    <cellStyle name="Normal 3 3 4 12 12" xfId="13140"/>
    <cellStyle name="Normal 3 3 4 12 12 2" xfId="30656"/>
    <cellStyle name="Normal 3 3 4 12 13" xfId="13141"/>
    <cellStyle name="Normal 3 3 4 12 13 2" xfId="30657"/>
    <cellStyle name="Normal 3 3 4 12 14" xfId="13142"/>
    <cellStyle name="Normal 3 3 4 12 14 2" xfId="30658"/>
    <cellStyle name="Normal 3 3 4 12 15" xfId="30653"/>
    <cellStyle name="Normal 3 3 4 12 2" xfId="13143"/>
    <cellStyle name="Normal 3 3 4 12 2 2" xfId="30659"/>
    <cellStyle name="Normal 3 3 4 12 3" xfId="13144"/>
    <cellStyle name="Normal 3 3 4 12 3 2" xfId="30660"/>
    <cellStyle name="Normal 3 3 4 12 4" xfId="13145"/>
    <cellStyle name="Normal 3 3 4 12 4 2" xfId="30661"/>
    <cellStyle name="Normal 3 3 4 12 5" xfId="13146"/>
    <cellStyle name="Normal 3 3 4 12 5 2" xfId="30662"/>
    <cellStyle name="Normal 3 3 4 12 6" xfId="13147"/>
    <cellStyle name="Normal 3 3 4 12 6 2" xfId="30663"/>
    <cellStyle name="Normal 3 3 4 12 7" xfId="13148"/>
    <cellStyle name="Normal 3 3 4 12 7 2" xfId="30664"/>
    <cellStyle name="Normal 3 3 4 12 8" xfId="13149"/>
    <cellStyle name="Normal 3 3 4 12 8 2" xfId="30665"/>
    <cellStyle name="Normal 3 3 4 12 9" xfId="13150"/>
    <cellStyle name="Normal 3 3 4 12 9 2" xfId="30666"/>
    <cellStyle name="Normal 3 3 4 13" xfId="13151"/>
    <cellStyle name="Normal 3 3 4 13 10" xfId="13152"/>
    <cellStyle name="Normal 3 3 4 13 10 2" xfId="30668"/>
    <cellStyle name="Normal 3 3 4 13 11" xfId="13153"/>
    <cellStyle name="Normal 3 3 4 13 11 2" xfId="30669"/>
    <cellStyle name="Normal 3 3 4 13 12" xfId="13154"/>
    <cellStyle name="Normal 3 3 4 13 12 2" xfId="30670"/>
    <cellStyle name="Normal 3 3 4 13 13" xfId="13155"/>
    <cellStyle name="Normal 3 3 4 13 13 2" xfId="30671"/>
    <cellStyle name="Normal 3 3 4 13 14" xfId="13156"/>
    <cellStyle name="Normal 3 3 4 13 14 2" xfId="30672"/>
    <cellStyle name="Normal 3 3 4 13 15" xfId="30667"/>
    <cellStyle name="Normal 3 3 4 13 2" xfId="13157"/>
    <cellStyle name="Normal 3 3 4 13 2 2" xfId="30673"/>
    <cellStyle name="Normal 3 3 4 13 3" xfId="13158"/>
    <cellStyle name="Normal 3 3 4 13 3 2" xfId="30674"/>
    <cellStyle name="Normal 3 3 4 13 4" xfId="13159"/>
    <cellStyle name="Normal 3 3 4 13 4 2" xfId="30675"/>
    <cellStyle name="Normal 3 3 4 13 5" xfId="13160"/>
    <cellStyle name="Normal 3 3 4 13 5 2" xfId="30676"/>
    <cellStyle name="Normal 3 3 4 13 6" xfId="13161"/>
    <cellStyle name="Normal 3 3 4 13 6 2" xfId="30677"/>
    <cellStyle name="Normal 3 3 4 13 7" xfId="13162"/>
    <cellStyle name="Normal 3 3 4 13 7 2" xfId="30678"/>
    <cellStyle name="Normal 3 3 4 13 8" xfId="13163"/>
    <cellStyle name="Normal 3 3 4 13 8 2" xfId="30679"/>
    <cellStyle name="Normal 3 3 4 13 9" xfId="13164"/>
    <cellStyle name="Normal 3 3 4 13 9 2" xfId="30680"/>
    <cellStyle name="Normal 3 3 4 14" xfId="13165"/>
    <cellStyle name="Normal 3 3 4 14 10" xfId="13166"/>
    <cellStyle name="Normal 3 3 4 14 10 2" xfId="30682"/>
    <cellStyle name="Normal 3 3 4 14 11" xfId="13167"/>
    <cellStyle name="Normal 3 3 4 14 11 2" xfId="30683"/>
    <cellStyle name="Normal 3 3 4 14 12" xfId="13168"/>
    <cellStyle name="Normal 3 3 4 14 12 2" xfId="30684"/>
    <cellStyle name="Normal 3 3 4 14 13" xfId="13169"/>
    <cellStyle name="Normal 3 3 4 14 13 2" xfId="30685"/>
    <cellStyle name="Normal 3 3 4 14 14" xfId="13170"/>
    <cellStyle name="Normal 3 3 4 14 14 2" xfId="30686"/>
    <cellStyle name="Normal 3 3 4 14 15" xfId="30681"/>
    <cellStyle name="Normal 3 3 4 14 2" xfId="13171"/>
    <cellStyle name="Normal 3 3 4 14 2 2" xfId="30687"/>
    <cellStyle name="Normal 3 3 4 14 3" xfId="13172"/>
    <cellStyle name="Normal 3 3 4 14 3 2" xfId="30688"/>
    <cellStyle name="Normal 3 3 4 14 4" xfId="13173"/>
    <cellStyle name="Normal 3 3 4 14 4 2" xfId="30689"/>
    <cellStyle name="Normal 3 3 4 14 5" xfId="13174"/>
    <cellStyle name="Normal 3 3 4 14 5 2" xfId="30690"/>
    <cellStyle name="Normal 3 3 4 14 6" xfId="13175"/>
    <cellStyle name="Normal 3 3 4 14 6 2" xfId="30691"/>
    <cellStyle name="Normal 3 3 4 14 7" xfId="13176"/>
    <cellStyle name="Normal 3 3 4 14 7 2" xfId="30692"/>
    <cellStyle name="Normal 3 3 4 14 8" xfId="13177"/>
    <cellStyle name="Normal 3 3 4 14 8 2" xfId="30693"/>
    <cellStyle name="Normal 3 3 4 14 9" xfId="13178"/>
    <cellStyle name="Normal 3 3 4 14 9 2" xfId="30694"/>
    <cellStyle name="Normal 3 3 4 15" xfId="13179"/>
    <cellStyle name="Normal 3 3 4 15 2" xfId="30695"/>
    <cellStyle name="Normal 3 3 4 16" xfId="13180"/>
    <cellStyle name="Normal 3 3 4 16 2" xfId="30696"/>
    <cellStyle name="Normal 3 3 4 17" xfId="13181"/>
    <cellStyle name="Normal 3 3 4 17 2" xfId="30697"/>
    <cellStyle name="Normal 3 3 4 18" xfId="13182"/>
    <cellStyle name="Normal 3 3 4 18 2" xfId="30698"/>
    <cellStyle name="Normal 3 3 4 19" xfId="13183"/>
    <cellStyle name="Normal 3 3 4 19 2" xfId="30699"/>
    <cellStyle name="Normal 3 3 4 2" xfId="13184"/>
    <cellStyle name="Normal 3 3 4 20" xfId="13185"/>
    <cellStyle name="Normal 3 3 4 20 2" xfId="30700"/>
    <cellStyle name="Normal 3 3 4 21" xfId="13186"/>
    <cellStyle name="Normal 3 3 4 21 2" xfId="30701"/>
    <cellStyle name="Normal 3 3 4 22" xfId="13187"/>
    <cellStyle name="Normal 3 3 4 22 2" xfId="30702"/>
    <cellStyle name="Normal 3 3 4 23" xfId="13188"/>
    <cellStyle name="Normal 3 3 4 23 2" xfId="30703"/>
    <cellStyle name="Normal 3 3 4 24" xfId="13189"/>
    <cellStyle name="Normal 3 3 4 24 2" xfId="30704"/>
    <cellStyle name="Normal 3 3 4 25" xfId="13190"/>
    <cellStyle name="Normal 3 3 4 25 2" xfId="30705"/>
    <cellStyle name="Normal 3 3 4 26" xfId="13191"/>
    <cellStyle name="Normal 3 3 4 26 2" xfId="30706"/>
    <cellStyle name="Normal 3 3 4 27" xfId="13192"/>
    <cellStyle name="Normal 3 3 4 27 2" xfId="30707"/>
    <cellStyle name="Normal 3 3 4 28" xfId="30624"/>
    <cellStyle name="Normal 3 3 4 3" xfId="13193"/>
    <cellStyle name="Normal 3 3 4 4" xfId="13194"/>
    <cellStyle name="Normal 3 3 4 5" xfId="13195"/>
    <cellStyle name="Normal 3 3 4 6" xfId="13196"/>
    <cellStyle name="Normal 3 3 4 6 10" xfId="13197"/>
    <cellStyle name="Normal 3 3 4 6 10 2" xfId="30709"/>
    <cellStyle name="Normal 3 3 4 6 11" xfId="13198"/>
    <cellStyle name="Normal 3 3 4 6 11 2" xfId="30710"/>
    <cellStyle name="Normal 3 3 4 6 12" xfId="13199"/>
    <cellStyle name="Normal 3 3 4 6 12 2" xfId="30711"/>
    <cellStyle name="Normal 3 3 4 6 13" xfId="13200"/>
    <cellStyle name="Normal 3 3 4 6 13 2" xfId="30712"/>
    <cellStyle name="Normal 3 3 4 6 14" xfId="13201"/>
    <cellStyle name="Normal 3 3 4 6 14 2" xfId="30713"/>
    <cellStyle name="Normal 3 3 4 6 15" xfId="13202"/>
    <cellStyle name="Normal 3 3 4 6 15 2" xfId="30714"/>
    <cellStyle name="Normal 3 3 4 6 16" xfId="30708"/>
    <cellStyle name="Normal 3 3 4 6 2" xfId="13203"/>
    <cellStyle name="Normal 3 3 4 6 2 10" xfId="13204"/>
    <cellStyle name="Normal 3 3 4 6 2 10 2" xfId="30716"/>
    <cellStyle name="Normal 3 3 4 6 2 11" xfId="13205"/>
    <cellStyle name="Normal 3 3 4 6 2 11 2" xfId="30717"/>
    <cellStyle name="Normal 3 3 4 6 2 12" xfId="13206"/>
    <cellStyle name="Normal 3 3 4 6 2 12 2" xfId="30718"/>
    <cellStyle name="Normal 3 3 4 6 2 13" xfId="13207"/>
    <cellStyle name="Normal 3 3 4 6 2 13 2" xfId="30719"/>
    <cellStyle name="Normal 3 3 4 6 2 14" xfId="13208"/>
    <cellStyle name="Normal 3 3 4 6 2 14 2" xfId="30720"/>
    <cellStyle name="Normal 3 3 4 6 2 15" xfId="30715"/>
    <cellStyle name="Normal 3 3 4 6 2 2" xfId="13209"/>
    <cellStyle name="Normal 3 3 4 6 2 2 2" xfId="30721"/>
    <cellStyle name="Normal 3 3 4 6 2 3" xfId="13210"/>
    <cellStyle name="Normal 3 3 4 6 2 3 2" xfId="30722"/>
    <cellStyle name="Normal 3 3 4 6 2 4" xfId="13211"/>
    <cellStyle name="Normal 3 3 4 6 2 4 2" xfId="30723"/>
    <cellStyle name="Normal 3 3 4 6 2 5" xfId="13212"/>
    <cellStyle name="Normal 3 3 4 6 2 5 2" xfId="30724"/>
    <cellStyle name="Normal 3 3 4 6 2 6" xfId="13213"/>
    <cellStyle name="Normal 3 3 4 6 2 6 2" xfId="30725"/>
    <cellStyle name="Normal 3 3 4 6 2 7" xfId="13214"/>
    <cellStyle name="Normal 3 3 4 6 2 7 2" xfId="30726"/>
    <cellStyle name="Normal 3 3 4 6 2 8" xfId="13215"/>
    <cellStyle name="Normal 3 3 4 6 2 8 2" xfId="30727"/>
    <cellStyle name="Normal 3 3 4 6 2 9" xfId="13216"/>
    <cellStyle name="Normal 3 3 4 6 2 9 2" xfId="30728"/>
    <cellStyle name="Normal 3 3 4 6 3" xfId="13217"/>
    <cellStyle name="Normal 3 3 4 6 3 2" xfId="30729"/>
    <cellStyle name="Normal 3 3 4 6 4" xfId="13218"/>
    <cellStyle name="Normal 3 3 4 6 4 2" xfId="30730"/>
    <cellStyle name="Normal 3 3 4 6 5" xfId="13219"/>
    <cellStyle name="Normal 3 3 4 6 5 2" xfId="30731"/>
    <cellStyle name="Normal 3 3 4 6 6" xfId="13220"/>
    <cellStyle name="Normal 3 3 4 6 6 2" xfId="30732"/>
    <cellStyle name="Normal 3 3 4 6 7" xfId="13221"/>
    <cellStyle name="Normal 3 3 4 6 7 2" xfId="30733"/>
    <cellStyle name="Normal 3 3 4 6 8" xfId="13222"/>
    <cellStyle name="Normal 3 3 4 6 8 2" xfId="30734"/>
    <cellStyle name="Normal 3 3 4 6 9" xfId="13223"/>
    <cellStyle name="Normal 3 3 4 6 9 2" xfId="30735"/>
    <cellStyle name="Normal 3 3 4 7" xfId="13224"/>
    <cellStyle name="Normal 3 3 4 7 10" xfId="13225"/>
    <cellStyle name="Normal 3 3 4 7 10 2" xfId="30737"/>
    <cellStyle name="Normal 3 3 4 7 11" xfId="13226"/>
    <cellStyle name="Normal 3 3 4 7 11 2" xfId="30738"/>
    <cellStyle name="Normal 3 3 4 7 12" xfId="13227"/>
    <cellStyle name="Normal 3 3 4 7 12 2" xfId="30739"/>
    <cellStyle name="Normal 3 3 4 7 13" xfId="13228"/>
    <cellStyle name="Normal 3 3 4 7 13 2" xfId="30740"/>
    <cellStyle name="Normal 3 3 4 7 14" xfId="13229"/>
    <cellStyle name="Normal 3 3 4 7 14 2" xfId="30741"/>
    <cellStyle name="Normal 3 3 4 7 15" xfId="13230"/>
    <cellStyle name="Normal 3 3 4 7 15 2" xfId="30742"/>
    <cellStyle name="Normal 3 3 4 7 16" xfId="30736"/>
    <cellStyle name="Normal 3 3 4 7 2" xfId="13231"/>
    <cellStyle name="Normal 3 3 4 7 2 10" xfId="13232"/>
    <cellStyle name="Normal 3 3 4 7 2 10 2" xfId="30744"/>
    <cellStyle name="Normal 3 3 4 7 2 11" xfId="13233"/>
    <cellStyle name="Normal 3 3 4 7 2 11 2" xfId="30745"/>
    <cellStyle name="Normal 3 3 4 7 2 12" xfId="13234"/>
    <cellStyle name="Normal 3 3 4 7 2 12 2" xfId="30746"/>
    <cellStyle name="Normal 3 3 4 7 2 13" xfId="13235"/>
    <cellStyle name="Normal 3 3 4 7 2 13 2" xfId="30747"/>
    <cellStyle name="Normal 3 3 4 7 2 14" xfId="13236"/>
    <cellStyle name="Normal 3 3 4 7 2 14 2" xfId="30748"/>
    <cellStyle name="Normal 3 3 4 7 2 15" xfId="30743"/>
    <cellStyle name="Normal 3 3 4 7 2 2" xfId="13237"/>
    <cellStyle name="Normal 3 3 4 7 2 2 2" xfId="30749"/>
    <cellStyle name="Normal 3 3 4 7 2 3" xfId="13238"/>
    <cellStyle name="Normal 3 3 4 7 2 3 2" xfId="30750"/>
    <cellStyle name="Normal 3 3 4 7 2 4" xfId="13239"/>
    <cellStyle name="Normal 3 3 4 7 2 4 2" xfId="30751"/>
    <cellStyle name="Normal 3 3 4 7 2 5" xfId="13240"/>
    <cellStyle name="Normal 3 3 4 7 2 5 2" xfId="30752"/>
    <cellStyle name="Normal 3 3 4 7 2 6" xfId="13241"/>
    <cellStyle name="Normal 3 3 4 7 2 6 2" xfId="30753"/>
    <cellStyle name="Normal 3 3 4 7 2 7" xfId="13242"/>
    <cellStyle name="Normal 3 3 4 7 2 7 2" xfId="30754"/>
    <cellStyle name="Normal 3 3 4 7 2 8" xfId="13243"/>
    <cellStyle name="Normal 3 3 4 7 2 8 2" xfId="30755"/>
    <cellStyle name="Normal 3 3 4 7 2 9" xfId="13244"/>
    <cellStyle name="Normal 3 3 4 7 2 9 2" xfId="30756"/>
    <cellStyle name="Normal 3 3 4 7 3" xfId="13245"/>
    <cellStyle name="Normal 3 3 4 7 3 2" xfId="30757"/>
    <cellStyle name="Normal 3 3 4 7 4" xfId="13246"/>
    <cellStyle name="Normal 3 3 4 7 4 2" xfId="30758"/>
    <cellStyle name="Normal 3 3 4 7 5" xfId="13247"/>
    <cellStyle name="Normal 3 3 4 7 5 2" xfId="30759"/>
    <cellStyle name="Normal 3 3 4 7 6" xfId="13248"/>
    <cellStyle name="Normal 3 3 4 7 6 2" xfId="30760"/>
    <cellStyle name="Normal 3 3 4 7 7" xfId="13249"/>
    <cellStyle name="Normal 3 3 4 7 7 2" xfId="30761"/>
    <cellStyle name="Normal 3 3 4 7 8" xfId="13250"/>
    <cellStyle name="Normal 3 3 4 7 8 2" xfId="30762"/>
    <cellStyle name="Normal 3 3 4 7 9" xfId="13251"/>
    <cellStyle name="Normal 3 3 4 7 9 2" xfId="30763"/>
    <cellStyle name="Normal 3 3 4 8" xfId="13252"/>
    <cellStyle name="Normal 3 3 4 8 10" xfId="13253"/>
    <cellStyle name="Normal 3 3 4 8 10 2" xfId="30765"/>
    <cellStyle name="Normal 3 3 4 8 11" xfId="13254"/>
    <cellStyle name="Normal 3 3 4 8 11 2" xfId="30766"/>
    <cellStyle name="Normal 3 3 4 8 12" xfId="13255"/>
    <cellStyle name="Normal 3 3 4 8 12 2" xfId="30767"/>
    <cellStyle name="Normal 3 3 4 8 13" xfId="13256"/>
    <cellStyle name="Normal 3 3 4 8 13 2" xfId="30768"/>
    <cellStyle name="Normal 3 3 4 8 14" xfId="13257"/>
    <cellStyle name="Normal 3 3 4 8 14 2" xfId="30769"/>
    <cellStyle name="Normal 3 3 4 8 15" xfId="13258"/>
    <cellStyle name="Normal 3 3 4 8 15 2" xfId="30770"/>
    <cellStyle name="Normal 3 3 4 8 16" xfId="30764"/>
    <cellStyle name="Normal 3 3 4 8 2" xfId="13259"/>
    <cellStyle name="Normal 3 3 4 8 2 10" xfId="13260"/>
    <cellStyle name="Normal 3 3 4 8 2 10 2" xfId="30772"/>
    <cellStyle name="Normal 3 3 4 8 2 11" xfId="13261"/>
    <cellStyle name="Normal 3 3 4 8 2 11 2" xfId="30773"/>
    <cellStyle name="Normal 3 3 4 8 2 12" xfId="13262"/>
    <cellStyle name="Normal 3 3 4 8 2 12 2" xfId="30774"/>
    <cellStyle name="Normal 3 3 4 8 2 13" xfId="13263"/>
    <cellStyle name="Normal 3 3 4 8 2 13 2" xfId="30775"/>
    <cellStyle name="Normal 3 3 4 8 2 14" xfId="13264"/>
    <cellStyle name="Normal 3 3 4 8 2 14 2" xfId="30776"/>
    <cellStyle name="Normal 3 3 4 8 2 15" xfId="30771"/>
    <cellStyle name="Normal 3 3 4 8 2 2" xfId="13265"/>
    <cellStyle name="Normal 3 3 4 8 2 2 2" xfId="30777"/>
    <cellStyle name="Normal 3 3 4 8 2 3" xfId="13266"/>
    <cellStyle name="Normal 3 3 4 8 2 3 2" xfId="30778"/>
    <cellStyle name="Normal 3 3 4 8 2 4" xfId="13267"/>
    <cellStyle name="Normal 3 3 4 8 2 4 2" xfId="30779"/>
    <cellStyle name="Normal 3 3 4 8 2 5" xfId="13268"/>
    <cellStyle name="Normal 3 3 4 8 2 5 2" xfId="30780"/>
    <cellStyle name="Normal 3 3 4 8 2 6" xfId="13269"/>
    <cellStyle name="Normal 3 3 4 8 2 6 2" xfId="30781"/>
    <cellStyle name="Normal 3 3 4 8 2 7" xfId="13270"/>
    <cellStyle name="Normal 3 3 4 8 2 7 2" xfId="30782"/>
    <cellStyle name="Normal 3 3 4 8 2 8" xfId="13271"/>
    <cellStyle name="Normal 3 3 4 8 2 8 2" xfId="30783"/>
    <cellStyle name="Normal 3 3 4 8 2 9" xfId="13272"/>
    <cellStyle name="Normal 3 3 4 8 2 9 2" xfId="30784"/>
    <cellStyle name="Normal 3 3 4 8 3" xfId="13273"/>
    <cellStyle name="Normal 3 3 4 8 3 2" xfId="30785"/>
    <cellStyle name="Normal 3 3 4 8 4" xfId="13274"/>
    <cellStyle name="Normal 3 3 4 8 4 2" xfId="30786"/>
    <cellStyle name="Normal 3 3 4 8 5" xfId="13275"/>
    <cellStyle name="Normal 3 3 4 8 5 2" xfId="30787"/>
    <cellStyle name="Normal 3 3 4 8 6" xfId="13276"/>
    <cellStyle name="Normal 3 3 4 8 6 2" xfId="30788"/>
    <cellStyle name="Normal 3 3 4 8 7" xfId="13277"/>
    <cellStyle name="Normal 3 3 4 8 7 2" xfId="30789"/>
    <cellStyle name="Normal 3 3 4 8 8" xfId="13278"/>
    <cellStyle name="Normal 3 3 4 8 8 2" xfId="30790"/>
    <cellStyle name="Normal 3 3 4 8 9" xfId="13279"/>
    <cellStyle name="Normal 3 3 4 8 9 2" xfId="30791"/>
    <cellStyle name="Normal 3 3 4 9" xfId="13280"/>
    <cellStyle name="Normal 3 3 4 9 10" xfId="13281"/>
    <cellStyle name="Normal 3 3 4 9 10 2" xfId="30793"/>
    <cellStyle name="Normal 3 3 4 9 11" xfId="13282"/>
    <cellStyle name="Normal 3 3 4 9 11 2" xfId="30794"/>
    <cellStyle name="Normal 3 3 4 9 12" xfId="13283"/>
    <cellStyle name="Normal 3 3 4 9 12 2" xfId="30795"/>
    <cellStyle name="Normal 3 3 4 9 13" xfId="13284"/>
    <cellStyle name="Normal 3 3 4 9 13 2" xfId="30796"/>
    <cellStyle name="Normal 3 3 4 9 14" xfId="13285"/>
    <cellStyle name="Normal 3 3 4 9 14 2" xfId="30797"/>
    <cellStyle name="Normal 3 3 4 9 15" xfId="30792"/>
    <cellStyle name="Normal 3 3 4 9 2" xfId="13286"/>
    <cellStyle name="Normal 3 3 4 9 2 2" xfId="30798"/>
    <cellStyle name="Normal 3 3 4 9 3" xfId="13287"/>
    <cellStyle name="Normal 3 3 4 9 3 2" xfId="30799"/>
    <cellStyle name="Normal 3 3 4 9 4" xfId="13288"/>
    <cellStyle name="Normal 3 3 4 9 4 2" xfId="30800"/>
    <cellStyle name="Normal 3 3 4 9 5" xfId="13289"/>
    <cellStyle name="Normal 3 3 4 9 5 2" xfId="30801"/>
    <cellStyle name="Normal 3 3 4 9 6" xfId="13290"/>
    <cellStyle name="Normal 3 3 4 9 6 2" xfId="30802"/>
    <cellStyle name="Normal 3 3 4 9 7" xfId="13291"/>
    <cellStyle name="Normal 3 3 4 9 7 2" xfId="30803"/>
    <cellStyle name="Normal 3 3 4 9 8" xfId="13292"/>
    <cellStyle name="Normal 3 3 4 9 8 2" xfId="30804"/>
    <cellStyle name="Normal 3 3 4 9 9" xfId="13293"/>
    <cellStyle name="Normal 3 3 4 9 9 2" xfId="30805"/>
    <cellStyle name="Normal 3 3 5" xfId="13294"/>
    <cellStyle name="Normal 3 3 5 10" xfId="13295"/>
    <cellStyle name="Normal 3 3 5 10 10" xfId="13296"/>
    <cellStyle name="Normal 3 3 5 10 10 2" xfId="30808"/>
    <cellStyle name="Normal 3 3 5 10 11" xfId="13297"/>
    <cellStyle name="Normal 3 3 5 10 11 2" xfId="30809"/>
    <cellStyle name="Normal 3 3 5 10 12" xfId="13298"/>
    <cellStyle name="Normal 3 3 5 10 12 2" xfId="30810"/>
    <cellStyle name="Normal 3 3 5 10 13" xfId="13299"/>
    <cellStyle name="Normal 3 3 5 10 13 2" xfId="30811"/>
    <cellStyle name="Normal 3 3 5 10 14" xfId="13300"/>
    <cellStyle name="Normal 3 3 5 10 14 2" xfId="30812"/>
    <cellStyle name="Normal 3 3 5 10 15" xfId="30807"/>
    <cellStyle name="Normal 3 3 5 10 2" xfId="13301"/>
    <cellStyle name="Normal 3 3 5 10 2 2" xfId="30813"/>
    <cellStyle name="Normal 3 3 5 10 3" xfId="13302"/>
    <cellStyle name="Normal 3 3 5 10 3 2" xfId="30814"/>
    <cellStyle name="Normal 3 3 5 10 4" xfId="13303"/>
    <cellStyle name="Normal 3 3 5 10 4 2" xfId="30815"/>
    <cellStyle name="Normal 3 3 5 10 5" xfId="13304"/>
    <cellStyle name="Normal 3 3 5 10 5 2" xfId="30816"/>
    <cellStyle name="Normal 3 3 5 10 6" xfId="13305"/>
    <cellStyle name="Normal 3 3 5 10 6 2" xfId="30817"/>
    <cellStyle name="Normal 3 3 5 10 7" xfId="13306"/>
    <cellStyle name="Normal 3 3 5 10 7 2" xfId="30818"/>
    <cellStyle name="Normal 3 3 5 10 8" xfId="13307"/>
    <cellStyle name="Normal 3 3 5 10 8 2" xfId="30819"/>
    <cellStyle name="Normal 3 3 5 10 9" xfId="13308"/>
    <cellStyle name="Normal 3 3 5 10 9 2" xfId="30820"/>
    <cellStyle name="Normal 3 3 5 11" xfId="13309"/>
    <cellStyle name="Normal 3 3 5 11 10" xfId="13310"/>
    <cellStyle name="Normal 3 3 5 11 10 2" xfId="30822"/>
    <cellStyle name="Normal 3 3 5 11 11" xfId="13311"/>
    <cellStyle name="Normal 3 3 5 11 11 2" xfId="30823"/>
    <cellStyle name="Normal 3 3 5 11 12" xfId="13312"/>
    <cellStyle name="Normal 3 3 5 11 12 2" xfId="30824"/>
    <cellStyle name="Normal 3 3 5 11 13" xfId="13313"/>
    <cellStyle name="Normal 3 3 5 11 13 2" xfId="30825"/>
    <cellStyle name="Normal 3 3 5 11 14" xfId="13314"/>
    <cellStyle name="Normal 3 3 5 11 14 2" xfId="30826"/>
    <cellStyle name="Normal 3 3 5 11 15" xfId="30821"/>
    <cellStyle name="Normal 3 3 5 11 2" xfId="13315"/>
    <cellStyle name="Normal 3 3 5 11 2 2" xfId="30827"/>
    <cellStyle name="Normal 3 3 5 11 3" xfId="13316"/>
    <cellStyle name="Normal 3 3 5 11 3 2" xfId="30828"/>
    <cellStyle name="Normal 3 3 5 11 4" xfId="13317"/>
    <cellStyle name="Normal 3 3 5 11 4 2" xfId="30829"/>
    <cellStyle name="Normal 3 3 5 11 5" xfId="13318"/>
    <cellStyle name="Normal 3 3 5 11 5 2" xfId="30830"/>
    <cellStyle name="Normal 3 3 5 11 6" xfId="13319"/>
    <cellStyle name="Normal 3 3 5 11 6 2" xfId="30831"/>
    <cellStyle name="Normal 3 3 5 11 7" xfId="13320"/>
    <cellStyle name="Normal 3 3 5 11 7 2" xfId="30832"/>
    <cellStyle name="Normal 3 3 5 11 8" xfId="13321"/>
    <cellStyle name="Normal 3 3 5 11 8 2" xfId="30833"/>
    <cellStyle name="Normal 3 3 5 11 9" xfId="13322"/>
    <cellStyle name="Normal 3 3 5 11 9 2" xfId="30834"/>
    <cellStyle name="Normal 3 3 5 12" xfId="13323"/>
    <cellStyle name="Normal 3 3 5 12 10" xfId="13324"/>
    <cellStyle name="Normal 3 3 5 12 10 2" xfId="30836"/>
    <cellStyle name="Normal 3 3 5 12 11" xfId="13325"/>
    <cellStyle name="Normal 3 3 5 12 11 2" xfId="30837"/>
    <cellStyle name="Normal 3 3 5 12 12" xfId="13326"/>
    <cellStyle name="Normal 3 3 5 12 12 2" xfId="30838"/>
    <cellStyle name="Normal 3 3 5 12 13" xfId="13327"/>
    <cellStyle name="Normal 3 3 5 12 13 2" xfId="30839"/>
    <cellStyle name="Normal 3 3 5 12 14" xfId="13328"/>
    <cellStyle name="Normal 3 3 5 12 14 2" xfId="30840"/>
    <cellStyle name="Normal 3 3 5 12 15" xfId="30835"/>
    <cellStyle name="Normal 3 3 5 12 2" xfId="13329"/>
    <cellStyle name="Normal 3 3 5 12 2 2" xfId="30841"/>
    <cellStyle name="Normal 3 3 5 12 3" xfId="13330"/>
    <cellStyle name="Normal 3 3 5 12 3 2" xfId="30842"/>
    <cellStyle name="Normal 3 3 5 12 4" xfId="13331"/>
    <cellStyle name="Normal 3 3 5 12 4 2" xfId="30843"/>
    <cellStyle name="Normal 3 3 5 12 5" xfId="13332"/>
    <cellStyle name="Normal 3 3 5 12 5 2" xfId="30844"/>
    <cellStyle name="Normal 3 3 5 12 6" xfId="13333"/>
    <cellStyle name="Normal 3 3 5 12 6 2" xfId="30845"/>
    <cellStyle name="Normal 3 3 5 12 7" xfId="13334"/>
    <cellStyle name="Normal 3 3 5 12 7 2" xfId="30846"/>
    <cellStyle name="Normal 3 3 5 12 8" xfId="13335"/>
    <cellStyle name="Normal 3 3 5 12 8 2" xfId="30847"/>
    <cellStyle name="Normal 3 3 5 12 9" xfId="13336"/>
    <cellStyle name="Normal 3 3 5 12 9 2" xfId="30848"/>
    <cellStyle name="Normal 3 3 5 13" xfId="13337"/>
    <cellStyle name="Normal 3 3 5 13 10" xfId="13338"/>
    <cellStyle name="Normal 3 3 5 13 10 2" xfId="30850"/>
    <cellStyle name="Normal 3 3 5 13 11" xfId="13339"/>
    <cellStyle name="Normal 3 3 5 13 11 2" xfId="30851"/>
    <cellStyle name="Normal 3 3 5 13 12" xfId="13340"/>
    <cellStyle name="Normal 3 3 5 13 12 2" xfId="30852"/>
    <cellStyle name="Normal 3 3 5 13 13" xfId="13341"/>
    <cellStyle name="Normal 3 3 5 13 13 2" xfId="30853"/>
    <cellStyle name="Normal 3 3 5 13 14" xfId="13342"/>
    <cellStyle name="Normal 3 3 5 13 14 2" xfId="30854"/>
    <cellStyle name="Normal 3 3 5 13 15" xfId="30849"/>
    <cellStyle name="Normal 3 3 5 13 2" xfId="13343"/>
    <cellStyle name="Normal 3 3 5 13 2 2" xfId="30855"/>
    <cellStyle name="Normal 3 3 5 13 3" xfId="13344"/>
    <cellStyle name="Normal 3 3 5 13 3 2" xfId="30856"/>
    <cellStyle name="Normal 3 3 5 13 4" xfId="13345"/>
    <cellStyle name="Normal 3 3 5 13 4 2" xfId="30857"/>
    <cellStyle name="Normal 3 3 5 13 5" xfId="13346"/>
    <cellStyle name="Normal 3 3 5 13 5 2" xfId="30858"/>
    <cellStyle name="Normal 3 3 5 13 6" xfId="13347"/>
    <cellStyle name="Normal 3 3 5 13 6 2" xfId="30859"/>
    <cellStyle name="Normal 3 3 5 13 7" xfId="13348"/>
    <cellStyle name="Normal 3 3 5 13 7 2" xfId="30860"/>
    <cellStyle name="Normal 3 3 5 13 8" xfId="13349"/>
    <cellStyle name="Normal 3 3 5 13 8 2" xfId="30861"/>
    <cellStyle name="Normal 3 3 5 13 9" xfId="13350"/>
    <cellStyle name="Normal 3 3 5 13 9 2" xfId="30862"/>
    <cellStyle name="Normal 3 3 5 14" xfId="13351"/>
    <cellStyle name="Normal 3 3 5 14 10" xfId="13352"/>
    <cellStyle name="Normal 3 3 5 14 10 2" xfId="30864"/>
    <cellStyle name="Normal 3 3 5 14 11" xfId="13353"/>
    <cellStyle name="Normal 3 3 5 14 11 2" xfId="30865"/>
    <cellStyle name="Normal 3 3 5 14 12" xfId="13354"/>
    <cellStyle name="Normal 3 3 5 14 12 2" xfId="30866"/>
    <cellStyle name="Normal 3 3 5 14 13" xfId="13355"/>
    <cellStyle name="Normal 3 3 5 14 13 2" xfId="30867"/>
    <cellStyle name="Normal 3 3 5 14 14" xfId="13356"/>
    <cellStyle name="Normal 3 3 5 14 14 2" xfId="30868"/>
    <cellStyle name="Normal 3 3 5 14 15" xfId="30863"/>
    <cellStyle name="Normal 3 3 5 14 2" xfId="13357"/>
    <cellStyle name="Normal 3 3 5 14 2 2" xfId="30869"/>
    <cellStyle name="Normal 3 3 5 14 3" xfId="13358"/>
    <cellStyle name="Normal 3 3 5 14 3 2" xfId="30870"/>
    <cellStyle name="Normal 3 3 5 14 4" xfId="13359"/>
    <cellStyle name="Normal 3 3 5 14 4 2" xfId="30871"/>
    <cellStyle name="Normal 3 3 5 14 5" xfId="13360"/>
    <cellStyle name="Normal 3 3 5 14 5 2" xfId="30872"/>
    <cellStyle name="Normal 3 3 5 14 6" xfId="13361"/>
    <cellStyle name="Normal 3 3 5 14 6 2" xfId="30873"/>
    <cellStyle name="Normal 3 3 5 14 7" xfId="13362"/>
    <cellStyle name="Normal 3 3 5 14 7 2" xfId="30874"/>
    <cellStyle name="Normal 3 3 5 14 8" xfId="13363"/>
    <cellStyle name="Normal 3 3 5 14 8 2" xfId="30875"/>
    <cellStyle name="Normal 3 3 5 14 9" xfId="13364"/>
    <cellStyle name="Normal 3 3 5 14 9 2" xfId="30876"/>
    <cellStyle name="Normal 3 3 5 15" xfId="13365"/>
    <cellStyle name="Normal 3 3 5 15 2" xfId="30877"/>
    <cellStyle name="Normal 3 3 5 16" xfId="13366"/>
    <cellStyle name="Normal 3 3 5 16 2" xfId="30878"/>
    <cellStyle name="Normal 3 3 5 17" xfId="13367"/>
    <cellStyle name="Normal 3 3 5 17 2" xfId="30879"/>
    <cellStyle name="Normal 3 3 5 18" xfId="13368"/>
    <cellStyle name="Normal 3 3 5 18 2" xfId="30880"/>
    <cellStyle name="Normal 3 3 5 19" xfId="13369"/>
    <cellStyle name="Normal 3 3 5 19 2" xfId="30881"/>
    <cellStyle name="Normal 3 3 5 2" xfId="13370"/>
    <cellStyle name="Normal 3 3 5 20" xfId="13371"/>
    <cellStyle name="Normal 3 3 5 20 2" xfId="30882"/>
    <cellStyle name="Normal 3 3 5 21" xfId="13372"/>
    <cellStyle name="Normal 3 3 5 21 2" xfId="30883"/>
    <cellStyle name="Normal 3 3 5 22" xfId="13373"/>
    <cellStyle name="Normal 3 3 5 22 2" xfId="30884"/>
    <cellStyle name="Normal 3 3 5 23" xfId="13374"/>
    <cellStyle name="Normal 3 3 5 23 2" xfId="30885"/>
    <cellStyle name="Normal 3 3 5 24" xfId="13375"/>
    <cellStyle name="Normal 3 3 5 24 2" xfId="30886"/>
    <cellStyle name="Normal 3 3 5 25" xfId="13376"/>
    <cellStyle name="Normal 3 3 5 25 2" xfId="30887"/>
    <cellStyle name="Normal 3 3 5 26" xfId="13377"/>
    <cellStyle name="Normal 3 3 5 26 2" xfId="30888"/>
    <cellStyle name="Normal 3 3 5 27" xfId="13378"/>
    <cellStyle name="Normal 3 3 5 27 2" xfId="30889"/>
    <cellStyle name="Normal 3 3 5 28" xfId="30806"/>
    <cellStyle name="Normal 3 3 5 3" xfId="13379"/>
    <cellStyle name="Normal 3 3 5 4" xfId="13380"/>
    <cellStyle name="Normal 3 3 5 5" xfId="13381"/>
    <cellStyle name="Normal 3 3 5 6" xfId="13382"/>
    <cellStyle name="Normal 3 3 5 6 10" xfId="13383"/>
    <cellStyle name="Normal 3 3 5 6 10 2" xfId="30891"/>
    <cellStyle name="Normal 3 3 5 6 11" xfId="13384"/>
    <cellStyle name="Normal 3 3 5 6 11 2" xfId="30892"/>
    <cellStyle name="Normal 3 3 5 6 12" xfId="13385"/>
    <cellStyle name="Normal 3 3 5 6 12 2" xfId="30893"/>
    <cellStyle name="Normal 3 3 5 6 13" xfId="13386"/>
    <cellStyle name="Normal 3 3 5 6 13 2" xfId="30894"/>
    <cellStyle name="Normal 3 3 5 6 14" xfId="13387"/>
    <cellStyle name="Normal 3 3 5 6 14 2" xfId="30895"/>
    <cellStyle name="Normal 3 3 5 6 15" xfId="13388"/>
    <cellStyle name="Normal 3 3 5 6 15 2" xfId="30896"/>
    <cellStyle name="Normal 3 3 5 6 16" xfId="30890"/>
    <cellStyle name="Normal 3 3 5 6 2" xfId="13389"/>
    <cellStyle name="Normal 3 3 5 6 2 10" xfId="13390"/>
    <cellStyle name="Normal 3 3 5 6 2 10 2" xfId="30898"/>
    <cellStyle name="Normal 3 3 5 6 2 11" xfId="13391"/>
    <cellStyle name="Normal 3 3 5 6 2 11 2" xfId="30899"/>
    <cellStyle name="Normal 3 3 5 6 2 12" xfId="13392"/>
    <cellStyle name="Normal 3 3 5 6 2 12 2" xfId="30900"/>
    <cellStyle name="Normal 3 3 5 6 2 13" xfId="13393"/>
    <cellStyle name="Normal 3 3 5 6 2 13 2" xfId="30901"/>
    <cellStyle name="Normal 3 3 5 6 2 14" xfId="13394"/>
    <cellStyle name="Normal 3 3 5 6 2 14 2" xfId="30902"/>
    <cellStyle name="Normal 3 3 5 6 2 15" xfId="30897"/>
    <cellStyle name="Normal 3 3 5 6 2 2" xfId="13395"/>
    <cellStyle name="Normal 3 3 5 6 2 2 2" xfId="30903"/>
    <cellStyle name="Normal 3 3 5 6 2 3" xfId="13396"/>
    <cellStyle name="Normal 3 3 5 6 2 3 2" xfId="30904"/>
    <cellStyle name="Normal 3 3 5 6 2 4" xfId="13397"/>
    <cellStyle name="Normal 3 3 5 6 2 4 2" xfId="30905"/>
    <cellStyle name="Normal 3 3 5 6 2 5" xfId="13398"/>
    <cellStyle name="Normal 3 3 5 6 2 5 2" xfId="30906"/>
    <cellStyle name="Normal 3 3 5 6 2 6" xfId="13399"/>
    <cellStyle name="Normal 3 3 5 6 2 6 2" xfId="30907"/>
    <cellStyle name="Normal 3 3 5 6 2 7" xfId="13400"/>
    <cellStyle name="Normal 3 3 5 6 2 7 2" xfId="30908"/>
    <cellStyle name="Normal 3 3 5 6 2 8" xfId="13401"/>
    <cellStyle name="Normal 3 3 5 6 2 8 2" xfId="30909"/>
    <cellStyle name="Normal 3 3 5 6 2 9" xfId="13402"/>
    <cellStyle name="Normal 3 3 5 6 2 9 2" xfId="30910"/>
    <cellStyle name="Normal 3 3 5 6 3" xfId="13403"/>
    <cellStyle name="Normal 3 3 5 6 3 2" xfId="30911"/>
    <cellStyle name="Normal 3 3 5 6 4" xfId="13404"/>
    <cellStyle name="Normal 3 3 5 6 4 2" xfId="30912"/>
    <cellStyle name="Normal 3 3 5 6 5" xfId="13405"/>
    <cellStyle name="Normal 3 3 5 6 5 2" xfId="30913"/>
    <cellStyle name="Normal 3 3 5 6 6" xfId="13406"/>
    <cellStyle name="Normal 3 3 5 6 6 2" xfId="30914"/>
    <cellStyle name="Normal 3 3 5 6 7" xfId="13407"/>
    <cellStyle name="Normal 3 3 5 6 7 2" xfId="30915"/>
    <cellStyle name="Normal 3 3 5 6 8" xfId="13408"/>
    <cellStyle name="Normal 3 3 5 6 8 2" xfId="30916"/>
    <cellStyle name="Normal 3 3 5 6 9" xfId="13409"/>
    <cellStyle name="Normal 3 3 5 6 9 2" xfId="30917"/>
    <cellStyle name="Normal 3 3 5 7" xfId="13410"/>
    <cellStyle name="Normal 3 3 5 7 10" xfId="13411"/>
    <cellStyle name="Normal 3 3 5 7 10 2" xfId="30919"/>
    <cellStyle name="Normal 3 3 5 7 11" xfId="13412"/>
    <cellStyle name="Normal 3 3 5 7 11 2" xfId="30920"/>
    <cellStyle name="Normal 3 3 5 7 12" xfId="13413"/>
    <cellStyle name="Normal 3 3 5 7 12 2" xfId="30921"/>
    <cellStyle name="Normal 3 3 5 7 13" xfId="13414"/>
    <cellStyle name="Normal 3 3 5 7 13 2" xfId="30922"/>
    <cellStyle name="Normal 3 3 5 7 14" xfId="13415"/>
    <cellStyle name="Normal 3 3 5 7 14 2" xfId="30923"/>
    <cellStyle name="Normal 3 3 5 7 15" xfId="13416"/>
    <cellStyle name="Normal 3 3 5 7 15 2" xfId="30924"/>
    <cellStyle name="Normal 3 3 5 7 16" xfId="30918"/>
    <cellStyle name="Normal 3 3 5 7 2" xfId="13417"/>
    <cellStyle name="Normal 3 3 5 7 2 10" xfId="13418"/>
    <cellStyle name="Normal 3 3 5 7 2 10 2" xfId="30926"/>
    <cellStyle name="Normal 3 3 5 7 2 11" xfId="13419"/>
    <cellStyle name="Normal 3 3 5 7 2 11 2" xfId="30927"/>
    <cellStyle name="Normal 3 3 5 7 2 12" xfId="13420"/>
    <cellStyle name="Normal 3 3 5 7 2 12 2" xfId="30928"/>
    <cellStyle name="Normal 3 3 5 7 2 13" xfId="13421"/>
    <cellStyle name="Normal 3 3 5 7 2 13 2" xfId="30929"/>
    <cellStyle name="Normal 3 3 5 7 2 14" xfId="13422"/>
    <cellStyle name="Normal 3 3 5 7 2 14 2" xfId="30930"/>
    <cellStyle name="Normal 3 3 5 7 2 15" xfId="30925"/>
    <cellStyle name="Normal 3 3 5 7 2 2" xfId="13423"/>
    <cellStyle name="Normal 3 3 5 7 2 2 2" xfId="30931"/>
    <cellStyle name="Normal 3 3 5 7 2 3" xfId="13424"/>
    <cellStyle name="Normal 3 3 5 7 2 3 2" xfId="30932"/>
    <cellStyle name="Normal 3 3 5 7 2 4" xfId="13425"/>
    <cellStyle name="Normal 3 3 5 7 2 4 2" xfId="30933"/>
    <cellStyle name="Normal 3 3 5 7 2 5" xfId="13426"/>
    <cellStyle name="Normal 3 3 5 7 2 5 2" xfId="30934"/>
    <cellStyle name="Normal 3 3 5 7 2 6" xfId="13427"/>
    <cellStyle name="Normal 3 3 5 7 2 6 2" xfId="30935"/>
    <cellStyle name="Normal 3 3 5 7 2 7" xfId="13428"/>
    <cellStyle name="Normal 3 3 5 7 2 7 2" xfId="30936"/>
    <cellStyle name="Normal 3 3 5 7 2 8" xfId="13429"/>
    <cellStyle name="Normal 3 3 5 7 2 8 2" xfId="30937"/>
    <cellStyle name="Normal 3 3 5 7 2 9" xfId="13430"/>
    <cellStyle name="Normal 3 3 5 7 2 9 2" xfId="30938"/>
    <cellStyle name="Normal 3 3 5 7 3" xfId="13431"/>
    <cellStyle name="Normal 3 3 5 7 3 2" xfId="30939"/>
    <cellStyle name="Normal 3 3 5 7 4" xfId="13432"/>
    <cellStyle name="Normal 3 3 5 7 4 2" xfId="30940"/>
    <cellStyle name="Normal 3 3 5 7 5" xfId="13433"/>
    <cellStyle name="Normal 3 3 5 7 5 2" xfId="30941"/>
    <cellStyle name="Normal 3 3 5 7 6" xfId="13434"/>
    <cellStyle name="Normal 3 3 5 7 6 2" xfId="30942"/>
    <cellStyle name="Normal 3 3 5 7 7" xfId="13435"/>
    <cellStyle name="Normal 3 3 5 7 7 2" xfId="30943"/>
    <cellStyle name="Normal 3 3 5 7 8" xfId="13436"/>
    <cellStyle name="Normal 3 3 5 7 8 2" xfId="30944"/>
    <cellStyle name="Normal 3 3 5 7 9" xfId="13437"/>
    <cellStyle name="Normal 3 3 5 7 9 2" xfId="30945"/>
    <cellStyle name="Normal 3 3 5 8" xfId="13438"/>
    <cellStyle name="Normal 3 3 5 8 10" xfId="13439"/>
    <cellStyle name="Normal 3 3 5 8 10 2" xfId="30947"/>
    <cellStyle name="Normal 3 3 5 8 11" xfId="13440"/>
    <cellStyle name="Normal 3 3 5 8 11 2" xfId="30948"/>
    <cellStyle name="Normal 3 3 5 8 12" xfId="13441"/>
    <cellStyle name="Normal 3 3 5 8 12 2" xfId="30949"/>
    <cellStyle name="Normal 3 3 5 8 13" xfId="13442"/>
    <cellStyle name="Normal 3 3 5 8 13 2" xfId="30950"/>
    <cellStyle name="Normal 3 3 5 8 14" xfId="13443"/>
    <cellStyle name="Normal 3 3 5 8 14 2" xfId="30951"/>
    <cellStyle name="Normal 3 3 5 8 15" xfId="13444"/>
    <cellStyle name="Normal 3 3 5 8 15 2" xfId="30952"/>
    <cellStyle name="Normal 3 3 5 8 16" xfId="30946"/>
    <cellStyle name="Normal 3 3 5 8 2" xfId="13445"/>
    <cellStyle name="Normal 3 3 5 8 2 10" xfId="13446"/>
    <cellStyle name="Normal 3 3 5 8 2 10 2" xfId="30954"/>
    <cellStyle name="Normal 3 3 5 8 2 11" xfId="13447"/>
    <cellStyle name="Normal 3 3 5 8 2 11 2" xfId="30955"/>
    <cellStyle name="Normal 3 3 5 8 2 12" xfId="13448"/>
    <cellStyle name="Normal 3 3 5 8 2 12 2" xfId="30956"/>
    <cellStyle name="Normal 3 3 5 8 2 13" xfId="13449"/>
    <cellStyle name="Normal 3 3 5 8 2 13 2" xfId="30957"/>
    <cellStyle name="Normal 3 3 5 8 2 14" xfId="13450"/>
    <cellStyle name="Normal 3 3 5 8 2 14 2" xfId="30958"/>
    <cellStyle name="Normal 3 3 5 8 2 15" xfId="30953"/>
    <cellStyle name="Normal 3 3 5 8 2 2" xfId="13451"/>
    <cellStyle name="Normal 3 3 5 8 2 2 2" xfId="30959"/>
    <cellStyle name="Normal 3 3 5 8 2 3" xfId="13452"/>
    <cellStyle name="Normal 3 3 5 8 2 3 2" xfId="30960"/>
    <cellStyle name="Normal 3 3 5 8 2 4" xfId="13453"/>
    <cellStyle name="Normal 3 3 5 8 2 4 2" xfId="30961"/>
    <cellStyle name="Normal 3 3 5 8 2 5" xfId="13454"/>
    <cellStyle name="Normal 3 3 5 8 2 5 2" xfId="30962"/>
    <cellStyle name="Normal 3 3 5 8 2 6" xfId="13455"/>
    <cellStyle name="Normal 3 3 5 8 2 6 2" xfId="30963"/>
    <cellStyle name="Normal 3 3 5 8 2 7" xfId="13456"/>
    <cellStyle name="Normal 3 3 5 8 2 7 2" xfId="30964"/>
    <cellStyle name="Normal 3 3 5 8 2 8" xfId="13457"/>
    <cellStyle name="Normal 3 3 5 8 2 8 2" xfId="30965"/>
    <cellStyle name="Normal 3 3 5 8 2 9" xfId="13458"/>
    <cellStyle name="Normal 3 3 5 8 2 9 2" xfId="30966"/>
    <cellStyle name="Normal 3 3 5 8 3" xfId="13459"/>
    <cellStyle name="Normal 3 3 5 8 3 2" xfId="30967"/>
    <cellStyle name="Normal 3 3 5 8 4" xfId="13460"/>
    <cellStyle name="Normal 3 3 5 8 4 2" xfId="30968"/>
    <cellStyle name="Normal 3 3 5 8 5" xfId="13461"/>
    <cellStyle name="Normal 3 3 5 8 5 2" xfId="30969"/>
    <cellStyle name="Normal 3 3 5 8 6" xfId="13462"/>
    <cellStyle name="Normal 3 3 5 8 6 2" xfId="30970"/>
    <cellStyle name="Normal 3 3 5 8 7" xfId="13463"/>
    <cellStyle name="Normal 3 3 5 8 7 2" xfId="30971"/>
    <cellStyle name="Normal 3 3 5 8 8" xfId="13464"/>
    <cellStyle name="Normal 3 3 5 8 8 2" xfId="30972"/>
    <cellStyle name="Normal 3 3 5 8 9" xfId="13465"/>
    <cellStyle name="Normal 3 3 5 8 9 2" xfId="30973"/>
    <cellStyle name="Normal 3 3 5 9" xfId="13466"/>
    <cellStyle name="Normal 3 3 5 9 10" xfId="13467"/>
    <cellStyle name="Normal 3 3 5 9 10 2" xfId="30975"/>
    <cellStyle name="Normal 3 3 5 9 11" xfId="13468"/>
    <cellStyle name="Normal 3 3 5 9 11 2" xfId="30976"/>
    <cellStyle name="Normal 3 3 5 9 12" xfId="13469"/>
    <cellStyle name="Normal 3 3 5 9 12 2" xfId="30977"/>
    <cellStyle name="Normal 3 3 5 9 13" xfId="13470"/>
    <cellStyle name="Normal 3 3 5 9 13 2" xfId="30978"/>
    <cellStyle name="Normal 3 3 5 9 14" xfId="13471"/>
    <cellStyle name="Normal 3 3 5 9 14 2" xfId="30979"/>
    <cellStyle name="Normal 3 3 5 9 15" xfId="30974"/>
    <cellStyle name="Normal 3 3 5 9 2" xfId="13472"/>
    <cellStyle name="Normal 3 3 5 9 2 2" xfId="30980"/>
    <cellStyle name="Normal 3 3 5 9 3" xfId="13473"/>
    <cellStyle name="Normal 3 3 5 9 3 2" xfId="30981"/>
    <cellStyle name="Normal 3 3 5 9 4" xfId="13474"/>
    <cellStyle name="Normal 3 3 5 9 4 2" xfId="30982"/>
    <cellStyle name="Normal 3 3 5 9 5" xfId="13475"/>
    <cellStyle name="Normal 3 3 5 9 5 2" xfId="30983"/>
    <cellStyle name="Normal 3 3 5 9 6" xfId="13476"/>
    <cellStyle name="Normal 3 3 5 9 6 2" xfId="30984"/>
    <cellStyle name="Normal 3 3 5 9 7" xfId="13477"/>
    <cellStyle name="Normal 3 3 5 9 7 2" xfId="30985"/>
    <cellStyle name="Normal 3 3 5 9 8" xfId="13478"/>
    <cellStyle name="Normal 3 3 5 9 8 2" xfId="30986"/>
    <cellStyle name="Normal 3 3 5 9 9" xfId="13479"/>
    <cellStyle name="Normal 3 3 5 9 9 2" xfId="30987"/>
    <cellStyle name="Normal 3 3 6" xfId="13480"/>
    <cellStyle name="Normal 3 3 6 10" xfId="13481"/>
    <cellStyle name="Normal 3 3 6 10 10" xfId="13482"/>
    <cellStyle name="Normal 3 3 6 10 10 2" xfId="30990"/>
    <cellStyle name="Normal 3 3 6 10 11" xfId="13483"/>
    <cellStyle name="Normal 3 3 6 10 11 2" xfId="30991"/>
    <cellStyle name="Normal 3 3 6 10 12" xfId="13484"/>
    <cellStyle name="Normal 3 3 6 10 12 2" xfId="30992"/>
    <cellStyle name="Normal 3 3 6 10 13" xfId="13485"/>
    <cellStyle name="Normal 3 3 6 10 13 2" xfId="30993"/>
    <cellStyle name="Normal 3 3 6 10 14" xfId="13486"/>
    <cellStyle name="Normal 3 3 6 10 14 2" xfId="30994"/>
    <cellStyle name="Normal 3 3 6 10 15" xfId="30989"/>
    <cellStyle name="Normal 3 3 6 10 2" xfId="13487"/>
    <cellStyle name="Normal 3 3 6 10 2 2" xfId="30995"/>
    <cellStyle name="Normal 3 3 6 10 3" xfId="13488"/>
    <cellStyle name="Normal 3 3 6 10 3 2" xfId="30996"/>
    <cellStyle name="Normal 3 3 6 10 4" xfId="13489"/>
    <cellStyle name="Normal 3 3 6 10 4 2" xfId="30997"/>
    <cellStyle name="Normal 3 3 6 10 5" xfId="13490"/>
    <cellStyle name="Normal 3 3 6 10 5 2" xfId="30998"/>
    <cellStyle name="Normal 3 3 6 10 6" xfId="13491"/>
    <cellStyle name="Normal 3 3 6 10 6 2" xfId="30999"/>
    <cellStyle name="Normal 3 3 6 10 7" xfId="13492"/>
    <cellStyle name="Normal 3 3 6 10 7 2" xfId="31000"/>
    <cellStyle name="Normal 3 3 6 10 8" xfId="13493"/>
    <cellStyle name="Normal 3 3 6 10 8 2" xfId="31001"/>
    <cellStyle name="Normal 3 3 6 10 9" xfId="13494"/>
    <cellStyle name="Normal 3 3 6 10 9 2" xfId="31002"/>
    <cellStyle name="Normal 3 3 6 11" xfId="13495"/>
    <cellStyle name="Normal 3 3 6 11 10" xfId="13496"/>
    <cellStyle name="Normal 3 3 6 11 10 2" xfId="31004"/>
    <cellStyle name="Normal 3 3 6 11 11" xfId="13497"/>
    <cellStyle name="Normal 3 3 6 11 11 2" xfId="31005"/>
    <cellStyle name="Normal 3 3 6 11 12" xfId="13498"/>
    <cellStyle name="Normal 3 3 6 11 12 2" xfId="31006"/>
    <cellStyle name="Normal 3 3 6 11 13" xfId="13499"/>
    <cellStyle name="Normal 3 3 6 11 13 2" xfId="31007"/>
    <cellStyle name="Normal 3 3 6 11 14" xfId="13500"/>
    <cellStyle name="Normal 3 3 6 11 14 2" xfId="31008"/>
    <cellStyle name="Normal 3 3 6 11 15" xfId="31003"/>
    <cellStyle name="Normal 3 3 6 11 2" xfId="13501"/>
    <cellStyle name="Normal 3 3 6 11 2 2" xfId="31009"/>
    <cellStyle name="Normal 3 3 6 11 3" xfId="13502"/>
    <cellStyle name="Normal 3 3 6 11 3 2" xfId="31010"/>
    <cellStyle name="Normal 3 3 6 11 4" xfId="13503"/>
    <cellStyle name="Normal 3 3 6 11 4 2" xfId="31011"/>
    <cellStyle name="Normal 3 3 6 11 5" xfId="13504"/>
    <cellStyle name="Normal 3 3 6 11 5 2" xfId="31012"/>
    <cellStyle name="Normal 3 3 6 11 6" xfId="13505"/>
    <cellStyle name="Normal 3 3 6 11 6 2" xfId="31013"/>
    <cellStyle name="Normal 3 3 6 11 7" xfId="13506"/>
    <cellStyle name="Normal 3 3 6 11 7 2" xfId="31014"/>
    <cellStyle name="Normal 3 3 6 11 8" xfId="13507"/>
    <cellStyle name="Normal 3 3 6 11 8 2" xfId="31015"/>
    <cellStyle name="Normal 3 3 6 11 9" xfId="13508"/>
    <cellStyle name="Normal 3 3 6 11 9 2" xfId="31016"/>
    <cellStyle name="Normal 3 3 6 12" xfId="13509"/>
    <cellStyle name="Normal 3 3 6 12 10" xfId="13510"/>
    <cellStyle name="Normal 3 3 6 12 10 2" xfId="31018"/>
    <cellStyle name="Normal 3 3 6 12 11" xfId="13511"/>
    <cellStyle name="Normal 3 3 6 12 11 2" xfId="31019"/>
    <cellStyle name="Normal 3 3 6 12 12" xfId="13512"/>
    <cellStyle name="Normal 3 3 6 12 12 2" xfId="31020"/>
    <cellStyle name="Normal 3 3 6 12 13" xfId="13513"/>
    <cellStyle name="Normal 3 3 6 12 13 2" xfId="31021"/>
    <cellStyle name="Normal 3 3 6 12 14" xfId="13514"/>
    <cellStyle name="Normal 3 3 6 12 14 2" xfId="31022"/>
    <cellStyle name="Normal 3 3 6 12 15" xfId="31017"/>
    <cellStyle name="Normal 3 3 6 12 2" xfId="13515"/>
    <cellStyle name="Normal 3 3 6 12 2 2" xfId="31023"/>
    <cellStyle name="Normal 3 3 6 12 3" xfId="13516"/>
    <cellStyle name="Normal 3 3 6 12 3 2" xfId="31024"/>
    <cellStyle name="Normal 3 3 6 12 4" xfId="13517"/>
    <cellStyle name="Normal 3 3 6 12 4 2" xfId="31025"/>
    <cellStyle name="Normal 3 3 6 12 5" xfId="13518"/>
    <cellStyle name="Normal 3 3 6 12 5 2" xfId="31026"/>
    <cellStyle name="Normal 3 3 6 12 6" xfId="13519"/>
    <cellStyle name="Normal 3 3 6 12 6 2" xfId="31027"/>
    <cellStyle name="Normal 3 3 6 12 7" xfId="13520"/>
    <cellStyle name="Normal 3 3 6 12 7 2" xfId="31028"/>
    <cellStyle name="Normal 3 3 6 12 8" xfId="13521"/>
    <cellStyle name="Normal 3 3 6 12 8 2" xfId="31029"/>
    <cellStyle name="Normal 3 3 6 12 9" xfId="13522"/>
    <cellStyle name="Normal 3 3 6 12 9 2" xfId="31030"/>
    <cellStyle name="Normal 3 3 6 13" xfId="13523"/>
    <cellStyle name="Normal 3 3 6 13 10" xfId="13524"/>
    <cellStyle name="Normal 3 3 6 13 10 2" xfId="31032"/>
    <cellStyle name="Normal 3 3 6 13 11" xfId="13525"/>
    <cellStyle name="Normal 3 3 6 13 11 2" xfId="31033"/>
    <cellStyle name="Normal 3 3 6 13 12" xfId="13526"/>
    <cellStyle name="Normal 3 3 6 13 12 2" xfId="31034"/>
    <cellStyle name="Normal 3 3 6 13 13" xfId="13527"/>
    <cellStyle name="Normal 3 3 6 13 13 2" xfId="31035"/>
    <cellStyle name="Normal 3 3 6 13 14" xfId="13528"/>
    <cellStyle name="Normal 3 3 6 13 14 2" xfId="31036"/>
    <cellStyle name="Normal 3 3 6 13 15" xfId="31031"/>
    <cellStyle name="Normal 3 3 6 13 2" xfId="13529"/>
    <cellStyle name="Normal 3 3 6 13 2 2" xfId="31037"/>
    <cellStyle name="Normal 3 3 6 13 3" xfId="13530"/>
    <cellStyle name="Normal 3 3 6 13 3 2" xfId="31038"/>
    <cellStyle name="Normal 3 3 6 13 4" xfId="13531"/>
    <cellStyle name="Normal 3 3 6 13 4 2" xfId="31039"/>
    <cellStyle name="Normal 3 3 6 13 5" xfId="13532"/>
    <cellStyle name="Normal 3 3 6 13 5 2" xfId="31040"/>
    <cellStyle name="Normal 3 3 6 13 6" xfId="13533"/>
    <cellStyle name="Normal 3 3 6 13 6 2" xfId="31041"/>
    <cellStyle name="Normal 3 3 6 13 7" xfId="13534"/>
    <cellStyle name="Normal 3 3 6 13 7 2" xfId="31042"/>
    <cellStyle name="Normal 3 3 6 13 8" xfId="13535"/>
    <cellStyle name="Normal 3 3 6 13 8 2" xfId="31043"/>
    <cellStyle name="Normal 3 3 6 13 9" xfId="13536"/>
    <cellStyle name="Normal 3 3 6 13 9 2" xfId="31044"/>
    <cellStyle name="Normal 3 3 6 14" xfId="13537"/>
    <cellStyle name="Normal 3 3 6 14 10" xfId="13538"/>
    <cellStyle name="Normal 3 3 6 14 10 2" xfId="31046"/>
    <cellStyle name="Normal 3 3 6 14 11" xfId="13539"/>
    <cellStyle name="Normal 3 3 6 14 11 2" xfId="31047"/>
    <cellStyle name="Normal 3 3 6 14 12" xfId="13540"/>
    <cellStyle name="Normal 3 3 6 14 12 2" xfId="31048"/>
    <cellStyle name="Normal 3 3 6 14 13" xfId="13541"/>
    <cellStyle name="Normal 3 3 6 14 13 2" xfId="31049"/>
    <cellStyle name="Normal 3 3 6 14 14" xfId="13542"/>
    <cellStyle name="Normal 3 3 6 14 14 2" xfId="31050"/>
    <cellStyle name="Normal 3 3 6 14 15" xfId="31045"/>
    <cellStyle name="Normal 3 3 6 14 2" xfId="13543"/>
    <cellStyle name="Normal 3 3 6 14 2 2" xfId="31051"/>
    <cellStyle name="Normal 3 3 6 14 3" xfId="13544"/>
    <cellStyle name="Normal 3 3 6 14 3 2" xfId="31052"/>
    <cellStyle name="Normal 3 3 6 14 4" xfId="13545"/>
    <cellStyle name="Normal 3 3 6 14 4 2" xfId="31053"/>
    <cellStyle name="Normal 3 3 6 14 5" xfId="13546"/>
    <cellStyle name="Normal 3 3 6 14 5 2" xfId="31054"/>
    <cellStyle name="Normal 3 3 6 14 6" xfId="13547"/>
    <cellStyle name="Normal 3 3 6 14 6 2" xfId="31055"/>
    <cellStyle name="Normal 3 3 6 14 7" xfId="13548"/>
    <cellStyle name="Normal 3 3 6 14 7 2" xfId="31056"/>
    <cellStyle name="Normal 3 3 6 14 8" xfId="13549"/>
    <cellStyle name="Normal 3 3 6 14 8 2" xfId="31057"/>
    <cellStyle name="Normal 3 3 6 14 9" xfId="13550"/>
    <cellStyle name="Normal 3 3 6 14 9 2" xfId="31058"/>
    <cellStyle name="Normal 3 3 6 15" xfId="13551"/>
    <cellStyle name="Normal 3 3 6 15 2" xfId="31059"/>
    <cellStyle name="Normal 3 3 6 16" xfId="13552"/>
    <cellStyle name="Normal 3 3 6 16 2" xfId="31060"/>
    <cellStyle name="Normal 3 3 6 17" xfId="13553"/>
    <cellStyle name="Normal 3 3 6 17 2" xfId="31061"/>
    <cellStyle name="Normal 3 3 6 18" xfId="13554"/>
    <cellStyle name="Normal 3 3 6 18 2" xfId="31062"/>
    <cellStyle name="Normal 3 3 6 19" xfId="13555"/>
    <cellStyle name="Normal 3 3 6 19 2" xfId="31063"/>
    <cellStyle name="Normal 3 3 6 2" xfId="13556"/>
    <cellStyle name="Normal 3 3 6 20" xfId="13557"/>
    <cellStyle name="Normal 3 3 6 20 2" xfId="31064"/>
    <cellStyle name="Normal 3 3 6 21" xfId="13558"/>
    <cellStyle name="Normal 3 3 6 21 2" xfId="31065"/>
    <cellStyle name="Normal 3 3 6 22" xfId="13559"/>
    <cellStyle name="Normal 3 3 6 22 2" xfId="31066"/>
    <cellStyle name="Normal 3 3 6 23" xfId="13560"/>
    <cellStyle name="Normal 3 3 6 23 2" xfId="31067"/>
    <cellStyle name="Normal 3 3 6 24" xfId="13561"/>
    <cellStyle name="Normal 3 3 6 24 2" xfId="31068"/>
    <cellStyle name="Normal 3 3 6 25" xfId="13562"/>
    <cellStyle name="Normal 3 3 6 25 2" xfId="31069"/>
    <cellStyle name="Normal 3 3 6 26" xfId="13563"/>
    <cellStyle name="Normal 3 3 6 26 2" xfId="31070"/>
    <cellStyle name="Normal 3 3 6 27" xfId="13564"/>
    <cellStyle name="Normal 3 3 6 27 2" xfId="31071"/>
    <cellStyle name="Normal 3 3 6 28" xfId="30988"/>
    <cellStyle name="Normal 3 3 6 3" xfId="13565"/>
    <cellStyle name="Normal 3 3 6 4" xfId="13566"/>
    <cellStyle name="Normal 3 3 6 5" xfId="13567"/>
    <cellStyle name="Normal 3 3 6 6" xfId="13568"/>
    <cellStyle name="Normal 3 3 6 6 10" xfId="13569"/>
    <cellStyle name="Normal 3 3 6 6 10 2" xfId="31073"/>
    <cellStyle name="Normal 3 3 6 6 11" xfId="13570"/>
    <cellStyle name="Normal 3 3 6 6 11 2" xfId="31074"/>
    <cellStyle name="Normal 3 3 6 6 12" xfId="13571"/>
    <cellStyle name="Normal 3 3 6 6 12 2" xfId="31075"/>
    <cellStyle name="Normal 3 3 6 6 13" xfId="13572"/>
    <cellStyle name="Normal 3 3 6 6 13 2" xfId="31076"/>
    <cellStyle name="Normal 3 3 6 6 14" xfId="13573"/>
    <cellStyle name="Normal 3 3 6 6 14 2" xfId="31077"/>
    <cellStyle name="Normal 3 3 6 6 15" xfId="13574"/>
    <cellStyle name="Normal 3 3 6 6 15 2" xfId="31078"/>
    <cellStyle name="Normal 3 3 6 6 16" xfId="31072"/>
    <cellStyle name="Normal 3 3 6 6 2" xfId="13575"/>
    <cellStyle name="Normal 3 3 6 6 2 10" xfId="13576"/>
    <cellStyle name="Normal 3 3 6 6 2 10 2" xfId="31080"/>
    <cellStyle name="Normal 3 3 6 6 2 11" xfId="13577"/>
    <cellStyle name="Normal 3 3 6 6 2 11 2" xfId="31081"/>
    <cellStyle name="Normal 3 3 6 6 2 12" xfId="13578"/>
    <cellStyle name="Normal 3 3 6 6 2 12 2" xfId="31082"/>
    <cellStyle name="Normal 3 3 6 6 2 13" xfId="13579"/>
    <cellStyle name="Normal 3 3 6 6 2 13 2" xfId="31083"/>
    <cellStyle name="Normal 3 3 6 6 2 14" xfId="13580"/>
    <cellStyle name="Normal 3 3 6 6 2 14 2" xfId="31084"/>
    <cellStyle name="Normal 3 3 6 6 2 15" xfId="31079"/>
    <cellStyle name="Normal 3 3 6 6 2 2" xfId="13581"/>
    <cellStyle name="Normal 3 3 6 6 2 2 2" xfId="31085"/>
    <cellStyle name="Normal 3 3 6 6 2 3" xfId="13582"/>
    <cellStyle name="Normal 3 3 6 6 2 3 2" xfId="31086"/>
    <cellStyle name="Normal 3 3 6 6 2 4" xfId="13583"/>
    <cellStyle name="Normal 3 3 6 6 2 4 2" xfId="31087"/>
    <cellStyle name="Normal 3 3 6 6 2 5" xfId="13584"/>
    <cellStyle name="Normal 3 3 6 6 2 5 2" xfId="31088"/>
    <cellStyle name="Normal 3 3 6 6 2 6" xfId="13585"/>
    <cellStyle name="Normal 3 3 6 6 2 6 2" xfId="31089"/>
    <cellStyle name="Normal 3 3 6 6 2 7" xfId="13586"/>
    <cellStyle name="Normal 3 3 6 6 2 7 2" xfId="31090"/>
    <cellStyle name="Normal 3 3 6 6 2 8" xfId="13587"/>
    <cellStyle name="Normal 3 3 6 6 2 8 2" xfId="31091"/>
    <cellStyle name="Normal 3 3 6 6 2 9" xfId="13588"/>
    <cellStyle name="Normal 3 3 6 6 2 9 2" xfId="31092"/>
    <cellStyle name="Normal 3 3 6 6 3" xfId="13589"/>
    <cellStyle name="Normal 3 3 6 6 3 2" xfId="31093"/>
    <cellStyle name="Normal 3 3 6 6 4" xfId="13590"/>
    <cellStyle name="Normal 3 3 6 6 4 2" xfId="31094"/>
    <cellStyle name="Normal 3 3 6 6 5" xfId="13591"/>
    <cellStyle name="Normal 3 3 6 6 5 2" xfId="31095"/>
    <cellStyle name="Normal 3 3 6 6 6" xfId="13592"/>
    <cellStyle name="Normal 3 3 6 6 6 2" xfId="31096"/>
    <cellStyle name="Normal 3 3 6 6 7" xfId="13593"/>
    <cellStyle name="Normal 3 3 6 6 7 2" xfId="31097"/>
    <cellStyle name="Normal 3 3 6 6 8" xfId="13594"/>
    <cellStyle name="Normal 3 3 6 6 8 2" xfId="31098"/>
    <cellStyle name="Normal 3 3 6 6 9" xfId="13595"/>
    <cellStyle name="Normal 3 3 6 6 9 2" xfId="31099"/>
    <cellStyle name="Normal 3 3 6 7" xfId="13596"/>
    <cellStyle name="Normal 3 3 6 7 10" xfId="13597"/>
    <cellStyle name="Normal 3 3 6 7 10 2" xfId="31101"/>
    <cellStyle name="Normal 3 3 6 7 11" xfId="13598"/>
    <cellStyle name="Normal 3 3 6 7 11 2" xfId="31102"/>
    <cellStyle name="Normal 3 3 6 7 12" xfId="13599"/>
    <cellStyle name="Normal 3 3 6 7 12 2" xfId="31103"/>
    <cellStyle name="Normal 3 3 6 7 13" xfId="13600"/>
    <cellStyle name="Normal 3 3 6 7 13 2" xfId="31104"/>
    <cellStyle name="Normal 3 3 6 7 14" xfId="13601"/>
    <cellStyle name="Normal 3 3 6 7 14 2" xfId="31105"/>
    <cellStyle name="Normal 3 3 6 7 15" xfId="13602"/>
    <cellStyle name="Normal 3 3 6 7 15 2" xfId="31106"/>
    <cellStyle name="Normal 3 3 6 7 16" xfId="31100"/>
    <cellStyle name="Normal 3 3 6 7 2" xfId="13603"/>
    <cellStyle name="Normal 3 3 6 7 2 10" xfId="13604"/>
    <cellStyle name="Normal 3 3 6 7 2 10 2" xfId="31108"/>
    <cellStyle name="Normal 3 3 6 7 2 11" xfId="13605"/>
    <cellStyle name="Normal 3 3 6 7 2 11 2" xfId="31109"/>
    <cellStyle name="Normal 3 3 6 7 2 12" xfId="13606"/>
    <cellStyle name="Normal 3 3 6 7 2 12 2" xfId="31110"/>
    <cellStyle name="Normal 3 3 6 7 2 13" xfId="13607"/>
    <cellStyle name="Normal 3 3 6 7 2 13 2" xfId="31111"/>
    <cellStyle name="Normal 3 3 6 7 2 14" xfId="13608"/>
    <cellStyle name="Normal 3 3 6 7 2 14 2" xfId="31112"/>
    <cellStyle name="Normal 3 3 6 7 2 15" xfId="31107"/>
    <cellStyle name="Normal 3 3 6 7 2 2" xfId="13609"/>
    <cellStyle name="Normal 3 3 6 7 2 2 2" xfId="31113"/>
    <cellStyle name="Normal 3 3 6 7 2 3" xfId="13610"/>
    <cellStyle name="Normal 3 3 6 7 2 3 2" xfId="31114"/>
    <cellStyle name="Normal 3 3 6 7 2 4" xfId="13611"/>
    <cellStyle name="Normal 3 3 6 7 2 4 2" xfId="31115"/>
    <cellStyle name="Normal 3 3 6 7 2 5" xfId="13612"/>
    <cellStyle name="Normal 3 3 6 7 2 5 2" xfId="31116"/>
    <cellStyle name="Normal 3 3 6 7 2 6" xfId="13613"/>
    <cellStyle name="Normal 3 3 6 7 2 6 2" xfId="31117"/>
    <cellStyle name="Normal 3 3 6 7 2 7" xfId="13614"/>
    <cellStyle name="Normal 3 3 6 7 2 7 2" xfId="31118"/>
    <cellStyle name="Normal 3 3 6 7 2 8" xfId="13615"/>
    <cellStyle name="Normal 3 3 6 7 2 8 2" xfId="31119"/>
    <cellStyle name="Normal 3 3 6 7 2 9" xfId="13616"/>
    <cellStyle name="Normal 3 3 6 7 2 9 2" xfId="31120"/>
    <cellStyle name="Normal 3 3 6 7 3" xfId="13617"/>
    <cellStyle name="Normal 3 3 6 7 3 2" xfId="31121"/>
    <cellStyle name="Normal 3 3 6 7 4" xfId="13618"/>
    <cellStyle name="Normal 3 3 6 7 4 2" xfId="31122"/>
    <cellStyle name="Normal 3 3 6 7 5" xfId="13619"/>
    <cellStyle name="Normal 3 3 6 7 5 2" xfId="31123"/>
    <cellStyle name="Normal 3 3 6 7 6" xfId="13620"/>
    <cellStyle name="Normal 3 3 6 7 6 2" xfId="31124"/>
    <cellStyle name="Normal 3 3 6 7 7" xfId="13621"/>
    <cellStyle name="Normal 3 3 6 7 7 2" xfId="31125"/>
    <cellStyle name="Normal 3 3 6 7 8" xfId="13622"/>
    <cellStyle name="Normal 3 3 6 7 8 2" xfId="31126"/>
    <cellStyle name="Normal 3 3 6 7 9" xfId="13623"/>
    <cellStyle name="Normal 3 3 6 7 9 2" xfId="31127"/>
    <cellStyle name="Normal 3 3 6 8" xfId="13624"/>
    <cellStyle name="Normal 3 3 6 8 10" xfId="13625"/>
    <cellStyle name="Normal 3 3 6 8 10 2" xfId="31129"/>
    <cellStyle name="Normal 3 3 6 8 11" xfId="13626"/>
    <cellStyle name="Normal 3 3 6 8 11 2" xfId="31130"/>
    <cellStyle name="Normal 3 3 6 8 12" xfId="13627"/>
    <cellStyle name="Normal 3 3 6 8 12 2" xfId="31131"/>
    <cellStyle name="Normal 3 3 6 8 13" xfId="13628"/>
    <cellStyle name="Normal 3 3 6 8 13 2" xfId="31132"/>
    <cellStyle name="Normal 3 3 6 8 14" xfId="13629"/>
    <cellStyle name="Normal 3 3 6 8 14 2" xfId="31133"/>
    <cellStyle name="Normal 3 3 6 8 15" xfId="13630"/>
    <cellStyle name="Normal 3 3 6 8 15 2" xfId="31134"/>
    <cellStyle name="Normal 3 3 6 8 16" xfId="31128"/>
    <cellStyle name="Normal 3 3 6 8 2" xfId="13631"/>
    <cellStyle name="Normal 3 3 6 8 2 10" xfId="13632"/>
    <cellStyle name="Normal 3 3 6 8 2 10 2" xfId="31136"/>
    <cellStyle name="Normal 3 3 6 8 2 11" xfId="13633"/>
    <cellStyle name="Normal 3 3 6 8 2 11 2" xfId="31137"/>
    <cellStyle name="Normal 3 3 6 8 2 12" xfId="13634"/>
    <cellStyle name="Normal 3 3 6 8 2 12 2" xfId="31138"/>
    <cellStyle name="Normal 3 3 6 8 2 13" xfId="13635"/>
    <cellStyle name="Normal 3 3 6 8 2 13 2" xfId="31139"/>
    <cellStyle name="Normal 3 3 6 8 2 14" xfId="13636"/>
    <cellStyle name="Normal 3 3 6 8 2 14 2" xfId="31140"/>
    <cellStyle name="Normal 3 3 6 8 2 15" xfId="31135"/>
    <cellStyle name="Normal 3 3 6 8 2 2" xfId="13637"/>
    <cellStyle name="Normal 3 3 6 8 2 2 2" xfId="31141"/>
    <cellStyle name="Normal 3 3 6 8 2 3" xfId="13638"/>
    <cellStyle name="Normal 3 3 6 8 2 3 2" xfId="31142"/>
    <cellStyle name="Normal 3 3 6 8 2 4" xfId="13639"/>
    <cellStyle name="Normal 3 3 6 8 2 4 2" xfId="31143"/>
    <cellStyle name="Normal 3 3 6 8 2 5" xfId="13640"/>
    <cellStyle name="Normal 3 3 6 8 2 5 2" xfId="31144"/>
    <cellStyle name="Normal 3 3 6 8 2 6" xfId="13641"/>
    <cellStyle name="Normal 3 3 6 8 2 6 2" xfId="31145"/>
    <cellStyle name="Normal 3 3 6 8 2 7" xfId="13642"/>
    <cellStyle name="Normal 3 3 6 8 2 7 2" xfId="31146"/>
    <cellStyle name="Normal 3 3 6 8 2 8" xfId="13643"/>
    <cellStyle name="Normal 3 3 6 8 2 8 2" xfId="31147"/>
    <cellStyle name="Normal 3 3 6 8 2 9" xfId="13644"/>
    <cellStyle name="Normal 3 3 6 8 2 9 2" xfId="31148"/>
    <cellStyle name="Normal 3 3 6 8 3" xfId="13645"/>
    <cellStyle name="Normal 3 3 6 8 3 2" xfId="31149"/>
    <cellStyle name="Normal 3 3 6 8 4" xfId="13646"/>
    <cellStyle name="Normal 3 3 6 8 4 2" xfId="31150"/>
    <cellStyle name="Normal 3 3 6 8 5" xfId="13647"/>
    <cellStyle name="Normal 3 3 6 8 5 2" xfId="31151"/>
    <cellStyle name="Normal 3 3 6 8 6" xfId="13648"/>
    <cellStyle name="Normal 3 3 6 8 6 2" xfId="31152"/>
    <cellStyle name="Normal 3 3 6 8 7" xfId="13649"/>
    <cellStyle name="Normal 3 3 6 8 7 2" xfId="31153"/>
    <cellStyle name="Normal 3 3 6 8 8" xfId="13650"/>
    <cellStyle name="Normal 3 3 6 8 8 2" xfId="31154"/>
    <cellStyle name="Normal 3 3 6 8 9" xfId="13651"/>
    <cellStyle name="Normal 3 3 6 8 9 2" xfId="31155"/>
    <cellStyle name="Normal 3 3 6 9" xfId="13652"/>
    <cellStyle name="Normal 3 3 6 9 10" xfId="13653"/>
    <cellStyle name="Normal 3 3 6 9 10 2" xfId="31157"/>
    <cellStyle name="Normal 3 3 6 9 11" xfId="13654"/>
    <cellStyle name="Normal 3 3 6 9 11 2" xfId="31158"/>
    <cellStyle name="Normal 3 3 6 9 12" xfId="13655"/>
    <cellStyle name="Normal 3 3 6 9 12 2" xfId="31159"/>
    <cellStyle name="Normal 3 3 6 9 13" xfId="13656"/>
    <cellStyle name="Normal 3 3 6 9 13 2" xfId="31160"/>
    <cellStyle name="Normal 3 3 6 9 14" xfId="13657"/>
    <cellStyle name="Normal 3 3 6 9 14 2" xfId="31161"/>
    <cellStyle name="Normal 3 3 6 9 15" xfId="31156"/>
    <cellStyle name="Normal 3 3 6 9 2" xfId="13658"/>
    <cellStyle name="Normal 3 3 6 9 2 2" xfId="31162"/>
    <cellStyle name="Normal 3 3 6 9 3" xfId="13659"/>
    <cellStyle name="Normal 3 3 6 9 3 2" xfId="31163"/>
    <cellStyle name="Normal 3 3 6 9 4" xfId="13660"/>
    <cellStyle name="Normal 3 3 6 9 4 2" xfId="31164"/>
    <cellStyle name="Normal 3 3 6 9 5" xfId="13661"/>
    <cellStyle name="Normal 3 3 6 9 5 2" xfId="31165"/>
    <cellStyle name="Normal 3 3 6 9 6" xfId="13662"/>
    <cellStyle name="Normal 3 3 6 9 6 2" xfId="31166"/>
    <cellStyle name="Normal 3 3 6 9 7" xfId="13663"/>
    <cellStyle name="Normal 3 3 6 9 7 2" xfId="31167"/>
    <cellStyle name="Normal 3 3 6 9 8" xfId="13664"/>
    <cellStyle name="Normal 3 3 6 9 8 2" xfId="31168"/>
    <cellStyle name="Normal 3 3 6 9 9" xfId="13665"/>
    <cellStyle name="Normal 3 3 6 9 9 2" xfId="31169"/>
    <cellStyle name="Normal 3 3 7" xfId="13666"/>
    <cellStyle name="Normal 3 3 7 10" xfId="13667"/>
    <cellStyle name="Normal 3 3 7 10 10" xfId="13668"/>
    <cellStyle name="Normal 3 3 7 10 10 2" xfId="31172"/>
    <cellStyle name="Normal 3 3 7 10 11" xfId="13669"/>
    <cellStyle name="Normal 3 3 7 10 11 2" xfId="31173"/>
    <cellStyle name="Normal 3 3 7 10 12" xfId="13670"/>
    <cellStyle name="Normal 3 3 7 10 12 2" xfId="31174"/>
    <cellStyle name="Normal 3 3 7 10 13" xfId="13671"/>
    <cellStyle name="Normal 3 3 7 10 13 2" xfId="31175"/>
    <cellStyle name="Normal 3 3 7 10 14" xfId="13672"/>
    <cellStyle name="Normal 3 3 7 10 14 2" xfId="31176"/>
    <cellStyle name="Normal 3 3 7 10 15" xfId="31171"/>
    <cellStyle name="Normal 3 3 7 10 2" xfId="13673"/>
    <cellStyle name="Normal 3 3 7 10 2 2" xfId="31177"/>
    <cellStyle name="Normal 3 3 7 10 3" xfId="13674"/>
    <cellStyle name="Normal 3 3 7 10 3 2" xfId="31178"/>
    <cellStyle name="Normal 3 3 7 10 4" xfId="13675"/>
    <cellStyle name="Normal 3 3 7 10 4 2" xfId="31179"/>
    <cellStyle name="Normal 3 3 7 10 5" xfId="13676"/>
    <cellStyle name="Normal 3 3 7 10 5 2" xfId="31180"/>
    <cellStyle name="Normal 3 3 7 10 6" xfId="13677"/>
    <cellStyle name="Normal 3 3 7 10 6 2" xfId="31181"/>
    <cellStyle name="Normal 3 3 7 10 7" xfId="13678"/>
    <cellStyle name="Normal 3 3 7 10 7 2" xfId="31182"/>
    <cellStyle name="Normal 3 3 7 10 8" xfId="13679"/>
    <cellStyle name="Normal 3 3 7 10 8 2" xfId="31183"/>
    <cellStyle name="Normal 3 3 7 10 9" xfId="13680"/>
    <cellStyle name="Normal 3 3 7 10 9 2" xfId="31184"/>
    <cellStyle name="Normal 3 3 7 11" xfId="13681"/>
    <cellStyle name="Normal 3 3 7 11 2" xfId="31185"/>
    <cellStyle name="Normal 3 3 7 12" xfId="13682"/>
    <cellStyle name="Normal 3 3 7 12 2" xfId="31186"/>
    <cellStyle name="Normal 3 3 7 13" xfId="13683"/>
    <cellStyle name="Normal 3 3 7 13 2" xfId="31187"/>
    <cellStyle name="Normal 3 3 7 14" xfId="13684"/>
    <cellStyle name="Normal 3 3 7 14 2" xfId="31188"/>
    <cellStyle name="Normal 3 3 7 15" xfId="13685"/>
    <cellStyle name="Normal 3 3 7 15 2" xfId="31189"/>
    <cellStyle name="Normal 3 3 7 16" xfId="13686"/>
    <cellStyle name="Normal 3 3 7 16 2" xfId="31190"/>
    <cellStyle name="Normal 3 3 7 17" xfId="13687"/>
    <cellStyle name="Normal 3 3 7 17 2" xfId="31191"/>
    <cellStyle name="Normal 3 3 7 18" xfId="13688"/>
    <cellStyle name="Normal 3 3 7 18 2" xfId="31192"/>
    <cellStyle name="Normal 3 3 7 19" xfId="13689"/>
    <cellStyle name="Normal 3 3 7 19 2" xfId="31193"/>
    <cellStyle name="Normal 3 3 7 2" xfId="13690"/>
    <cellStyle name="Normal 3 3 7 2 10" xfId="13691"/>
    <cellStyle name="Normal 3 3 7 2 10 2" xfId="31195"/>
    <cellStyle name="Normal 3 3 7 2 11" xfId="13692"/>
    <cellStyle name="Normal 3 3 7 2 11 2" xfId="31196"/>
    <cellStyle name="Normal 3 3 7 2 12" xfId="13693"/>
    <cellStyle name="Normal 3 3 7 2 12 2" xfId="31197"/>
    <cellStyle name="Normal 3 3 7 2 13" xfId="13694"/>
    <cellStyle name="Normal 3 3 7 2 13 2" xfId="31198"/>
    <cellStyle name="Normal 3 3 7 2 14" xfId="13695"/>
    <cellStyle name="Normal 3 3 7 2 14 2" xfId="31199"/>
    <cellStyle name="Normal 3 3 7 2 15" xfId="13696"/>
    <cellStyle name="Normal 3 3 7 2 15 2" xfId="31200"/>
    <cellStyle name="Normal 3 3 7 2 16" xfId="31194"/>
    <cellStyle name="Normal 3 3 7 2 2" xfId="13697"/>
    <cellStyle name="Normal 3 3 7 2 2 10" xfId="13698"/>
    <cellStyle name="Normal 3 3 7 2 2 10 2" xfId="31202"/>
    <cellStyle name="Normal 3 3 7 2 2 11" xfId="13699"/>
    <cellStyle name="Normal 3 3 7 2 2 11 2" xfId="31203"/>
    <cellStyle name="Normal 3 3 7 2 2 12" xfId="13700"/>
    <cellStyle name="Normal 3 3 7 2 2 12 2" xfId="31204"/>
    <cellStyle name="Normal 3 3 7 2 2 13" xfId="13701"/>
    <cellStyle name="Normal 3 3 7 2 2 13 2" xfId="31205"/>
    <cellStyle name="Normal 3 3 7 2 2 14" xfId="13702"/>
    <cellStyle name="Normal 3 3 7 2 2 14 2" xfId="31206"/>
    <cellStyle name="Normal 3 3 7 2 2 15" xfId="31201"/>
    <cellStyle name="Normal 3 3 7 2 2 2" xfId="13703"/>
    <cellStyle name="Normal 3 3 7 2 2 2 2" xfId="31207"/>
    <cellStyle name="Normal 3 3 7 2 2 3" xfId="13704"/>
    <cellStyle name="Normal 3 3 7 2 2 3 2" xfId="31208"/>
    <cellStyle name="Normal 3 3 7 2 2 4" xfId="13705"/>
    <cellStyle name="Normal 3 3 7 2 2 4 2" xfId="31209"/>
    <cellStyle name="Normal 3 3 7 2 2 5" xfId="13706"/>
    <cellStyle name="Normal 3 3 7 2 2 5 2" xfId="31210"/>
    <cellStyle name="Normal 3 3 7 2 2 6" xfId="13707"/>
    <cellStyle name="Normal 3 3 7 2 2 6 2" xfId="31211"/>
    <cellStyle name="Normal 3 3 7 2 2 7" xfId="13708"/>
    <cellStyle name="Normal 3 3 7 2 2 7 2" xfId="31212"/>
    <cellStyle name="Normal 3 3 7 2 2 8" xfId="13709"/>
    <cellStyle name="Normal 3 3 7 2 2 8 2" xfId="31213"/>
    <cellStyle name="Normal 3 3 7 2 2 9" xfId="13710"/>
    <cellStyle name="Normal 3 3 7 2 2 9 2" xfId="31214"/>
    <cellStyle name="Normal 3 3 7 2 3" xfId="13711"/>
    <cellStyle name="Normal 3 3 7 2 3 2" xfId="31215"/>
    <cellStyle name="Normal 3 3 7 2 4" xfId="13712"/>
    <cellStyle name="Normal 3 3 7 2 4 2" xfId="31216"/>
    <cellStyle name="Normal 3 3 7 2 5" xfId="13713"/>
    <cellStyle name="Normal 3 3 7 2 5 2" xfId="31217"/>
    <cellStyle name="Normal 3 3 7 2 6" xfId="13714"/>
    <cellStyle name="Normal 3 3 7 2 6 2" xfId="31218"/>
    <cellStyle name="Normal 3 3 7 2 7" xfId="13715"/>
    <cellStyle name="Normal 3 3 7 2 7 2" xfId="31219"/>
    <cellStyle name="Normal 3 3 7 2 8" xfId="13716"/>
    <cellStyle name="Normal 3 3 7 2 8 2" xfId="31220"/>
    <cellStyle name="Normal 3 3 7 2 9" xfId="13717"/>
    <cellStyle name="Normal 3 3 7 2 9 2" xfId="31221"/>
    <cellStyle name="Normal 3 3 7 20" xfId="13718"/>
    <cellStyle name="Normal 3 3 7 20 2" xfId="31222"/>
    <cellStyle name="Normal 3 3 7 21" xfId="13719"/>
    <cellStyle name="Normal 3 3 7 21 2" xfId="31223"/>
    <cellStyle name="Normal 3 3 7 22" xfId="13720"/>
    <cellStyle name="Normal 3 3 7 22 2" xfId="31224"/>
    <cellStyle name="Normal 3 3 7 23" xfId="13721"/>
    <cellStyle name="Normal 3 3 7 23 2" xfId="31225"/>
    <cellStyle name="Normal 3 3 7 24" xfId="31170"/>
    <cellStyle name="Normal 3 3 7 3" xfId="13722"/>
    <cellStyle name="Normal 3 3 7 3 10" xfId="13723"/>
    <cellStyle name="Normal 3 3 7 3 10 2" xfId="31227"/>
    <cellStyle name="Normal 3 3 7 3 11" xfId="13724"/>
    <cellStyle name="Normal 3 3 7 3 11 2" xfId="31228"/>
    <cellStyle name="Normal 3 3 7 3 12" xfId="13725"/>
    <cellStyle name="Normal 3 3 7 3 12 2" xfId="31229"/>
    <cellStyle name="Normal 3 3 7 3 13" xfId="13726"/>
    <cellStyle name="Normal 3 3 7 3 13 2" xfId="31230"/>
    <cellStyle name="Normal 3 3 7 3 14" xfId="13727"/>
    <cellStyle name="Normal 3 3 7 3 14 2" xfId="31231"/>
    <cellStyle name="Normal 3 3 7 3 15" xfId="13728"/>
    <cellStyle name="Normal 3 3 7 3 15 2" xfId="31232"/>
    <cellStyle name="Normal 3 3 7 3 16" xfId="31226"/>
    <cellStyle name="Normal 3 3 7 3 2" xfId="13729"/>
    <cellStyle name="Normal 3 3 7 3 2 10" xfId="13730"/>
    <cellStyle name="Normal 3 3 7 3 2 10 2" xfId="31234"/>
    <cellStyle name="Normal 3 3 7 3 2 11" xfId="13731"/>
    <cellStyle name="Normal 3 3 7 3 2 11 2" xfId="31235"/>
    <cellStyle name="Normal 3 3 7 3 2 12" xfId="13732"/>
    <cellStyle name="Normal 3 3 7 3 2 12 2" xfId="31236"/>
    <cellStyle name="Normal 3 3 7 3 2 13" xfId="13733"/>
    <cellStyle name="Normal 3 3 7 3 2 13 2" xfId="31237"/>
    <cellStyle name="Normal 3 3 7 3 2 14" xfId="13734"/>
    <cellStyle name="Normal 3 3 7 3 2 14 2" xfId="31238"/>
    <cellStyle name="Normal 3 3 7 3 2 15" xfId="31233"/>
    <cellStyle name="Normal 3 3 7 3 2 2" xfId="13735"/>
    <cellStyle name="Normal 3 3 7 3 2 2 2" xfId="31239"/>
    <cellStyle name="Normal 3 3 7 3 2 3" xfId="13736"/>
    <cellStyle name="Normal 3 3 7 3 2 3 2" xfId="31240"/>
    <cellStyle name="Normal 3 3 7 3 2 4" xfId="13737"/>
    <cellStyle name="Normal 3 3 7 3 2 4 2" xfId="31241"/>
    <cellStyle name="Normal 3 3 7 3 2 5" xfId="13738"/>
    <cellStyle name="Normal 3 3 7 3 2 5 2" xfId="31242"/>
    <cellStyle name="Normal 3 3 7 3 2 6" xfId="13739"/>
    <cellStyle name="Normal 3 3 7 3 2 6 2" xfId="31243"/>
    <cellStyle name="Normal 3 3 7 3 2 7" xfId="13740"/>
    <cellStyle name="Normal 3 3 7 3 2 7 2" xfId="31244"/>
    <cellStyle name="Normal 3 3 7 3 2 8" xfId="13741"/>
    <cellStyle name="Normal 3 3 7 3 2 8 2" xfId="31245"/>
    <cellStyle name="Normal 3 3 7 3 2 9" xfId="13742"/>
    <cellStyle name="Normal 3 3 7 3 2 9 2" xfId="31246"/>
    <cellStyle name="Normal 3 3 7 3 3" xfId="13743"/>
    <cellStyle name="Normal 3 3 7 3 3 2" xfId="31247"/>
    <cellStyle name="Normal 3 3 7 3 4" xfId="13744"/>
    <cellStyle name="Normal 3 3 7 3 4 2" xfId="31248"/>
    <cellStyle name="Normal 3 3 7 3 5" xfId="13745"/>
    <cellStyle name="Normal 3 3 7 3 5 2" xfId="31249"/>
    <cellStyle name="Normal 3 3 7 3 6" xfId="13746"/>
    <cellStyle name="Normal 3 3 7 3 6 2" xfId="31250"/>
    <cellStyle name="Normal 3 3 7 3 7" xfId="13747"/>
    <cellStyle name="Normal 3 3 7 3 7 2" xfId="31251"/>
    <cellStyle name="Normal 3 3 7 3 8" xfId="13748"/>
    <cellStyle name="Normal 3 3 7 3 8 2" xfId="31252"/>
    <cellStyle name="Normal 3 3 7 3 9" xfId="13749"/>
    <cellStyle name="Normal 3 3 7 3 9 2" xfId="31253"/>
    <cellStyle name="Normal 3 3 7 4" xfId="13750"/>
    <cellStyle name="Normal 3 3 7 4 10" xfId="13751"/>
    <cellStyle name="Normal 3 3 7 4 10 2" xfId="31255"/>
    <cellStyle name="Normal 3 3 7 4 11" xfId="13752"/>
    <cellStyle name="Normal 3 3 7 4 11 2" xfId="31256"/>
    <cellStyle name="Normal 3 3 7 4 12" xfId="13753"/>
    <cellStyle name="Normal 3 3 7 4 12 2" xfId="31257"/>
    <cellStyle name="Normal 3 3 7 4 13" xfId="13754"/>
    <cellStyle name="Normal 3 3 7 4 13 2" xfId="31258"/>
    <cellStyle name="Normal 3 3 7 4 14" xfId="13755"/>
    <cellStyle name="Normal 3 3 7 4 14 2" xfId="31259"/>
    <cellStyle name="Normal 3 3 7 4 15" xfId="13756"/>
    <cellStyle name="Normal 3 3 7 4 15 2" xfId="31260"/>
    <cellStyle name="Normal 3 3 7 4 16" xfId="31254"/>
    <cellStyle name="Normal 3 3 7 4 2" xfId="13757"/>
    <cellStyle name="Normal 3 3 7 4 2 10" xfId="13758"/>
    <cellStyle name="Normal 3 3 7 4 2 10 2" xfId="31262"/>
    <cellStyle name="Normal 3 3 7 4 2 11" xfId="13759"/>
    <cellStyle name="Normal 3 3 7 4 2 11 2" xfId="31263"/>
    <cellStyle name="Normal 3 3 7 4 2 12" xfId="13760"/>
    <cellStyle name="Normal 3 3 7 4 2 12 2" xfId="31264"/>
    <cellStyle name="Normal 3 3 7 4 2 13" xfId="13761"/>
    <cellStyle name="Normal 3 3 7 4 2 13 2" xfId="31265"/>
    <cellStyle name="Normal 3 3 7 4 2 14" xfId="13762"/>
    <cellStyle name="Normal 3 3 7 4 2 14 2" xfId="31266"/>
    <cellStyle name="Normal 3 3 7 4 2 15" xfId="31261"/>
    <cellStyle name="Normal 3 3 7 4 2 2" xfId="13763"/>
    <cellStyle name="Normal 3 3 7 4 2 2 2" xfId="31267"/>
    <cellStyle name="Normal 3 3 7 4 2 3" xfId="13764"/>
    <cellStyle name="Normal 3 3 7 4 2 3 2" xfId="31268"/>
    <cellStyle name="Normal 3 3 7 4 2 4" xfId="13765"/>
    <cellStyle name="Normal 3 3 7 4 2 4 2" xfId="31269"/>
    <cellStyle name="Normal 3 3 7 4 2 5" xfId="13766"/>
    <cellStyle name="Normal 3 3 7 4 2 5 2" xfId="31270"/>
    <cellStyle name="Normal 3 3 7 4 2 6" xfId="13767"/>
    <cellStyle name="Normal 3 3 7 4 2 6 2" xfId="31271"/>
    <cellStyle name="Normal 3 3 7 4 2 7" xfId="13768"/>
    <cellStyle name="Normal 3 3 7 4 2 7 2" xfId="31272"/>
    <cellStyle name="Normal 3 3 7 4 2 8" xfId="13769"/>
    <cellStyle name="Normal 3 3 7 4 2 8 2" xfId="31273"/>
    <cellStyle name="Normal 3 3 7 4 2 9" xfId="13770"/>
    <cellStyle name="Normal 3 3 7 4 2 9 2" xfId="31274"/>
    <cellStyle name="Normal 3 3 7 4 3" xfId="13771"/>
    <cellStyle name="Normal 3 3 7 4 3 2" xfId="31275"/>
    <cellStyle name="Normal 3 3 7 4 4" xfId="13772"/>
    <cellStyle name="Normal 3 3 7 4 4 2" xfId="31276"/>
    <cellStyle name="Normal 3 3 7 4 5" xfId="13773"/>
    <cellStyle name="Normal 3 3 7 4 5 2" xfId="31277"/>
    <cellStyle name="Normal 3 3 7 4 6" xfId="13774"/>
    <cellStyle name="Normal 3 3 7 4 6 2" xfId="31278"/>
    <cellStyle name="Normal 3 3 7 4 7" xfId="13775"/>
    <cellStyle name="Normal 3 3 7 4 7 2" xfId="31279"/>
    <cellStyle name="Normal 3 3 7 4 8" xfId="13776"/>
    <cellStyle name="Normal 3 3 7 4 8 2" xfId="31280"/>
    <cellStyle name="Normal 3 3 7 4 9" xfId="13777"/>
    <cellStyle name="Normal 3 3 7 4 9 2" xfId="31281"/>
    <cellStyle name="Normal 3 3 7 5" xfId="13778"/>
    <cellStyle name="Normal 3 3 7 5 10" xfId="13779"/>
    <cellStyle name="Normal 3 3 7 5 10 2" xfId="31283"/>
    <cellStyle name="Normal 3 3 7 5 11" xfId="13780"/>
    <cellStyle name="Normal 3 3 7 5 11 2" xfId="31284"/>
    <cellStyle name="Normal 3 3 7 5 12" xfId="13781"/>
    <cellStyle name="Normal 3 3 7 5 12 2" xfId="31285"/>
    <cellStyle name="Normal 3 3 7 5 13" xfId="13782"/>
    <cellStyle name="Normal 3 3 7 5 13 2" xfId="31286"/>
    <cellStyle name="Normal 3 3 7 5 14" xfId="13783"/>
    <cellStyle name="Normal 3 3 7 5 14 2" xfId="31287"/>
    <cellStyle name="Normal 3 3 7 5 15" xfId="31282"/>
    <cellStyle name="Normal 3 3 7 5 2" xfId="13784"/>
    <cellStyle name="Normal 3 3 7 5 2 2" xfId="31288"/>
    <cellStyle name="Normal 3 3 7 5 3" xfId="13785"/>
    <cellStyle name="Normal 3 3 7 5 3 2" xfId="31289"/>
    <cellStyle name="Normal 3 3 7 5 4" xfId="13786"/>
    <cellStyle name="Normal 3 3 7 5 4 2" xfId="31290"/>
    <cellStyle name="Normal 3 3 7 5 5" xfId="13787"/>
    <cellStyle name="Normal 3 3 7 5 5 2" xfId="31291"/>
    <cellStyle name="Normal 3 3 7 5 6" xfId="13788"/>
    <cellStyle name="Normal 3 3 7 5 6 2" xfId="31292"/>
    <cellStyle name="Normal 3 3 7 5 7" xfId="13789"/>
    <cellStyle name="Normal 3 3 7 5 7 2" xfId="31293"/>
    <cellStyle name="Normal 3 3 7 5 8" xfId="13790"/>
    <cellStyle name="Normal 3 3 7 5 8 2" xfId="31294"/>
    <cellStyle name="Normal 3 3 7 5 9" xfId="13791"/>
    <cellStyle name="Normal 3 3 7 5 9 2" xfId="31295"/>
    <cellStyle name="Normal 3 3 7 6" xfId="13792"/>
    <cellStyle name="Normal 3 3 7 6 10" xfId="13793"/>
    <cellStyle name="Normal 3 3 7 6 10 2" xfId="31297"/>
    <cellStyle name="Normal 3 3 7 6 11" xfId="13794"/>
    <cellStyle name="Normal 3 3 7 6 11 2" xfId="31298"/>
    <cellStyle name="Normal 3 3 7 6 12" xfId="13795"/>
    <cellStyle name="Normal 3 3 7 6 12 2" xfId="31299"/>
    <cellStyle name="Normal 3 3 7 6 13" xfId="13796"/>
    <cellStyle name="Normal 3 3 7 6 13 2" xfId="31300"/>
    <cellStyle name="Normal 3 3 7 6 14" xfId="13797"/>
    <cellStyle name="Normal 3 3 7 6 14 2" xfId="31301"/>
    <cellStyle name="Normal 3 3 7 6 15" xfId="31296"/>
    <cellStyle name="Normal 3 3 7 6 2" xfId="13798"/>
    <cellStyle name="Normal 3 3 7 6 2 2" xfId="31302"/>
    <cellStyle name="Normal 3 3 7 6 3" xfId="13799"/>
    <cellStyle name="Normal 3 3 7 6 3 2" xfId="31303"/>
    <cellStyle name="Normal 3 3 7 6 4" xfId="13800"/>
    <cellStyle name="Normal 3 3 7 6 4 2" xfId="31304"/>
    <cellStyle name="Normal 3 3 7 6 5" xfId="13801"/>
    <cellStyle name="Normal 3 3 7 6 5 2" xfId="31305"/>
    <cellStyle name="Normal 3 3 7 6 6" xfId="13802"/>
    <cellStyle name="Normal 3 3 7 6 6 2" xfId="31306"/>
    <cellStyle name="Normal 3 3 7 6 7" xfId="13803"/>
    <cellStyle name="Normal 3 3 7 6 7 2" xfId="31307"/>
    <cellStyle name="Normal 3 3 7 6 8" xfId="13804"/>
    <cellStyle name="Normal 3 3 7 6 8 2" xfId="31308"/>
    <cellStyle name="Normal 3 3 7 6 9" xfId="13805"/>
    <cellStyle name="Normal 3 3 7 6 9 2" xfId="31309"/>
    <cellStyle name="Normal 3 3 7 7" xfId="13806"/>
    <cellStyle name="Normal 3 3 7 7 10" xfId="13807"/>
    <cellStyle name="Normal 3 3 7 7 10 2" xfId="31311"/>
    <cellStyle name="Normal 3 3 7 7 11" xfId="13808"/>
    <cellStyle name="Normal 3 3 7 7 11 2" xfId="31312"/>
    <cellStyle name="Normal 3 3 7 7 12" xfId="13809"/>
    <cellStyle name="Normal 3 3 7 7 12 2" xfId="31313"/>
    <cellStyle name="Normal 3 3 7 7 13" xfId="13810"/>
    <cellStyle name="Normal 3 3 7 7 13 2" xfId="31314"/>
    <cellStyle name="Normal 3 3 7 7 14" xfId="13811"/>
    <cellStyle name="Normal 3 3 7 7 14 2" xfId="31315"/>
    <cellStyle name="Normal 3 3 7 7 15" xfId="31310"/>
    <cellStyle name="Normal 3 3 7 7 2" xfId="13812"/>
    <cellStyle name="Normal 3 3 7 7 2 2" xfId="31316"/>
    <cellStyle name="Normal 3 3 7 7 3" xfId="13813"/>
    <cellStyle name="Normal 3 3 7 7 3 2" xfId="31317"/>
    <cellStyle name="Normal 3 3 7 7 4" xfId="13814"/>
    <cellStyle name="Normal 3 3 7 7 4 2" xfId="31318"/>
    <cellStyle name="Normal 3 3 7 7 5" xfId="13815"/>
    <cellStyle name="Normal 3 3 7 7 5 2" xfId="31319"/>
    <cellStyle name="Normal 3 3 7 7 6" xfId="13816"/>
    <cellStyle name="Normal 3 3 7 7 6 2" xfId="31320"/>
    <cellStyle name="Normal 3 3 7 7 7" xfId="13817"/>
    <cellStyle name="Normal 3 3 7 7 7 2" xfId="31321"/>
    <cellStyle name="Normal 3 3 7 7 8" xfId="13818"/>
    <cellStyle name="Normal 3 3 7 7 8 2" xfId="31322"/>
    <cellStyle name="Normal 3 3 7 7 9" xfId="13819"/>
    <cellStyle name="Normal 3 3 7 7 9 2" xfId="31323"/>
    <cellStyle name="Normal 3 3 7 8" xfId="13820"/>
    <cellStyle name="Normal 3 3 7 8 10" xfId="13821"/>
    <cellStyle name="Normal 3 3 7 8 10 2" xfId="31325"/>
    <cellStyle name="Normal 3 3 7 8 11" xfId="13822"/>
    <cellStyle name="Normal 3 3 7 8 11 2" xfId="31326"/>
    <cellStyle name="Normal 3 3 7 8 12" xfId="13823"/>
    <cellStyle name="Normal 3 3 7 8 12 2" xfId="31327"/>
    <cellStyle name="Normal 3 3 7 8 13" xfId="13824"/>
    <cellStyle name="Normal 3 3 7 8 13 2" xfId="31328"/>
    <cellStyle name="Normal 3 3 7 8 14" xfId="13825"/>
    <cellStyle name="Normal 3 3 7 8 14 2" xfId="31329"/>
    <cellStyle name="Normal 3 3 7 8 15" xfId="31324"/>
    <cellStyle name="Normal 3 3 7 8 2" xfId="13826"/>
    <cellStyle name="Normal 3 3 7 8 2 2" xfId="31330"/>
    <cellStyle name="Normal 3 3 7 8 3" xfId="13827"/>
    <cellStyle name="Normal 3 3 7 8 3 2" xfId="31331"/>
    <cellStyle name="Normal 3 3 7 8 4" xfId="13828"/>
    <cellStyle name="Normal 3 3 7 8 4 2" xfId="31332"/>
    <cellStyle name="Normal 3 3 7 8 5" xfId="13829"/>
    <cellStyle name="Normal 3 3 7 8 5 2" xfId="31333"/>
    <cellStyle name="Normal 3 3 7 8 6" xfId="13830"/>
    <cellStyle name="Normal 3 3 7 8 6 2" xfId="31334"/>
    <cellStyle name="Normal 3 3 7 8 7" xfId="13831"/>
    <cellStyle name="Normal 3 3 7 8 7 2" xfId="31335"/>
    <cellStyle name="Normal 3 3 7 8 8" xfId="13832"/>
    <cellStyle name="Normal 3 3 7 8 8 2" xfId="31336"/>
    <cellStyle name="Normal 3 3 7 8 9" xfId="13833"/>
    <cellStyle name="Normal 3 3 7 8 9 2" xfId="31337"/>
    <cellStyle name="Normal 3 3 7 9" xfId="13834"/>
    <cellStyle name="Normal 3 3 7 9 10" xfId="13835"/>
    <cellStyle name="Normal 3 3 7 9 10 2" xfId="31339"/>
    <cellStyle name="Normal 3 3 7 9 11" xfId="13836"/>
    <cellStyle name="Normal 3 3 7 9 11 2" xfId="31340"/>
    <cellStyle name="Normal 3 3 7 9 12" xfId="13837"/>
    <cellStyle name="Normal 3 3 7 9 12 2" xfId="31341"/>
    <cellStyle name="Normal 3 3 7 9 13" xfId="13838"/>
    <cellStyle name="Normal 3 3 7 9 13 2" xfId="31342"/>
    <cellStyle name="Normal 3 3 7 9 14" xfId="13839"/>
    <cellStyle name="Normal 3 3 7 9 14 2" xfId="31343"/>
    <cellStyle name="Normal 3 3 7 9 15" xfId="31338"/>
    <cellStyle name="Normal 3 3 7 9 2" xfId="13840"/>
    <cellStyle name="Normal 3 3 7 9 2 2" xfId="31344"/>
    <cellStyle name="Normal 3 3 7 9 3" xfId="13841"/>
    <cellStyle name="Normal 3 3 7 9 3 2" xfId="31345"/>
    <cellStyle name="Normal 3 3 7 9 4" xfId="13842"/>
    <cellStyle name="Normal 3 3 7 9 4 2" xfId="31346"/>
    <cellStyle name="Normal 3 3 7 9 5" xfId="13843"/>
    <cellStyle name="Normal 3 3 7 9 5 2" xfId="31347"/>
    <cellStyle name="Normal 3 3 7 9 6" xfId="13844"/>
    <cellStyle name="Normal 3 3 7 9 6 2" xfId="31348"/>
    <cellStyle name="Normal 3 3 7 9 7" xfId="13845"/>
    <cellStyle name="Normal 3 3 7 9 7 2" xfId="31349"/>
    <cellStyle name="Normal 3 3 7 9 8" xfId="13846"/>
    <cellStyle name="Normal 3 3 7 9 8 2" xfId="31350"/>
    <cellStyle name="Normal 3 3 7 9 9" xfId="13847"/>
    <cellStyle name="Normal 3 3 7 9 9 2" xfId="31351"/>
    <cellStyle name="Normal 3 3 8" xfId="13848"/>
    <cellStyle name="Normal 3 3 8 10" xfId="13849"/>
    <cellStyle name="Normal 3 3 8 10 10" xfId="13850"/>
    <cellStyle name="Normal 3 3 8 10 10 2" xfId="31354"/>
    <cellStyle name="Normal 3 3 8 10 11" xfId="13851"/>
    <cellStyle name="Normal 3 3 8 10 11 2" xfId="31355"/>
    <cellStyle name="Normal 3 3 8 10 12" xfId="13852"/>
    <cellStyle name="Normal 3 3 8 10 12 2" xfId="31356"/>
    <cellStyle name="Normal 3 3 8 10 13" xfId="13853"/>
    <cellStyle name="Normal 3 3 8 10 13 2" xfId="31357"/>
    <cellStyle name="Normal 3 3 8 10 14" xfId="13854"/>
    <cellStyle name="Normal 3 3 8 10 14 2" xfId="31358"/>
    <cellStyle name="Normal 3 3 8 10 15" xfId="31353"/>
    <cellStyle name="Normal 3 3 8 10 2" xfId="13855"/>
    <cellStyle name="Normal 3 3 8 10 2 2" xfId="31359"/>
    <cellStyle name="Normal 3 3 8 10 3" xfId="13856"/>
    <cellStyle name="Normal 3 3 8 10 3 2" xfId="31360"/>
    <cellStyle name="Normal 3 3 8 10 4" xfId="13857"/>
    <cellStyle name="Normal 3 3 8 10 4 2" xfId="31361"/>
    <cellStyle name="Normal 3 3 8 10 5" xfId="13858"/>
    <cellStyle name="Normal 3 3 8 10 5 2" xfId="31362"/>
    <cellStyle name="Normal 3 3 8 10 6" xfId="13859"/>
    <cellStyle name="Normal 3 3 8 10 6 2" xfId="31363"/>
    <cellStyle name="Normal 3 3 8 10 7" xfId="13860"/>
    <cellStyle name="Normal 3 3 8 10 7 2" xfId="31364"/>
    <cellStyle name="Normal 3 3 8 10 8" xfId="13861"/>
    <cellStyle name="Normal 3 3 8 10 8 2" xfId="31365"/>
    <cellStyle name="Normal 3 3 8 10 9" xfId="13862"/>
    <cellStyle name="Normal 3 3 8 10 9 2" xfId="31366"/>
    <cellStyle name="Normal 3 3 8 11" xfId="13863"/>
    <cellStyle name="Normal 3 3 8 11 2" xfId="31367"/>
    <cellStyle name="Normal 3 3 8 12" xfId="13864"/>
    <cellStyle name="Normal 3 3 8 12 2" xfId="31368"/>
    <cellStyle name="Normal 3 3 8 13" xfId="13865"/>
    <cellStyle name="Normal 3 3 8 13 2" xfId="31369"/>
    <cellStyle name="Normal 3 3 8 14" xfId="13866"/>
    <cellStyle name="Normal 3 3 8 14 2" xfId="31370"/>
    <cellStyle name="Normal 3 3 8 15" xfId="13867"/>
    <cellStyle name="Normal 3 3 8 15 2" xfId="31371"/>
    <cellStyle name="Normal 3 3 8 16" xfId="13868"/>
    <cellStyle name="Normal 3 3 8 16 2" xfId="31372"/>
    <cellStyle name="Normal 3 3 8 17" xfId="13869"/>
    <cellStyle name="Normal 3 3 8 17 2" xfId="31373"/>
    <cellStyle name="Normal 3 3 8 18" xfId="13870"/>
    <cellStyle name="Normal 3 3 8 18 2" xfId="31374"/>
    <cellStyle name="Normal 3 3 8 19" xfId="13871"/>
    <cellStyle name="Normal 3 3 8 19 2" xfId="31375"/>
    <cellStyle name="Normal 3 3 8 2" xfId="13872"/>
    <cellStyle name="Normal 3 3 8 2 10" xfId="13873"/>
    <cellStyle name="Normal 3 3 8 2 10 2" xfId="31377"/>
    <cellStyle name="Normal 3 3 8 2 11" xfId="13874"/>
    <cellStyle name="Normal 3 3 8 2 11 2" xfId="31378"/>
    <cellStyle name="Normal 3 3 8 2 12" xfId="13875"/>
    <cellStyle name="Normal 3 3 8 2 12 2" xfId="31379"/>
    <cellStyle name="Normal 3 3 8 2 13" xfId="13876"/>
    <cellStyle name="Normal 3 3 8 2 13 2" xfId="31380"/>
    <cellStyle name="Normal 3 3 8 2 14" xfId="13877"/>
    <cellStyle name="Normal 3 3 8 2 14 2" xfId="31381"/>
    <cellStyle name="Normal 3 3 8 2 15" xfId="13878"/>
    <cellStyle name="Normal 3 3 8 2 15 2" xfId="31382"/>
    <cellStyle name="Normal 3 3 8 2 16" xfId="31376"/>
    <cellStyle name="Normal 3 3 8 2 2" xfId="13879"/>
    <cellStyle name="Normal 3 3 8 2 2 10" xfId="13880"/>
    <cellStyle name="Normal 3 3 8 2 2 10 2" xfId="31384"/>
    <cellStyle name="Normal 3 3 8 2 2 11" xfId="13881"/>
    <cellStyle name="Normal 3 3 8 2 2 11 2" xfId="31385"/>
    <cellStyle name="Normal 3 3 8 2 2 12" xfId="13882"/>
    <cellStyle name="Normal 3 3 8 2 2 12 2" xfId="31386"/>
    <cellStyle name="Normal 3 3 8 2 2 13" xfId="13883"/>
    <cellStyle name="Normal 3 3 8 2 2 13 2" xfId="31387"/>
    <cellStyle name="Normal 3 3 8 2 2 14" xfId="13884"/>
    <cellStyle name="Normal 3 3 8 2 2 14 2" xfId="31388"/>
    <cellStyle name="Normal 3 3 8 2 2 15" xfId="31383"/>
    <cellStyle name="Normal 3 3 8 2 2 2" xfId="13885"/>
    <cellStyle name="Normal 3 3 8 2 2 2 2" xfId="31389"/>
    <cellStyle name="Normal 3 3 8 2 2 3" xfId="13886"/>
    <cellStyle name="Normal 3 3 8 2 2 3 2" xfId="31390"/>
    <cellStyle name="Normal 3 3 8 2 2 4" xfId="13887"/>
    <cellStyle name="Normal 3 3 8 2 2 4 2" xfId="31391"/>
    <cellStyle name="Normal 3 3 8 2 2 5" xfId="13888"/>
    <cellStyle name="Normal 3 3 8 2 2 5 2" xfId="31392"/>
    <cellStyle name="Normal 3 3 8 2 2 6" xfId="13889"/>
    <cellStyle name="Normal 3 3 8 2 2 6 2" xfId="31393"/>
    <cellStyle name="Normal 3 3 8 2 2 7" xfId="13890"/>
    <cellStyle name="Normal 3 3 8 2 2 7 2" xfId="31394"/>
    <cellStyle name="Normal 3 3 8 2 2 8" xfId="13891"/>
    <cellStyle name="Normal 3 3 8 2 2 8 2" xfId="31395"/>
    <cellStyle name="Normal 3 3 8 2 2 9" xfId="13892"/>
    <cellStyle name="Normal 3 3 8 2 2 9 2" xfId="31396"/>
    <cellStyle name="Normal 3 3 8 2 3" xfId="13893"/>
    <cellStyle name="Normal 3 3 8 2 3 2" xfId="31397"/>
    <cellStyle name="Normal 3 3 8 2 4" xfId="13894"/>
    <cellStyle name="Normal 3 3 8 2 4 2" xfId="31398"/>
    <cellStyle name="Normal 3 3 8 2 5" xfId="13895"/>
    <cellStyle name="Normal 3 3 8 2 5 2" xfId="31399"/>
    <cellStyle name="Normal 3 3 8 2 6" xfId="13896"/>
    <cellStyle name="Normal 3 3 8 2 6 2" xfId="31400"/>
    <cellStyle name="Normal 3 3 8 2 7" xfId="13897"/>
    <cellStyle name="Normal 3 3 8 2 7 2" xfId="31401"/>
    <cellStyle name="Normal 3 3 8 2 8" xfId="13898"/>
    <cellStyle name="Normal 3 3 8 2 8 2" xfId="31402"/>
    <cellStyle name="Normal 3 3 8 2 9" xfId="13899"/>
    <cellStyle name="Normal 3 3 8 2 9 2" xfId="31403"/>
    <cellStyle name="Normal 3 3 8 20" xfId="13900"/>
    <cellStyle name="Normal 3 3 8 20 2" xfId="31404"/>
    <cellStyle name="Normal 3 3 8 21" xfId="13901"/>
    <cellStyle name="Normal 3 3 8 21 2" xfId="31405"/>
    <cellStyle name="Normal 3 3 8 22" xfId="13902"/>
    <cellStyle name="Normal 3 3 8 22 2" xfId="31406"/>
    <cellStyle name="Normal 3 3 8 23" xfId="13903"/>
    <cellStyle name="Normal 3 3 8 23 2" xfId="31407"/>
    <cellStyle name="Normal 3 3 8 24" xfId="31352"/>
    <cellStyle name="Normal 3 3 8 3" xfId="13904"/>
    <cellStyle name="Normal 3 3 8 3 10" xfId="13905"/>
    <cellStyle name="Normal 3 3 8 3 10 2" xfId="31409"/>
    <cellStyle name="Normal 3 3 8 3 11" xfId="13906"/>
    <cellStyle name="Normal 3 3 8 3 11 2" xfId="31410"/>
    <cellStyle name="Normal 3 3 8 3 12" xfId="13907"/>
    <cellStyle name="Normal 3 3 8 3 12 2" xfId="31411"/>
    <cellStyle name="Normal 3 3 8 3 13" xfId="13908"/>
    <cellStyle name="Normal 3 3 8 3 13 2" xfId="31412"/>
    <cellStyle name="Normal 3 3 8 3 14" xfId="13909"/>
    <cellStyle name="Normal 3 3 8 3 14 2" xfId="31413"/>
    <cellStyle name="Normal 3 3 8 3 15" xfId="13910"/>
    <cellStyle name="Normal 3 3 8 3 15 2" xfId="31414"/>
    <cellStyle name="Normal 3 3 8 3 16" xfId="31408"/>
    <cellStyle name="Normal 3 3 8 3 2" xfId="13911"/>
    <cellStyle name="Normal 3 3 8 3 2 10" xfId="13912"/>
    <cellStyle name="Normal 3 3 8 3 2 10 2" xfId="31416"/>
    <cellStyle name="Normal 3 3 8 3 2 11" xfId="13913"/>
    <cellStyle name="Normal 3 3 8 3 2 11 2" xfId="31417"/>
    <cellStyle name="Normal 3 3 8 3 2 12" xfId="13914"/>
    <cellStyle name="Normal 3 3 8 3 2 12 2" xfId="31418"/>
    <cellStyle name="Normal 3 3 8 3 2 13" xfId="13915"/>
    <cellStyle name="Normal 3 3 8 3 2 13 2" xfId="31419"/>
    <cellStyle name="Normal 3 3 8 3 2 14" xfId="13916"/>
    <cellStyle name="Normal 3 3 8 3 2 14 2" xfId="31420"/>
    <cellStyle name="Normal 3 3 8 3 2 15" xfId="31415"/>
    <cellStyle name="Normal 3 3 8 3 2 2" xfId="13917"/>
    <cellStyle name="Normal 3 3 8 3 2 2 2" xfId="31421"/>
    <cellStyle name="Normal 3 3 8 3 2 3" xfId="13918"/>
    <cellStyle name="Normal 3 3 8 3 2 3 2" xfId="31422"/>
    <cellStyle name="Normal 3 3 8 3 2 4" xfId="13919"/>
    <cellStyle name="Normal 3 3 8 3 2 4 2" xfId="31423"/>
    <cellStyle name="Normal 3 3 8 3 2 5" xfId="13920"/>
    <cellStyle name="Normal 3 3 8 3 2 5 2" xfId="31424"/>
    <cellStyle name="Normal 3 3 8 3 2 6" xfId="13921"/>
    <cellStyle name="Normal 3 3 8 3 2 6 2" xfId="31425"/>
    <cellStyle name="Normal 3 3 8 3 2 7" xfId="13922"/>
    <cellStyle name="Normal 3 3 8 3 2 7 2" xfId="31426"/>
    <cellStyle name="Normal 3 3 8 3 2 8" xfId="13923"/>
    <cellStyle name="Normal 3 3 8 3 2 8 2" xfId="31427"/>
    <cellStyle name="Normal 3 3 8 3 2 9" xfId="13924"/>
    <cellStyle name="Normal 3 3 8 3 2 9 2" xfId="31428"/>
    <cellStyle name="Normal 3 3 8 3 3" xfId="13925"/>
    <cellStyle name="Normal 3 3 8 3 3 2" xfId="31429"/>
    <cellStyle name="Normal 3 3 8 3 4" xfId="13926"/>
    <cellStyle name="Normal 3 3 8 3 4 2" xfId="31430"/>
    <cellStyle name="Normal 3 3 8 3 5" xfId="13927"/>
    <cellStyle name="Normal 3 3 8 3 5 2" xfId="31431"/>
    <cellStyle name="Normal 3 3 8 3 6" xfId="13928"/>
    <cellStyle name="Normal 3 3 8 3 6 2" xfId="31432"/>
    <cellStyle name="Normal 3 3 8 3 7" xfId="13929"/>
    <cellStyle name="Normal 3 3 8 3 7 2" xfId="31433"/>
    <cellStyle name="Normal 3 3 8 3 8" xfId="13930"/>
    <cellStyle name="Normal 3 3 8 3 8 2" xfId="31434"/>
    <cellStyle name="Normal 3 3 8 3 9" xfId="13931"/>
    <cellStyle name="Normal 3 3 8 3 9 2" xfId="31435"/>
    <cellStyle name="Normal 3 3 8 4" xfId="13932"/>
    <cellStyle name="Normal 3 3 8 4 10" xfId="13933"/>
    <cellStyle name="Normal 3 3 8 4 10 2" xfId="31437"/>
    <cellStyle name="Normal 3 3 8 4 11" xfId="13934"/>
    <cellStyle name="Normal 3 3 8 4 11 2" xfId="31438"/>
    <cellStyle name="Normal 3 3 8 4 12" xfId="13935"/>
    <cellStyle name="Normal 3 3 8 4 12 2" xfId="31439"/>
    <cellStyle name="Normal 3 3 8 4 13" xfId="13936"/>
    <cellStyle name="Normal 3 3 8 4 13 2" xfId="31440"/>
    <cellStyle name="Normal 3 3 8 4 14" xfId="13937"/>
    <cellStyle name="Normal 3 3 8 4 14 2" xfId="31441"/>
    <cellStyle name="Normal 3 3 8 4 15" xfId="13938"/>
    <cellStyle name="Normal 3 3 8 4 15 2" xfId="31442"/>
    <cellStyle name="Normal 3 3 8 4 16" xfId="31436"/>
    <cellStyle name="Normal 3 3 8 4 2" xfId="13939"/>
    <cellStyle name="Normal 3 3 8 4 2 10" xfId="13940"/>
    <cellStyle name="Normal 3 3 8 4 2 10 2" xfId="31444"/>
    <cellStyle name="Normal 3 3 8 4 2 11" xfId="13941"/>
    <cellStyle name="Normal 3 3 8 4 2 11 2" xfId="31445"/>
    <cellStyle name="Normal 3 3 8 4 2 12" xfId="13942"/>
    <cellStyle name="Normal 3 3 8 4 2 12 2" xfId="31446"/>
    <cellStyle name="Normal 3 3 8 4 2 13" xfId="13943"/>
    <cellStyle name="Normal 3 3 8 4 2 13 2" xfId="31447"/>
    <cellStyle name="Normal 3 3 8 4 2 14" xfId="13944"/>
    <cellStyle name="Normal 3 3 8 4 2 14 2" xfId="31448"/>
    <cellStyle name="Normal 3 3 8 4 2 15" xfId="31443"/>
    <cellStyle name="Normal 3 3 8 4 2 2" xfId="13945"/>
    <cellStyle name="Normal 3 3 8 4 2 2 2" xfId="31449"/>
    <cellStyle name="Normal 3 3 8 4 2 3" xfId="13946"/>
    <cellStyle name="Normal 3 3 8 4 2 3 2" xfId="31450"/>
    <cellStyle name="Normal 3 3 8 4 2 4" xfId="13947"/>
    <cellStyle name="Normal 3 3 8 4 2 4 2" xfId="31451"/>
    <cellStyle name="Normal 3 3 8 4 2 5" xfId="13948"/>
    <cellStyle name="Normal 3 3 8 4 2 5 2" xfId="31452"/>
    <cellStyle name="Normal 3 3 8 4 2 6" xfId="13949"/>
    <cellStyle name="Normal 3 3 8 4 2 6 2" xfId="31453"/>
    <cellStyle name="Normal 3 3 8 4 2 7" xfId="13950"/>
    <cellStyle name="Normal 3 3 8 4 2 7 2" xfId="31454"/>
    <cellStyle name="Normal 3 3 8 4 2 8" xfId="13951"/>
    <cellStyle name="Normal 3 3 8 4 2 8 2" xfId="31455"/>
    <cellStyle name="Normal 3 3 8 4 2 9" xfId="13952"/>
    <cellStyle name="Normal 3 3 8 4 2 9 2" xfId="31456"/>
    <cellStyle name="Normal 3 3 8 4 3" xfId="13953"/>
    <cellStyle name="Normal 3 3 8 4 3 2" xfId="31457"/>
    <cellStyle name="Normal 3 3 8 4 4" xfId="13954"/>
    <cellStyle name="Normal 3 3 8 4 4 2" xfId="31458"/>
    <cellStyle name="Normal 3 3 8 4 5" xfId="13955"/>
    <cellStyle name="Normal 3 3 8 4 5 2" xfId="31459"/>
    <cellStyle name="Normal 3 3 8 4 6" xfId="13956"/>
    <cellStyle name="Normal 3 3 8 4 6 2" xfId="31460"/>
    <cellStyle name="Normal 3 3 8 4 7" xfId="13957"/>
    <cellStyle name="Normal 3 3 8 4 7 2" xfId="31461"/>
    <cellStyle name="Normal 3 3 8 4 8" xfId="13958"/>
    <cellStyle name="Normal 3 3 8 4 8 2" xfId="31462"/>
    <cellStyle name="Normal 3 3 8 4 9" xfId="13959"/>
    <cellStyle name="Normal 3 3 8 4 9 2" xfId="31463"/>
    <cellStyle name="Normal 3 3 8 5" xfId="13960"/>
    <cellStyle name="Normal 3 3 8 5 10" xfId="13961"/>
    <cellStyle name="Normal 3 3 8 5 10 2" xfId="31465"/>
    <cellStyle name="Normal 3 3 8 5 11" xfId="13962"/>
    <cellStyle name="Normal 3 3 8 5 11 2" xfId="31466"/>
    <cellStyle name="Normal 3 3 8 5 12" xfId="13963"/>
    <cellStyle name="Normal 3 3 8 5 12 2" xfId="31467"/>
    <cellStyle name="Normal 3 3 8 5 13" xfId="13964"/>
    <cellStyle name="Normal 3 3 8 5 13 2" xfId="31468"/>
    <cellStyle name="Normal 3 3 8 5 14" xfId="13965"/>
    <cellStyle name="Normal 3 3 8 5 14 2" xfId="31469"/>
    <cellStyle name="Normal 3 3 8 5 15" xfId="31464"/>
    <cellStyle name="Normal 3 3 8 5 2" xfId="13966"/>
    <cellStyle name="Normal 3 3 8 5 2 2" xfId="31470"/>
    <cellStyle name="Normal 3 3 8 5 3" xfId="13967"/>
    <cellStyle name="Normal 3 3 8 5 3 2" xfId="31471"/>
    <cellStyle name="Normal 3 3 8 5 4" xfId="13968"/>
    <cellStyle name="Normal 3 3 8 5 4 2" xfId="31472"/>
    <cellStyle name="Normal 3 3 8 5 5" xfId="13969"/>
    <cellStyle name="Normal 3 3 8 5 5 2" xfId="31473"/>
    <cellStyle name="Normal 3 3 8 5 6" xfId="13970"/>
    <cellStyle name="Normal 3 3 8 5 6 2" xfId="31474"/>
    <cellStyle name="Normal 3 3 8 5 7" xfId="13971"/>
    <cellStyle name="Normal 3 3 8 5 7 2" xfId="31475"/>
    <cellStyle name="Normal 3 3 8 5 8" xfId="13972"/>
    <cellStyle name="Normal 3 3 8 5 8 2" xfId="31476"/>
    <cellStyle name="Normal 3 3 8 5 9" xfId="13973"/>
    <cellStyle name="Normal 3 3 8 5 9 2" xfId="31477"/>
    <cellStyle name="Normal 3 3 8 6" xfId="13974"/>
    <cellStyle name="Normal 3 3 8 6 10" xfId="13975"/>
    <cellStyle name="Normal 3 3 8 6 10 2" xfId="31479"/>
    <cellStyle name="Normal 3 3 8 6 11" xfId="13976"/>
    <cellStyle name="Normal 3 3 8 6 11 2" xfId="31480"/>
    <cellStyle name="Normal 3 3 8 6 12" xfId="13977"/>
    <cellStyle name="Normal 3 3 8 6 12 2" xfId="31481"/>
    <cellStyle name="Normal 3 3 8 6 13" xfId="13978"/>
    <cellStyle name="Normal 3 3 8 6 13 2" xfId="31482"/>
    <cellStyle name="Normal 3 3 8 6 14" xfId="13979"/>
    <cellStyle name="Normal 3 3 8 6 14 2" xfId="31483"/>
    <cellStyle name="Normal 3 3 8 6 15" xfId="31478"/>
    <cellStyle name="Normal 3 3 8 6 2" xfId="13980"/>
    <cellStyle name="Normal 3 3 8 6 2 2" xfId="31484"/>
    <cellStyle name="Normal 3 3 8 6 3" xfId="13981"/>
    <cellStyle name="Normal 3 3 8 6 3 2" xfId="31485"/>
    <cellStyle name="Normal 3 3 8 6 4" xfId="13982"/>
    <cellStyle name="Normal 3 3 8 6 4 2" xfId="31486"/>
    <cellStyle name="Normal 3 3 8 6 5" xfId="13983"/>
    <cellStyle name="Normal 3 3 8 6 5 2" xfId="31487"/>
    <cellStyle name="Normal 3 3 8 6 6" xfId="13984"/>
    <cellStyle name="Normal 3 3 8 6 6 2" xfId="31488"/>
    <cellStyle name="Normal 3 3 8 6 7" xfId="13985"/>
    <cellStyle name="Normal 3 3 8 6 7 2" xfId="31489"/>
    <cellStyle name="Normal 3 3 8 6 8" xfId="13986"/>
    <cellStyle name="Normal 3 3 8 6 8 2" xfId="31490"/>
    <cellStyle name="Normal 3 3 8 6 9" xfId="13987"/>
    <cellStyle name="Normal 3 3 8 6 9 2" xfId="31491"/>
    <cellStyle name="Normal 3 3 8 7" xfId="13988"/>
    <cellStyle name="Normal 3 3 8 7 10" xfId="13989"/>
    <cellStyle name="Normal 3 3 8 7 10 2" xfId="31493"/>
    <cellStyle name="Normal 3 3 8 7 11" xfId="13990"/>
    <cellStyle name="Normal 3 3 8 7 11 2" xfId="31494"/>
    <cellStyle name="Normal 3 3 8 7 12" xfId="13991"/>
    <cellStyle name="Normal 3 3 8 7 12 2" xfId="31495"/>
    <cellStyle name="Normal 3 3 8 7 13" xfId="13992"/>
    <cellStyle name="Normal 3 3 8 7 13 2" xfId="31496"/>
    <cellStyle name="Normal 3 3 8 7 14" xfId="13993"/>
    <cellStyle name="Normal 3 3 8 7 14 2" xfId="31497"/>
    <cellStyle name="Normal 3 3 8 7 15" xfId="31492"/>
    <cellStyle name="Normal 3 3 8 7 2" xfId="13994"/>
    <cellStyle name="Normal 3 3 8 7 2 2" xfId="31498"/>
    <cellStyle name="Normal 3 3 8 7 3" xfId="13995"/>
    <cellStyle name="Normal 3 3 8 7 3 2" xfId="31499"/>
    <cellStyle name="Normal 3 3 8 7 4" xfId="13996"/>
    <cellStyle name="Normal 3 3 8 7 4 2" xfId="31500"/>
    <cellStyle name="Normal 3 3 8 7 5" xfId="13997"/>
    <cellStyle name="Normal 3 3 8 7 5 2" xfId="31501"/>
    <cellStyle name="Normal 3 3 8 7 6" xfId="13998"/>
    <cellStyle name="Normal 3 3 8 7 6 2" xfId="31502"/>
    <cellStyle name="Normal 3 3 8 7 7" xfId="13999"/>
    <cellStyle name="Normal 3 3 8 7 7 2" xfId="31503"/>
    <cellStyle name="Normal 3 3 8 7 8" xfId="14000"/>
    <cellStyle name="Normal 3 3 8 7 8 2" xfId="31504"/>
    <cellStyle name="Normal 3 3 8 7 9" xfId="14001"/>
    <cellStyle name="Normal 3 3 8 7 9 2" xfId="31505"/>
    <cellStyle name="Normal 3 3 8 8" xfId="14002"/>
    <cellStyle name="Normal 3 3 8 8 10" xfId="14003"/>
    <cellStyle name="Normal 3 3 8 8 10 2" xfId="31507"/>
    <cellStyle name="Normal 3 3 8 8 11" xfId="14004"/>
    <cellStyle name="Normal 3 3 8 8 11 2" xfId="31508"/>
    <cellStyle name="Normal 3 3 8 8 12" xfId="14005"/>
    <cellStyle name="Normal 3 3 8 8 12 2" xfId="31509"/>
    <cellStyle name="Normal 3 3 8 8 13" xfId="14006"/>
    <cellStyle name="Normal 3 3 8 8 13 2" xfId="31510"/>
    <cellStyle name="Normal 3 3 8 8 14" xfId="14007"/>
    <cellStyle name="Normal 3 3 8 8 14 2" xfId="31511"/>
    <cellStyle name="Normal 3 3 8 8 15" xfId="31506"/>
    <cellStyle name="Normal 3 3 8 8 2" xfId="14008"/>
    <cellStyle name="Normal 3 3 8 8 2 2" xfId="31512"/>
    <cellStyle name="Normal 3 3 8 8 3" xfId="14009"/>
    <cellStyle name="Normal 3 3 8 8 3 2" xfId="31513"/>
    <cellStyle name="Normal 3 3 8 8 4" xfId="14010"/>
    <cellStyle name="Normal 3 3 8 8 4 2" xfId="31514"/>
    <cellStyle name="Normal 3 3 8 8 5" xfId="14011"/>
    <cellStyle name="Normal 3 3 8 8 5 2" xfId="31515"/>
    <cellStyle name="Normal 3 3 8 8 6" xfId="14012"/>
    <cellStyle name="Normal 3 3 8 8 6 2" xfId="31516"/>
    <cellStyle name="Normal 3 3 8 8 7" xfId="14013"/>
    <cellStyle name="Normal 3 3 8 8 7 2" xfId="31517"/>
    <cellStyle name="Normal 3 3 8 8 8" xfId="14014"/>
    <cellStyle name="Normal 3 3 8 8 8 2" xfId="31518"/>
    <cellStyle name="Normal 3 3 8 8 9" xfId="14015"/>
    <cellStyle name="Normal 3 3 8 8 9 2" xfId="31519"/>
    <cellStyle name="Normal 3 3 8 9" xfId="14016"/>
    <cellStyle name="Normal 3 3 8 9 10" xfId="14017"/>
    <cellStyle name="Normal 3 3 8 9 10 2" xfId="31521"/>
    <cellStyle name="Normal 3 3 8 9 11" xfId="14018"/>
    <cellStyle name="Normal 3 3 8 9 11 2" xfId="31522"/>
    <cellStyle name="Normal 3 3 8 9 12" xfId="14019"/>
    <cellStyle name="Normal 3 3 8 9 12 2" xfId="31523"/>
    <cellStyle name="Normal 3 3 8 9 13" xfId="14020"/>
    <cellStyle name="Normal 3 3 8 9 13 2" xfId="31524"/>
    <cellStyle name="Normal 3 3 8 9 14" xfId="14021"/>
    <cellStyle name="Normal 3 3 8 9 14 2" xfId="31525"/>
    <cellStyle name="Normal 3 3 8 9 15" xfId="31520"/>
    <cellStyle name="Normal 3 3 8 9 2" xfId="14022"/>
    <cellStyle name="Normal 3 3 8 9 2 2" xfId="31526"/>
    <cellStyle name="Normal 3 3 8 9 3" xfId="14023"/>
    <cellStyle name="Normal 3 3 8 9 3 2" xfId="31527"/>
    <cellStyle name="Normal 3 3 8 9 4" xfId="14024"/>
    <cellStyle name="Normal 3 3 8 9 4 2" xfId="31528"/>
    <cellStyle name="Normal 3 3 8 9 5" xfId="14025"/>
    <cellStyle name="Normal 3 3 8 9 5 2" xfId="31529"/>
    <cellStyle name="Normal 3 3 8 9 6" xfId="14026"/>
    <cellStyle name="Normal 3 3 8 9 6 2" xfId="31530"/>
    <cellStyle name="Normal 3 3 8 9 7" xfId="14027"/>
    <cellStyle name="Normal 3 3 8 9 7 2" xfId="31531"/>
    <cellStyle name="Normal 3 3 8 9 8" xfId="14028"/>
    <cellStyle name="Normal 3 3 8 9 8 2" xfId="31532"/>
    <cellStyle name="Normal 3 3 8 9 9" xfId="14029"/>
    <cellStyle name="Normal 3 3 8 9 9 2" xfId="31533"/>
    <cellStyle name="Normal 3 3 9" xfId="14030"/>
    <cellStyle name="Normal 3 3 9 10" xfId="14031"/>
    <cellStyle name="Normal 3 3 9 10 10" xfId="14032"/>
    <cellStyle name="Normal 3 3 9 10 10 2" xfId="31536"/>
    <cellStyle name="Normal 3 3 9 10 11" xfId="14033"/>
    <cellStyle name="Normal 3 3 9 10 11 2" xfId="31537"/>
    <cellStyle name="Normal 3 3 9 10 12" xfId="14034"/>
    <cellStyle name="Normal 3 3 9 10 12 2" xfId="31538"/>
    <cellStyle name="Normal 3 3 9 10 13" xfId="14035"/>
    <cellStyle name="Normal 3 3 9 10 13 2" xfId="31539"/>
    <cellStyle name="Normal 3 3 9 10 14" xfId="14036"/>
    <cellStyle name="Normal 3 3 9 10 14 2" xfId="31540"/>
    <cellStyle name="Normal 3 3 9 10 15" xfId="31535"/>
    <cellStyle name="Normal 3 3 9 10 2" xfId="14037"/>
    <cellStyle name="Normal 3 3 9 10 2 2" xfId="31541"/>
    <cellStyle name="Normal 3 3 9 10 3" xfId="14038"/>
    <cellStyle name="Normal 3 3 9 10 3 2" xfId="31542"/>
    <cellStyle name="Normal 3 3 9 10 4" xfId="14039"/>
    <cellStyle name="Normal 3 3 9 10 4 2" xfId="31543"/>
    <cellStyle name="Normal 3 3 9 10 5" xfId="14040"/>
    <cellStyle name="Normal 3 3 9 10 5 2" xfId="31544"/>
    <cellStyle name="Normal 3 3 9 10 6" xfId="14041"/>
    <cellStyle name="Normal 3 3 9 10 6 2" xfId="31545"/>
    <cellStyle name="Normal 3 3 9 10 7" xfId="14042"/>
    <cellStyle name="Normal 3 3 9 10 7 2" xfId="31546"/>
    <cellStyle name="Normal 3 3 9 10 8" xfId="14043"/>
    <cellStyle name="Normal 3 3 9 10 8 2" xfId="31547"/>
    <cellStyle name="Normal 3 3 9 10 9" xfId="14044"/>
    <cellStyle name="Normal 3 3 9 10 9 2" xfId="31548"/>
    <cellStyle name="Normal 3 3 9 11" xfId="14045"/>
    <cellStyle name="Normal 3 3 9 11 2" xfId="31549"/>
    <cellStyle name="Normal 3 3 9 12" xfId="14046"/>
    <cellStyle name="Normal 3 3 9 12 2" xfId="31550"/>
    <cellStyle name="Normal 3 3 9 13" xfId="14047"/>
    <cellStyle name="Normal 3 3 9 13 2" xfId="31551"/>
    <cellStyle name="Normal 3 3 9 14" xfId="14048"/>
    <cellStyle name="Normal 3 3 9 14 2" xfId="31552"/>
    <cellStyle name="Normal 3 3 9 15" xfId="14049"/>
    <cellStyle name="Normal 3 3 9 15 2" xfId="31553"/>
    <cellStyle name="Normal 3 3 9 16" xfId="14050"/>
    <cellStyle name="Normal 3 3 9 16 2" xfId="31554"/>
    <cellStyle name="Normal 3 3 9 17" xfId="14051"/>
    <cellStyle name="Normal 3 3 9 17 2" xfId="31555"/>
    <cellStyle name="Normal 3 3 9 18" xfId="14052"/>
    <cellStyle name="Normal 3 3 9 18 2" xfId="31556"/>
    <cellStyle name="Normal 3 3 9 19" xfId="14053"/>
    <cellStyle name="Normal 3 3 9 19 2" xfId="31557"/>
    <cellStyle name="Normal 3 3 9 2" xfId="14054"/>
    <cellStyle name="Normal 3 3 9 2 10" xfId="14055"/>
    <cellStyle name="Normal 3 3 9 2 10 2" xfId="31559"/>
    <cellStyle name="Normal 3 3 9 2 11" xfId="14056"/>
    <cellStyle name="Normal 3 3 9 2 11 2" xfId="31560"/>
    <cellStyle name="Normal 3 3 9 2 12" xfId="14057"/>
    <cellStyle name="Normal 3 3 9 2 12 2" xfId="31561"/>
    <cellStyle name="Normal 3 3 9 2 13" xfId="14058"/>
    <cellStyle name="Normal 3 3 9 2 13 2" xfId="31562"/>
    <cellStyle name="Normal 3 3 9 2 14" xfId="14059"/>
    <cellStyle name="Normal 3 3 9 2 14 2" xfId="31563"/>
    <cellStyle name="Normal 3 3 9 2 15" xfId="14060"/>
    <cellStyle name="Normal 3 3 9 2 15 2" xfId="31564"/>
    <cellStyle name="Normal 3 3 9 2 16" xfId="31558"/>
    <cellStyle name="Normal 3 3 9 2 2" xfId="14061"/>
    <cellStyle name="Normal 3 3 9 2 2 10" xfId="14062"/>
    <cellStyle name="Normal 3 3 9 2 2 10 2" xfId="31566"/>
    <cellStyle name="Normal 3 3 9 2 2 11" xfId="14063"/>
    <cellStyle name="Normal 3 3 9 2 2 11 2" xfId="31567"/>
    <cellStyle name="Normal 3 3 9 2 2 12" xfId="14064"/>
    <cellStyle name="Normal 3 3 9 2 2 12 2" xfId="31568"/>
    <cellStyle name="Normal 3 3 9 2 2 13" xfId="14065"/>
    <cellStyle name="Normal 3 3 9 2 2 13 2" xfId="31569"/>
    <cellStyle name="Normal 3 3 9 2 2 14" xfId="14066"/>
    <cellStyle name="Normal 3 3 9 2 2 14 2" xfId="31570"/>
    <cellStyle name="Normal 3 3 9 2 2 15" xfId="31565"/>
    <cellStyle name="Normal 3 3 9 2 2 2" xfId="14067"/>
    <cellStyle name="Normal 3 3 9 2 2 2 2" xfId="31571"/>
    <cellStyle name="Normal 3 3 9 2 2 3" xfId="14068"/>
    <cellStyle name="Normal 3 3 9 2 2 3 2" xfId="31572"/>
    <cellStyle name="Normal 3 3 9 2 2 4" xfId="14069"/>
    <cellStyle name="Normal 3 3 9 2 2 4 2" xfId="31573"/>
    <cellStyle name="Normal 3 3 9 2 2 5" xfId="14070"/>
    <cellStyle name="Normal 3 3 9 2 2 5 2" xfId="31574"/>
    <cellStyle name="Normal 3 3 9 2 2 6" xfId="14071"/>
    <cellStyle name="Normal 3 3 9 2 2 6 2" xfId="31575"/>
    <cellStyle name="Normal 3 3 9 2 2 7" xfId="14072"/>
    <cellStyle name="Normal 3 3 9 2 2 7 2" xfId="31576"/>
    <cellStyle name="Normal 3 3 9 2 2 8" xfId="14073"/>
    <cellStyle name="Normal 3 3 9 2 2 8 2" xfId="31577"/>
    <cellStyle name="Normal 3 3 9 2 2 9" xfId="14074"/>
    <cellStyle name="Normal 3 3 9 2 2 9 2" xfId="31578"/>
    <cellStyle name="Normal 3 3 9 2 3" xfId="14075"/>
    <cellStyle name="Normal 3 3 9 2 3 2" xfId="31579"/>
    <cellStyle name="Normal 3 3 9 2 4" xfId="14076"/>
    <cellStyle name="Normal 3 3 9 2 4 2" xfId="31580"/>
    <cellStyle name="Normal 3 3 9 2 5" xfId="14077"/>
    <cellStyle name="Normal 3 3 9 2 5 2" xfId="31581"/>
    <cellStyle name="Normal 3 3 9 2 6" xfId="14078"/>
    <cellStyle name="Normal 3 3 9 2 6 2" xfId="31582"/>
    <cellStyle name="Normal 3 3 9 2 7" xfId="14079"/>
    <cellStyle name="Normal 3 3 9 2 7 2" xfId="31583"/>
    <cellStyle name="Normal 3 3 9 2 8" xfId="14080"/>
    <cellStyle name="Normal 3 3 9 2 8 2" xfId="31584"/>
    <cellStyle name="Normal 3 3 9 2 9" xfId="14081"/>
    <cellStyle name="Normal 3 3 9 2 9 2" xfId="31585"/>
    <cellStyle name="Normal 3 3 9 20" xfId="14082"/>
    <cellStyle name="Normal 3 3 9 20 2" xfId="31586"/>
    <cellStyle name="Normal 3 3 9 21" xfId="14083"/>
    <cellStyle name="Normal 3 3 9 21 2" xfId="31587"/>
    <cellStyle name="Normal 3 3 9 22" xfId="14084"/>
    <cellStyle name="Normal 3 3 9 22 2" xfId="31588"/>
    <cellStyle name="Normal 3 3 9 23" xfId="14085"/>
    <cellStyle name="Normal 3 3 9 23 2" xfId="31589"/>
    <cellStyle name="Normal 3 3 9 24" xfId="31534"/>
    <cellStyle name="Normal 3 3 9 3" xfId="14086"/>
    <cellStyle name="Normal 3 3 9 3 10" xfId="14087"/>
    <cellStyle name="Normal 3 3 9 3 10 2" xfId="31591"/>
    <cellStyle name="Normal 3 3 9 3 11" xfId="14088"/>
    <cellStyle name="Normal 3 3 9 3 11 2" xfId="31592"/>
    <cellStyle name="Normal 3 3 9 3 12" xfId="14089"/>
    <cellStyle name="Normal 3 3 9 3 12 2" xfId="31593"/>
    <cellStyle name="Normal 3 3 9 3 13" xfId="14090"/>
    <cellStyle name="Normal 3 3 9 3 13 2" xfId="31594"/>
    <cellStyle name="Normal 3 3 9 3 14" xfId="14091"/>
    <cellStyle name="Normal 3 3 9 3 14 2" xfId="31595"/>
    <cellStyle name="Normal 3 3 9 3 15" xfId="14092"/>
    <cellStyle name="Normal 3 3 9 3 15 2" xfId="31596"/>
    <cellStyle name="Normal 3 3 9 3 16" xfId="31590"/>
    <cellStyle name="Normal 3 3 9 3 2" xfId="14093"/>
    <cellStyle name="Normal 3 3 9 3 2 10" xfId="14094"/>
    <cellStyle name="Normal 3 3 9 3 2 10 2" xfId="31598"/>
    <cellStyle name="Normal 3 3 9 3 2 11" xfId="14095"/>
    <cellStyle name="Normal 3 3 9 3 2 11 2" xfId="31599"/>
    <cellStyle name="Normal 3 3 9 3 2 12" xfId="14096"/>
    <cellStyle name="Normal 3 3 9 3 2 12 2" xfId="31600"/>
    <cellStyle name="Normal 3 3 9 3 2 13" xfId="14097"/>
    <cellStyle name="Normal 3 3 9 3 2 13 2" xfId="31601"/>
    <cellStyle name="Normal 3 3 9 3 2 14" xfId="14098"/>
    <cellStyle name="Normal 3 3 9 3 2 14 2" xfId="31602"/>
    <cellStyle name="Normal 3 3 9 3 2 15" xfId="31597"/>
    <cellStyle name="Normal 3 3 9 3 2 2" xfId="14099"/>
    <cellStyle name="Normal 3 3 9 3 2 2 2" xfId="31603"/>
    <cellStyle name="Normal 3 3 9 3 2 3" xfId="14100"/>
    <cellStyle name="Normal 3 3 9 3 2 3 2" xfId="31604"/>
    <cellStyle name="Normal 3 3 9 3 2 4" xfId="14101"/>
    <cellStyle name="Normal 3 3 9 3 2 4 2" xfId="31605"/>
    <cellStyle name="Normal 3 3 9 3 2 5" xfId="14102"/>
    <cellStyle name="Normal 3 3 9 3 2 5 2" xfId="31606"/>
    <cellStyle name="Normal 3 3 9 3 2 6" xfId="14103"/>
    <cellStyle name="Normal 3 3 9 3 2 6 2" xfId="31607"/>
    <cellStyle name="Normal 3 3 9 3 2 7" xfId="14104"/>
    <cellStyle name="Normal 3 3 9 3 2 7 2" xfId="31608"/>
    <cellStyle name="Normal 3 3 9 3 2 8" xfId="14105"/>
    <cellStyle name="Normal 3 3 9 3 2 8 2" xfId="31609"/>
    <cellStyle name="Normal 3 3 9 3 2 9" xfId="14106"/>
    <cellStyle name="Normal 3 3 9 3 2 9 2" xfId="31610"/>
    <cellStyle name="Normal 3 3 9 3 3" xfId="14107"/>
    <cellStyle name="Normal 3 3 9 3 3 2" xfId="31611"/>
    <cellStyle name="Normal 3 3 9 3 4" xfId="14108"/>
    <cellStyle name="Normal 3 3 9 3 4 2" xfId="31612"/>
    <cellStyle name="Normal 3 3 9 3 5" xfId="14109"/>
    <cellStyle name="Normal 3 3 9 3 5 2" xfId="31613"/>
    <cellStyle name="Normal 3 3 9 3 6" xfId="14110"/>
    <cellStyle name="Normal 3 3 9 3 6 2" xfId="31614"/>
    <cellStyle name="Normal 3 3 9 3 7" xfId="14111"/>
    <cellStyle name="Normal 3 3 9 3 7 2" xfId="31615"/>
    <cellStyle name="Normal 3 3 9 3 8" xfId="14112"/>
    <cellStyle name="Normal 3 3 9 3 8 2" xfId="31616"/>
    <cellStyle name="Normal 3 3 9 3 9" xfId="14113"/>
    <cellStyle name="Normal 3 3 9 3 9 2" xfId="31617"/>
    <cellStyle name="Normal 3 3 9 4" xfId="14114"/>
    <cellStyle name="Normal 3 3 9 4 10" xfId="14115"/>
    <cellStyle name="Normal 3 3 9 4 10 2" xfId="31619"/>
    <cellStyle name="Normal 3 3 9 4 11" xfId="14116"/>
    <cellStyle name="Normal 3 3 9 4 11 2" xfId="31620"/>
    <cellStyle name="Normal 3 3 9 4 12" xfId="14117"/>
    <cellStyle name="Normal 3 3 9 4 12 2" xfId="31621"/>
    <cellStyle name="Normal 3 3 9 4 13" xfId="14118"/>
    <cellStyle name="Normal 3 3 9 4 13 2" xfId="31622"/>
    <cellStyle name="Normal 3 3 9 4 14" xfId="14119"/>
    <cellStyle name="Normal 3 3 9 4 14 2" xfId="31623"/>
    <cellStyle name="Normal 3 3 9 4 15" xfId="14120"/>
    <cellStyle name="Normal 3 3 9 4 15 2" xfId="31624"/>
    <cellStyle name="Normal 3 3 9 4 16" xfId="31618"/>
    <cellStyle name="Normal 3 3 9 4 2" xfId="14121"/>
    <cellStyle name="Normal 3 3 9 4 2 10" xfId="14122"/>
    <cellStyle name="Normal 3 3 9 4 2 10 2" xfId="31626"/>
    <cellStyle name="Normal 3 3 9 4 2 11" xfId="14123"/>
    <cellStyle name="Normal 3 3 9 4 2 11 2" xfId="31627"/>
    <cellStyle name="Normal 3 3 9 4 2 12" xfId="14124"/>
    <cellStyle name="Normal 3 3 9 4 2 12 2" xfId="31628"/>
    <cellStyle name="Normal 3 3 9 4 2 13" xfId="14125"/>
    <cellStyle name="Normal 3 3 9 4 2 13 2" xfId="31629"/>
    <cellStyle name="Normal 3 3 9 4 2 14" xfId="14126"/>
    <cellStyle name="Normal 3 3 9 4 2 14 2" xfId="31630"/>
    <cellStyle name="Normal 3 3 9 4 2 15" xfId="31625"/>
    <cellStyle name="Normal 3 3 9 4 2 2" xfId="14127"/>
    <cellStyle name="Normal 3 3 9 4 2 2 2" xfId="31631"/>
    <cellStyle name="Normal 3 3 9 4 2 3" xfId="14128"/>
    <cellStyle name="Normal 3 3 9 4 2 3 2" xfId="31632"/>
    <cellStyle name="Normal 3 3 9 4 2 4" xfId="14129"/>
    <cellStyle name="Normal 3 3 9 4 2 4 2" xfId="31633"/>
    <cellStyle name="Normal 3 3 9 4 2 5" xfId="14130"/>
    <cellStyle name="Normal 3 3 9 4 2 5 2" xfId="31634"/>
    <cellStyle name="Normal 3 3 9 4 2 6" xfId="14131"/>
    <cellStyle name="Normal 3 3 9 4 2 6 2" xfId="31635"/>
    <cellStyle name="Normal 3 3 9 4 2 7" xfId="14132"/>
    <cellStyle name="Normal 3 3 9 4 2 7 2" xfId="31636"/>
    <cellStyle name="Normal 3 3 9 4 2 8" xfId="14133"/>
    <cellStyle name="Normal 3 3 9 4 2 8 2" xfId="31637"/>
    <cellStyle name="Normal 3 3 9 4 2 9" xfId="14134"/>
    <cellStyle name="Normal 3 3 9 4 2 9 2" xfId="31638"/>
    <cellStyle name="Normal 3 3 9 4 3" xfId="14135"/>
    <cellStyle name="Normal 3 3 9 4 3 2" xfId="31639"/>
    <cellStyle name="Normal 3 3 9 4 4" xfId="14136"/>
    <cellStyle name="Normal 3 3 9 4 4 2" xfId="31640"/>
    <cellStyle name="Normal 3 3 9 4 5" xfId="14137"/>
    <cellStyle name="Normal 3 3 9 4 5 2" xfId="31641"/>
    <cellStyle name="Normal 3 3 9 4 6" xfId="14138"/>
    <cellStyle name="Normal 3 3 9 4 6 2" xfId="31642"/>
    <cellStyle name="Normal 3 3 9 4 7" xfId="14139"/>
    <cellStyle name="Normal 3 3 9 4 7 2" xfId="31643"/>
    <cellStyle name="Normal 3 3 9 4 8" xfId="14140"/>
    <cellStyle name="Normal 3 3 9 4 8 2" xfId="31644"/>
    <cellStyle name="Normal 3 3 9 4 9" xfId="14141"/>
    <cellStyle name="Normal 3 3 9 4 9 2" xfId="31645"/>
    <cellStyle name="Normal 3 3 9 5" xfId="14142"/>
    <cellStyle name="Normal 3 3 9 5 10" xfId="14143"/>
    <cellStyle name="Normal 3 3 9 5 10 2" xfId="31647"/>
    <cellStyle name="Normal 3 3 9 5 11" xfId="14144"/>
    <cellStyle name="Normal 3 3 9 5 11 2" xfId="31648"/>
    <cellStyle name="Normal 3 3 9 5 12" xfId="14145"/>
    <cellStyle name="Normal 3 3 9 5 12 2" xfId="31649"/>
    <cellStyle name="Normal 3 3 9 5 13" xfId="14146"/>
    <cellStyle name="Normal 3 3 9 5 13 2" xfId="31650"/>
    <cellStyle name="Normal 3 3 9 5 14" xfId="14147"/>
    <cellStyle name="Normal 3 3 9 5 14 2" xfId="31651"/>
    <cellStyle name="Normal 3 3 9 5 15" xfId="31646"/>
    <cellStyle name="Normal 3 3 9 5 2" xfId="14148"/>
    <cellStyle name="Normal 3 3 9 5 2 2" xfId="31652"/>
    <cellStyle name="Normal 3 3 9 5 3" xfId="14149"/>
    <cellStyle name="Normal 3 3 9 5 3 2" xfId="31653"/>
    <cellStyle name="Normal 3 3 9 5 4" xfId="14150"/>
    <cellStyle name="Normal 3 3 9 5 4 2" xfId="31654"/>
    <cellStyle name="Normal 3 3 9 5 5" xfId="14151"/>
    <cellStyle name="Normal 3 3 9 5 5 2" xfId="31655"/>
    <cellStyle name="Normal 3 3 9 5 6" xfId="14152"/>
    <cellStyle name="Normal 3 3 9 5 6 2" xfId="31656"/>
    <cellStyle name="Normal 3 3 9 5 7" xfId="14153"/>
    <cellStyle name="Normal 3 3 9 5 7 2" xfId="31657"/>
    <cellStyle name="Normal 3 3 9 5 8" xfId="14154"/>
    <cellStyle name="Normal 3 3 9 5 8 2" xfId="31658"/>
    <cellStyle name="Normal 3 3 9 5 9" xfId="14155"/>
    <cellStyle name="Normal 3 3 9 5 9 2" xfId="31659"/>
    <cellStyle name="Normal 3 3 9 6" xfId="14156"/>
    <cellStyle name="Normal 3 3 9 6 10" xfId="14157"/>
    <cellStyle name="Normal 3 3 9 6 10 2" xfId="31661"/>
    <cellStyle name="Normal 3 3 9 6 11" xfId="14158"/>
    <cellStyle name="Normal 3 3 9 6 11 2" xfId="31662"/>
    <cellStyle name="Normal 3 3 9 6 12" xfId="14159"/>
    <cellStyle name="Normal 3 3 9 6 12 2" xfId="31663"/>
    <cellStyle name="Normal 3 3 9 6 13" xfId="14160"/>
    <cellStyle name="Normal 3 3 9 6 13 2" xfId="31664"/>
    <cellStyle name="Normal 3 3 9 6 14" xfId="14161"/>
    <cellStyle name="Normal 3 3 9 6 14 2" xfId="31665"/>
    <cellStyle name="Normal 3 3 9 6 15" xfId="31660"/>
    <cellStyle name="Normal 3 3 9 6 2" xfId="14162"/>
    <cellStyle name="Normal 3 3 9 6 2 2" xfId="31666"/>
    <cellStyle name="Normal 3 3 9 6 3" xfId="14163"/>
    <cellStyle name="Normal 3 3 9 6 3 2" xfId="31667"/>
    <cellStyle name="Normal 3 3 9 6 4" xfId="14164"/>
    <cellStyle name="Normal 3 3 9 6 4 2" xfId="31668"/>
    <cellStyle name="Normal 3 3 9 6 5" xfId="14165"/>
    <cellStyle name="Normal 3 3 9 6 5 2" xfId="31669"/>
    <cellStyle name="Normal 3 3 9 6 6" xfId="14166"/>
    <cellStyle name="Normal 3 3 9 6 6 2" xfId="31670"/>
    <cellStyle name="Normal 3 3 9 6 7" xfId="14167"/>
    <cellStyle name="Normal 3 3 9 6 7 2" xfId="31671"/>
    <cellStyle name="Normal 3 3 9 6 8" xfId="14168"/>
    <cellStyle name="Normal 3 3 9 6 8 2" xfId="31672"/>
    <cellStyle name="Normal 3 3 9 6 9" xfId="14169"/>
    <cellStyle name="Normal 3 3 9 6 9 2" xfId="31673"/>
    <cellStyle name="Normal 3 3 9 7" xfId="14170"/>
    <cellStyle name="Normal 3 3 9 7 10" xfId="14171"/>
    <cellStyle name="Normal 3 3 9 7 10 2" xfId="31675"/>
    <cellStyle name="Normal 3 3 9 7 11" xfId="14172"/>
    <cellStyle name="Normal 3 3 9 7 11 2" xfId="31676"/>
    <cellStyle name="Normal 3 3 9 7 12" xfId="14173"/>
    <cellStyle name="Normal 3 3 9 7 12 2" xfId="31677"/>
    <cellStyle name="Normal 3 3 9 7 13" xfId="14174"/>
    <cellStyle name="Normal 3 3 9 7 13 2" xfId="31678"/>
    <cellStyle name="Normal 3 3 9 7 14" xfId="14175"/>
    <cellStyle name="Normal 3 3 9 7 14 2" xfId="31679"/>
    <cellStyle name="Normal 3 3 9 7 15" xfId="31674"/>
    <cellStyle name="Normal 3 3 9 7 2" xfId="14176"/>
    <cellStyle name="Normal 3 3 9 7 2 2" xfId="31680"/>
    <cellStyle name="Normal 3 3 9 7 3" xfId="14177"/>
    <cellStyle name="Normal 3 3 9 7 3 2" xfId="31681"/>
    <cellStyle name="Normal 3 3 9 7 4" xfId="14178"/>
    <cellStyle name="Normal 3 3 9 7 4 2" xfId="31682"/>
    <cellStyle name="Normal 3 3 9 7 5" xfId="14179"/>
    <cellStyle name="Normal 3 3 9 7 5 2" xfId="31683"/>
    <cellStyle name="Normal 3 3 9 7 6" xfId="14180"/>
    <cellStyle name="Normal 3 3 9 7 6 2" xfId="31684"/>
    <cellStyle name="Normal 3 3 9 7 7" xfId="14181"/>
    <cellStyle name="Normal 3 3 9 7 7 2" xfId="31685"/>
    <cellStyle name="Normal 3 3 9 7 8" xfId="14182"/>
    <cellStyle name="Normal 3 3 9 7 8 2" xfId="31686"/>
    <cellStyle name="Normal 3 3 9 7 9" xfId="14183"/>
    <cellStyle name="Normal 3 3 9 7 9 2" xfId="31687"/>
    <cellStyle name="Normal 3 3 9 8" xfId="14184"/>
    <cellStyle name="Normal 3 3 9 8 10" xfId="14185"/>
    <cellStyle name="Normal 3 3 9 8 10 2" xfId="31689"/>
    <cellStyle name="Normal 3 3 9 8 11" xfId="14186"/>
    <cellStyle name="Normal 3 3 9 8 11 2" xfId="31690"/>
    <cellStyle name="Normal 3 3 9 8 12" xfId="14187"/>
    <cellStyle name="Normal 3 3 9 8 12 2" xfId="31691"/>
    <cellStyle name="Normal 3 3 9 8 13" xfId="14188"/>
    <cellStyle name="Normal 3 3 9 8 13 2" xfId="31692"/>
    <cellStyle name="Normal 3 3 9 8 14" xfId="14189"/>
    <cellStyle name="Normal 3 3 9 8 14 2" xfId="31693"/>
    <cellStyle name="Normal 3 3 9 8 15" xfId="31688"/>
    <cellStyle name="Normal 3 3 9 8 2" xfId="14190"/>
    <cellStyle name="Normal 3 3 9 8 2 2" xfId="31694"/>
    <cellStyle name="Normal 3 3 9 8 3" xfId="14191"/>
    <cellStyle name="Normal 3 3 9 8 3 2" xfId="31695"/>
    <cellStyle name="Normal 3 3 9 8 4" xfId="14192"/>
    <cellStyle name="Normal 3 3 9 8 4 2" xfId="31696"/>
    <cellStyle name="Normal 3 3 9 8 5" xfId="14193"/>
    <cellStyle name="Normal 3 3 9 8 5 2" xfId="31697"/>
    <cellStyle name="Normal 3 3 9 8 6" xfId="14194"/>
    <cellStyle name="Normal 3 3 9 8 6 2" xfId="31698"/>
    <cellStyle name="Normal 3 3 9 8 7" xfId="14195"/>
    <cellStyle name="Normal 3 3 9 8 7 2" xfId="31699"/>
    <cellStyle name="Normal 3 3 9 8 8" xfId="14196"/>
    <cellStyle name="Normal 3 3 9 8 8 2" xfId="31700"/>
    <cellStyle name="Normal 3 3 9 8 9" xfId="14197"/>
    <cellStyle name="Normal 3 3 9 8 9 2" xfId="31701"/>
    <cellStyle name="Normal 3 3 9 9" xfId="14198"/>
    <cellStyle name="Normal 3 3 9 9 10" xfId="14199"/>
    <cellStyle name="Normal 3 3 9 9 10 2" xfId="31703"/>
    <cellStyle name="Normal 3 3 9 9 11" xfId="14200"/>
    <cellStyle name="Normal 3 3 9 9 11 2" xfId="31704"/>
    <cellStyle name="Normal 3 3 9 9 12" xfId="14201"/>
    <cellStyle name="Normal 3 3 9 9 12 2" xfId="31705"/>
    <cellStyle name="Normal 3 3 9 9 13" xfId="14202"/>
    <cellStyle name="Normal 3 3 9 9 13 2" xfId="31706"/>
    <cellStyle name="Normal 3 3 9 9 14" xfId="14203"/>
    <cellStyle name="Normal 3 3 9 9 14 2" xfId="31707"/>
    <cellStyle name="Normal 3 3 9 9 15" xfId="31702"/>
    <cellStyle name="Normal 3 3 9 9 2" xfId="14204"/>
    <cellStyle name="Normal 3 3 9 9 2 2" xfId="31708"/>
    <cellStyle name="Normal 3 3 9 9 3" xfId="14205"/>
    <cellStyle name="Normal 3 3 9 9 3 2" xfId="31709"/>
    <cellStyle name="Normal 3 3 9 9 4" xfId="14206"/>
    <cellStyle name="Normal 3 3 9 9 4 2" xfId="31710"/>
    <cellStyle name="Normal 3 3 9 9 5" xfId="14207"/>
    <cellStyle name="Normal 3 3 9 9 5 2" xfId="31711"/>
    <cellStyle name="Normal 3 3 9 9 6" xfId="14208"/>
    <cellStyle name="Normal 3 3 9 9 6 2" xfId="31712"/>
    <cellStyle name="Normal 3 3 9 9 7" xfId="14209"/>
    <cellStyle name="Normal 3 3 9 9 7 2" xfId="31713"/>
    <cellStyle name="Normal 3 3 9 9 8" xfId="14210"/>
    <cellStyle name="Normal 3 3 9 9 8 2" xfId="31714"/>
    <cellStyle name="Normal 3 3 9 9 9" xfId="14211"/>
    <cellStyle name="Normal 3 3 9 9 9 2" xfId="31715"/>
    <cellStyle name="Normal 3 30" xfId="14212"/>
    <cellStyle name="Normal 3 31" xfId="14213"/>
    <cellStyle name="Normal 3 32" xfId="14214"/>
    <cellStyle name="Normal 3 33" xfId="14215"/>
    <cellStyle name="Normal 3 34" xfId="14216"/>
    <cellStyle name="Normal 3 35" xfId="14217"/>
    <cellStyle name="Normal 3 36" xfId="14218"/>
    <cellStyle name="Normal 3 36 10" xfId="14219"/>
    <cellStyle name="Normal 3 36 10 10" xfId="14220"/>
    <cellStyle name="Normal 3 36 10 10 2" xfId="31718"/>
    <cellStyle name="Normal 3 36 10 11" xfId="14221"/>
    <cellStyle name="Normal 3 36 10 11 2" xfId="31719"/>
    <cellStyle name="Normal 3 36 10 12" xfId="14222"/>
    <cellStyle name="Normal 3 36 10 12 2" xfId="31720"/>
    <cellStyle name="Normal 3 36 10 13" xfId="14223"/>
    <cellStyle name="Normal 3 36 10 13 2" xfId="31721"/>
    <cellStyle name="Normal 3 36 10 14" xfId="14224"/>
    <cellStyle name="Normal 3 36 10 14 2" xfId="31722"/>
    <cellStyle name="Normal 3 36 10 15" xfId="31717"/>
    <cellStyle name="Normal 3 36 10 2" xfId="14225"/>
    <cellStyle name="Normal 3 36 10 2 2" xfId="31723"/>
    <cellStyle name="Normal 3 36 10 3" xfId="14226"/>
    <cellStyle name="Normal 3 36 10 3 2" xfId="31724"/>
    <cellStyle name="Normal 3 36 10 4" xfId="14227"/>
    <cellStyle name="Normal 3 36 10 4 2" xfId="31725"/>
    <cellStyle name="Normal 3 36 10 5" xfId="14228"/>
    <cellStyle name="Normal 3 36 10 5 2" xfId="31726"/>
    <cellStyle name="Normal 3 36 10 6" xfId="14229"/>
    <cellStyle name="Normal 3 36 10 6 2" xfId="31727"/>
    <cellStyle name="Normal 3 36 10 7" xfId="14230"/>
    <cellStyle name="Normal 3 36 10 7 2" xfId="31728"/>
    <cellStyle name="Normal 3 36 10 8" xfId="14231"/>
    <cellStyle name="Normal 3 36 10 8 2" xfId="31729"/>
    <cellStyle name="Normal 3 36 10 9" xfId="14232"/>
    <cellStyle name="Normal 3 36 10 9 2" xfId="31730"/>
    <cellStyle name="Normal 3 36 11" xfId="14233"/>
    <cellStyle name="Normal 3 36 11 2" xfId="31731"/>
    <cellStyle name="Normal 3 36 12" xfId="14234"/>
    <cellStyle name="Normal 3 36 12 2" xfId="31732"/>
    <cellStyle name="Normal 3 36 13" xfId="14235"/>
    <cellStyle name="Normal 3 36 13 2" xfId="31733"/>
    <cellStyle name="Normal 3 36 14" xfId="14236"/>
    <cellStyle name="Normal 3 36 14 2" xfId="31734"/>
    <cellStyle name="Normal 3 36 15" xfId="14237"/>
    <cellStyle name="Normal 3 36 15 2" xfId="31735"/>
    <cellStyle name="Normal 3 36 16" xfId="14238"/>
    <cellStyle name="Normal 3 36 16 2" xfId="31736"/>
    <cellStyle name="Normal 3 36 17" xfId="14239"/>
    <cellStyle name="Normal 3 36 17 2" xfId="31737"/>
    <cellStyle name="Normal 3 36 18" xfId="14240"/>
    <cellStyle name="Normal 3 36 18 2" xfId="31738"/>
    <cellStyle name="Normal 3 36 19" xfId="14241"/>
    <cellStyle name="Normal 3 36 19 2" xfId="31739"/>
    <cellStyle name="Normal 3 36 2" xfId="14242"/>
    <cellStyle name="Normal 3 36 2 10" xfId="14243"/>
    <cellStyle name="Normal 3 36 2 10 2" xfId="31741"/>
    <cellStyle name="Normal 3 36 2 11" xfId="14244"/>
    <cellStyle name="Normal 3 36 2 11 2" xfId="31742"/>
    <cellStyle name="Normal 3 36 2 12" xfId="14245"/>
    <cellStyle name="Normal 3 36 2 12 2" xfId="31743"/>
    <cellStyle name="Normal 3 36 2 13" xfId="14246"/>
    <cellStyle name="Normal 3 36 2 13 2" xfId="31744"/>
    <cellStyle name="Normal 3 36 2 14" xfId="14247"/>
    <cellStyle name="Normal 3 36 2 14 2" xfId="31745"/>
    <cellStyle name="Normal 3 36 2 15" xfId="14248"/>
    <cellStyle name="Normal 3 36 2 15 2" xfId="31746"/>
    <cellStyle name="Normal 3 36 2 16" xfId="31740"/>
    <cellStyle name="Normal 3 36 2 2" xfId="14249"/>
    <cellStyle name="Normal 3 36 2 2 10" xfId="14250"/>
    <cellStyle name="Normal 3 36 2 2 10 2" xfId="31748"/>
    <cellStyle name="Normal 3 36 2 2 11" xfId="14251"/>
    <cellStyle name="Normal 3 36 2 2 11 2" xfId="31749"/>
    <cellStyle name="Normal 3 36 2 2 12" xfId="14252"/>
    <cellStyle name="Normal 3 36 2 2 12 2" xfId="31750"/>
    <cellStyle name="Normal 3 36 2 2 13" xfId="14253"/>
    <cellStyle name="Normal 3 36 2 2 13 2" xfId="31751"/>
    <cellStyle name="Normal 3 36 2 2 14" xfId="14254"/>
    <cellStyle name="Normal 3 36 2 2 14 2" xfId="31752"/>
    <cellStyle name="Normal 3 36 2 2 15" xfId="31747"/>
    <cellStyle name="Normal 3 36 2 2 2" xfId="14255"/>
    <cellStyle name="Normal 3 36 2 2 2 2" xfId="31753"/>
    <cellStyle name="Normal 3 36 2 2 3" xfId="14256"/>
    <cellStyle name="Normal 3 36 2 2 3 2" xfId="31754"/>
    <cellStyle name="Normal 3 36 2 2 4" xfId="14257"/>
    <cellStyle name="Normal 3 36 2 2 4 2" xfId="31755"/>
    <cellStyle name="Normal 3 36 2 2 5" xfId="14258"/>
    <cellStyle name="Normal 3 36 2 2 5 2" xfId="31756"/>
    <cellStyle name="Normal 3 36 2 2 6" xfId="14259"/>
    <cellStyle name="Normal 3 36 2 2 6 2" xfId="31757"/>
    <cellStyle name="Normal 3 36 2 2 7" xfId="14260"/>
    <cellStyle name="Normal 3 36 2 2 7 2" xfId="31758"/>
    <cellStyle name="Normal 3 36 2 2 8" xfId="14261"/>
    <cellStyle name="Normal 3 36 2 2 8 2" xfId="31759"/>
    <cellStyle name="Normal 3 36 2 2 9" xfId="14262"/>
    <cellStyle name="Normal 3 36 2 2 9 2" xfId="31760"/>
    <cellStyle name="Normal 3 36 2 3" xfId="14263"/>
    <cellStyle name="Normal 3 36 2 3 2" xfId="31761"/>
    <cellStyle name="Normal 3 36 2 4" xfId="14264"/>
    <cellStyle name="Normal 3 36 2 4 2" xfId="31762"/>
    <cellStyle name="Normal 3 36 2 5" xfId="14265"/>
    <cellStyle name="Normal 3 36 2 5 2" xfId="31763"/>
    <cellStyle name="Normal 3 36 2 6" xfId="14266"/>
    <cellStyle name="Normal 3 36 2 6 2" xfId="31764"/>
    <cellStyle name="Normal 3 36 2 7" xfId="14267"/>
    <cellStyle name="Normal 3 36 2 7 2" xfId="31765"/>
    <cellStyle name="Normal 3 36 2 8" xfId="14268"/>
    <cellStyle name="Normal 3 36 2 8 2" xfId="31766"/>
    <cellStyle name="Normal 3 36 2 9" xfId="14269"/>
    <cellStyle name="Normal 3 36 2 9 2" xfId="31767"/>
    <cellStyle name="Normal 3 36 20" xfId="14270"/>
    <cellStyle name="Normal 3 36 20 2" xfId="31768"/>
    <cellStyle name="Normal 3 36 21" xfId="14271"/>
    <cellStyle name="Normal 3 36 21 2" xfId="31769"/>
    <cellStyle name="Normal 3 36 22" xfId="14272"/>
    <cellStyle name="Normal 3 36 22 2" xfId="31770"/>
    <cellStyle name="Normal 3 36 23" xfId="14273"/>
    <cellStyle name="Normal 3 36 23 2" xfId="31771"/>
    <cellStyle name="Normal 3 36 24" xfId="31716"/>
    <cellStyle name="Normal 3 36 3" xfId="14274"/>
    <cellStyle name="Normal 3 36 3 10" xfId="14275"/>
    <cellStyle name="Normal 3 36 3 10 2" xfId="31773"/>
    <cellStyle name="Normal 3 36 3 11" xfId="14276"/>
    <cellStyle name="Normal 3 36 3 11 2" xfId="31774"/>
    <cellStyle name="Normal 3 36 3 12" xfId="14277"/>
    <cellStyle name="Normal 3 36 3 12 2" xfId="31775"/>
    <cellStyle name="Normal 3 36 3 13" xfId="14278"/>
    <cellStyle name="Normal 3 36 3 13 2" xfId="31776"/>
    <cellStyle name="Normal 3 36 3 14" xfId="14279"/>
    <cellStyle name="Normal 3 36 3 14 2" xfId="31777"/>
    <cellStyle name="Normal 3 36 3 15" xfId="14280"/>
    <cellStyle name="Normal 3 36 3 15 2" xfId="31778"/>
    <cellStyle name="Normal 3 36 3 16" xfId="31772"/>
    <cellStyle name="Normal 3 36 3 2" xfId="14281"/>
    <cellStyle name="Normal 3 36 3 2 10" xfId="14282"/>
    <cellStyle name="Normal 3 36 3 2 10 2" xfId="31780"/>
    <cellStyle name="Normal 3 36 3 2 11" xfId="14283"/>
    <cellStyle name="Normal 3 36 3 2 11 2" xfId="31781"/>
    <cellStyle name="Normal 3 36 3 2 12" xfId="14284"/>
    <cellStyle name="Normal 3 36 3 2 12 2" xfId="31782"/>
    <cellStyle name="Normal 3 36 3 2 13" xfId="14285"/>
    <cellStyle name="Normal 3 36 3 2 13 2" xfId="31783"/>
    <cellStyle name="Normal 3 36 3 2 14" xfId="14286"/>
    <cellStyle name="Normal 3 36 3 2 14 2" xfId="31784"/>
    <cellStyle name="Normal 3 36 3 2 15" xfId="31779"/>
    <cellStyle name="Normal 3 36 3 2 2" xfId="14287"/>
    <cellStyle name="Normal 3 36 3 2 2 2" xfId="31785"/>
    <cellStyle name="Normal 3 36 3 2 3" xfId="14288"/>
    <cellStyle name="Normal 3 36 3 2 3 2" xfId="31786"/>
    <cellStyle name="Normal 3 36 3 2 4" xfId="14289"/>
    <cellStyle name="Normal 3 36 3 2 4 2" xfId="31787"/>
    <cellStyle name="Normal 3 36 3 2 5" xfId="14290"/>
    <cellStyle name="Normal 3 36 3 2 5 2" xfId="31788"/>
    <cellStyle name="Normal 3 36 3 2 6" xfId="14291"/>
    <cellStyle name="Normal 3 36 3 2 6 2" xfId="31789"/>
    <cellStyle name="Normal 3 36 3 2 7" xfId="14292"/>
    <cellStyle name="Normal 3 36 3 2 7 2" xfId="31790"/>
    <cellStyle name="Normal 3 36 3 2 8" xfId="14293"/>
    <cellStyle name="Normal 3 36 3 2 8 2" xfId="31791"/>
    <cellStyle name="Normal 3 36 3 2 9" xfId="14294"/>
    <cellStyle name="Normal 3 36 3 2 9 2" xfId="31792"/>
    <cellStyle name="Normal 3 36 3 3" xfId="14295"/>
    <cellStyle name="Normal 3 36 3 3 2" xfId="31793"/>
    <cellStyle name="Normal 3 36 3 4" xfId="14296"/>
    <cellStyle name="Normal 3 36 3 4 2" xfId="31794"/>
    <cellStyle name="Normal 3 36 3 5" xfId="14297"/>
    <cellStyle name="Normal 3 36 3 5 2" xfId="31795"/>
    <cellStyle name="Normal 3 36 3 6" xfId="14298"/>
    <cellStyle name="Normal 3 36 3 6 2" xfId="31796"/>
    <cellStyle name="Normal 3 36 3 7" xfId="14299"/>
    <cellStyle name="Normal 3 36 3 7 2" xfId="31797"/>
    <cellStyle name="Normal 3 36 3 8" xfId="14300"/>
    <cellStyle name="Normal 3 36 3 8 2" xfId="31798"/>
    <cellStyle name="Normal 3 36 3 9" xfId="14301"/>
    <cellStyle name="Normal 3 36 3 9 2" xfId="31799"/>
    <cellStyle name="Normal 3 36 4" xfId="14302"/>
    <cellStyle name="Normal 3 36 4 10" xfId="14303"/>
    <cellStyle name="Normal 3 36 4 10 2" xfId="31801"/>
    <cellStyle name="Normal 3 36 4 11" xfId="14304"/>
    <cellStyle name="Normal 3 36 4 11 2" xfId="31802"/>
    <cellStyle name="Normal 3 36 4 12" xfId="14305"/>
    <cellStyle name="Normal 3 36 4 12 2" xfId="31803"/>
    <cellStyle name="Normal 3 36 4 13" xfId="14306"/>
    <cellStyle name="Normal 3 36 4 13 2" xfId="31804"/>
    <cellStyle name="Normal 3 36 4 14" xfId="14307"/>
    <cellStyle name="Normal 3 36 4 14 2" xfId="31805"/>
    <cellStyle name="Normal 3 36 4 15" xfId="14308"/>
    <cellStyle name="Normal 3 36 4 15 2" xfId="31806"/>
    <cellStyle name="Normal 3 36 4 16" xfId="31800"/>
    <cellStyle name="Normal 3 36 4 2" xfId="14309"/>
    <cellStyle name="Normal 3 36 4 2 10" xfId="14310"/>
    <cellStyle name="Normal 3 36 4 2 10 2" xfId="31808"/>
    <cellStyle name="Normal 3 36 4 2 11" xfId="14311"/>
    <cellStyle name="Normal 3 36 4 2 11 2" xfId="31809"/>
    <cellStyle name="Normal 3 36 4 2 12" xfId="14312"/>
    <cellStyle name="Normal 3 36 4 2 12 2" xfId="31810"/>
    <cellStyle name="Normal 3 36 4 2 13" xfId="14313"/>
    <cellStyle name="Normal 3 36 4 2 13 2" xfId="31811"/>
    <cellStyle name="Normal 3 36 4 2 14" xfId="14314"/>
    <cellStyle name="Normal 3 36 4 2 14 2" xfId="31812"/>
    <cellStyle name="Normal 3 36 4 2 15" xfId="31807"/>
    <cellStyle name="Normal 3 36 4 2 2" xfId="14315"/>
    <cellStyle name="Normal 3 36 4 2 2 2" xfId="31813"/>
    <cellStyle name="Normal 3 36 4 2 3" xfId="14316"/>
    <cellStyle name="Normal 3 36 4 2 3 2" xfId="31814"/>
    <cellStyle name="Normal 3 36 4 2 4" xfId="14317"/>
    <cellStyle name="Normal 3 36 4 2 4 2" xfId="31815"/>
    <cellStyle name="Normal 3 36 4 2 5" xfId="14318"/>
    <cellStyle name="Normal 3 36 4 2 5 2" xfId="31816"/>
    <cellStyle name="Normal 3 36 4 2 6" xfId="14319"/>
    <cellStyle name="Normal 3 36 4 2 6 2" xfId="31817"/>
    <cellStyle name="Normal 3 36 4 2 7" xfId="14320"/>
    <cellStyle name="Normal 3 36 4 2 7 2" xfId="31818"/>
    <cellStyle name="Normal 3 36 4 2 8" xfId="14321"/>
    <cellStyle name="Normal 3 36 4 2 8 2" xfId="31819"/>
    <cellStyle name="Normal 3 36 4 2 9" xfId="14322"/>
    <cellStyle name="Normal 3 36 4 2 9 2" xfId="31820"/>
    <cellStyle name="Normal 3 36 4 3" xfId="14323"/>
    <cellStyle name="Normal 3 36 4 3 2" xfId="31821"/>
    <cellStyle name="Normal 3 36 4 4" xfId="14324"/>
    <cellStyle name="Normal 3 36 4 4 2" xfId="31822"/>
    <cellStyle name="Normal 3 36 4 5" xfId="14325"/>
    <cellStyle name="Normal 3 36 4 5 2" xfId="31823"/>
    <cellStyle name="Normal 3 36 4 6" xfId="14326"/>
    <cellStyle name="Normal 3 36 4 6 2" xfId="31824"/>
    <cellStyle name="Normal 3 36 4 7" xfId="14327"/>
    <cellStyle name="Normal 3 36 4 7 2" xfId="31825"/>
    <cellStyle name="Normal 3 36 4 8" xfId="14328"/>
    <cellStyle name="Normal 3 36 4 8 2" xfId="31826"/>
    <cellStyle name="Normal 3 36 4 9" xfId="14329"/>
    <cellStyle name="Normal 3 36 4 9 2" xfId="31827"/>
    <cellStyle name="Normal 3 36 5" xfId="14330"/>
    <cellStyle name="Normal 3 36 5 10" xfId="14331"/>
    <cellStyle name="Normal 3 36 5 10 2" xfId="31829"/>
    <cellStyle name="Normal 3 36 5 11" xfId="14332"/>
    <cellStyle name="Normal 3 36 5 11 2" xfId="31830"/>
    <cellStyle name="Normal 3 36 5 12" xfId="14333"/>
    <cellStyle name="Normal 3 36 5 12 2" xfId="31831"/>
    <cellStyle name="Normal 3 36 5 13" xfId="14334"/>
    <cellStyle name="Normal 3 36 5 13 2" xfId="31832"/>
    <cellStyle name="Normal 3 36 5 14" xfId="14335"/>
    <cellStyle name="Normal 3 36 5 14 2" xfId="31833"/>
    <cellStyle name="Normal 3 36 5 15" xfId="31828"/>
    <cellStyle name="Normal 3 36 5 2" xfId="14336"/>
    <cellStyle name="Normal 3 36 5 2 2" xfId="31834"/>
    <cellStyle name="Normal 3 36 5 3" xfId="14337"/>
    <cellStyle name="Normal 3 36 5 3 2" xfId="31835"/>
    <cellStyle name="Normal 3 36 5 4" xfId="14338"/>
    <cellStyle name="Normal 3 36 5 4 2" xfId="31836"/>
    <cellStyle name="Normal 3 36 5 5" xfId="14339"/>
    <cellStyle name="Normal 3 36 5 5 2" xfId="31837"/>
    <cellStyle name="Normal 3 36 5 6" xfId="14340"/>
    <cellStyle name="Normal 3 36 5 6 2" xfId="31838"/>
    <cellStyle name="Normal 3 36 5 7" xfId="14341"/>
    <cellStyle name="Normal 3 36 5 7 2" xfId="31839"/>
    <cellStyle name="Normal 3 36 5 8" xfId="14342"/>
    <cellStyle name="Normal 3 36 5 8 2" xfId="31840"/>
    <cellStyle name="Normal 3 36 5 9" xfId="14343"/>
    <cellStyle name="Normal 3 36 5 9 2" xfId="31841"/>
    <cellStyle name="Normal 3 36 6" xfId="14344"/>
    <cellStyle name="Normal 3 36 6 10" xfId="14345"/>
    <cellStyle name="Normal 3 36 6 10 2" xfId="31843"/>
    <cellStyle name="Normal 3 36 6 11" xfId="14346"/>
    <cellStyle name="Normal 3 36 6 11 2" xfId="31844"/>
    <cellStyle name="Normal 3 36 6 12" xfId="14347"/>
    <cellStyle name="Normal 3 36 6 12 2" xfId="31845"/>
    <cellStyle name="Normal 3 36 6 13" xfId="14348"/>
    <cellStyle name="Normal 3 36 6 13 2" xfId="31846"/>
    <cellStyle name="Normal 3 36 6 14" xfId="14349"/>
    <cellStyle name="Normal 3 36 6 14 2" xfId="31847"/>
    <cellStyle name="Normal 3 36 6 15" xfId="31842"/>
    <cellStyle name="Normal 3 36 6 2" xfId="14350"/>
    <cellStyle name="Normal 3 36 6 2 2" xfId="31848"/>
    <cellStyle name="Normal 3 36 6 3" xfId="14351"/>
    <cellStyle name="Normal 3 36 6 3 2" xfId="31849"/>
    <cellStyle name="Normal 3 36 6 4" xfId="14352"/>
    <cellStyle name="Normal 3 36 6 4 2" xfId="31850"/>
    <cellStyle name="Normal 3 36 6 5" xfId="14353"/>
    <cellStyle name="Normal 3 36 6 5 2" xfId="31851"/>
    <cellStyle name="Normal 3 36 6 6" xfId="14354"/>
    <cellStyle name="Normal 3 36 6 6 2" xfId="31852"/>
    <cellStyle name="Normal 3 36 6 7" xfId="14355"/>
    <cellStyle name="Normal 3 36 6 7 2" xfId="31853"/>
    <cellStyle name="Normal 3 36 6 8" xfId="14356"/>
    <cellStyle name="Normal 3 36 6 8 2" xfId="31854"/>
    <cellStyle name="Normal 3 36 6 9" xfId="14357"/>
    <cellStyle name="Normal 3 36 6 9 2" xfId="31855"/>
    <cellStyle name="Normal 3 36 7" xfId="14358"/>
    <cellStyle name="Normal 3 36 7 10" xfId="14359"/>
    <cellStyle name="Normal 3 36 7 10 2" xfId="31857"/>
    <cellStyle name="Normal 3 36 7 11" xfId="14360"/>
    <cellStyle name="Normal 3 36 7 11 2" xfId="31858"/>
    <cellStyle name="Normal 3 36 7 12" xfId="14361"/>
    <cellStyle name="Normal 3 36 7 12 2" xfId="31859"/>
    <cellStyle name="Normal 3 36 7 13" xfId="14362"/>
    <cellStyle name="Normal 3 36 7 13 2" xfId="31860"/>
    <cellStyle name="Normal 3 36 7 14" xfId="14363"/>
    <cellStyle name="Normal 3 36 7 14 2" xfId="31861"/>
    <cellStyle name="Normal 3 36 7 15" xfId="31856"/>
    <cellStyle name="Normal 3 36 7 2" xfId="14364"/>
    <cellStyle name="Normal 3 36 7 2 2" xfId="31862"/>
    <cellStyle name="Normal 3 36 7 3" xfId="14365"/>
    <cellStyle name="Normal 3 36 7 3 2" xfId="31863"/>
    <cellStyle name="Normal 3 36 7 4" xfId="14366"/>
    <cellStyle name="Normal 3 36 7 4 2" xfId="31864"/>
    <cellStyle name="Normal 3 36 7 5" xfId="14367"/>
    <cellStyle name="Normal 3 36 7 5 2" xfId="31865"/>
    <cellStyle name="Normal 3 36 7 6" xfId="14368"/>
    <cellStyle name="Normal 3 36 7 6 2" xfId="31866"/>
    <cellStyle name="Normal 3 36 7 7" xfId="14369"/>
    <cellStyle name="Normal 3 36 7 7 2" xfId="31867"/>
    <cellStyle name="Normal 3 36 7 8" xfId="14370"/>
    <cellStyle name="Normal 3 36 7 8 2" xfId="31868"/>
    <cellStyle name="Normal 3 36 7 9" xfId="14371"/>
    <cellStyle name="Normal 3 36 7 9 2" xfId="31869"/>
    <cellStyle name="Normal 3 36 8" xfId="14372"/>
    <cellStyle name="Normal 3 36 8 10" xfId="14373"/>
    <cellStyle name="Normal 3 36 8 10 2" xfId="31871"/>
    <cellStyle name="Normal 3 36 8 11" xfId="14374"/>
    <cellStyle name="Normal 3 36 8 11 2" xfId="31872"/>
    <cellStyle name="Normal 3 36 8 12" xfId="14375"/>
    <cellStyle name="Normal 3 36 8 12 2" xfId="31873"/>
    <cellStyle name="Normal 3 36 8 13" xfId="14376"/>
    <cellStyle name="Normal 3 36 8 13 2" xfId="31874"/>
    <cellStyle name="Normal 3 36 8 14" xfId="14377"/>
    <cellStyle name="Normal 3 36 8 14 2" xfId="31875"/>
    <cellStyle name="Normal 3 36 8 15" xfId="31870"/>
    <cellStyle name="Normal 3 36 8 2" xfId="14378"/>
    <cellStyle name="Normal 3 36 8 2 2" xfId="31876"/>
    <cellStyle name="Normal 3 36 8 3" xfId="14379"/>
    <cellStyle name="Normal 3 36 8 3 2" xfId="31877"/>
    <cellStyle name="Normal 3 36 8 4" xfId="14380"/>
    <cellStyle name="Normal 3 36 8 4 2" xfId="31878"/>
    <cellStyle name="Normal 3 36 8 5" xfId="14381"/>
    <cellStyle name="Normal 3 36 8 5 2" xfId="31879"/>
    <cellStyle name="Normal 3 36 8 6" xfId="14382"/>
    <cellStyle name="Normal 3 36 8 6 2" xfId="31880"/>
    <cellStyle name="Normal 3 36 8 7" xfId="14383"/>
    <cellStyle name="Normal 3 36 8 7 2" xfId="31881"/>
    <cellStyle name="Normal 3 36 8 8" xfId="14384"/>
    <cellStyle name="Normal 3 36 8 8 2" xfId="31882"/>
    <cellStyle name="Normal 3 36 8 9" xfId="14385"/>
    <cellStyle name="Normal 3 36 8 9 2" xfId="31883"/>
    <cellStyle name="Normal 3 36 9" xfId="14386"/>
    <cellStyle name="Normal 3 36 9 10" xfId="14387"/>
    <cellStyle name="Normal 3 36 9 10 2" xfId="31885"/>
    <cellStyle name="Normal 3 36 9 11" xfId="14388"/>
    <cellStyle name="Normal 3 36 9 11 2" xfId="31886"/>
    <cellStyle name="Normal 3 36 9 12" xfId="14389"/>
    <cellStyle name="Normal 3 36 9 12 2" xfId="31887"/>
    <cellStyle name="Normal 3 36 9 13" xfId="14390"/>
    <cellStyle name="Normal 3 36 9 13 2" xfId="31888"/>
    <cellStyle name="Normal 3 36 9 14" xfId="14391"/>
    <cellStyle name="Normal 3 36 9 14 2" xfId="31889"/>
    <cellStyle name="Normal 3 36 9 15" xfId="31884"/>
    <cellStyle name="Normal 3 36 9 2" xfId="14392"/>
    <cellStyle name="Normal 3 36 9 2 2" xfId="31890"/>
    <cellStyle name="Normal 3 36 9 3" xfId="14393"/>
    <cellStyle name="Normal 3 36 9 3 2" xfId="31891"/>
    <cellStyle name="Normal 3 36 9 4" xfId="14394"/>
    <cellStyle name="Normal 3 36 9 4 2" xfId="31892"/>
    <cellStyle name="Normal 3 36 9 5" xfId="14395"/>
    <cellStyle name="Normal 3 36 9 5 2" xfId="31893"/>
    <cellStyle name="Normal 3 36 9 6" xfId="14396"/>
    <cellStyle name="Normal 3 36 9 6 2" xfId="31894"/>
    <cellStyle name="Normal 3 36 9 7" xfId="14397"/>
    <cellStyle name="Normal 3 36 9 7 2" xfId="31895"/>
    <cellStyle name="Normal 3 36 9 8" xfId="14398"/>
    <cellStyle name="Normal 3 36 9 8 2" xfId="31896"/>
    <cellStyle name="Normal 3 36 9 9" xfId="14399"/>
    <cellStyle name="Normal 3 36 9 9 2" xfId="31897"/>
    <cellStyle name="Normal 3 37" xfId="14400"/>
    <cellStyle name="Normal 3 37 10" xfId="14401"/>
    <cellStyle name="Normal 3 37 10 10" xfId="14402"/>
    <cellStyle name="Normal 3 37 10 10 2" xfId="31900"/>
    <cellStyle name="Normal 3 37 10 11" xfId="14403"/>
    <cellStyle name="Normal 3 37 10 11 2" xfId="31901"/>
    <cellStyle name="Normal 3 37 10 12" xfId="14404"/>
    <cellStyle name="Normal 3 37 10 12 2" xfId="31902"/>
    <cellStyle name="Normal 3 37 10 13" xfId="14405"/>
    <cellStyle name="Normal 3 37 10 13 2" xfId="31903"/>
    <cellStyle name="Normal 3 37 10 14" xfId="14406"/>
    <cellStyle name="Normal 3 37 10 14 2" xfId="31904"/>
    <cellStyle name="Normal 3 37 10 15" xfId="31899"/>
    <cellStyle name="Normal 3 37 10 2" xfId="14407"/>
    <cellStyle name="Normal 3 37 10 2 2" xfId="31905"/>
    <cellStyle name="Normal 3 37 10 3" xfId="14408"/>
    <cellStyle name="Normal 3 37 10 3 2" xfId="31906"/>
    <cellStyle name="Normal 3 37 10 4" xfId="14409"/>
    <cellStyle name="Normal 3 37 10 4 2" xfId="31907"/>
    <cellStyle name="Normal 3 37 10 5" xfId="14410"/>
    <cellStyle name="Normal 3 37 10 5 2" xfId="31908"/>
    <cellStyle name="Normal 3 37 10 6" xfId="14411"/>
    <cellStyle name="Normal 3 37 10 6 2" xfId="31909"/>
    <cellStyle name="Normal 3 37 10 7" xfId="14412"/>
    <cellStyle name="Normal 3 37 10 7 2" xfId="31910"/>
    <cellStyle name="Normal 3 37 10 8" xfId="14413"/>
    <cellStyle name="Normal 3 37 10 8 2" xfId="31911"/>
    <cellStyle name="Normal 3 37 10 9" xfId="14414"/>
    <cellStyle name="Normal 3 37 10 9 2" xfId="31912"/>
    <cellStyle name="Normal 3 37 11" xfId="14415"/>
    <cellStyle name="Normal 3 37 11 2" xfId="31913"/>
    <cellStyle name="Normal 3 37 12" xfId="14416"/>
    <cellStyle name="Normal 3 37 12 2" xfId="31914"/>
    <cellStyle name="Normal 3 37 13" xfId="14417"/>
    <cellStyle name="Normal 3 37 13 2" xfId="31915"/>
    <cellStyle name="Normal 3 37 14" xfId="14418"/>
    <cellStyle name="Normal 3 37 14 2" xfId="31916"/>
    <cellStyle name="Normal 3 37 15" xfId="14419"/>
    <cellStyle name="Normal 3 37 15 2" xfId="31917"/>
    <cellStyle name="Normal 3 37 16" xfId="14420"/>
    <cellStyle name="Normal 3 37 16 2" xfId="31918"/>
    <cellStyle name="Normal 3 37 17" xfId="14421"/>
    <cellStyle name="Normal 3 37 17 2" xfId="31919"/>
    <cellStyle name="Normal 3 37 18" xfId="14422"/>
    <cellStyle name="Normal 3 37 18 2" xfId="31920"/>
    <cellStyle name="Normal 3 37 19" xfId="14423"/>
    <cellStyle name="Normal 3 37 19 2" xfId="31921"/>
    <cellStyle name="Normal 3 37 2" xfId="14424"/>
    <cellStyle name="Normal 3 37 2 10" xfId="14425"/>
    <cellStyle name="Normal 3 37 2 10 2" xfId="31923"/>
    <cellStyle name="Normal 3 37 2 11" xfId="14426"/>
    <cellStyle name="Normal 3 37 2 11 2" xfId="31924"/>
    <cellStyle name="Normal 3 37 2 12" xfId="14427"/>
    <cellStyle name="Normal 3 37 2 12 2" xfId="31925"/>
    <cellStyle name="Normal 3 37 2 13" xfId="14428"/>
    <cellStyle name="Normal 3 37 2 13 2" xfId="31926"/>
    <cellStyle name="Normal 3 37 2 14" xfId="14429"/>
    <cellStyle name="Normal 3 37 2 14 2" xfId="31927"/>
    <cellStyle name="Normal 3 37 2 15" xfId="14430"/>
    <cellStyle name="Normal 3 37 2 15 2" xfId="31928"/>
    <cellStyle name="Normal 3 37 2 16" xfId="31922"/>
    <cellStyle name="Normal 3 37 2 2" xfId="14431"/>
    <cellStyle name="Normal 3 37 2 2 10" xfId="14432"/>
    <cellStyle name="Normal 3 37 2 2 10 2" xfId="31930"/>
    <cellStyle name="Normal 3 37 2 2 11" xfId="14433"/>
    <cellStyle name="Normal 3 37 2 2 11 2" xfId="31931"/>
    <cellStyle name="Normal 3 37 2 2 12" xfId="14434"/>
    <cellStyle name="Normal 3 37 2 2 12 2" xfId="31932"/>
    <cellStyle name="Normal 3 37 2 2 13" xfId="14435"/>
    <cellStyle name="Normal 3 37 2 2 13 2" xfId="31933"/>
    <cellStyle name="Normal 3 37 2 2 14" xfId="14436"/>
    <cellStyle name="Normal 3 37 2 2 14 2" xfId="31934"/>
    <cellStyle name="Normal 3 37 2 2 15" xfId="31929"/>
    <cellStyle name="Normal 3 37 2 2 2" xfId="14437"/>
    <cellStyle name="Normal 3 37 2 2 2 2" xfId="31935"/>
    <cellStyle name="Normal 3 37 2 2 3" xfId="14438"/>
    <cellStyle name="Normal 3 37 2 2 3 2" xfId="31936"/>
    <cellStyle name="Normal 3 37 2 2 4" xfId="14439"/>
    <cellStyle name="Normal 3 37 2 2 4 2" xfId="31937"/>
    <cellStyle name="Normal 3 37 2 2 5" xfId="14440"/>
    <cellStyle name="Normal 3 37 2 2 5 2" xfId="31938"/>
    <cellStyle name="Normal 3 37 2 2 6" xfId="14441"/>
    <cellStyle name="Normal 3 37 2 2 6 2" xfId="31939"/>
    <cellStyle name="Normal 3 37 2 2 7" xfId="14442"/>
    <cellStyle name="Normal 3 37 2 2 7 2" xfId="31940"/>
    <cellStyle name="Normal 3 37 2 2 8" xfId="14443"/>
    <cellStyle name="Normal 3 37 2 2 8 2" xfId="31941"/>
    <cellStyle name="Normal 3 37 2 2 9" xfId="14444"/>
    <cellStyle name="Normal 3 37 2 2 9 2" xfId="31942"/>
    <cellStyle name="Normal 3 37 2 3" xfId="14445"/>
    <cellStyle name="Normal 3 37 2 3 2" xfId="31943"/>
    <cellStyle name="Normal 3 37 2 4" xfId="14446"/>
    <cellStyle name="Normal 3 37 2 4 2" xfId="31944"/>
    <cellStyle name="Normal 3 37 2 5" xfId="14447"/>
    <cellStyle name="Normal 3 37 2 5 2" xfId="31945"/>
    <cellStyle name="Normal 3 37 2 6" xfId="14448"/>
    <cellStyle name="Normal 3 37 2 6 2" xfId="31946"/>
    <cellStyle name="Normal 3 37 2 7" xfId="14449"/>
    <cellStyle name="Normal 3 37 2 7 2" xfId="31947"/>
    <cellStyle name="Normal 3 37 2 8" xfId="14450"/>
    <cellStyle name="Normal 3 37 2 8 2" xfId="31948"/>
    <cellStyle name="Normal 3 37 2 9" xfId="14451"/>
    <cellStyle name="Normal 3 37 2 9 2" xfId="31949"/>
    <cellStyle name="Normal 3 37 20" xfId="14452"/>
    <cellStyle name="Normal 3 37 20 2" xfId="31950"/>
    <cellStyle name="Normal 3 37 21" xfId="14453"/>
    <cellStyle name="Normal 3 37 21 2" xfId="31951"/>
    <cellStyle name="Normal 3 37 22" xfId="14454"/>
    <cellStyle name="Normal 3 37 22 2" xfId="31952"/>
    <cellStyle name="Normal 3 37 23" xfId="14455"/>
    <cellStyle name="Normal 3 37 23 2" xfId="31953"/>
    <cellStyle name="Normal 3 37 24" xfId="31898"/>
    <cellStyle name="Normal 3 37 3" xfId="14456"/>
    <cellStyle name="Normal 3 37 3 10" xfId="14457"/>
    <cellStyle name="Normal 3 37 3 10 2" xfId="31955"/>
    <cellStyle name="Normal 3 37 3 11" xfId="14458"/>
    <cellStyle name="Normal 3 37 3 11 2" xfId="31956"/>
    <cellStyle name="Normal 3 37 3 12" xfId="14459"/>
    <cellStyle name="Normal 3 37 3 12 2" xfId="31957"/>
    <cellStyle name="Normal 3 37 3 13" xfId="14460"/>
    <cellStyle name="Normal 3 37 3 13 2" xfId="31958"/>
    <cellStyle name="Normal 3 37 3 14" xfId="14461"/>
    <cellStyle name="Normal 3 37 3 14 2" xfId="31959"/>
    <cellStyle name="Normal 3 37 3 15" xfId="14462"/>
    <cellStyle name="Normal 3 37 3 15 2" xfId="31960"/>
    <cellStyle name="Normal 3 37 3 16" xfId="31954"/>
    <cellStyle name="Normal 3 37 3 2" xfId="14463"/>
    <cellStyle name="Normal 3 37 3 2 10" xfId="14464"/>
    <cellStyle name="Normal 3 37 3 2 10 2" xfId="31962"/>
    <cellStyle name="Normal 3 37 3 2 11" xfId="14465"/>
    <cellStyle name="Normal 3 37 3 2 11 2" xfId="31963"/>
    <cellStyle name="Normal 3 37 3 2 12" xfId="14466"/>
    <cellStyle name="Normal 3 37 3 2 12 2" xfId="31964"/>
    <cellStyle name="Normal 3 37 3 2 13" xfId="14467"/>
    <cellStyle name="Normal 3 37 3 2 13 2" xfId="31965"/>
    <cellStyle name="Normal 3 37 3 2 14" xfId="14468"/>
    <cellStyle name="Normal 3 37 3 2 14 2" xfId="31966"/>
    <cellStyle name="Normal 3 37 3 2 15" xfId="31961"/>
    <cellStyle name="Normal 3 37 3 2 2" xfId="14469"/>
    <cellStyle name="Normal 3 37 3 2 2 2" xfId="31967"/>
    <cellStyle name="Normal 3 37 3 2 3" xfId="14470"/>
    <cellStyle name="Normal 3 37 3 2 3 2" xfId="31968"/>
    <cellStyle name="Normal 3 37 3 2 4" xfId="14471"/>
    <cellStyle name="Normal 3 37 3 2 4 2" xfId="31969"/>
    <cellStyle name="Normal 3 37 3 2 5" xfId="14472"/>
    <cellStyle name="Normal 3 37 3 2 5 2" xfId="31970"/>
    <cellStyle name="Normal 3 37 3 2 6" xfId="14473"/>
    <cellStyle name="Normal 3 37 3 2 6 2" xfId="31971"/>
    <cellStyle name="Normal 3 37 3 2 7" xfId="14474"/>
    <cellStyle name="Normal 3 37 3 2 7 2" xfId="31972"/>
    <cellStyle name="Normal 3 37 3 2 8" xfId="14475"/>
    <cellStyle name="Normal 3 37 3 2 8 2" xfId="31973"/>
    <cellStyle name="Normal 3 37 3 2 9" xfId="14476"/>
    <cellStyle name="Normal 3 37 3 2 9 2" xfId="31974"/>
    <cellStyle name="Normal 3 37 3 3" xfId="14477"/>
    <cellStyle name="Normal 3 37 3 3 2" xfId="31975"/>
    <cellStyle name="Normal 3 37 3 4" xfId="14478"/>
    <cellStyle name="Normal 3 37 3 4 2" xfId="31976"/>
    <cellStyle name="Normal 3 37 3 5" xfId="14479"/>
    <cellStyle name="Normal 3 37 3 5 2" xfId="31977"/>
    <cellStyle name="Normal 3 37 3 6" xfId="14480"/>
    <cellStyle name="Normal 3 37 3 6 2" xfId="31978"/>
    <cellStyle name="Normal 3 37 3 7" xfId="14481"/>
    <cellStyle name="Normal 3 37 3 7 2" xfId="31979"/>
    <cellStyle name="Normal 3 37 3 8" xfId="14482"/>
    <cellStyle name="Normal 3 37 3 8 2" xfId="31980"/>
    <cellStyle name="Normal 3 37 3 9" xfId="14483"/>
    <cellStyle name="Normal 3 37 3 9 2" xfId="31981"/>
    <cellStyle name="Normal 3 37 4" xfId="14484"/>
    <cellStyle name="Normal 3 37 4 10" xfId="14485"/>
    <cellStyle name="Normal 3 37 4 10 2" xfId="31983"/>
    <cellStyle name="Normal 3 37 4 11" xfId="14486"/>
    <cellStyle name="Normal 3 37 4 11 2" xfId="31984"/>
    <cellStyle name="Normal 3 37 4 12" xfId="14487"/>
    <cellStyle name="Normal 3 37 4 12 2" xfId="31985"/>
    <cellStyle name="Normal 3 37 4 13" xfId="14488"/>
    <cellStyle name="Normal 3 37 4 13 2" xfId="31986"/>
    <cellStyle name="Normal 3 37 4 14" xfId="14489"/>
    <cellStyle name="Normal 3 37 4 14 2" xfId="31987"/>
    <cellStyle name="Normal 3 37 4 15" xfId="14490"/>
    <cellStyle name="Normal 3 37 4 15 2" xfId="31988"/>
    <cellStyle name="Normal 3 37 4 16" xfId="31982"/>
    <cellStyle name="Normal 3 37 4 2" xfId="14491"/>
    <cellStyle name="Normal 3 37 4 2 10" xfId="14492"/>
    <cellStyle name="Normal 3 37 4 2 10 2" xfId="31990"/>
    <cellStyle name="Normal 3 37 4 2 11" xfId="14493"/>
    <cellStyle name="Normal 3 37 4 2 11 2" xfId="31991"/>
    <cellStyle name="Normal 3 37 4 2 12" xfId="14494"/>
    <cellStyle name="Normal 3 37 4 2 12 2" xfId="31992"/>
    <cellStyle name="Normal 3 37 4 2 13" xfId="14495"/>
    <cellStyle name="Normal 3 37 4 2 13 2" xfId="31993"/>
    <cellStyle name="Normal 3 37 4 2 14" xfId="14496"/>
    <cellStyle name="Normal 3 37 4 2 14 2" xfId="31994"/>
    <cellStyle name="Normal 3 37 4 2 15" xfId="31989"/>
    <cellStyle name="Normal 3 37 4 2 2" xfId="14497"/>
    <cellStyle name="Normal 3 37 4 2 2 2" xfId="31995"/>
    <cellStyle name="Normal 3 37 4 2 3" xfId="14498"/>
    <cellStyle name="Normal 3 37 4 2 3 2" xfId="31996"/>
    <cellStyle name="Normal 3 37 4 2 4" xfId="14499"/>
    <cellStyle name="Normal 3 37 4 2 4 2" xfId="31997"/>
    <cellStyle name="Normal 3 37 4 2 5" xfId="14500"/>
    <cellStyle name="Normal 3 37 4 2 5 2" xfId="31998"/>
    <cellStyle name="Normal 3 37 4 2 6" xfId="14501"/>
    <cellStyle name="Normal 3 37 4 2 6 2" xfId="31999"/>
    <cellStyle name="Normal 3 37 4 2 7" xfId="14502"/>
    <cellStyle name="Normal 3 37 4 2 7 2" xfId="32000"/>
    <cellStyle name="Normal 3 37 4 2 8" xfId="14503"/>
    <cellStyle name="Normal 3 37 4 2 8 2" xfId="32001"/>
    <cellStyle name="Normal 3 37 4 2 9" xfId="14504"/>
    <cellStyle name="Normal 3 37 4 2 9 2" xfId="32002"/>
    <cellStyle name="Normal 3 37 4 3" xfId="14505"/>
    <cellStyle name="Normal 3 37 4 3 2" xfId="32003"/>
    <cellStyle name="Normal 3 37 4 4" xfId="14506"/>
    <cellStyle name="Normal 3 37 4 4 2" xfId="32004"/>
    <cellStyle name="Normal 3 37 4 5" xfId="14507"/>
    <cellStyle name="Normal 3 37 4 5 2" xfId="32005"/>
    <cellStyle name="Normal 3 37 4 6" xfId="14508"/>
    <cellStyle name="Normal 3 37 4 6 2" xfId="32006"/>
    <cellStyle name="Normal 3 37 4 7" xfId="14509"/>
    <cellStyle name="Normal 3 37 4 7 2" xfId="32007"/>
    <cellStyle name="Normal 3 37 4 8" xfId="14510"/>
    <cellStyle name="Normal 3 37 4 8 2" xfId="32008"/>
    <cellStyle name="Normal 3 37 4 9" xfId="14511"/>
    <cellStyle name="Normal 3 37 4 9 2" xfId="32009"/>
    <cellStyle name="Normal 3 37 5" xfId="14512"/>
    <cellStyle name="Normal 3 37 5 10" xfId="14513"/>
    <cellStyle name="Normal 3 37 5 10 2" xfId="32011"/>
    <cellStyle name="Normal 3 37 5 11" xfId="14514"/>
    <cellStyle name="Normal 3 37 5 11 2" xfId="32012"/>
    <cellStyle name="Normal 3 37 5 12" xfId="14515"/>
    <cellStyle name="Normal 3 37 5 12 2" xfId="32013"/>
    <cellStyle name="Normal 3 37 5 13" xfId="14516"/>
    <cellStyle name="Normal 3 37 5 13 2" xfId="32014"/>
    <cellStyle name="Normal 3 37 5 14" xfId="14517"/>
    <cellStyle name="Normal 3 37 5 14 2" xfId="32015"/>
    <cellStyle name="Normal 3 37 5 15" xfId="32010"/>
    <cellStyle name="Normal 3 37 5 2" xfId="14518"/>
    <cellStyle name="Normal 3 37 5 2 2" xfId="32016"/>
    <cellStyle name="Normal 3 37 5 3" xfId="14519"/>
    <cellStyle name="Normal 3 37 5 3 2" xfId="32017"/>
    <cellStyle name="Normal 3 37 5 4" xfId="14520"/>
    <cellStyle name="Normal 3 37 5 4 2" xfId="32018"/>
    <cellStyle name="Normal 3 37 5 5" xfId="14521"/>
    <cellStyle name="Normal 3 37 5 5 2" xfId="32019"/>
    <cellStyle name="Normal 3 37 5 6" xfId="14522"/>
    <cellStyle name="Normal 3 37 5 6 2" xfId="32020"/>
    <cellStyle name="Normal 3 37 5 7" xfId="14523"/>
    <cellStyle name="Normal 3 37 5 7 2" xfId="32021"/>
    <cellStyle name="Normal 3 37 5 8" xfId="14524"/>
    <cellStyle name="Normal 3 37 5 8 2" xfId="32022"/>
    <cellStyle name="Normal 3 37 5 9" xfId="14525"/>
    <cellStyle name="Normal 3 37 5 9 2" xfId="32023"/>
    <cellStyle name="Normal 3 37 6" xfId="14526"/>
    <cellStyle name="Normal 3 37 6 10" xfId="14527"/>
    <cellStyle name="Normal 3 37 6 10 2" xfId="32025"/>
    <cellStyle name="Normal 3 37 6 11" xfId="14528"/>
    <cellStyle name="Normal 3 37 6 11 2" xfId="32026"/>
    <cellStyle name="Normal 3 37 6 12" xfId="14529"/>
    <cellStyle name="Normal 3 37 6 12 2" xfId="32027"/>
    <cellStyle name="Normal 3 37 6 13" xfId="14530"/>
    <cellStyle name="Normal 3 37 6 13 2" xfId="32028"/>
    <cellStyle name="Normal 3 37 6 14" xfId="14531"/>
    <cellStyle name="Normal 3 37 6 14 2" xfId="32029"/>
    <cellStyle name="Normal 3 37 6 15" xfId="32024"/>
    <cellStyle name="Normal 3 37 6 2" xfId="14532"/>
    <cellStyle name="Normal 3 37 6 2 2" xfId="32030"/>
    <cellStyle name="Normal 3 37 6 3" xfId="14533"/>
    <cellStyle name="Normal 3 37 6 3 2" xfId="32031"/>
    <cellStyle name="Normal 3 37 6 4" xfId="14534"/>
    <cellStyle name="Normal 3 37 6 4 2" xfId="32032"/>
    <cellStyle name="Normal 3 37 6 5" xfId="14535"/>
    <cellStyle name="Normal 3 37 6 5 2" xfId="32033"/>
    <cellStyle name="Normal 3 37 6 6" xfId="14536"/>
    <cellStyle name="Normal 3 37 6 6 2" xfId="32034"/>
    <cellStyle name="Normal 3 37 6 7" xfId="14537"/>
    <cellStyle name="Normal 3 37 6 7 2" xfId="32035"/>
    <cellStyle name="Normal 3 37 6 8" xfId="14538"/>
    <cellStyle name="Normal 3 37 6 8 2" xfId="32036"/>
    <cellStyle name="Normal 3 37 6 9" xfId="14539"/>
    <cellStyle name="Normal 3 37 6 9 2" xfId="32037"/>
    <cellStyle name="Normal 3 37 7" xfId="14540"/>
    <cellStyle name="Normal 3 37 7 10" xfId="14541"/>
    <cellStyle name="Normal 3 37 7 10 2" xfId="32039"/>
    <cellStyle name="Normal 3 37 7 11" xfId="14542"/>
    <cellStyle name="Normal 3 37 7 11 2" xfId="32040"/>
    <cellStyle name="Normal 3 37 7 12" xfId="14543"/>
    <cellStyle name="Normal 3 37 7 12 2" xfId="32041"/>
    <cellStyle name="Normal 3 37 7 13" xfId="14544"/>
    <cellStyle name="Normal 3 37 7 13 2" xfId="32042"/>
    <cellStyle name="Normal 3 37 7 14" xfId="14545"/>
    <cellStyle name="Normal 3 37 7 14 2" xfId="32043"/>
    <cellStyle name="Normal 3 37 7 15" xfId="32038"/>
    <cellStyle name="Normal 3 37 7 2" xfId="14546"/>
    <cellStyle name="Normal 3 37 7 2 2" xfId="32044"/>
    <cellStyle name="Normal 3 37 7 3" xfId="14547"/>
    <cellStyle name="Normal 3 37 7 3 2" xfId="32045"/>
    <cellStyle name="Normal 3 37 7 4" xfId="14548"/>
    <cellStyle name="Normal 3 37 7 4 2" xfId="32046"/>
    <cellStyle name="Normal 3 37 7 5" xfId="14549"/>
    <cellStyle name="Normal 3 37 7 5 2" xfId="32047"/>
    <cellStyle name="Normal 3 37 7 6" xfId="14550"/>
    <cellStyle name="Normal 3 37 7 6 2" xfId="32048"/>
    <cellStyle name="Normal 3 37 7 7" xfId="14551"/>
    <cellStyle name="Normal 3 37 7 7 2" xfId="32049"/>
    <cellStyle name="Normal 3 37 7 8" xfId="14552"/>
    <cellStyle name="Normal 3 37 7 8 2" xfId="32050"/>
    <cellStyle name="Normal 3 37 7 9" xfId="14553"/>
    <cellStyle name="Normal 3 37 7 9 2" xfId="32051"/>
    <cellStyle name="Normal 3 37 8" xfId="14554"/>
    <cellStyle name="Normal 3 37 8 10" xfId="14555"/>
    <cellStyle name="Normal 3 37 8 10 2" xfId="32053"/>
    <cellStyle name="Normal 3 37 8 11" xfId="14556"/>
    <cellStyle name="Normal 3 37 8 11 2" xfId="32054"/>
    <cellStyle name="Normal 3 37 8 12" xfId="14557"/>
    <cellStyle name="Normal 3 37 8 12 2" xfId="32055"/>
    <cellStyle name="Normal 3 37 8 13" xfId="14558"/>
    <cellStyle name="Normal 3 37 8 13 2" xfId="32056"/>
    <cellStyle name="Normal 3 37 8 14" xfId="14559"/>
    <cellStyle name="Normal 3 37 8 14 2" xfId="32057"/>
    <cellStyle name="Normal 3 37 8 15" xfId="32052"/>
    <cellStyle name="Normal 3 37 8 2" xfId="14560"/>
    <cellStyle name="Normal 3 37 8 2 2" xfId="32058"/>
    <cellStyle name="Normal 3 37 8 3" xfId="14561"/>
    <cellStyle name="Normal 3 37 8 3 2" xfId="32059"/>
    <cellStyle name="Normal 3 37 8 4" xfId="14562"/>
    <cellStyle name="Normal 3 37 8 4 2" xfId="32060"/>
    <cellStyle name="Normal 3 37 8 5" xfId="14563"/>
    <cellStyle name="Normal 3 37 8 5 2" xfId="32061"/>
    <cellStyle name="Normal 3 37 8 6" xfId="14564"/>
    <cellStyle name="Normal 3 37 8 6 2" xfId="32062"/>
    <cellStyle name="Normal 3 37 8 7" xfId="14565"/>
    <cellStyle name="Normal 3 37 8 7 2" xfId="32063"/>
    <cellStyle name="Normal 3 37 8 8" xfId="14566"/>
    <cellStyle name="Normal 3 37 8 8 2" xfId="32064"/>
    <cellStyle name="Normal 3 37 8 9" xfId="14567"/>
    <cellStyle name="Normal 3 37 8 9 2" xfId="32065"/>
    <cellStyle name="Normal 3 37 9" xfId="14568"/>
    <cellStyle name="Normal 3 37 9 10" xfId="14569"/>
    <cellStyle name="Normal 3 37 9 10 2" xfId="32067"/>
    <cellStyle name="Normal 3 37 9 11" xfId="14570"/>
    <cellStyle name="Normal 3 37 9 11 2" xfId="32068"/>
    <cellStyle name="Normal 3 37 9 12" xfId="14571"/>
    <cellStyle name="Normal 3 37 9 12 2" xfId="32069"/>
    <cellStyle name="Normal 3 37 9 13" xfId="14572"/>
    <cellStyle name="Normal 3 37 9 13 2" xfId="32070"/>
    <cellStyle name="Normal 3 37 9 14" xfId="14573"/>
    <cellStyle name="Normal 3 37 9 14 2" xfId="32071"/>
    <cellStyle name="Normal 3 37 9 15" xfId="32066"/>
    <cellStyle name="Normal 3 37 9 2" xfId="14574"/>
    <cellStyle name="Normal 3 37 9 2 2" xfId="32072"/>
    <cellStyle name="Normal 3 37 9 3" xfId="14575"/>
    <cellStyle name="Normal 3 37 9 3 2" xfId="32073"/>
    <cellStyle name="Normal 3 37 9 4" xfId="14576"/>
    <cellStyle name="Normal 3 37 9 4 2" xfId="32074"/>
    <cellStyle name="Normal 3 37 9 5" xfId="14577"/>
    <cellStyle name="Normal 3 37 9 5 2" xfId="32075"/>
    <cellStyle name="Normal 3 37 9 6" xfId="14578"/>
    <cellStyle name="Normal 3 37 9 6 2" xfId="32076"/>
    <cellStyle name="Normal 3 37 9 7" xfId="14579"/>
    <cellStyle name="Normal 3 37 9 7 2" xfId="32077"/>
    <cellStyle name="Normal 3 37 9 8" xfId="14580"/>
    <cellStyle name="Normal 3 37 9 8 2" xfId="32078"/>
    <cellStyle name="Normal 3 37 9 9" xfId="14581"/>
    <cellStyle name="Normal 3 37 9 9 2" xfId="32079"/>
    <cellStyle name="Normal 3 38" xfId="14582"/>
    <cellStyle name="Normal 3 38 10" xfId="14583"/>
    <cellStyle name="Normal 3 38 10 10" xfId="14584"/>
    <cellStyle name="Normal 3 38 10 10 2" xfId="32082"/>
    <cellStyle name="Normal 3 38 10 11" xfId="14585"/>
    <cellStyle name="Normal 3 38 10 11 2" xfId="32083"/>
    <cellStyle name="Normal 3 38 10 12" xfId="14586"/>
    <cellStyle name="Normal 3 38 10 12 2" xfId="32084"/>
    <cellStyle name="Normal 3 38 10 13" xfId="14587"/>
    <cellStyle name="Normal 3 38 10 13 2" xfId="32085"/>
    <cellStyle name="Normal 3 38 10 14" xfId="14588"/>
    <cellStyle name="Normal 3 38 10 14 2" xfId="32086"/>
    <cellStyle name="Normal 3 38 10 15" xfId="32081"/>
    <cellStyle name="Normal 3 38 10 2" xfId="14589"/>
    <cellStyle name="Normal 3 38 10 2 2" xfId="32087"/>
    <cellStyle name="Normal 3 38 10 3" xfId="14590"/>
    <cellStyle name="Normal 3 38 10 3 2" xfId="32088"/>
    <cellStyle name="Normal 3 38 10 4" xfId="14591"/>
    <cellStyle name="Normal 3 38 10 4 2" xfId="32089"/>
    <cellStyle name="Normal 3 38 10 5" xfId="14592"/>
    <cellStyle name="Normal 3 38 10 5 2" xfId="32090"/>
    <cellStyle name="Normal 3 38 10 6" xfId="14593"/>
    <cellStyle name="Normal 3 38 10 6 2" xfId="32091"/>
    <cellStyle name="Normal 3 38 10 7" xfId="14594"/>
    <cellStyle name="Normal 3 38 10 7 2" xfId="32092"/>
    <cellStyle name="Normal 3 38 10 8" xfId="14595"/>
    <cellStyle name="Normal 3 38 10 8 2" xfId="32093"/>
    <cellStyle name="Normal 3 38 10 9" xfId="14596"/>
    <cellStyle name="Normal 3 38 10 9 2" xfId="32094"/>
    <cellStyle name="Normal 3 38 11" xfId="14597"/>
    <cellStyle name="Normal 3 38 11 2" xfId="32095"/>
    <cellStyle name="Normal 3 38 12" xfId="14598"/>
    <cellStyle name="Normal 3 38 12 2" xfId="32096"/>
    <cellStyle name="Normal 3 38 13" xfId="14599"/>
    <cellStyle name="Normal 3 38 13 2" xfId="32097"/>
    <cellStyle name="Normal 3 38 14" xfId="14600"/>
    <cellStyle name="Normal 3 38 14 2" xfId="32098"/>
    <cellStyle name="Normal 3 38 15" xfId="14601"/>
    <cellStyle name="Normal 3 38 15 2" xfId="32099"/>
    <cellStyle name="Normal 3 38 16" xfId="14602"/>
    <cellStyle name="Normal 3 38 16 2" xfId="32100"/>
    <cellStyle name="Normal 3 38 17" xfId="14603"/>
    <cellStyle name="Normal 3 38 17 2" xfId="32101"/>
    <cellStyle name="Normal 3 38 18" xfId="14604"/>
    <cellStyle name="Normal 3 38 18 2" xfId="32102"/>
    <cellStyle name="Normal 3 38 19" xfId="14605"/>
    <cellStyle name="Normal 3 38 19 2" xfId="32103"/>
    <cellStyle name="Normal 3 38 2" xfId="14606"/>
    <cellStyle name="Normal 3 38 2 10" xfId="14607"/>
    <cellStyle name="Normal 3 38 2 10 2" xfId="32105"/>
    <cellStyle name="Normal 3 38 2 11" xfId="14608"/>
    <cellStyle name="Normal 3 38 2 11 2" xfId="32106"/>
    <cellStyle name="Normal 3 38 2 12" xfId="14609"/>
    <cellStyle name="Normal 3 38 2 12 2" xfId="32107"/>
    <cellStyle name="Normal 3 38 2 13" xfId="14610"/>
    <cellStyle name="Normal 3 38 2 13 2" xfId="32108"/>
    <cellStyle name="Normal 3 38 2 14" xfId="14611"/>
    <cellStyle name="Normal 3 38 2 14 2" xfId="32109"/>
    <cellStyle name="Normal 3 38 2 15" xfId="14612"/>
    <cellStyle name="Normal 3 38 2 15 2" xfId="32110"/>
    <cellStyle name="Normal 3 38 2 16" xfId="32104"/>
    <cellStyle name="Normal 3 38 2 2" xfId="14613"/>
    <cellStyle name="Normal 3 38 2 2 10" xfId="14614"/>
    <cellStyle name="Normal 3 38 2 2 10 2" xfId="32112"/>
    <cellStyle name="Normal 3 38 2 2 11" xfId="14615"/>
    <cellStyle name="Normal 3 38 2 2 11 2" xfId="32113"/>
    <cellStyle name="Normal 3 38 2 2 12" xfId="14616"/>
    <cellStyle name="Normal 3 38 2 2 12 2" xfId="32114"/>
    <cellStyle name="Normal 3 38 2 2 13" xfId="14617"/>
    <cellStyle name="Normal 3 38 2 2 13 2" xfId="32115"/>
    <cellStyle name="Normal 3 38 2 2 14" xfId="14618"/>
    <cellStyle name="Normal 3 38 2 2 14 2" xfId="32116"/>
    <cellStyle name="Normal 3 38 2 2 15" xfId="32111"/>
    <cellStyle name="Normal 3 38 2 2 2" xfId="14619"/>
    <cellStyle name="Normal 3 38 2 2 2 2" xfId="32117"/>
    <cellStyle name="Normal 3 38 2 2 3" xfId="14620"/>
    <cellStyle name="Normal 3 38 2 2 3 2" xfId="32118"/>
    <cellStyle name="Normal 3 38 2 2 4" xfId="14621"/>
    <cellStyle name="Normal 3 38 2 2 4 2" xfId="32119"/>
    <cellStyle name="Normal 3 38 2 2 5" xfId="14622"/>
    <cellStyle name="Normal 3 38 2 2 5 2" xfId="32120"/>
    <cellStyle name="Normal 3 38 2 2 6" xfId="14623"/>
    <cellStyle name="Normal 3 38 2 2 6 2" xfId="32121"/>
    <cellStyle name="Normal 3 38 2 2 7" xfId="14624"/>
    <cellStyle name="Normal 3 38 2 2 7 2" xfId="32122"/>
    <cellStyle name="Normal 3 38 2 2 8" xfId="14625"/>
    <cellStyle name="Normal 3 38 2 2 8 2" xfId="32123"/>
    <cellStyle name="Normal 3 38 2 2 9" xfId="14626"/>
    <cellStyle name="Normal 3 38 2 2 9 2" xfId="32124"/>
    <cellStyle name="Normal 3 38 2 3" xfId="14627"/>
    <cellStyle name="Normal 3 38 2 3 2" xfId="32125"/>
    <cellStyle name="Normal 3 38 2 4" xfId="14628"/>
    <cellStyle name="Normal 3 38 2 4 2" xfId="32126"/>
    <cellStyle name="Normal 3 38 2 5" xfId="14629"/>
    <cellStyle name="Normal 3 38 2 5 2" xfId="32127"/>
    <cellStyle name="Normal 3 38 2 6" xfId="14630"/>
    <cellStyle name="Normal 3 38 2 6 2" xfId="32128"/>
    <cellStyle name="Normal 3 38 2 7" xfId="14631"/>
    <cellStyle name="Normal 3 38 2 7 2" xfId="32129"/>
    <cellStyle name="Normal 3 38 2 8" xfId="14632"/>
    <cellStyle name="Normal 3 38 2 8 2" xfId="32130"/>
    <cellStyle name="Normal 3 38 2 9" xfId="14633"/>
    <cellStyle name="Normal 3 38 2 9 2" xfId="32131"/>
    <cellStyle name="Normal 3 38 20" xfId="14634"/>
    <cellStyle name="Normal 3 38 20 2" xfId="32132"/>
    <cellStyle name="Normal 3 38 21" xfId="14635"/>
    <cellStyle name="Normal 3 38 21 2" xfId="32133"/>
    <cellStyle name="Normal 3 38 22" xfId="14636"/>
    <cellStyle name="Normal 3 38 22 2" xfId="32134"/>
    <cellStyle name="Normal 3 38 23" xfId="14637"/>
    <cellStyle name="Normal 3 38 23 2" xfId="32135"/>
    <cellStyle name="Normal 3 38 24" xfId="32080"/>
    <cellStyle name="Normal 3 38 3" xfId="14638"/>
    <cellStyle name="Normal 3 38 3 10" xfId="14639"/>
    <cellStyle name="Normal 3 38 3 10 2" xfId="32137"/>
    <cellStyle name="Normal 3 38 3 11" xfId="14640"/>
    <cellStyle name="Normal 3 38 3 11 2" xfId="32138"/>
    <cellStyle name="Normal 3 38 3 12" xfId="14641"/>
    <cellStyle name="Normal 3 38 3 12 2" xfId="32139"/>
    <cellStyle name="Normal 3 38 3 13" xfId="14642"/>
    <cellStyle name="Normal 3 38 3 13 2" xfId="32140"/>
    <cellStyle name="Normal 3 38 3 14" xfId="14643"/>
    <cellStyle name="Normal 3 38 3 14 2" xfId="32141"/>
    <cellStyle name="Normal 3 38 3 15" xfId="14644"/>
    <cellStyle name="Normal 3 38 3 15 2" xfId="32142"/>
    <cellStyle name="Normal 3 38 3 16" xfId="32136"/>
    <cellStyle name="Normal 3 38 3 2" xfId="14645"/>
    <cellStyle name="Normal 3 38 3 2 10" xfId="14646"/>
    <cellStyle name="Normal 3 38 3 2 10 2" xfId="32144"/>
    <cellStyle name="Normal 3 38 3 2 11" xfId="14647"/>
    <cellStyle name="Normal 3 38 3 2 11 2" xfId="32145"/>
    <cellStyle name="Normal 3 38 3 2 12" xfId="14648"/>
    <cellStyle name="Normal 3 38 3 2 12 2" xfId="32146"/>
    <cellStyle name="Normal 3 38 3 2 13" xfId="14649"/>
    <cellStyle name="Normal 3 38 3 2 13 2" xfId="32147"/>
    <cellStyle name="Normal 3 38 3 2 14" xfId="14650"/>
    <cellStyle name="Normal 3 38 3 2 14 2" xfId="32148"/>
    <cellStyle name="Normal 3 38 3 2 15" xfId="32143"/>
    <cellStyle name="Normal 3 38 3 2 2" xfId="14651"/>
    <cellStyle name="Normal 3 38 3 2 2 2" xfId="32149"/>
    <cellStyle name="Normal 3 38 3 2 3" xfId="14652"/>
    <cellStyle name="Normal 3 38 3 2 3 2" xfId="32150"/>
    <cellStyle name="Normal 3 38 3 2 4" xfId="14653"/>
    <cellStyle name="Normal 3 38 3 2 4 2" xfId="32151"/>
    <cellStyle name="Normal 3 38 3 2 5" xfId="14654"/>
    <cellStyle name="Normal 3 38 3 2 5 2" xfId="32152"/>
    <cellStyle name="Normal 3 38 3 2 6" xfId="14655"/>
    <cellStyle name="Normal 3 38 3 2 6 2" xfId="32153"/>
    <cellStyle name="Normal 3 38 3 2 7" xfId="14656"/>
    <cellStyle name="Normal 3 38 3 2 7 2" xfId="32154"/>
    <cellStyle name="Normal 3 38 3 2 8" xfId="14657"/>
    <cellStyle name="Normal 3 38 3 2 8 2" xfId="32155"/>
    <cellStyle name="Normal 3 38 3 2 9" xfId="14658"/>
    <cellStyle name="Normal 3 38 3 2 9 2" xfId="32156"/>
    <cellStyle name="Normal 3 38 3 3" xfId="14659"/>
    <cellStyle name="Normal 3 38 3 3 2" xfId="32157"/>
    <cellStyle name="Normal 3 38 3 4" xfId="14660"/>
    <cellStyle name="Normal 3 38 3 4 2" xfId="32158"/>
    <cellStyle name="Normal 3 38 3 5" xfId="14661"/>
    <cellStyle name="Normal 3 38 3 5 2" xfId="32159"/>
    <cellStyle name="Normal 3 38 3 6" xfId="14662"/>
    <cellStyle name="Normal 3 38 3 6 2" xfId="32160"/>
    <cellStyle name="Normal 3 38 3 7" xfId="14663"/>
    <cellStyle name="Normal 3 38 3 7 2" xfId="32161"/>
    <cellStyle name="Normal 3 38 3 8" xfId="14664"/>
    <cellStyle name="Normal 3 38 3 8 2" xfId="32162"/>
    <cellStyle name="Normal 3 38 3 9" xfId="14665"/>
    <cellStyle name="Normal 3 38 3 9 2" xfId="32163"/>
    <cellStyle name="Normal 3 38 4" xfId="14666"/>
    <cellStyle name="Normal 3 38 4 10" xfId="14667"/>
    <cellStyle name="Normal 3 38 4 10 2" xfId="32165"/>
    <cellStyle name="Normal 3 38 4 11" xfId="14668"/>
    <cellStyle name="Normal 3 38 4 11 2" xfId="32166"/>
    <cellStyle name="Normal 3 38 4 12" xfId="14669"/>
    <cellStyle name="Normal 3 38 4 12 2" xfId="32167"/>
    <cellStyle name="Normal 3 38 4 13" xfId="14670"/>
    <cellStyle name="Normal 3 38 4 13 2" xfId="32168"/>
    <cellStyle name="Normal 3 38 4 14" xfId="14671"/>
    <cellStyle name="Normal 3 38 4 14 2" xfId="32169"/>
    <cellStyle name="Normal 3 38 4 15" xfId="14672"/>
    <cellStyle name="Normal 3 38 4 15 2" xfId="32170"/>
    <cellStyle name="Normal 3 38 4 16" xfId="32164"/>
    <cellStyle name="Normal 3 38 4 2" xfId="14673"/>
    <cellStyle name="Normal 3 38 4 2 10" xfId="14674"/>
    <cellStyle name="Normal 3 38 4 2 10 2" xfId="32172"/>
    <cellStyle name="Normal 3 38 4 2 11" xfId="14675"/>
    <cellStyle name="Normal 3 38 4 2 11 2" xfId="32173"/>
    <cellStyle name="Normal 3 38 4 2 12" xfId="14676"/>
    <cellStyle name="Normal 3 38 4 2 12 2" xfId="32174"/>
    <cellStyle name="Normal 3 38 4 2 13" xfId="14677"/>
    <cellStyle name="Normal 3 38 4 2 13 2" xfId="32175"/>
    <cellStyle name="Normal 3 38 4 2 14" xfId="14678"/>
    <cellStyle name="Normal 3 38 4 2 14 2" xfId="32176"/>
    <cellStyle name="Normal 3 38 4 2 15" xfId="32171"/>
    <cellStyle name="Normal 3 38 4 2 2" xfId="14679"/>
    <cellStyle name="Normal 3 38 4 2 2 2" xfId="32177"/>
    <cellStyle name="Normal 3 38 4 2 3" xfId="14680"/>
    <cellStyle name="Normal 3 38 4 2 3 2" xfId="32178"/>
    <cellStyle name="Normal 3 38 4 2 4" xfId="14681"/>
    <cellStyle name="Normal 3 38 4 2 4 2" xfId="32179"/>
    <cellStyle name="Normal 3 38 4 2 5" xfId="14682"/>
    <cellStyle name="Normal 3 38 4 2 5 2" xfId="32180"/>
    <cellStyle name="Normal 3 38 4 2 6" xfId="14683"/>
    <cellStyle name="Normal 3 38 4 2 6 2" xfId="32181"/>
    <cellStyle name="Normal 3 38 4 2 7" xfId="14684"/>
    <cellStyle name="Normal 3 38 4 2 7 2" xfId="32182"/>
    <cellStyle name="Normal 3 38 4 2 8" xfId="14685"/>
    <cellStyle name="Normal 3 38 4 2 8 2" xfId="32183"/>
    <cellStyle name="Normal 3 38 4 2 9" xfId="14686"/>
    <cellStyle name="Normal 3 38 4 2 9 2" xfId="32184"/>
    <cellStyle name="Normal 3 38 4 3" xfId="14687"/>
    <cellStyle name="Normal 3 38 4 3 2" xfId="32185"/>
    <cellStyle name="Normal 3 38 4 4" xfId="14688"/>
    <cellStyle name="Normal 3 38 4 4 2" xfId="32186"/>
    <cellStyle name="Normal 3 38 4 5" xfId="14689"/>
    <cellStyle name="Normal 3 38 4 5 2" xfId="32187"/>
    <cellStyle name="Normal 3 38 4 6" xfId="14690"/>
    <cellStyle name="Normal 3 38 4 6 2" xfId="32188"/>
    <cellStyle name="Normal 3 38 4 7" xfId="14691"/>
    <cellStyle name="Normal 3 38 4 7 2" xfId="32189"/>
    <cellStyle name="Normal 3 38 4 8" xfId="14692"/>
    <cellStyle name="Normal 3 38 4 8 2" xfId="32190"/>
    <cellStyle name="Normal 3 38 4 9" xfId="14693"/>
    <cellStyle name="Normal 3 38 4 9 2" xfId="32191"/>
    <cellStyle name="Normal 3 38 5" xfId="14694"/>
    <cellStyle name="Normal 3 38 5 10" xfId="14695"/>
    <cellStyle name="Normal 3 38 5 10 2" xfId="32193"/>
    <cellStyle name="Normal 3 38 5 11" xfId="14696"/>
    <cellStyle name="Normal 3 38 5 11 2" xfId="32194"/>
    <cellStyle name="Normal 3 38 5 12" xfId="14697"/>
    <cellStyle name="Normal 3 38 5 12 2" xfId="32195"/>
    <cellStyle name="Normal 3 38 5 13" xfId="14698"/>
    <cellStyle name="Normal 3 38 5 13 2" xfId="32196"/>
    <cellStyle name="Normal 3 38 5 14" xfId="14699"/>
    <cellStyle name="Normal 3 38 5 14 2" xfId="32197"/>
    <cellStyle name="Normal 3 38 5 15" xfId="32192"/>
    <cellStyle name="Normal 3 38 5 2" xfId="14700"/>
    <cellStyle name="Normal 3 38 5 2 2" xfId="32198"/>
    <cellStyle name="Normal 3 38 5 3" xfId="14701"/>
    <cellStyle name="Normal 3 38 5 3 2" xfId="32199"/>
    <cellStyle name="Normal 3 38 5 4" xfId="14702"/>
    <cellStyle name="Normal 3 38 5 4 2" xfId="32200"/>
    <cellStyle name="Normal 3 38 5 5" xfId="14703"/>
    <cellStyle name="Normal 3 38 5 5 2" xfId="32201"/>
    <cellStyle name="Normal 3 38 5 6" xfId="14704"/>
    <cellStyle name="Normal 3 38 5 6 2" xfId="32202"/>
    <cellStyle name="Normal 3 38 5 7" xfId="14705"/>
    <cellStyle name="Normal 3 38 5 7 2" xfId="32203"/>
    <cellStyle name="Normal 3 38 5 8" xfId="14706"/>
    <cellStyle name="Normal 3 38 5 8 2" xfId="32204"/>
    <cellStyle name="Normal 3 38 5 9" xfId="14707"/>
    <cellStyle name="Normal 3 38 5 9 2" xfId="32205"/>
    <cellStyle name="Normal 3 38 6" xfId="14708"/>
    <cellStyle name="Normal 3 38 6 10" xfId="14709"/>
    <cellStyle name="Normal 3 38 6 10 2" xfId="32207"/>
    <cellStyle name="Normal 3 38 6 11" xfId="14710"/>
    <cellStyle name="Normal 3 38 6 11 2" xfId="32208"/>
    <cellStyle name="Normal 3 38 6 12" xfId="14711"/>
    <cellStyle name="Normal 3 38 6 12 2" xfId="32209"/>
    <cellStyle name="Normal 3 38 6 13" xfId="14712"/>
    <cellStyle name="Normal 3 38 6 13 2" xfId="32210"/>
    <cellStyle name="Normal 3 38 6 14" xfId="14713"/>
    <cellStyle name="Normal 3 38 6 14 2" xfId="32211"/>
    <cellStyle name="Normal 3 38 6 15" xfId="32206"/>
    <cellStyle name="Normal 3 38 6 2" xfId="14714"/>
    <cellStyle name="Normal 3 38 6 2 2" xfId="32212"/>
    <cellStyle name="Normal 3 38 6 3" xfId="14715"/>
    <cellStyle name="Normal 3 38 6 3 2" xfId="32213"/>
    <cellStyle name="Normal 3 38 6 4" xfId="14716"/>
    <cellStyle name="Normal 3 38 6 4 2" xfId="32214"/>
    <cellStyle name="Normal 3 38 6 5" xfId="14717"/>
    <cellStyle name="Normal 3 38 6 5 2" xfId="32215"/>
    <cellStyle name="Normal 3 38 6 6" xfId="14718"/>
    <cellStyle name="Normal 3 38 6 6 2" xfId="32216"/>
    <cellStyle name="Normal 3 38 6 7" xfId="14719"/>
    <cellStyle name="Normal 3 38 6 7 2" xfId="32217"/>
    <cellStyle name="Normal 3 38 6 8" xfId="14720"/>
    <cellStyle name="Normal 3 38 6 8 2" xfId="32218"/>
    <cellStyle name="Normal 3 38 6 9" xfId="14721"/>
    <cellStyle name="Normal 3 38 6 9 2" xfId="32219"/>
    <cellStyle name="Normal 3 38 7" xfId="14722"/>
    <cellStyle name="Normal 3 38 7 10" xfId="14723"/>
    <cellStyle name="Normal 3 38 7 10 2" xfId="32221"/>
    <cellStyle name="Normal 3 38 7 11" xfId="14724"/>
    <cellStyle name="Normal 3 38 7 11 2" xfId="32222"/>
    <cellStyle name="Normal 3 38 7 12" xfId="14725"/>
    <cellStyle name="Normal 3 38 7 12 2" xfId="32223"/>
    <cellStyle name="Normal 3 38 7 13" xfId="14726"/>
    <cellStyle name="Normal 3 38 7 13 2" xfId="32224"/>
    <cellStyle name="Normal 3 38 7 14" xfId="14727"/>
    <cellStyle name="Normal 3 38 7 14 2" xfId="32225"/>
    <cellStyle name="Normal 3 38 7 15" xfId="32220"/>
    <cellStyle name="Normal 3 38 7 2" xfId="14728"/>
    <cellStyle name="Normal 3 38 7 2 2" xfId="32226"/>
    <cellStyle name="Normal 3 38 7 3" xfId="14729"/>
    <cellStyle name="Normal 3 38 7 3 2" xfId="32227"/>
    <cellStyle name="Normal 3 38 7 4" xfId="14730"/>
    <cellStyle name="Normal 3 38 7 4 2" xfId="32228"/>
    <cellStyle name="Normal 3 38 7 5" xfId="14731"/>
    <cellStyle name="Normal 3 38 7 5 2" xfId="32229"/>
    <cellStyle name="Normal 3 38 7 6" xfId="14732"/>
    <cellStyle name="Normal 3 38 7 6 2" xfId="32230"/>
    <cellStyle name="Normal 3 38 7 7" xfId="14733"/>
    <cellStyle name="Normal 3 38 7 7 2" xfId="32231"/>
    <cellStyle name="Normal 3 38 7 8" xfId="14734"/>
    <cellStyle name="Normal 3 38 7 8 2" xfId="32232"/>
    <cellStyle name="Normal 3 38 7 9" xfId="14735"/>
    <cellStyle name="Normal 3 38 7 9 2" xfId="32233"/>
    <cellStyle name="Normal 3 38 8" xfId="14736"/>
    <cellStyle name="Normal 3 38 8 10" xfId="14737"/>
    <cellStyle name="Normal 3 38 8 10 2" xfId="32235"/>
    <cellStyle name="Normal 3 38 8 11" xfId="14738"/>
    <cellStyle name="Normal 3 38 8 11 2" xfId="32236"/>
    <cellStyle name="Normal 3 38 8 12" xfId="14739"/>
    <cellStyle name="Normal 3 38 8 12 2" xfId="32237"/>
    <cellStyle name="Normal 3 38 8 13" xfId="14740"/>
    <cellStyle name="Normal 3 38 8 13 2" xfId="32238"/>
    <cellStyle name="Normal 3 38 8 14" xfId="14741"/>
    <cellStyle name="Normal 3 38 8 14 2" xfId="32239"/>
    <cellStyle name="Normal 3 38 8 15" xfId="32234"/>
    <cellStyle name="Normal 3 38 8 2" xfId="14742"/>
    <cellStyle name="Normal 3 38 8 2 2" xfId="32240"/>
    <cellStyle name="Normal 3 38 8 3" xfId="14743"/>
    <cellStyle name="Normal 3 38 8 3 2" xfId="32241"/>
    <cellStyle name="Normal 3 38 8 4" xfId="14744"/>
    <cellStyle name="Normal 3 38 8 4 2" xfId="32242"/>
    <cellStyle name="Normal 3 38 8 5" xfId="14745"/>
    <cellStyle name="Normal 3 38 8 5 2" xfId="32243"/>
    <cellStyle name="Normal 3 38 8 6" xfId="14746"/>
    <cellStyle name="Normal 3 38 8 6 2" xfId="32244"/>
    <cellStyle name="Normal 3 38 8 7" xfId="14747"/>
    <cellStyle name="Normal 3 38 8 7 2" xfId="32245"/>
    <cellStyle name="Normal 3 38 8 8" xfId="14748"/>
    <cellStyle name="Normal 3 38 8 8 2" xfId="32246"/>
    <cellStyle name="Normal 3 38 8 9" xfId="14749"/>
    <cellStyle name="Normal 3 38 8 9 2" xfId="32247"/>
    <cellStyle name="Normal 3 38 9" xfId="14750"/>
    <cellStyle name="Normal 3 38 9 10" xfId="14751"/>
    <cellStyle name="Normal 3 38 9 10 2" xfId="32249"/>
    <cellStyle name="Normal 3 38 9 11" xfId="14752"/>
    <cellStyle name="Normal 3 38 9 11 2" xfId="32250"/>
    <cellStyle name="Normal 3 38 9 12" xfId="14753"/>
    <cellStyle name="Normal 3 38 9 12 2" xfId="32251"/>
    <cellStyle name="Normal 3 38 9 13" xfId="14754"/>
    <cellStyle name="Normal 3 38 9 13 2" xfId="32252"/>
    <cellStyle name="Normal 3 38 9 14" xfId="14755"/>
    <cellStyle name="Normal 3 38 9 14 2" xfId="32253"/>
    <cellStyle name="Normal 3 38 9 15" xfId="32248"/>
    <cellStyle name="Normal 3 38 9 2" xfId="14756"/>
    <cellStyle name="Normal 3 38 9 2 2" xfId="32254"/>
    <cellStyle name="Normal 3 38 9 3" xfId="14757"/>
    <cellStyle name="Normal 3 38 9 3 2" xfId="32255"/>
    <cellStyle name="Normal 3 38 9 4" xfId="14758"/>
    <cellStyle name="Normal 3 38 9 4 2" xfId="32256"/>
    <cellStyle name="Normal 3 38 9 5" xfId="14759"/>
    <cellStyle name="Normal 3 38 9 5 2" xfId="32257"/>
    <cellStyle name="Normal 3 38 9 6" xfId="14760"/>
    <cellStyle name="Normal 3 38 9 6 2" xfId="32258"/>
    <cellStyle name="Normal 3 38 9 7" xfId="14761"/>
    <cellStyle name="Normal 3 38 9 7 2" xfId="32259"/>
    <cellStyle name="Normal 3 38 9 8" xfId="14762"/>
    <cellStyle name="Normal 3 38 9 8 2" xfId="32260"/>
    <cellStyle name="Normal 3 38 9 9" xfId="14763"/>
    <cellStyle name="Normal 3 38 9 9 2" xfId="32261"/>
    <cellStyle name="Normal 3 39" xfId="14764"/>
    <cellStyle name="Normal 3 4" xfId="324"/>
    <cellStyle name="Normal 3 4 10" xfId="14765"/>
    <cellStyle name="Normal 3 4 10 10" xfId="14766"/>
    <cellStyle name="Normal 3 4 10 10 10" xfId="14767"/>
    <cellStyle name="Normal 3 4 10 10 10 2" xfId="32264"/>
    <cellStyle name="Normal 3 4 10 10 11" xfId="14768"/>
    <cellStyle name="Normal 3 4 10 10 11 2" xfId="32265"/>
    <cellStyle name="Normal 3 4 10 10 12" xfId="14769"/>
    <cellStyle name="Normal 3 4 10 10 12 2" xfId="32266"/>
    <cellStyle name="Normal 3 4 10 10 13" xfId="14770"/>
    <cellStyle name="Normal 3 4 10 10 13 2" xfId="32267"/>
    <cellStyle name="Normal 3 4 10 10 14" xfId="14771"/>
    <cellStyle name="Normal 3 4 10 10 14 2" xfId="32268"/>
    <cellStyle name="Normal 3 4 10 10 15" xfId="32263"/>
    <cellStyle name="Normal 3 4 10 10 2" xfId="14772"/>
    <cellStyle name="Normal 3 4 10 10 2 2" xfId="32269"/>
    <cellStyle name="Normal 3 4 10 10 3" xfId="14773"/>
    <cellStyle name="Normal 3 4 10 10 3 2" xfId="32270"/>
    <cellStyle name="Normal 3 4 10 10 4" xfId="14774"/>
    <cellStyle name="Normal 3 4 10 10 4 2" xfId="32271"/>
    <cellStyle name="Normal 3 4 10 10 5" xfId="14775"/>
    <cellStyle name="Normal 3 4 10 10 5 2" xfId="32272"/>
    <cellStyle name="Normal 3 4 10 10 6" xfId="14776"/>
    <cellStyle name="Normal 3 4 10 10 6 2" xfId="32273"/>
    <cellStyle name="Normal 3 4 10 10 7" xfId="14777"/>
    <cellStyle name="Normal 3 4 10 10 7 2" xfId="32274"/>
    <cellStyle name="Normal 3 4 10 10 8" xfId="14778"/>
    <cellStyle name="Normal 3 4 10 10 8 2" xfId="32275"/>
    <cellStyle name="Normal 3 4 10 10 9" xfId="14779"/>
    <cellStyle name="Normal 3 4 10 10 9 2" xfId="32276"/>
    <cellStyle name="Normal 3 4 10 11" xfId="14780"/>
    <cellStyle name="Normal 3 4 10 11 2" xfId="32277"/>
    <cellStyle name="Normal 3 4 10 12" xfId="14781"/>
    <cellStyle name="Normal 3 4 10 12 2" xfId="32278"/>
    <cellStyle name="Normal 3 4 10 13" xfId="14782"/>
    <cellStyle name="Normal 3 4 10 13 2" xfId="32279"/>
    <cellStyle name="Normal 3 4 10 14" xfId="14783"/>
    <cellStyle name="Normal 3 4 10 14 2" xfId="32280"/>
    <cellStyle name="Normal 3 4 10 15" xfId="14784"/>
    <cellStyle name="Normal 3 4 10 15 2" xfId="32281"/>
    <cellStyle name="Normal 3 4 10 16" xfId="14785"/>
    <cellStyle name="Normal 3 4 10 16 2" xfId="32282"/>
    <cellStyle name="Normal 3 4 10 17" xfId="14786"/>
    <cellStyle name="Normal 3 4 10 17 2" xfId="32283"/>
    <cellStyle name="Normal 3 4 10 18" xfId="14787"/>
    <cellStyle name="Normal 3 4 10 18 2" xfId="32284"/>
    <cellStyle name="Normal 3 4 10 19" xfId="14788"/>
    <cellStyle name="Normal 3 4 10 19 2" xfId="32285"/>
    <cellStyle name="Normal 3 4 10 2" xfId="14789"/>
    <cellStyle name="Normal 3 4 10 2 10" xfId="14790"/>
    <cellStyle name="Normal 3 4 10 2 10 2" xfId="32287"/>
    <cellStyle name="Normal 3 4 10 2 11" xfId="14791"/>
    <cellStyle name="Normal 3 4 10 2 11 2" xfId="32288"/>
    <cellStyle name="Normal 3 4 10 2 12" xfId="14792"/>
    <cellStyle name="Normal 3 4 10 2 12 2" xfId="32289"/>
    <cellStyle name="Normal 3 4 10 2 13" xfId="14793"/>
    <cellStyle name="Normal 3 4 10 2 13 2" xfId="32290"/>
    <cellStyle name="Normal 3 4 10 2 14" xfId="14794"/>
    <cellStyle name="Normal 3 4 10 2 14 2" xfId="32291"/>
    <cellStyle name="Normal 3 4 10 2 15" xfId="14795"/>
    <cellStyle name="Normal 3 4 10 2 15 2" xfId="32292"/>
    <cellStyle name="Normal 3 4 10 2 16" xfId="32286"/>
    <cellStyle name="Normal 3 4 10 2 2" xfId="14796"/>
    <cellStyle name="Normal 3 4 10 2 2 10" xfId="14797"/>
    <cellStyle name="Normal 3 4 10 2 2 10 2" xfId="32294"/>
    <cellStyle name="Normal 3 4 10 2 2 11" xfId="14798"/>
    <cellStyle name="Normal 3 4 10 2 2 11 2" xfId="32295"/>
    <cellStyle name="Normal 3 4 10 2 2 12" xfId="14799"/>
    <cellStyle name="Normal 3 4 10 2 2 12 2" xfId="32296"/>
    <cellStyle name="Normal 3 4 10 2 2 13" xfId="14800"/>
    <cellStyle name="Normal 3 4 10 2 2 13 2" xfId="32297"/>
    <cellStyle name="Normal 3 4 10 2 2 14" xfId="14801"/>
    <cellStyle name="Normal 3 4 10 2 2 14 2" xfId="32298"/>
    <cellStyle name="Normal 3 4 10 2 2 15" xfId="32293"/>
    <cellStyle name="Normal 3 4 10 2 2 2" xfId="14802"/>
    <cellStyle name="Normal 3 4 10 2 2 2 2" xfId="32299"/>
    <cellStyle name="Normal 3 4 10 2 2 3" xfId="14803"/>
    <cellStyle name="Normal 3 4 10 2 2 3 2" xfId="32300"/>
    <cellStyle name="Normal 3 4 10 2 2 4" xfId="14804"/>
    <cellStyle name="Normal 3 4 10 2 2 4 2" xfId="32301"/>
    <cellStyle name="Normal 3 4 10 2 2 5" xfId="14805"/>
    <cellStyle name="Normal 3 4 10 2 2 5 2" xfId="32302"/>
    <cellStyle name="Normal 3 4 10 2 2 6" xfId="14806"/>
    <cellStyle name="Normal 3 4 10 2 2 6 2" xfId="32303"/>
    <cellStyle name="Normal 3 4 10 2 2 7" xfId="14807"/>
    <cellStyle name="Normal 3 4 10 2 2 7 2" xfId="32304"/>
    <cellStyle name="Normal 3 4 10 2 2 8" xfId="14808"/>
    <cellStyle name="Normal 3 4 10 2 2 8 2" xfId="32305"/>
    <cellStyle name="Normal 3 4 10 2 2 9" xfId="14809"/>
    <cellStyle name="Normal 3 4 10 2 2 9 2" xfId="32306"/>
    <cellStyle name="Normal 3 4 10 2 3" xfId="14810"/>
    <cellStyle name="Normal 3 4 10 2 3 2" xfId="32307"/>
    <cellStyle name="Normal 3 4 10 2 4" xfId="14811"/>
    <cellStyle name="Normal 3 4 10 2 4 2" xfId="32308"/>
    <cellStyle name="Normal 3 4 10 2 5" xfId="14812"/>
    <cellStyle name="Normal 3 4 10 2 5 2" xfId="32309"/>
    <cellStyle name="Normal 3 4 10 2 6" xfId="14813"/>
    <cellStyle name="Normal 3 4 10 2 6 2" xfId="32310"/>
    <cellStyle name="Normal 3 4 10 2 7" xfId="14814"/>
    <cellStyle name="Normal 3 4 10 2 7 2" xfId="32311"/>
    <cellStyle name="Normal 3 4 10 2 8" xfId="14815"/>
    <cellStyle name="Normal 3 4 10 2 8 2" xfId="32312"/>
    <cellStyle name="Normal 3 4 10 2 9" xfId="14816"/>
    <cellStyle name="Normal 3 4 10 2 9 2" xfId="32313"/>
    <cellStyle name="Normal 3 4 10 20" xfId="14817"/>
    <cellStyle name="Normal 3 4 10 20 2" xfId="32314"/>
    <cellStyle name="Normal 3 4 10 21" xfId="14818"/>
    <cellStyle name="Normal 3 4 10 21 2" xfId="32315"/>
    <cellStyle name="Normal 3 4 10 22" xfId="14819"/>
    <cellStyle name="Normal 3 4 10 22 2" xfId="32316"/>
    <cellStyle name="Normal 3 4 10 23" xfId="14820"/>
    <cellStyle name="Normal 3 4 10 23 2" xfId="32317"/>
    <cellStyle name="Normal 3 4 10 24" xfId="32262"/>
    <cellStyle name="Normal 3 4 10 3" xfId="14821"/>
    <cellStyle name="Normal 3 4 10 3 10" xfId="14822"/>
    <cellStyle name="Normal 3 4 10 3 10 2" xfId="32319"/>
    <cellStyle name="Normal 3 4 10 3 11" xfId="14823"/>
    <cellStyle name="Normal 3 4 10 3 11 2" xfId="32320"/>
    <cellStyle name="Normal 3 4 10 3 12" xfId="14824"/>
    <cellStyle name="Normal 3 4 10 3 12 2" xfId="32321"/>
    <cellStyle name="Normal 3 4 10 3 13" xfId="14825"/>
    <cellStyle name="Normal 3 4 10 3 13 2" xfId="32322"/>
    <cellStyle name="Normal 3 4 10 3 14" xfId="14826"/>
    <cellStyle name="Normal 3 4 10 3 14 2" xfId="32323"/>
    <cellStyle name="Normal 3 4 10 3 15" xfId="14827"/>
    <cellStyle name="Normal 3 4 10 3 15 2" xfId="32324"/>
    <cellStyle name="Normal 3 4 10 3 16" xfId="32318"/>
    <cellStyle name="Normal 3 4 10 3 2" xfId="14828"/>
    <cellStyle name="Normal 3 4 10 3 2 10" xfId="14829"/>
    <cellStyle name="Normal 3 4 10 3 2 10 2" xfId="32326"/>
    <cellStyle name="Normal 3 4 10 3 2 11" xfId="14830"/>
    <cellStyle name="Normal 3 4 10 3 2 11 2" xfId="32327"/>
    <cellStyle name="Normal 3 4 10 3 2 12" xfId="14831"/>
    <cellStyle name="Normal 3 4 10 3 2 12 2" xfId="32328"/>
    <cellStyle name="Normal 3 4 10 3 2 13" xfId="14832"/>
    <cellStyle name="Normal 3 4 10 3 2 13 2" xfId="32329"/>
    <cellStyle name="Normal 3 4 10 3 2 14" xfId="14833"/>
    <cellStyle name="Normal 3 4 10 3 2 14 2" xfId="32330"/>
    <cellStyle name="Normal 3 4 10 3 2 15" xfId="32325"/>
    <cellStyle name="Normal 3 4 10 3 2 2" xfId="14834"/>
    <cellStyle name="Normal 3 4 10 3 2 2 2" xfId="32331"/>
    <cellStyle name="Normal 3 4 10 3 2 3" xfId="14835"/>
    <cellStyle name="Normal 3 4 10 3 2 3 2" xfId="32332"/>
    <cellStyle name="Normal 3 4 10 3 2 4" xfId="14836"/>
    <cellStyle name="Normal 3 4 10 3 2 4 2" xfId="32333"/>
    <cellStyle name="Normal 3 4 10 3 2 5" xfId="14837"/>
    <cellStyle name="Normal 3 4 10 3 2 5 2" xfId="32334"/>
    <cellStyle name="Normal 3 4 10 3 2 6" xfId="14838"/>
    <cellStyle name="Normal 3 4 10 3 2 6 2" xfId="32335"/>
    <cellStyle name="Normal 3 4 10 3 2 7" xfId="14839"/>
    <cellStyle name="Normal 3 4 10 3 2 7 2" xfId="32336"/>
    <cellStyle name="Normal 3 4 10 3 2 8" xfId="14840"/>
    <cellStyle name="Normal 3 4 10 3 2 8 2" xfId="32337"/>
    <cellStyle name="Normal 3 4 10 3 2 9" xfId="14841"/>
    <cellStyle name="Normal 3 4 10 3 2 9 2" xfId="32338"/>
    <cellStyle name="Normal 3 4 10 3 3" xfId="14842"/>
    <cellStyle name="Normal 3 4 10 3 3 2" xfId="32339"/>
    <cellStyle name="Normal 3 4 10 3 4" xfId="14843"/>
    <cellStyle name="Normal 3 4 10 3 4 2" xfId="32340"/>
    <cellStyle name="Normal 3 4 10 3 5" xfId="14844"/>
    <cellStyle name="Normal 3 4 10 3 5 2" xfId="32341"/>
    <cellStyle name="Normal 3 4 10 3 6" xfId="14845"/>
    <cellStyle name="Normal 3 4 10 3 6 2" xfId="32342"/>
    <cellStyle name="Normal 3 4 10 3 7" xfId="14846"/>
    <cellStyle name="Normal 3 4 10 3 7 2" xfId="32343"/>
    <cellStyle name="Normal 3 4 10 3 8" xfId="14847"/>
    <cellStyle name="Normal 3 4 10 3 8 2" xfId="32344"/>
    <cellStyle name="Normal 3 4 10 3 9" xfId="14848"/>
    <cellStyle name="Normal 3 4 10 3 9 2" xfId="32345"/>
    <cellStyle name="Normal 3 4 10 4" xfId="14849"/>
    <cellStyle name="Normal 3 4 10 4 10" xfId="14850"/>
    <cellStyle name="Normal 3 4 10 4 10 2" xfId="32347"/>
    <cellStyle name="Normal 3 4 10 4 11" xfId="14851"/>
    <cellStyle name="Normal 3 4 10 4 11 2" xfId="32348"/>
    <cellStyle name="Normal 3 4 10 4 12" xfId="14852"/>
    <cellStyle name="Normal 3 4 10 4 12 2" xfId="32349"/>
    <cellStyle name="Normal 3 4 10 4 13" xfId="14853"/>
    <cellStyle name="Normal 3 4 10 4 13 2" xfId="32350"/>
    <cellStyle name="Normal 3 4 10 4 14" xfId="14854"/>
    <cellStyle name="Normal 3 4 10 4 14 2" xfId="32351"/>
    <cellStyle name="Normal 3 4 10 4 15" xfId="14855"/>
    <cellStyle name="Normal 3 4 10 4 15 2" xfId="32352"/>
    <cellStyle name="Normal 3 4 10 4 16" xfId="32346"/>
    <cellStyle name="Normal 3 4 10 4 2" xfId="14856"/>
    <cellStyle name="Normal 3 4 10 4 2 10" xfId="14857"/>
    <cellStyle name="Normal 3 4 10 4 2 10 2" xfId="32354"/>
    <cellStyle name="Normal 3 4 10 4 2 11" xfId="14858"/>
    <cellStyle name="Normal 3 4 10 4 2 11 2" xfId="32355"/>
    <cellStyle name="Normal 3 4 10 4 2 12" xfId="14859"/>
    <cellStyle name="Normal 3 4 10 4 2 12 2" xfId="32356"/>
    <cellStyle name="Normal 3 4 10 4 2 13" xfId="14860"/>
    <cellStyle name="Normal 3 4 10 4 2 13 2" xfId="32357"/>
    <cellStyle name="Normal 3 4 10 4 2 14" xfId="14861"/>
    <cellStyle name="Normal 3 4 10 4 2 14 2" xfId="32358"/>
    <cellStyle name="Normal 3 4 10 4 2 15" xfId="32353"/>
    <cellStyle name="Normal 3 4 10 4 2 2" xfId="14862"/>
    <cellStyle name="Normal 3 4 10 4 2 2 2" xfId="32359"/>
    <cellStyle name="Normal 3 4 10 4 2 3" xfId="14863"/>
    <cellStyle name="Normal 3 4 10 4 2 3 2" xfId="32360"/>
    <cellStyle name="Normal 3 4 10 4 2 4" xfId="14864"/>
    <cellStyle name="Normal 3 4 10 4 2 4 2" xfId="32361"/>
    <cellStyle name="Normal 3 4 10 4 2 5" xfId="14865"/>
    <cellStyle name="Normal 3 4 10 4 2 5 2" xfId="32362"/>
    <cellStyle name="Normal 3 4 10 4 2 6" xfId="14866"/>
    <cellStyle name="Normal 3 4 10 4 2 6 2" xfId="32363"/>
    <cellStyle name="Normal 3 4 10 4 2 7" xfId="14867"/>
    <cellStyle name="Normal 3 4 10 4 2 7 2" xfId="32364"/>
    <cellStyle name="Normal 3 4 10 4 2 8" xfId="14868"/>
    <cellStyle name="Normal 3 4 10 4 2 8 2" xfId="32365"/>
    <cellStyle name="Normal 3 4 10 4 2 9" xfId="14869"/>
    <cellStyle name="Normal 3 4 10 4 2 9 2" xfId="32366"/>
    <cellStyle name="Normal 3 4 10 4 3" xfId="14870"/>
    <cellStyle name="Normal 3 4 10 4 3 2" xfId="32367"/>
    <cellStyle name="Normal 3 4 10 4 4" xfId="14871"/>
    <cellStyle name="Normal 3 4 10 4 4 2" xfId="32368"/>
    <cellStyle name="Normal 3 4 10 4 5" xfId="14872"/>
    <cellStyle name="Normal 3 4 10 4 5 2" xfId="32369"/>
    <cellStyle name="Normal 3 4 10 4 6" xfId="14873"/>
    <cellStyle name="Normal 3 4 10 4 6 2" xfId="32370"/>
    <cellStyle name="Normal 3 4 10 4 7" xfId="14874"/>
    <cellStyle name="Normal 3 4 10 4 7 2" xfId="32371"/>
    <cellStyle name="Normal 3 4 10 4 8" xfId="14875"/>
    <cellStyle name="Normal 3 4 10 4 8 2" xfId="32372"/>
    <cellStyle name="Normal 3 4 10 4 9" xfId="14876"/>
    <cellStyle name="Normal 3 4 10 4 9 2" xfId="32373"/>
    <cellStyle name="Normal 3 4 10 5" xfId="14877"/>
    <cellStyle name="Normal 3 4 10 5 10" xfId="14878"/>
    <cellStyle name="Normal 3 4 10 5 10 2" xfId="32375"/>
    <cellStyle name="Normal 3 4 10 5 11" xfId="14879"/>
    <cellStyle name="Normal 3 4 10 5 11 2" xfId="32376"/>
    <cellStyle name="Normal 3 4 10 5 12" xfId="14880"/>
    <cellStyle name="Normal 3 4 10 5 12 2" xfId="32377"/>
    <cellStyle name="Normal 3 4 10 5 13" xfId="14881"/>
    <cellStyle name="Normal 3 4 10 5 13 2" xfId="32378"/>
    <cellStyle name="Normal 3 4 10 5 14" xfId="14882"/>
    <cellStyle name="Normal 3 4 10 5 14 2" xfId="32379"/>
    <cellStyle name="Normal 3 4 10 5 15" xfId="32374"/>
    <cellStyle name="Normal 3 4 10 5 2" xfId="14883"/>
    <cellStyle name="Normal 3 4 10 5 2 2" xfId="32380"/>
    <cellStyle name="Normal 3 4 10 5 3" xfId="14884"/>
    <cellStyle name="Normal 3 4 10 5 3 2" xfId="32381"/>
    <cellStyle name="Normal 3 4 10 5 4" xfId="14885"/>
    <cellStyle name="Normal 3 4 10 5 4 2" xfId="32382"/>
    <cellStyle name="Normal 3 4 10 5 5" xfId="14886"/>
    <cellStyle name="Normal 3 4 10 5 5 2" xfId="32383"/>
    <cellStyle name="Normal 3 4 10 5 6" xfId="14887"/>
    <cellStyle name="Normal 3 4 10 5 6 2" xfId="32384"/>
    <cellStyle name="Normal 3 4 10 5 7" xfId="14888"/>
    <cellStyle name="Normal 3 4 10 5 7 2" xfId="32385"/>
    <cellStyle name="Normal 3 4 10 5 8" xfId="14889"/>
    <cellStyle name="Normal 3 4 10 5 8 2" xfId="32386"/>
    <cellStyle name="Normal 3 4 10 5 9" xfId="14890"/>
    <cellStyle name="Normal 3 4 10 5 9 2" xfId="32387"/>
    <cellStyle name="Normal 3 4 10 6" xfId="14891"/>
    <cellStyle name="Normal 3 4 10 6 10" xfId="14892"/>
    <cellStyle name="Normal 3 4 10 6 10 2" xfId="32389"/>
    <cellStyle name="Normal 3 4 10 6 11" xfId="14893"/>
    <cellStyle name="Normal 3 4 10 6 11 2" xfId="32390"/>
    <cellStyle name="Normal 3 4 10 6 12" xfId="14894"/>
    <cellStyle name="Normal 3 4 10 6 12 2" xfId="32391"/>
    <cellStyle name="Normal 3 4 10 6 13" xfId="14895"/>
    <cellStyle name="Normal 3 4 10 6 13 2" xfId="32392"/>
    <cellStyle name="Normal 3 4 10 6 14" xfId="14896"/>
    <cellStyle name="Normal 3 4 10 6 14 2" xfId="32393"/>
    <cellStyle name="Normal 3 4 10 6 15" xfId="32388"/>
    <cellStyle name="Normal 3 4 10 6 2" xfId="14897"/>
    <cellStyle name="Normal 3 4 10 6 2 2" xfId="32394"/>
    <cellStyle name="Normal 3 4 10 6 3" xfId="14898"/>
    <cellStyle name="Normal 3 4 10 6 3 2" xfId="32395"/>
    <cellStyle name="Normal 3 4 10 6 4" xfId="14899"/>
    <cellStyle name="Normal 3 4 10 6 4 2" xfId="32396"/>
    <cellStyle name="Normal 3 4 10 6 5" xfId="14900"/>
    <cellStyle name="Normal 3 4 10 6 5 2" xfId="32397"/>
    <cellStyle name="Normal 3 4 10 6 6" xfId="14901"/>
    <cellStyle name="Normal 3 4 10 6 6 2" xfId="32398"/>
    <cellStyle name="Normal 3 4 10 6 7" xfId="14902"/>
    <cellStyle name="Normal 3 4 10 6 7 2" xfId="32399"/>
    <cellStyle name="Normal 3 4 10 6 8" xfId="14903"/>
    <cellStyle name="Normal 3 4 10 6 8 2" xfId="32400"/>
    <cellStyle name="Normal 3 4 10 6 9" xfId="14904"/>
    <cellStyle name="Normal 3 4 10 6 9 2" xfId="32401"/>
    <cellStyle name="Normal 3 4 10 7" xfId="14905"/>
    <cellStyle name="Normal 3 4 10 7 10" xfId="14906"/>
    <cellStyle name="Normal 3 4 10 7 10 2" xfId="32403"/>
    <cellStyle name="Normal 3 4 10 7 11" xfId="14907"/>
    <cellStyle name="Normal 3 4 10 7 11 2" xfId="32404"/>
    <cellStyle name="Normal 3 4 10 7 12" xfId="14908"/>
    <cellStyle name="Normal 3 4 10 7 12 2" xfId="32405"/>
    <cellStyle name="Normal 3 4 10 7 13" xfId="14909"/>
    <cellStyle name="Normal 3 4 10 7 13 2" xfId="32406"/>
    <cellStyle name="Normal 3 4 10 7 14" xfId="14910"/>
    <cellStyle name="Normal 3 4 10 7 14 2" xfId="32407"/>
    <cellStyle name="Normal 3 4 10 7 15" xfId="32402"/>
    <cellStyle name="Normal 3 4 10 7 2" xfId="14911"/>
    <cellStyle name="Normal 3 4 10 7 2 2" xfId="32408"/>
    <cellStyle name="Normal 3 4 10 7 3" xfId="14912"/>
    <cellStyle name="Normal 3 4 10 7 3 2" xfId="32409"/>
    <cellStyle name="Normal 3 4 10 7 4" xfId="14913"/>
    <cellStyle name="Normal 3 4 10 7 4 2" xfId="32410"/>
    <cellStyle name="Normal 3 4 10 7 5" xfId="14914"/>
    <cellStyle name="Normal 3 4 10 7 5 2" xfId="32411"/>
    <cellStyle name="Normal 3 4 10 7 6" xfId="14915"/>
    <cellStyle name="Normal 3 4 10 7 6 2" xfId="32412"/>
    <cellStyle name="Normal 3 4 10 7 7" xfId="14916"/>
    <cellStyle name="Normal 3 4 10 7 7 2" xfId="32413"/>
    <cellStyle name="Normal 3 4 10 7 8" xfId="14917"/>
    <cellStyle name="Normal 3 4 10 7 8 2" xfId="32414"/>
    <cellStyle name="Normal 3 4 10 7 9" xfId="14918"/>
    <cellStyle name="Normal 3 4 10 7 9 2" xfId="32415"/>
    <cellStyle name="Normal 3 4 10 8" xfId="14919"/>
    <cellStyle name="Normal 3 4 10 8 10" xfId="14920"/>
    <cellStyle name="Normal 3 4 10 8 10 2" xfId="32417"/>
    <cellStyle name="Normal 3 4 10 8 11" xfId="14921"/>
    <cellStyle name="Normal 3 4 10 8 11 2" xfId="32418"/>
    <cellStyle name="Normal 3 4 10 8 12" xfId="14922"/>
    <cellStyle name="Normal 3 4 10 8 12 2" xfId="32419"/>
    <cellStyle name="Normal 3 4 10 8 13" xfId="14923"/>
    <cellStyle name="Normal 3 4 10 8 13 2" xfId="32420"/>
    <cellStyle name="Normal 3 4 10 8 14" xfId="14924"/>
    <cellStyle name="Normal 3 4 10 8 14 2" xfId="32421"/>
    <cellStyle name="Normal 3 4 10 8 15" xfId="32416"/>
    <cellStyle name="Normal 3 4 10 8 2" xfId="14925"/>
    <cellStyle name="Normal 3 4 10 8 2 2" xfId="32422"/>
    <cellStyle name="Normal 3 4 10 8 3" xfId="14926"/>
    <cellStyle name="Normal 3 4 10 8 3 2" xfId="32423"/>
    <cellStyle name="Normal 3 4 10 8 4" xfId="14927"/>
    <cellStyle name="Normal 3 4 10 8 4 2" xfId="32424"/>
    <cellStyle name="Normal 3 4 10 8 5" xfId="14928"/>
    <cellStyle name="Normal 3 4 10 8 5 2" xfId="32425"/>
    <cellStyle name="Normal 3 4 10 8 6" xfId="14929"/>
    <cellStyle name="Normal 3 4 10 8 6 2" xfId="32426"/>
    <cellStyle name="Normal 3 4 10 8 7" xfId="14930"/>
    <cellStyle name="Normal 3 4 10 8 7 2" xfId="32427"/>
    <cellStyle name="Normal 3 4 10 8 8" xfId="14931"/>
    <cellStyle name="Normal 3 4 10 8 8 2" xfId="32428"/>
    <cellStyle name="Normal 3 4 10 8 9" xfId="14932"/>
    <cellStyle name="Normal 3 4 10 8 9 2" xfId="32429"/>
    <cellStyle name="Normal 3 4 10 9" xfId="14933"/>
    <cellStyle name="Normal 3 4 10 9 10" xfId="14934"/>
    <cellStyle name="Normal 3 4 10 9 10 2" xfId="32431"/>
    <cellStyle name="Normal 3 4 10 9 11" xfId="14935"/>
    <cellStyle name="Normal 3 4 10 9 11 2" xfId="32432"/>
    <cellStyle name="Normal 3 4 10 9 12" xfId="14936"/>
    <cellStyle name="Normal 3 4 10 9 12 2" xfId="32433"/>
    <cellStyle name="Normal 3 4 10 9 13" xfId="14937"/>
    <cellStyle name="Normal 3 4 10 9 13 2" xfId="32434"/>
    <cellStyle name="Normal 3 4 10 9 14" xfId="14938"/>
    <cellStyle name="Normal 3 4 10 9 14 2" xfId="32435"/>
    <cellStyle name="Normal 3 4 10 9 15" xfId="32430"/>
    <cellStyle name="Normal 3 4 10 9 2" xfId="14939"/>
    <cellStyle name="Normal 3 4 10 9 2 2" xfId="32436"/>
    <cellStyle name="Normal 3 4 10 9 3" xfId="14940"/>
    <cellStyle name="Normal 3 4 10 9 3 2" xfId="32437"/>
    <cellStyle name="Normal 3 4 10 9 4" xfId="14941"/>
    <cellStyle name="Normal 3 4 10 9 4 2" xfId="32438"/>
    <cellStyle name="Normal 3 4 10 9 5" xfId="14942"/>
    <cellStyle name="Normal 3 4 10 9 5 2" xfId="32439"/>
    <cellStyle name="Normal 3 4 10 9 6" xfId="14943"/>
    <cellStyle name="Normal 3 4 10 9 6 2" xfId="32440"/>
    <cellStyle name="Normal 3 4 10 9 7" xfId="14944"/>
    <cellStyle name="Normal 3 4 10 9 7 2" xfId="32441"/>
    <cellStyle name="Normal 3 4 10 9 8" xfId="14945"/>
    <cellStyle name="Normal 3 4 10 9 8 2" xfId="32442"/>
    <cellStyle name="Normal 3 4 10 9 9" xfId="14946"/>
    <cellStyle name="Normal 3 4 10 9 9 2" xfId="32443"/>
    <cellStyle name="Normal 3 4 11" xfId="14947"/>
    <cellStyle name="Normal 3 4 11 10" xfId="14948"/>
    <cellStyle name="Normal 3 4 11 10 10" xfId="14949"/>
    <cellStyle name="Normal 3 4 11 10 10 2" xfId="32446"/>
    <cellStyle name="Normal 3 4 11 10 11" xfId="14950"/>
    <cellStyle name="Normal 3 4 11 10 11 2" xfId="32447"/>
    <cellStyle name="Normal 3 4 11 10 12" xfId="14951"/>
    <cellStyle name="Normal 3 4 11 10 12 2" xfId="32448"/>
    <cellStyle name="Normal 3 4 11 10 13" xfId="14952"/>
    <cellStyle name="Normal 3 4 11 10 13 2" xfId="32449"/>
    <cellStyle name="Normal 3 4 11 10 14" xfId="14953"/>
    <cellStyle name="Normal 3 4 11 10 14 2" xfId="32450"/>
    <cellStyle name="Normal 3 4 11 10 15" xfId="32445"/>
    <cellStyle name="Normal 3 4 11 10 2" xfId="14954"/>
    <cellStyle name="Normal 3 4 11 10 2 2" xfId="32451"/>
    <cellStyle name="Normal 3 4 11 10 3" xfId="14955"/>
    <cellStyle name="Normal 3 4 11 10 3 2" xfId="32452"/>
    <cellStyle name="Normal 3 4 11 10 4" xfId="14956"/>
    <cellStyle name="Normal 3 4 11 10 4 2" xfId="32453"/>
    <cellStyle name="Normal 3 4 11 10 5" xfId="14957"/>
    <cellStyle name="Normal 3 4 11 10 5 2" xfId="32454"/>
    <cellStyle name="Normal 3 4 11 10 6" xfId="14958"/>
    <cellStyle name="Normal 3 4 11 10 6 2" xfId="32455"/>
    <cellStyle name="Normal 3 4 11 10 7" xfId="14959"/>
    <cellStyle name="Normal 3 4 11 10 7 2" xfId="32456"/>
    <cellStyle name="Normal 3 4 11 10 8" xfId="14960"/>
    <cellStyle name="Normal 3 4 11 10 8 2" xfId="32457"/>
    <cellStyle name="Normal 3 4 11 10 9" xfId="14961"/>
    <cellStyle name="Normal 3 4 11 10 9 2" xfId="32458"/>
    <cellStyle name="Normal 3 4 11 11" xfId="14962"/>
    <cellStyle name="Normal 3 4 11 11 2" xfId="32459"/>
    <cellStyle name="Normal 3 4 11 12" xfId="14963"/>
    <cellStyle name="Normal 3 4 11 12 2" xfId="32460"/>
    <cellStyle name="Normal 3 4 11 13" xfId="14964"/>
    <cellStyle name="Normal 3 4 11 13 2" xfId="32461"/>
    <cellStyle name="Normal 3 4 11 14" xfId="14965"/>
    <cellStyle name="Normal 3 4 11 14 2" xfId="32462"/>
    <cellStyle name="Normal 3 4 11 15" xfId="14966"/>
    <cellStyle name="Normal 3 4 11 15 2" xfId="32463"/>
    <cellStyle name="Normal 3 4 11 16" xfId="14967"/>
    <cellStyle name="Normal 3 4 11 16 2" xfId="32464"/>
    <cellStyle name="Normal 3 4 11 17" xfId="14968"/>
    <cellStyle name="Normal 3 4 11 17 2" xfId="32465"/>
    <cellStyle name="Normal 3 4 11 18" xfId="14969"/>
    <cellStyle name="Normal 3 4 11 18 2" xfId="32466"/>
    <cellStyle name="Normal 3 4 11 19" xfId="14970"/>
    <cellStyle name="Normal 3 4 11 19 2" xfId="32467"/>
    <cellStyle name="Normal 3 4 11 2" xfId="14971"/>
    <cellStyle name="Normal 3 4 11 2 10" xfId="14972"/>
    <cellStyle name="Normal 3 4 11 2 10 2" xfId="32469"/>
    <cellStyle name="Normal 3 4 11 2 11" xfId="14973"/>
    <cellStyle name="Normal 3 4 11 2 11 2" xfId="32470"/>
    <cellStyle name="Normal 3 4 11 2 12" xfId="14974"/>
    <cellStyle name="Normal 3 4 11 2 12 2" xfId="32471"/>
    <cellStyle name="Normal 3 4 11 2 13" xfId="14975"/>
    <cellStyle name="Normal 3 4 11 2 13 2" xfId="32472"/>
    <cellStyle name="Normal 3 4 11 2 14" xfId="14976"/>
    <cellStyle name="Normal 3 4 11 2 14 2" xfId="32473"/>
    <cellStyle name="Normal 3 4 11 2 15" xfId="14977"/>
    <cellStyle name="Normal 3 4 11 2 15 2" xfId="32474"/>
    <cellStyle name="Normal 3 4 11 2 16" xfId="32468"/>
    <cellStyle name="Normal 3 4 11 2 2" xfId="14978"/>
    <cellStyle name="Normal 3 4 11 2 2 10" xfId="14979"/>
    <cellStyle name="Normal 3 4 11 2 2 10 2" xfId="32476"/>
    <cellStyle name="Normal 3 4 11 2 2 11" xfId="14980"/>
    <cellStyle name="Normal 3 4 11 2 2 11 2" xfId="32477"/>
    <cellStyle name="Normal 3 4 11 2 2 12" xfId="14981"/>
    <cellStyle name="Normal 3 4 11 2 2 12 2" xfId="32478"/>
    <cellStyle name="Normal 3 4 11 2 2 13" xfId="14982"/>
    <cellStyle name="Normal 3 4 11 2 2 13 2" xfId="32479"/>
    <cellStyle name="Normal 3 4 11 2 2 14" xfId="14983"/>
    <cellStyle name="Normal 3 4 11 2 2 14 2" xfId="32480"/>
    <cellStyle name="Normal 3 4 11 2 2 15" xfId="32475"/>
    <cellStyle name="Normal 3 4 11 2 2 2" xfId="14984"/>
    <cellStyle name="Normal 3 4 11 2 2 2 2" xfId="32481"/>
    <cellStyle name="Normal 3 4 11 2 2 3" xfId="14985"/>
    <cellStyle name="Normal 3 4 11 2 2 3 2" xfId="32482"/>
    <cellStyle name="Normal 3 4 11 2 2 4" xfId="14986"/>
    <cellStyle name="Normal 3 4 11 2 2 4 2" xfId="32483"/>
    <cellStyle name="Normal 3 4 11 2 2 5" xfId="14987"/>
    <cellStyle name="Normal 3 4 11 2 2 5 2" xfId="32484"/>
    <cellStyle name="Normal 3 4 11 2 2 6" xfId="14988"/>
    <cellStyle name="Normal 3 4 11 2 2 6 2" xfId="32485"/>
    <cellStyle name="Normal 3 4 11 2 2 7" xfId="14989"/>
    <cellStyle name="Normal 3 4 11 2 2 7 2" xfId="32486"/>
    <cellStyle name="Normal 3 4 11 2 2 8" xfId="14990"/>
    <cellStyle name="Normal 3 4 11 2 2 8 2" xfId="32487"/>
    <cellStyle name="Normal 3 4 11 2 2 9" xfId="14991"/>
    <cellStyle name="Normal 3 4 11 2 2 9 2" xfId="32488"/>
    <cellStyle name="Normal 3 4 11 2 3" xfId="14992"/>
    <cellStyle name="Normal 3 4 11 2 3 2" xfId="32489"/>
    <cellStyle name="Normal 3 4 11 2 4" xfId="14993"/>
    <cellStyle name="Normal 3 4 11 2 4 2" xfId="32490"/>
    <cellStyle name="Normal 3 4 11 2 5" xfId="14994"/>
    <cellStyle name="Normal 3 4 11 2 5 2" xfId="32491"/>
    <cellStyle name="Normal 3 4 11 2 6" xfId="14995"/>
    <cellStyle name="Normal 3 4 11 2 6 2" xfId="32492"/>
    <cellStyle name="Normal 3 4 11 2 7" xfId="14996"/>
    <cellStyle name="Normal 3 4 11 2 7 2" xfId="32493"/>
    <cellStyle name="Normal 3 4 11 2 8" xfId="14997"/>
    <cellStyle name="Normal 3 4 11 2 8 2" xfId="32494"/>
    <cellStyle name="Normal 3 4 11 2 9" xfId="14998"/>
    <cellStyle name="Normal 3 4 11 2 9 2" xfId="32495"/>
    <cellStyle name="Normal 3 4 11 20" xfId="14999"/>
    <cellStyle name="Normal 3 4 11 20 2" xfId="32496"/>
    <cellStyle name="Normal 3 4 11 21" xfId="15000"/>
    <cellStyle name="Normal 3 4 11 21 2" xfId="32497"/>
    <cellStyle name="Normal 3 4 11 22" xfId="15001"/>
    <cellStyle name="Normal 3 4 11 22 2" xfId="32498"/>
    <cellStyle name="Normal 3 4 11 23" xfId="15002"/>
    <cellStyle name="Normal 3 4 11 23 2" xfId="32499"/>
    <cellStyle name="Normal 3 4 11 24" xfId="32444"/>
    <cellStyle name="Normal 3 4 11 3" xfId="15003"/>
    <cellStyle name="Normal 3 4 11 3 10" xfId="15004"/>
    <cellStyle name="Normal 3 4 11 3 10 2" xfId="32501"/>
    <cellStyle name="Normal 3 4 11 3 11" xfId="15005"/>
    <cellStyle name="Normal 3 4 11 3 11 2" xfId="32502"/>
    <cellStyle name="Normal 3 4 11 3 12" xfId="15006"/>
    <cellStyle name="Normal 3 4 11 3 12 2" xfId="32503"/>
    <cellStyle name="Normal 3 4 11 3 13" xfId="15007"/>
    <cellStyle name="Normal 3 4 11 3 13 2" xfId="32504"/>
    <cellStyle name="Normal 3 4 11 3 14" xfId="15008"/>
    <cellStyle name="Normal 3 4 11 3 14 2" xfId="32505"/>
    <cellStyle name="Normal 3 4 11 3 15" xfId="15009"/>
    <cellStyle name="Normal 3 4 11 3 15 2" xfId="32506"/>
    <cellStyle name="Normal 3 4 11 3 16" xfId="32500"/>
    <cellStyle name="Normal 3 4 11 3 2" xfId="15010"/>
    <cellStyle name="Normal 3 4 11 3 2 10" xfId="15011"/>
    <cellStyle name="Normal 3 4 11 3 2 10 2" xfId="32508"/>
    <cellStyle name="Normal 3 4 11 3 2 11" xfId="15012"/>
    <cellStyle name="Normal 3 4 11 3 2 11 2" xfId="32509"/>
    <cellStyle name="Normal 3 4 11 3 2 12" xfId="15013"/>
    <cellStyle name="Normal 3 4 11 3 2 12 2" xfId="32510"/>
    <cellStyle name="Normal 3 4 11 3 2 13" xfId="15014"/>
    <cellStyle name="Normal 3 4 11 3 2 13 2" xfId="32511"/>
    <cellStyle name="Normal 3 4 11 3 2 14" xfId="15015"/>
    <cellStyle name="Normal 3 4 11 3 2 14 2" xfId="32512"/>
    <cellStyle name="Normal 3 4 11 3 2 15" xfId="32507"/>
    <cellStyle name="Normal 3 4 11 3 2 2" xfId="15016"/>
    <cellStyle name="Normal 3 4 11 3 2 2 2" xfId="32513"/>
    <cellStyle name="Normal 3 4 11 3 2 3" xfId="15017"/>
    <cellStyle name="Normal 3 4 11 3 2 3 2" xfId="32514"/>
    <cellStyle name="Normal 3 4 11 3 2 4" xfId="15018"/>
    <cellStyle name="Normal 3 4 11 3 2 4 2" xfId="32515"/>
    <cellStyle name="Normal 3 4 11 3 2 5" xfId="15019"/>
    <cellStyle name="Normal 3 4 11 3 2 5 2" xfId="32516"/>
    <cellStyle name="Normal 3 4 11 3 2 6" xfId="15020"/>
    <cellStyle name="Normal 3 4 11 3 2 6 2" xfId="32517"/>
    <cellStyle name="Normal 3 4 11 3 2 7" xfId="15021"/>
    <cellStyle name="Normal 3 4 11 3 2 7 2" xfId="32518"/>
    <cellStyle name="Normal 3 4 11 3 2 8" xfId="15022"/>
    <cellStyle name="Normal 3 4 11 3 2 8 2" xfId="32519"/>
    <cellStyle name="Normal 3 4 11 3 2 9" xfId="15023"/>
    <cellStyle name="Normal 3 4 11 3 2 9 2" xfId="32520"/>
    <cellStyle name="Normal 3 4 11 3 3" xfId="15024"/>
    <cellStyle name="Normal 3 4 11 3 3 2" xfId="32521"/>
    <cellStyle name="Normal 3 4 11 3 4" xfId="15025"/>
    <cellStyle name="Normal 3 4 11 3 4 2" xfId="32522"/>
    <cellStyle name="Normal 3 4 11 3 5" xfId="15026"/>
    <cellStyle name="Normal 3 4 11 3 5 2" xfId="32523"/>
    <cellStyle name="Normal 3 4 11 3 6" xfId="15027"/>
    <cellStyle name="Normal 3 4 11 3 6 2" xfId="32524"/>
    <cellStyle name="Normal 3 4 11 3 7" xfId="15028"/>
    <cellStyle name="Normal 3 4 11 3 7 2" xfId="32525"/>
    <cellStyle name="Normal 3 4 11 3 8" xfId="15029"/>
    <cellStyle name="Normal 3 4 11 3 8 2" xfId="32526"/>
    <cellStyle name="Normal 3 4 11 3 9" xfId="15030"/>
    <cellStyle name="Normal 3 4 11 3 9 2" xfId="32527"/>
    <cellStyle name="Normal 3 4 11 4" xfId="15031"/>
    <cellStyle name="Normal 3 4 11 4 10" xfId="15032"/>
    <cellStyle name="Normal 3 4 11 4 10 2" xfId="32529"/>
    <cellStyle name="Normal 3 4 11 4 11" xfId="15033"/>
    <cellStyle name="Normal 3 4 11 4 11 2" xfId="32530"/>
    <cellStyle name="Normal 3 4 11 4 12" xfId="15034"/>
    <cellStyle name="Normal 3 4 11 4 12 2" xfId="32531"/>
    <cellStyle name="Normal 3 4 11 4 13" xfId="15035"/>
    <cellStyle name="Normal 3 4 11 4 13 2" xfId="32532"/>
    <cellStyle name="Normal 3 4 11 4 14" xfId="15036"/>
    <cellStyle name="Normal 3 4 11 4 14 2" xfId="32533"/>
    <cellStyle name="Normal 3 4 11 4 15" xfId="15037"/>
    <cellStyle name="Normal 3 4 11 4 15 2" xfId="32534"/>
    <cellStyle name="Normal 3 4 11 4 16" xfId="32528"/>
    <cellStyle name="Normal 3 4 11 4 2" xfId="15038"/>
    <cellStyle name="Normal 3 4 11 4 2 10" xfId="15039"/>
    <cellStyle name="Normal 3 4 11 4 2 10 2" xfId="32536"/>
    <cellStyle name="Normal 3 4 11 4 2 11" xfId="15040"/>
    <cellStyle name="Normal 3 4 11 4 2 11 2" xfId="32537"/>
    <cellStyle name="Normal 3 4 11 4 2 12" xfId="15041"/>
    <cellStyle name="Normal 3 4 11 4 2 12 2" xfId="32538"/>
    <cellStyle name="Normal 3 4 11 4 2 13" xfId="15042"/>
    <cellStyle name="Normal 3 4 11 4 2 13 2" xfId="32539"/>
    <cellStyle name="Normal 3 4 11 4 2 14" xfId="15043"/>
    <cellStyle name="Normal 3 4 11 4 2 14 2" xfId="32540"/>
    <cellStyle name="Normal 3 4 11 4 2 15" xfId="32535"/>
    <cellStyle name="Normal 3 4 11 4 2 2" xfId="15044"/>
    <cellStyle name="Normal 3 4 11 4 2 2 2" xfId="32541"/>
    <cellStyle name="Normal 3 4 11 4 2 3" xfId="15045"/>
    <cellStyle name="Normal 3 4 11 4 2 3 2" xfId="32542"/>
    <cellStyle name="Normal 3 4 11 4 2 4" xfId="15046"/>
    <cellStyle name="Normal 3 4 11 4 2 4 2" xfId="32543"/>
    <cellStyle name="Normal 3 4 11 4 2 5" xfId="15047"/>
    <cellStyle name="Normal 3 4 11 4 2 5 2" xfId="32544"/>
    <cellStyle name="Normal 3 4 11 4 2 6" xfId="15048"/>
    <cellStyle name="Normal 3 4 11 4 2 6 2" xfId="32545"/>
    <cellStyle name="Normal 3 4 11 4 2 7" xfId="15049"/>
    <cellStyle name="Normal 3 4 11 4 2 7 2" xfId="32546"/>
    <cellStyle name="Normal 3 4 11 4 2 8" xfId="15050"/>
    <cellStyle name="Normal 3 4 11 4 2 8 2" xfId="32547"/>
    <cellStyle name="Normal 3 4 11 4 2 9" xfId="15051"/>
    <cellStyle name="Normal 3 4 11 4 2 9 2" xfId="32548"/>
    <cellStyle name="Normal 3 4 11 4 3" xfId="15052"/>
    <cellStyle name="Normal 3 4 11 4 3 2" xfId="32549"/>
    <cellStyle name="Normal 3 4 11 4 4" xfId="15053"/>
    <cellStyle name="Normal 3 4 11 4 4 2" xfId="32550"/>
    <cellStyle name="Normal 3 4 11 4 5" xfId="15054"/>
    <cellStyle name="Normal 3 4 11 4 5 2" xfId="32551"/>
    <cellStyle name="Normal 3 4 11 4 6" xfId="15055"/>
    <cellStyle name="Normal 3 4 11 4 6 2" xfId="32552"/>
    <cellStyle name="Normal 3 4 11 4 7" xfId="15056"/>
    <cellStyle name="Normal 3 4 11 4 7 2" xfId="32553"/>
    <cellStyle name="Normal 3 4 11 4 8" xfId="15057"/>
    <cellStyle name="Normal 3 4 11 4 8 2" xfId="32554"/>
    <cellStyle name="Normal 3 4 11 4 9" xfId="15058"/>
    <cellStyle name="Normal 3 4 11 4 9 2" xfId="32555"/>
    <cellStyle name="Normal 3 4 11 5" xfId="15059"/>
    <cellStyle name="Normal 3 4 11 5 10" xfId="15060"/>
    <cellStyle name="Normal 3 4 11 5 10 2" xfId="32557"/>
    <cellStyle name="Normal 3 4 11 5 11" xfId="15061"/>
    <cellStyle name="Normal 3 4 11 5 11 2" xfId="32558"/>
    <cellStyle name="Normal 3 4 11 5 12" xfId="15062"/>
    <cellStyle name="Normal 3 4 11 5 12 2" xfId="32559"/>
    <cellStyle name="Normal 3 4 11 5 13" xfId="15063"/>
    <cellStyle name="Normal 3 4 11 5 13 2" xfId="32560"/>
    <cellStyle name="Normal 3 4 11 5 14" xfId="15064"/>
    <cellStyle name="Normal 3 4 11 5 14 2" xfId="32561"/>
    <cellStyle name="Normal 3 4 11 5 15" xfId="32556"/>
    <cellStyle name="Normal 3 4 11 5 2" xfId="15065"/>
    <cellStyle name="Normal 3 4 11 5 2 2" xfId="32562"/>
    <cellStyle name="Normal 3 4 11 5 3" xfId="15066"/>
    <cellStyle name="Normal 3 4 11 5 3 2" xfId="32563"/>
    <cellStyle name="Normal 3 4 11 5 4" xfId="15067"/>
    <cellStyle name="Normal 3 4 11 5 4 2" xfId="32564"/>
    <cellStyle name="Normal 3 4 11 5 5" xfId="15068"/>
    <cellStyle name="Normal 3 4 11 5 5 2" xfId="32565"/>
    <cellStyle name="Normal 3 4 11 5 6" xfId="15069"/>
    <cellStyle name="Normal 3 4 11 5 6 2" xfId="32566"/>
    <cellStyle name="Normal 3 4 11 5 7" xfId="15070"/>
    <cellStyle name="Normal 3 4 11 5 7 2" xfId="32567"/>
    <cellStyle name="Normal 3 4 11 5 8" xfId="15071"/>
    <cellStyle name="Normal 3 4 11 5 8 2" xfId="32568"/>
    <cellStyle name="Normal 3 4 11 5 9" xfId="15072"/>
    <cellStyle name="Normal 3 4 11 5 9 2" xfId="32569"/>
    <cellStyle name="Normal 3 4 11 6" xfId="15073"/>
    <cellStyle name="Normal 3 4 11 6 10" xfId="15074"/>
    <cellStyle name="Normal 3 4 11 6 10 2" xfId="32571"/>
    <cellStyle name="Normal 3 4 11 6 11" xfId="15075"/>
    <cellStyle name="Normal 3 4 11 6 11 2" xfId="32572"/>
    <cellStyle name="Normal 3 4 11 6 12" xfId="15076"/>
    <cellStyle name="Normal 3 4 11 6 12 2" xfId="32573"/>
    <cellStyle name="Normal 3 4 11 6 13" xfId="15077"/>
    <cellStyle name="Normal 3 4 11 6 13 2" xfId="32574"/>
    <cellStyle name="Normal 3 4 11 6 14" xfId="15078"/>
    <cellStyle name="Normal 3 4 11 6 14 2" xfId="32575"/>
    <cellStyle name="Normal 3 4 11 6 15" xfId="32570"/>
    <cellStyle name="Normal 3 4 11 6 2" xfId="15079"/>
    <cellStyle name="Normal 3 4 11 6 2 2" xfId="32576"/>
    <cellStyle name="Normal 3 4 11 6 3" xfId="15080"/>
    <cellStyle name="Normal 3 4 11 6 3 2" xfId="32577"/>
    <cellStyle name="Normal 3 4 11 6 4" xfId="15081"/>
    <cellStyle name="Normal 3 4 11 6 4 2" xfId="32578"/>
    <cellStyle name="Normal 3 4 11 6 5" xfId="15082"/>
    <cellStyle name="Normal 3 4 11 6 5 2" xfId="32579"/>
    <cellStyle name="Normal 3 4 11 6 6" xfId="15083"/>
    <cellStyle name="Normal 3 4 11 6 6 2" xfId="32580"/>
    <cellStyle name="Normal 3 4 11 6 7" xfId="15084"/>
    <cellStyle name="Normal 3 4 11 6 7 2" xfId="32581"/>
    <cellStyle name="Normal 3 4 11 6 8" xfId="15085"/>
    <cellStyle name="Normal 3 4 11 6 8 2" xfId="32582"/>
    <cellStyle name="Normal 3 4 11 6 9" xfId="15086"/>
    <cellStyle name="Normal 3 4 11 6 9 2" xfId="32583"/>
    <cellStyle name="Normal 3 4 11 7" xfId="15087"/>
    <cellStyle name="Normal 3 4 11 7 10" xfId="15088"/>
    <cellStyle name="Normal 3 4 11 7 10 2" xfId="32585"/>
    <cellStyle name="Normal 3 4 11 7 11" xfId="15089"/>
    <cellStyle name="Normal 3 4 11 7 11 2" xfId="32586"/>
    <cellStyle name="Normal 3 4 11 7 12" xfId="15090"/>
    <cellStyle name="Normal 3 4 11 7 12 2" xfId="32587"/>
    <cellStyle name="Normal 3 4 11 7 13" xfId="15091"/>
    <cellStyle name="Normal 3 4 11 7 13 2" xfId="32588"/>
    <cellStyle name="Normal 3 4 11 7 14" xfId="15092"/>
    <cellStyle name="Normal 3 4 11 7 14 2" xfId="32589"/>
    <cellStyle name="Normal 3 4 11 7 15" xfId="32584"/>
    <cellStyle name="Normal 3 4 11 7 2" xfId="15093"/>
    <cellStyle name="Normal 3 4 11 7 2 2" xfId="32590"/>
    <cellStyle name="Normal 3 4 11 7 3" xfId="15094"/>
    <cellStyle name="Normal 3 4 11 7 3 2" xfId="32591"/>
    <cellStyle name="Normal 3 4 11 7 4" xfId="15095"/>
    <cellStyle name="Normal 3 4 11 7 4 2" xfId="32592"/>
    <cellStyle name="Normal 3 4 11 7 5" xfId="15096"/>
    <cellStyle name="Normal 3 4 11 7 5 2" xfId="32593"/>
    <cellStyle name="Normal 3 4 11 7 6" xfId="15097"/>
    <cellStyle name="Normal 3 4 11 7 6 2" xfId="32594"/>
    <cellStyle name="Normal 3 4 11 7 7" xfId="15098"/>
    <cellStyle name="Normal 3 4 11 7 7 2" xfId="32595"/>
    <cellStyle name="Normal 3 4 11 7 8" xfId="15099"/>
    <cellStyle name="Normal 3 4 11 7 8 2" xfId="32596"/>
    <cellStyle name="Normal 3 4 11 7 9" xfId="15100"/>
    <cellStyle name="Normal 3 4 11 7 9 2" xfId="32597"/>
    <cellStyle name="Normal 3 4 11 8" xfId="15101"/>
    <cellStyle name="Normal 3 4 11 8 10" xfId="15102"/>
    <cellStyle name="Normal 3 4 11 8 10 2" xfId="32599"/>
    <cellStyle name="Normal 3 4 11 8 11" xfId="15103"/>
    <cellStyle name="Normal 3 4 11 8 11 2" xfId="32600"/>
    <cellStyle name="Normal 3 4 11 8 12" xfId="15104"/>
    <cellStyle name="Normal 3 4 11 8 12 2" xfId="32601"/>
    <cellStyle name="Normal 3 4 11 8 13" xfId="15105"/>
    <cellStyle name="Normal 3 4 11 8 13 2" xfId="32602"/>
    <cellStyle name="Normal 3 4 11 8 14" xfId="15106"/>
    <cellStyle name="Normal 3 4 11 8 14 2" xfId="32603"/>
    <cellStyle name="Normal 3 4 11 8 15" xfId="32598"/>
    <cellStyle name="Normal 3 4 11 8 2" xfId="15107"/>
    <cellStyle name="Normal 3 4 11 8 2 2" xfId="32604"/>
    <cellStyle name="Normal 3 4 11 8 3" xfId="15108"/>
    <cellStyle name="Normal 3 4 11 8 3 2" xfId="32605"/>
    <cellStyle name="Normal 3 4 11 8 4" xfId="15109"/>
    <cellStyle name="Normal 3 4 11 8 4 2" xfId="32606"/>
    <cellStyle name="Normal 3 4 11 8 5" xfId="15110"/>
    <cellStyle name="Normal 3 4 11 8 5 2" xfId="32607"/>
    <cellStyle name="Normal 3 4 11 8 6" xfId="15111"/>
    <cellStyle name="Normal 3 4 11 8 6 2" xfId="32608"/>
    <cellStyle name="Normal 3 4 11 8 7" xfId="15112"/>
    <cellStyle name="Normal 3 4 11 8 7 2" xfId="32609"/>
    <cellStyle name="Normal 3 4 11 8 8" xfId="15113"/>
    <cellStyle name="Normal 3 4 11 8 8 2" xfId="32610"/>
    <cellStyle name="Normal 3 4 11 8 9" xfId="15114"/>
    <cellStyle name="Normal 3 4 11 8 9 2" xfId="32611"/>
    <cellStyle name="Normal 3 4 11 9" xfId="15115"/>
    <cellStyle name="Normal 3 4 11 9 10" xfId="15116"/>
    <cellStyle name="Normal 3 4 11 9 10 2" xfId="32613"/>
    <cellStyle name="Normal 3 4 11 9 11" xfId="15117"/>
    <cellStyle name="Normal 3 4 11 9 11 2" xfId="32614"/>
    <cellStyle name="Normal 3 4 11 9 12" xfId="15118"/>
    <cellStyle name="Normal 3 4 11 9 12 2" xfId="32615"/>
    <cellStyle name="Normal 3 4 11 9 13" xfId="15119"/>
    <cellStyle name="Normal 3 4 11 9 13 2" xfId="32616"/>
    <cellStyle name="Normal 3 4 11 9 14" xfId="15120"/>
    <cellStyle name="Normal 3 4 11 9 14 2" xfId="32617"/>
    <cellStyle name="Normal 3 4 11 9 15" xfId="32612"/>
    <cellStyle name="Normal 3 4 11 9 2" xfId="15121"/>
    <cellStyle name="Normal 3 4 11 9 2 2" xfId="32618"/>
    <cellStyle name="Normal 3 4 11 9 3" xfId="15122"/>
    <cellStyle name="Normal 3 4 11 9 3 2" xfId="32619"/>
    <cellStyle name="Normal 3 4 11 9 4" xfId="15123"/>
    <cellStyle name="Normal 3 4 11 9 4 2" xfId="32620"/>
    <cellStyle name="Normal 3 4 11 9 5" xfId="15124"/>
    <cellStyle name="Normal 3 4 11 9 5 2" xfId="32621"/>
    <cellStyle name="Normal 3 4 11 9 6" xfId="15125"/>
    <cellStyle name="Normal 3 4 11 9 6 2" xfId="32622"/>
    <cellStyle name="Normal 3 4 11 9 7" xfId="15126"/>
    <cellStyle name="Normal 3 4 11 9 7 2" xfId="32623"/>
    <cellStyle name="Normal 3 4 11 9 8" xfId="15127"/>
    <cellStyle name="Normal 3 4 11 9 8 2" xfId="32624"/>
    <cellStyle name="Normal 3 4 11 9 9" xfId="15128"/>
    <cellStyle name="Normal 3 4 11 9 9 2" xfId="32625"/>
    <cellStyle name="Normal 3 4 12" xfId="15129"/>
    <cellStyle name="Normal 3 4 12 10" xfId="15130"/>
    <cellStyle name="Normal 3 4 12 10 10" xfId="15131"/>
    <cellStyle name="Normal 3 4 12 10 10 2" xfId="32628"/>
    <cellStyle name="Normal 3 4 12 10 11" xfId="15132"/>
    <cellStyle name="Normal 3 4 12 10 11 2" xfId="32629"/>
    <cellStyle name="Normal 3 4 12 10 12" xfId="15133"/>
    <cellStyle name="Normal 3 4 12 10 12 2" xfId="32630"/>
    <cellStyle name="Normal 3 4 12 10 13" xfId="15134"/>
    <cellStyle name="Normal 3 4 12 10 13 2" xfId="32631"/>
    <cellStyle name="Normal 3 4 12 10 14" xfId="15135"/>
    <cellStyle name="Normal 3 4 12 10 14 2" xfId="32632"/>
    <cellStyle name="Normal 3 4 12 10 15" xfId="32627"/>
    <cellStyle name="Normal 3 4 12 10 2" xfId="15136"/>
    <cellStyle name="Normal 3 4 12 10 2 2" xfId="32633"/>
    <cellStyle name="Normal 3 4 12 10 3" xfId="15137"/>
    <cellStyle name="Normal 3 4 12 10 3 2" xfId="32634"/>
    <cellStyle name="Normal 3 4 12 10 4" xfId="15138"/>
    <cellStyle name="Normal 3 4 12 10 4 2" xfId="32635"/>
    <cellStyle name="Normal 3 4 12 10 5" xfId="15139"/>
    <cellStyle name="Normal 3 4 12 10 5 2" xfId="32636"/>
    <cellStyle name="Normal 3 4 12 10 6" xfId="15140"/>
    <cellStyle name="Normal 3 4 12 10 6 2" xfId="32637"/>
    <cellStyle name="Normal 3 4 12 10 7" xfId="15141"/>
    <cellStyle name="Normal 3 4 12 10 7 2" xfId="32638"/>
    <cellStyle name="Normal 3 4 12 10 8" xfId="15142"/>
    <cellStyle name="Normal 3 4 12 10 8 2" xfId="32639"/>
    <cellStyle name="Normal 3 4 12 10 9" xfId="15143"/>
    <cellStyle name="Normal 3 4 12 10 9 2" xfId="32640"/>
    <cellStyle name="Normal 3 4 12 11" xfId="15144"/>
    <cellStyle name="Normal 3 4 12 11 2" xfId="32641"/>
    <cellStyle name="Normal 3 4 12 12" xfId="15145"/>
    <cellStyle name="Normal 3 4 12 12 2" xfId="32642"/>
    <cellStyle name="Normal 3 4 12 13" xfId="15146"/>
    <cellStyle name="Normal 3 4 12 13 2" xfId="32643"/>
    <cellStyle name="Normal 3 4 12 14" xfId="15147"/>
    <cellStyle name="Normal 3 4 12 14 2" xfId="32644"/>
    <cellStyle name="Normal 3 4 12 15" xfId="15148"/>
    <cellStyle name="Normal 3 4 12 15 2" xfId="32645"/>
    <cellStyle name="Normal 3 4 12 16" xfId="15149"/>
    <cellStyle name="Normal 3 4 12 16 2" xfId="32646"/>
    <cellStyle name="Normal 3 4 12 17" xfId="15150"/>
    <cellStyle name="Normal 3 4 12 17 2" xfId="32647"/>
    <cellStyle name="Normal 3 4 12 18" xfId="15151"/>
    <cellStyle name="Normal 3 4 12 18 2" xfId="32648"/>
    <cellStyle name="Normal 3 4 12 19" xfId="15152"/>
    <cellStyle name="Normal 3 4 12 19 2" xfId="32649"/>
    <cellStyle name="Normal 3 4 12 2" xfId="15153"/>
    <cellStyle name="Normal 3 4 12 2 10" xfId="15154"/>
    <cellStyle name="Normal 3 4 12 2 10 2" xfId="32651"/>
    <cellStyle name="Normal 3 4 12 2 11" xfId="15155"/>
    <cellStyle name="Normal 3 4 12 2 11 2" xfId="32652"/>
    <cellStyle name="Normal 3 4 12 2 12" xfId="15156"/>
    <cellStyle name="Normal 3 4 12 2 12 2" xfId="32653"/>
    <cellStyle name="Normal 3 4 12 2 13" xfId="15157"/>
    <cellStyle name="Normal 3 4 12 2 13 2" xfId="32654"/>
    <cellStyle name="Normal 3 4 12 2 14" xfId="15158"/>
    <cellStyle name="Normal 3 4 12 2 14 2" xfId="32655"/>
    <cellStyle name="Normal 3 4 12 2 15" xfId="15159"/>
    <cellStyle name="Normal 3 4 12 2 15 2" xfId="32656"/>
    <cellStyle name="Normal 3 4 12 2 16" xfId="32650"/>
    <cellStyle name="Normal 3 4 12 2 2" xfId="15160"/>
    <cellStyle name="Normal 3 4 12 2 2 10" xfId="15161"/>
    <cellStyle name="Normal 3 4 12 2 2 10 2" xfId="32658"/>
    <cellStyle name="Normal 3 4 12 2 2 11" xfId="15162"/>
    <cellStyle name="Normal 3 4 12 2 2 11 2" xfId="32659"/>
    <cellStyle name="Normal 3 4 12 2 2 12" xfId="15163"/>
    <cellStyle name="Normal 3 4 12 2 2 12 2" xfId="32660"/>
    <cellStyle name="Normal 3 4 12 2 2 13" xfId="15164"/>
    <cellStyle name="Normal 3 4 12 2 2 13 2" xfId="32661"/>
    <cellStyle name="Normal 3 4 12 2 2 14" xfId="15165"/>
    <cellStyle name="Normal 3 4 12 2 2 14 2" xfId="32662"/>
    <cellStyle name="Normal 3 4 12 2 2 15" xfId="32657"/>
    <cellStyle name="Normal 3 4 12 2 2 2" xfId="15166"/>
    <cellStyle name="Normal 3 4 12 2 2 2 2" xfId="32663"/>
    <cellStyle name="Normal 3 4 12 2 2 3" xfId="15167"/>
    <cellStyle name="Normal 3 4 12 2 2 3 2" xfId="32664"/>
    <cellStyle name="Normal 3 4 12 2 2 4" xfId="15168"/>
    <cellStyle name="Normal 3 4 12 2 2 4 2" xfId="32665"/>
    <cellStyle name="Normal 3 4 12 2 2 5" xfId="15169"/>
    <cellStyle name="Normal 3 4 12 2 2 5 2" xfId="32666"/>
    <cellStyle name="Normal 3 4 12 2 2 6" xfId="15170"/>
    <cellStyle name="Normal 3 4 12 2 2 6 2" xfId="32667"/>
    <cellStyle name="Normal 3 4 12 2 2 7" xfId="15171"/>
    <cellStyle name="Normal 3 4 12 2 2 7 2" xfId="32668"/>
    <cellStyle name="Normal 3 4 12 2 2 8" xfId="15172"/>
    <cellStyle name="Normal 3 4 12 2 2 8 2" xfId="32669"/>
    <cellStyle name="Normal 3 4 12 2 2 9" xfId="15173"/>
    <cellStyle name="Normal 3 4 12 2 2 9 2" xfId="32670"/>
    <cellStyle name="Normal 3 4 12 2 3" xfId="15174"/>
    <cellStyle name="Normal 3 4 12 2 3 2" xfId="32671"/>
    <cellStyle name="Normal 3 4 12 2 4" xfId="15175"/>
    <cellStyle name="Normal 3 4 12 2 4 2" xfId="32672"/>
    <cellStyle name="Normal 3 4 12 2 5" xfId="15176"/>
    <cellStyle name="Normal 3 4 12 2 5 2" xfId="32673"/>
    <cellStyle name="Normal 3 4 12 2 6" xfId="15177"/>
    <cellStyle name="Normal 3 4 12 2 6 2" xfId="32674"/>
    <cellStyle name="Normal 3 4 12 2 7" xfId="15178"/>
    <cellStyle name="Normal 3 4 12 2 7 2" xfId="32675"/>
    <cellStyle name="Normal 3 4 12 2 8" xfId="15179"/>
    <cellStyle name="Normal 3 4 12 2 8 2" xfId="32676"/>
    <cellStyle name="Normal 3 4 12 2 9" xfId="15180"/>
    <cellStyle name="Normal 3 4 12 2 9 2" xfId="32677"/>
    <cellStyle name="Normal 3 4 12 20" xfId="15181"/>
    <cellStyle name="Normal 3 4 12 20 2" xfId="32678"/>
    <cellStyle name="Normal 3 4 12 21" xfId="15182"/>
    <cellStyle name="Normal 3 4 12 21 2" xfId="32679"/>
    <cellStyle name="Normal 3 4 12 22" xfId="15183"/>
    <cellStyle name="Normal 3 4 12 22 2" xfId="32680"/>
    <cellStyle name="Normal 3 4 12 23" xfId="15184"/>
    <cellStyle name="Normal 3 4 12 23 2" xfId="32681"/>
    <cellStyle name="Normal 3 4 12 24" xfId="32626"/>
    <cellStyle name="Normal 3 4 12 3" xfId="15185"/>
    <cellStyle name="Normal 3 4 12 3 10" xfId="15186"/>
    <cellStyle name="Normal 3 4 12 3 10 2" xfId="32683"/>
    <cellStyle name="Normal 3 4 12 3 11" xfId="15187"/>
    <cellStyle name="Normal 3 4 12 3 11 2" xfId="32684"/>
    <cellStyle name="Normal 3 4 12 3 12" xfId="15188"/>
    <cellStyle name="Normal 3 4 12 3 12 2" xfId="32685"/>
    <cellStyle name="Normal 3 4 12 3 13" xfId="15189"/>
    <cellStyle name="Normal 3 4 12 3 13 2" xfId="32686"/>
    <cellStyle name="Normal 3 4 12 3 14" xfId="15190"/>
    <cellStyle name="Normal 3 4 12 3 14 2" xfId="32687"/>
    <cellStyle name="Normal 3 4 12 3 15" xfId="15191"/>
    <cellStyle name="Normal 3 4 12 3 15 2" xfId="32688"/>
    <cellStyle name="Normal 3 4 12 3 16" xfId="32682"/>
    <cellStyle name="Normal 3 4 12 3 2" xfId="15192"/>
    <cellStyle name="Normal 3 4 12 3 2 10" xfId="15193"/>
    <cellStyle name="Normal 3 4 12 3 2 10 2" xfId="32690"/>
    <cellStyle name="Normal 3 4 12 3 2 11" xfId="15194"/>
    <cellStyle name="Normal 3 4 12 3 2 11 2" xfId="32691"/>
    <cellStyle name="Normal 3 4 12 3 2 12" xfId="15195"/>
    <cellStyle name="Normal 3 4 12 3 2 12 2" xfId="32692"/>
    <cellStyle name="Normal 3 4 12 3 2 13" xfId="15196"/>
    <cellStyle name="Normal 3 4 12 3 2 13 2" xfId="32693"/>
    <cellStyle name="Normal 3 4 12 3 2 14" xfId="15197"/>
    <cellStyle name="Normal 3 4 12 3 2 14 2" xfId="32694"/>
    <cellStyle name="Normal 3 4 12 3 2 15" xfId="32689"/>
    <cellStyle name="Normal 3 4 12 3 2 2" xfId="15198"/>
    <cellStyle name="Normal 3 4 12 3 2 2 2" xfId="32695"/>
    <cellStyle name="Normal 3 4 12 3 2 3" xfId="15199"/>
    <cellStyle name="Normal 3 4 12 3 2 3 2" xfId="32696"/>
    <cellStyle name="Normal 3 4 12 3 2 4" xfId="15200"/>
    <cellStyle name="Normal 3 4 12 3 2 4 2" xfId="32697"/>
    <cellStyle name="Normal 3 4 12 3 2 5" xfId="15201"/>
    <cellStyle name="Normal 3 4 12 3 2 5 2" xfId="32698"/>
    <cellStyle name="Normal 3 4 12 3 2 6" xfId="15202"/>
    <cellStyle name="Normal 3 4 12 3 2 6 2" xfId="32699"/>
    <cellStyle name="Normal 3 4 12 3 2 7" xfId="15203"/>
    <cellStyle name="Normal 3 4 12 3 2 7 2" xfId="32700"/>
    <cellStyle name="Normal 3 4 12 3 2 8" xfId="15204"/>
    <cellStyle name="Normal 3 4 12 3 2 8 2" xfId="32701"/>
    <cellStyle name="Normal 3 4 12 3 2 9" xfId="15205"/>
    <cellStyle name="Normal 3 4 12 3 2 9 2" xfId="32702"/>
    <cellStyle name="Normal 3 4 12 3 3" xfId="15206"/>
    <cellStyle name="Normal 3 4 12 3 3 2" xfId="32703"/>
    <cellStyle name="Normal 3 4 12 3 4" xfId="15207"/>
    <cellStyle name="Normal 3 4 12 3 4 2" xfId="32704"/>
    <cellStyle name="Normal 3 4 12 3 5" xfId="15208"/>
    <cellStyle name="Normal 3 4 12 3 5 2" xfId="32705"/>
    <cellStyle name="Normal 3 4 12 3 6" xfId="15209"/>
    <cellStyle name="Normal 3 4 12 3 6 2" xfId="32706"/>
    <cellStyle name="Normal 3 4 12 3 7" xfId="15210"/>
    <cellStyle name="Normal 3 4 12 3 7 2" xfId="32707"/>
    <cellStyle name="Normal 3 4 12 3 8" xfId="15211"/>
    <cellStyle name="Normal 3 4 12 3 8 2" xfId="32708"/>
    <cellStyle name="Normal 3 4 12 3 9" xfId="15212"/>
    <cellStyle name="Normal 3 4 12 3 9 2" xfId="32709"/>
    <cellStyle name="Normal 3 4 12 4" xfId="15213"/>
    <cellStyle name="Normal 3 4 12 4 10" xfId="15214"/>
    <cellStyle name="Normal 3 4 12 4 10 2" xfId="32711"/>
    <cellStyle name="Normal 3 4 12 4 11" xfId="15215"/>
    <cellStyle name="Normal 3 4 12 4 11 2" xfId="32712"/>
    <cellStyle name="Normal 3 4 12 4 12" xfId="15216"/>
    <cellStyle name="Normal 3 4 12 4 12 2" xfId="32713"/>
    <cellStyle name="Normal 3 4 12 4 13" xfId="15217"/>
    <cellStyle name="Normal 3 4 12 4 13 2" xfId="32714"/>
    <cellStyle name="Normal 3 4 12 4 14" xfId="15218"/>
    <cellStyle name="Normal 3 4 12 4 14 2" xfId="32715"/>
    <cellStyle name="Normal 3 4 12 4 15" xfId="15219"/>
    <cellStyle name="Normal 3 4 12 4 15 2" xfId="32716"/>
    <cellStyle name="Normal 3 4 12 4 16" xfId="32710"/>
    <cellStyle name="Normal 3 4 12 4 2" xfId="15220"/>
    <cellStyle name="Normal 3 4 12 4 2 10" xfId="15221"/>
    <cellStyle name="Normal 3 4 12 4 2 10 2" xfId="32718"/>
    <cellStyle name="Normal 3 4 12 4 2 11" xfId="15222"/>
    <cellStyle name="Normal 3 4 12 4 2 11 2" xfId="32719"/>
    <cellStyle name="Normal 3 4 12 4 2 12" xfId="15223"/>
    <cellStyle name="Normal 3 4 12 4 2 12 2" xfId="32720"/>
    <cellStyle name="Normal 3 4 12 4 2 13" xfId="15224"/>
    <cellStyle name="Normal 3 4 12 4 2 13 2" xfId="32721"/>
    <cellStyle name="Normal 3 4 12 4 2 14" xfId="15225"/>
    <cellStyle name="Normal 3 4 12 4 2 14 2" xfId="32722"/>
    <cellStyle name="Normal 3 4 12 4 2 15" xfId="32717"/>
    <cellStyle name="Normal 3 4 12 4 2 2" xfId="15226"/>
    <cellStyle name="Normal 3 4 12 4 2 2 2" xfId="32723"/>
    <cellStyle name="Normal 3 4 12 4 2 3" xfId="15227"/>
    <cellStyle name="Normal 3 4 12 4 2 3 2" xfId="32724"/>
    <cellStyle name="Normal 3 4 12 4 2 4" xfId="15228"/>
    <cellStyle name="Normal 3 4 12 4 2 4 2" xfId="32725"/>
    <cellStyle name="Normal 3 4 12 4 2 5" xfId="15229"/>
    <cellStyle name="Normal 3 4 12 4 2 5 2" xfId="32726"/>
    <cellStyle name="Normal 3 4 12 4 2 6" xfId="15230"/>
    <cellStyle name="Normal 3 4 12 4 2 6 2" xfId="32727"/>
    <cellStyle name="Normal 3 4 12 4 2 7" xfId="15231"/>
    <cellStyle name="Normal 3 4 12 4 2 7 2" xfId="32728"/>
    <cellStyle name="Normal 3 4 12 4 2 8" xfId="15232"/>
    <cellStyle name="Normal 3 4 12 4 2 8 2" xfId="32729"/>
    <cellStyle name="Normal 3 4 12 4 2 9" xfId="15233"/>
    <cellStyle name="Normal 3 4 12 4 2 9 2" xfId="32730"/>
    <cellStyle name="Normal 3 4 12 4 3" xfId="15234"/>
    <cellStyle name="Normal 3 4 12 4 3 2" xfId="32731"/>
    <cellStyle name="Normal 3 4 12 4 4" xfId="15235"/>
    <cellStyle name="Normal 3 4 12 4 4 2" xfId="32732"/>
    <cellStyle name="Normal 3 4 12 4 5" xfId="15236"/>
    <cellStyle name="Normal 3 4 12 4 5 2" xfId="32733"/>
    <cellStyle name="Normal 3 4 12 4 6" xfId="15237"/>
    <cellStyle name="Normal 3 4 12 4 6 2" xfId="32734"/>
    <cellStyle name="Normal 3 4 12 4 7" xfId="15238"/>
    <cellStyle name="Normal 3 4 12 4 7 2" xfId="32735"/>
    <cellStyle name="Normal 3 4 12 4 8" xfId="15239"/>
    <cellStyle name="Normal 3 4 12 4 8 2" xfId="32736"/>
    <cellStyle name="Normal 3 4 12 4 9" xfId="15240"/>
    <cellStyle name="Normal 3 4 12 4 9 2" xfId="32737"/>
    <cellStyle name="Normal 3 4 12 5" xfId="15241"/>
    <cellStyle name="Normal 3 4 12 5 10" xfId="15242"/>
    <cellStyle name="Normal 3 4 12 5 10 2" xfId="32739"/>
    <cellStyle name="Normal 3 4 12 5 11" xfId="15243"/>
    <cellStyle name="Normal 3 4 12 5 11 2" xfId="32740"/>
    <cellStyle name="Normal 3 4 12 5 12" xfId="15244"/>
    <cellStyle name="Normal 3 4 12 5 12 2" xfId="32741"/>
    <cellStyle name="Normal 3 4 12 5 13" xfId="15245"/>
    <cellStyle name="Normal 3 4 12 5 13 2" xfId="32742"/>
    <cellStyle name="Normal 3 4 12 5 14" xfId="15246"/>
    <cellStyle name="Normal 3 4 12 5 14 2" xfId="32743"/>
    <cellStyle name="Normal 3 4 12 5 15" xfId="32738"/>
    <cellStyle name="Normal 3 4 12 5 2" xfId="15247"/>
    <cellStyle name="Normal 3 4 12 5 2 2" xfId="32744"/>
    <cellStyle name="Normal 3 4 12 5 3" xfId="15248"/>
    <cellStyle name="Normal 3 4 12 5 3 2" xfId="32745"/>
    <cellStyle name="Normal 3 4 12 5 4" xfId="15249"/>
    <cellStyle name="Normal 3 4 12 5 4 2" xfId="32746"/>
    <cellStyle name="Normal 3 4 12 5 5" xfId="15250"/>
    <cellStyle name="Normal 3 4 12 5 5 2" xfId="32747"/>
    <cellStyle name="Normal 3 4 12 5 6" xfId="15251"/>
    <cellStyle name="Normal 3 4 12 5 6 2" xfId="32748"/>
    <cellStyle name="Normal 3 4 12 5 7" xfId="15252"/>
    <cellStyle name="Normal 3 4 12 5 7 2" xfId="32749"/>
    <cellStyle name="Normal 3 4 12 5 8" xfId="15253"/>
    <cellStyle name="Normal 3 4 12 5 8 2" xfId="32750"/>
    <cellStyle name="Normal 3 4 12 5 9" xfId="15254"/>
    <cellStyle name="Normal 3 4 12 5 9 2" xfId="32751"/>
    <cellStyle name="Normal 3 4 12 6" xfId="15255"/>
    <cellStyle name="Normal 3 4 12 6 10" xfId="15256"/>
    <cellStyle name="Normal 3 4 12 6 10 2" xfId="32753"/>
    <cellStyle name="Normal 3 4 12 6 11" xfId="15257"/>
    <cellStyle name="Normal 3 4 12 6 11 2" xfId="32754"/>
    <cellStyle name="Normal 3 4 12 6 12" xfId="15258"/>
    <cellStyle name="Normal 3 4 12 6 12 2" xfId="32755"/>
    <cellStyle name="Normal 3 4 12 6 13" xfId="15259"/>
    <cellStyle name="Normal 3 4 12 6 13 2" xfId="32756"/>
    <cellStyle name="Normal 3 4 12 6 14" xfId="15260"/>
    <cellStyle name="Normal 3 4 12 6 14 2" xfId="32757"/>
    <cellStyle name="Normal 3 4 12 6 15" xfId="32752"/>
    <cellStyle name="Normal 3 4 12 6 2" xfId="15261"/>
    <cellStyle name="Normal 3 4 12 6 2 2" xfId="32758"/>
    <cellStyle name="Normal 3 4 12 6 3" xfId="15262"/>
    <cellStyle name="Normal 3 4 12 6 3 2" xfId="32759"/>
    <cellStyle name="Normal 3 4 12 6 4" xfId="15263"/>
    <cellStyle name="Normal 3 4 12 6 4 2" xfId="32760"/>
    <cellStyle name="Normal 3 4 12 6 5" xfId="15264"/>
    <cellStyle name="Normal 3 4 12 6 5 2" xfId="32761"/>
    <cellStyle name="Normal 3 4 12 6 6" xfId="15265"/>
    <cellStyle name="Normal 3 4 12 6 6 2" xfId="32762"/>
    <cellStyle name="Normal 3 4 12 6 7" xfId="15266"/>
    <cellStyle name="Normal 3 4 12 6 7 2" xfId="32763"/>
    <cellStyle name="Normal 3 4 12 6 8" xfId="15267"/>
    <cellStyle name="Normal 3 4 12 6 8 2" xfId="32764"/>
    <cellStyle name="Normal 3 4 12 6 9" xfId="15268"/>
    <cellStyle name="Normal 3 4 12 6 9 2" xfId="32765"/>
    <cellStyle name="Normal 3 4 12 7" xfId="15269"/>
    <cellStyle name="Normal 3 4 12 7 10" xfId="15270"/>
    <cellStyle name="Normal 3 4 12 7 10 2" xfId="32767"/>
    <cellStyle name="Normal 3 4 12 7 11" xfId="15271"/>
    <cellStyle name="Normal 3 4 12 7 11 2" xfId="32768"/>
    <cellStyle name="Normal 3 4 12 7 12" xfId="15272"/>
    <cellStyle name="Normal 3 4 12 7 12 2" xfId="32769"/>
    <cellStyle name="Normal 3 4 12 7 13" xfId="15273"/>
    <cellStyle name="Normal 3 4 12 7 13 2" xfId="32770"/>
    <cellStyle name="Normal 3 4 12 7 14" xfId="15274"/>
    <cellStyle name="Normal 3 4 12 7 14 2" xfId="32771"/>
    <cellStyle name="Normal 3 4 12 7 15" xfId="32766"/>
    <cellStyle name="Normal 3 4 12 7 2" xfId="15275"/>
    <cellStyle name="Normal 3 4 12 7 2 2" xfId="32772"/>
    <cellStyle name="Normal 3 4 12 7 3" xfId="15276"/>
    <cellStyle name="Normal 3 4 12 7 3 2" xfId="32773"/>
    <cellStyle name="Normal 3 4 12 7 4" xfId="15277"/>
    <cellStyle name="Normal 3 4 12 7 4 2" xfId="32774"/>
    <cellStyle name="Normal 3 4 12 7 5" xfId="15278"/>
    <cellStyle name="Normal 3 4 12 7 5 2" xfId="32775"/>
    <cellStyle name="Normal 3 4 12 7 6" xfId="15279"/>
    <cellStyle name="Normal 3 4 12 7 6 2" xfId="32776"/>
    <cellStyle name="Normal 3 4 12 7 7" xfId="15280"/>
    <cellStyle name="Normal 3 4 12 7 7 2" xfId="32777"/>
    <cellStyle name="Normal 3 4 12 7 8" xfId="15281"/>
    <cellStyle name="Normal 3 4 12 7 8 2" xfId="32778"/>
    <cellStyle name="Normal 3 4 12 7 9" xfId="15282"/>
    <cellStyle name="Normal 3 4 12 7 9 2" xfId="32779"/>
    <cellStyle name="Normal 3 4 12 8" xfId="15283"/>
    <cellStyle name="Normal 3 4 12 8 10" xfId="15284"/>
    <cellStyle name="Normal 3 4 12 8 10 2" xfId="32781"/>
    <cellStyle name="Normal 3 4 12 8 11" xfId="15285"/>
    <cellStyle name="Normal 3 4 12 8 11 2" xfId="32782"/>
    <cellStyle name="Normal 3 4 12 8 12" xfId="15286"/>
    <cellStyle name="Normal 3 4 12 8 12 2" xfId="32783"/>
    <cellStyle name="Normal 3 4 12 8 13" xfId="15287"/>
    <cellStyle name="Normal 3 4 12 8 13 2" xfId="32784"/>
    <cellStyle name="Normal 3 4 12 8 14" xfId="15288"/>
    <cellStyle name="Normal 3 4 12 8 14 2" xfId="32785"/>
    <cellStyle name="Normal 3 4 12 8 15" xfId="32780"/>
    <cellStyle name="Normal 3 4 12 8 2" xfId="15289"/>
    <cellStyle name="Normal 3 4 12 8 2 2" xfId="32786"/>
    <cellStyle name="Normal 3 4 12 8 3" xfId="15290"/>
    <cellStyle name="Normal 3 4 12 8 3 2" xfId="32787"/>
    <cellStyle name="Normal 3 4 12 8 4" xfId="15291"/>
    <cellStyle name="Normal 3 4 12 8 4 2" xfId="32788"/>
    <cellStyle name="Normal 3 4 12 8 5" xfId="15292"/>
    <cellStyle name="Normal 3 4 12 8 5 2" xfId="32789"/>
    <cellStyle name="Normal 3 4 12 8 6" xfId="15293"/>
    <cellStyle name="Normal 3 4 12 8 6 2" xfId="32790"/>
    <cellStyle name="Normal 3 4 12 8 7" xfId="15294"/>
    <cellStyle name="Normal 3 4 12 8 7 2" xfId="32791"/>
    <cellStyle name="Normal 3 4 12 8 8" xfId="15295"/>
    <cellStyle name="Normal 3 4 12 8 8 2" xfId="32792"/>
    <cellStyle name="Normal 3 4 12 8 9" xfId="15296"/>
    <cellStyle name="Normal 3 4 12 8 9 2" xfId="32793"/>
    <cellStyle name="Normal 3 4 12 9" xfId="15297"/>
    <cellStyle name="Normal 3 4 12 9 10" xfId="15298"/>
    <cellStyle name="Normal 3 4 12 9 10 2" xfId="32795"/>
    <cellStyle name="Normal 3 4 12 9 11" xfId="15299"/>
    <cellStyle name="Normal 3 4 12 9 11 2" xfId="32796"/>
    <cellStyle name="Normal 3 4 12 9 12" xfId="15300"/>
    <cellStyle name="Normal 3 4 12 9 12 2" xfId="32797"/>
    <cellStyle name="Normal 3 4 12 9 13" xfId="15301"/>
    <cellStyle name="Normal 3 4 12 9 13 2" xfId="32798"/>
    <cellStyle name="Normal 3 4 12 9 14" xfId="15302"/>
    <cellStyle name="Normal 3 4 12 9 14 2" xfId="32799"/>
    <cellStyle name="Normal 3 4 12 9 15" xfId="32794"/>
    <cellStyle name="Normal 3 4 12 9 2" xfId="15303"/>
    <cellStyle name="Normal 3 4 12 9 2 2" xfId="32800"/>
    <cellStyle name="Normal 3 4 12 9 3" xfId="15304"/>
    <cellStyle name="Normal 3 4 12 9 3 2" xfId="32801"/>
    <cellStyle name="Normal 3 4 12 9 4" xfId="15305"/>
    <cellStyle name="Normal 3 4 12 9 4 2" xfId="32802"/>
    <cellStyle name="Normal 3 4 12 9 5" xfId="15306"/>
    <cellStyle name="Normal 3 4 12 9 5 2" xfId="32803"/>
    <cellStyle name="Normal 3 4 12 9 6" xfId="15307"/>
    <cellStyle name="Normal 3 4 12 9 6 2" xfId="32804"/>
    <cellStyle name="Normal 3 4 12 9 7" xfId="15308"/>
    <cellStyle name="Normal 3 4 12 9 7 2" xfId="32805"/>
    <cellStyle name="Normal 3 4 12 9 8" xfId="15309"/>
    <cellStyle name="Normal 3 4 12 9 8 2" xfId="32806"/>
    <cellStyle name="Normal 3 4 12 9 9" xfId="15310"/>
    <cellStyle name="Normal 3 4 12 9 9 2" xfId="32807"/>
    <cellStyle name="Normal 3 4 13" xfId="15311"/>
    <cellStyle name="Normal 3 4 13 10" xfId="15312"/>
    <cellStyle name="Normal 3 4 13 10 2" xfId="32809"/>
    <cellStyle name="Normal 3 4 13 11" xfId="15313"/>
    <cellStyle name="Normal 3 4 13 11 2" xfId="32810"/>
    <cellStyle name="Normal 3 4 13 12" xfId="15314"/>
    <cellStyle name="Normal 3 4 13 12 2" xfId="32811"/>
    <cellStyle name="Normal 3 4 13 13" xfId="15315"/>
    <cellStyle name="Normal 3 4 13 13 2" xfId="32812"/>
    <cellStyle name="Normal 3 4 13 14" xfId="15316"/>
    <cellStyle name="Normal 3 4 13 14 2" xfId="32813"/>
    <cellStyle name="Normal 3 4 13 15" xfId="15317"/>
    <cellStyle name="Normal 3 4 13 15 2" xfId="32814"/>
    <cellStyle name="Normal 3 4 13 16" xfId="32808"/>
    <cellStyle name="Normal 3 4 13 2" xfId="15318"/>
    <cellStyle name="Normal 3 4 13 2 10" xfId="15319"/>
    <cellStyle name="Normal 3 4 13 2 10 2" xfId="32816"/>
    <cellStyle name="Normal 3 4 13 2 11" xfId="15320"/>
    <cellStyle name="Normal 3 4 13 2 11 2" xfId="32817"/>
    <cellStyle name="Normal 3 4 13 2 12" xfId="15321"/>
    <cellStyle name="Normal 3 4 13 2 12 2" xfId="32818"/>
    <cellStyle name="Normal 3 4 13 2 13" xfId="15322"/>
    <cellStyle name="Normal 3 4 13 2 13 2" xfId="32819"/>
    <cellStyle name="Normal 3 4 13 2 14" xfId="15323"/>
    <cellStyle name="Normal 3 4 13 2 14 2" xfId="32820"/>
    <cellStyle name="Normal 3 4 13 2 15" xfId="32815"/>
    <cellStyle name="Normal 3 4 13 2 2" xfId="15324"/>
    <cellStyle name="Normal 3 4 13 2 2 2" xfId="32821"/>
    <cellStyle name="Normal 3 4 13 2 3" xfId="15325"/>
    <cellStyle name="Normal 3 4 13 2 3 2" xfId="32822"/>
    <cellStyle name="Normal 3 4 13 2 4" xfId="15326"/>
    <cellStyle name="Normal 3 4 13 2 4 2" xfId="32823"/>
    <cellStyle name="Normal 3 4 13 2 5" xfId="15327"/>
    <cellStyle name="Normal 3 4 13 2 5 2" xfId="32824"/>
    <cellStyle name="Normal 3 4 13 2 6" xfId="15328"/>
    <cellStyle name="Normal 3 4 13 2 6 2" xfId="32825"/>
    <cellStyle name="Normal 3 4 13 2 7" xfId="15329"/>
    <cellStyle name="Normal 3 4 13 2 7 2" xfId="32826"/>
    <cellStyle name="Normal 3 4 13 2 8" xfId="15330"/>
    <cellStyle name="Normal 3 4 13 2 8 2" xfId="32827"/>
    <cellStyle name="Normal 3 4 13 2 9" xfId="15331"/>
    <cellStyle name="Normal 3 4 13 2 9 2" xfId="32828"/>
    <cellStyle name="Normal 3 4 13 3" xfId="15332"/>
    <cellStyle name="Normal 3 4 13 3 2" xfId="32829"/>
    <cellStyle name="Normal 3 4 13 4" xfId="15333"/>
    <cellStyle name="Normal 3 4 13 4 2" xfId="32830"/>
    <cellStyle name="Normal 3 4 13 5" xfId="15334"/>
    <cellStyle name="Normal 3 4 13 5 2" xfId="32831"/>
    <cellStyle name="Normal 3 4 13 6" xfId="15335"/>
    <cellStyle name="Normal 3 4 13 6 2" xfId="32832"/>
    <cellStyle name="Normal 3 4 13 7" xfId="15336"/>
    <cellStyle name="Normal 3 4 13 7 2" xfId="32833"/>
    <cellStyle name="Normal 3 4 13 8" xfId="15337"/>
    <cellStyle name="Normal 3 4 13 8 2" xfId="32834"/>
    <cellStyle name="Normal 3 4 13 9" xfId="15338"/>
    <cellStyle name="Normal 3 4 13 9 2" xfId="32835"/>
    <cellStyle name="Normal 3 4 14" xfId="15339"/>
    <cellStyle name="Normal 3 4 14 10" xfId="15340"/>
    <cellStyle name="Normal 3 4 14 10 2" xfId="32837"/>
    <cellStyle name="Normal 3 4 14 11" xfId="15341"/>
    <cellStyle name="Normal 3 4 14 11 2" xfId="32838"/>
    <cellStyle name="Normal 3 4 14 12" xfId="15342"/>
    <cellStyle name="Normal 3 4 14 12 2" xfId="32839"/>
    <cellStyle name="Normal 3 4 14 13" xfId="15343"/>
    <cellStyle name="Normal 3 4 14 13 2" xfId="32840"/>
    <cellStyle name="Normal 3 4 14 14" xfId="15344"/>
    <cellStyle name="Normal 3 4 14 14 2" xfId="32841"/>
    <cellStyle name="Normal 3 4 14 15" xfId="15345"/>
    <cellStyle name="Normal 3 4 14 15 2" xfId="32842"/>
    <cellStyle name="Normal 3 4 14 16" xfId="32836"/>
    <cellStyle name="Normal 3 4 14 2" xfId="15346"/>
    <cellStyle name="Normal 3 4 14 2 10" xfId="15347"/>
    <cellStyle name="Normal 3 4 14 2 10 2" xfId="32844"/>
    <cellStyle name="Normal 3 4 14 2 11" xfId="15348"/>
    <cellStyle name="Normal 3 4 14 2 11 2" xfId="32845"/>
    <cellStyle name="Normal 3 4 14 2 12" xfId="15349"/>
    <cellStyle name="Normal 3 4 14 2 12 2" xfId="32846"/>
    <cellStyle name="Normal 3 4 14 2 13" xfId="15350"/>
    <cellStyle name="Normal 3 4 14 2 13 2" xfId="32847"/>
    <cellStyle name="Normal 3 4 14 2 14" xfId="15351"/>
    <cellStyle name="Normal 3 4 14 2 14 2" xfId="32848"/>
    <cellStyle name="Normal 3 4 14 2 15" xfId="32843"/>
    <cellStyle name="Normal 3 4 14 2 2" xfId="15352"/>
    <cellStyle name="Normal 3 4 14 2 2 2" xfId="32849"/>
    <cellStyle name="Normal 3 4 14 2 3" xfId="15353"/>
    <cellStyle name="Normal 3 4 14 2 3 2" xfId="32850"/>
    <cellStyle name="Normal 3 4 14 2 4" xfId="15354"/>
    <cellStyle name="Normal 3 4 14 2 4 2" xfId="32851"/>
    <cellStyle name="Normal 3 4 14 2 5" xfId="15355"/>
    <cellStyle name="Normal 3 4 14 2 5 2" xfId="32852"/>
    <cellStyle name="Normal 3 4 14 2 6" xfId="15356"/>
    <cellStyle name="Normal 3 4 14 2 6 2" xfId="32853"/>
    <cellStyle name="Normal 3 4 14 2 7" xfId="15357"/>
    <cellStyle name="Normal 3 4 14 2 7 2" xfId="32854"/>
    <cellStyle name="Normal 3 4 14 2 8" xfId="15358"/>
    <cellStyle name="Normal 3 4 14 2 8 2" xfId="32855"/>
    <cellStyle name="Normal 3 4 14 2 9" xfId="15359"/>
    <cellStyle name="Normal 3 4 14 2 9 2" xfId="32856"/>
    <cellStyle name="Normal 3 4 14 3" xfId="15360"/>
    <cellStyle name="Normal 3 4 14 3 2" xfId="32857"/>
    <cellStyle name="Normal 3 4 14 4" xfId="15361"/>
    <cellStyle name="Normal 3 4 14 4 2" xfId="32858"/>
    <cellStyle name="Normal 3 4 14 5" xfId="15362"/>
    <cellStyle name="Normal 3 4 14 5 2" xfId="32859"/>
    <cellStyle name="Normal 3 4 14 6" xfId="15363"/>
    <cellStyle name="Normal 3 4 14 6 2" xfId="32860"/>
    <cellStyle name="Normal 3 4 14 7" xfId="15364"/>
    <cellStyle name="Normal 3 4 14 7 2" xfId="32861"/>
    <cellStyle name="Normal 3 4 14 8" xfId="15365"/>
    <cellStyle name="Normal 3 4 14 8 2" xfId="32862"/>
    <cellStyle name="Normal 3 4 14 9" xfId="15366"/>
    <cellStyle name="Normal 3 4 14 9 2" xfId="32863"/>
    <cellStyle name="Normal 3 4 15" xfId="15367"/>
    <cellStyle name="Normal 3 4 15 10" xfId="15368"/>
    <cellStyle name="Normal 3 4 15 10 2" xfId="32865"/>
    <cellStyle name="Normal 3 4 15 11" xfId="15369"/>
    <cellStyle name="Normal 3 4 15 11 2" xfId="32866"/>
    <cellStyle name="Normal 3 4 15 12" xfId="15370"/>
    <cellStyle name="Normal 3 4 15 12 2" xfId="32867"/>
    <cellStyle name="Normal 3 4 15 13" xfId="15371"/>
    <cellStyle name="Normal 3 4 15 13 2" xfId="32868"/>
    <cellStyle name="Normal 3 4 15 14" xfId="15372"/>
    <cellStyle name="Normal 3 4 15 14 2" xfId="32869"/>
    <cellStyle name="Normal 3 4 15 15" xfId="15373"/>
    <cellStyle name="Normal 3 4 15 15 2" xfId="32870"/>
    <cellStyle name="Normal 3 4 15 16" xfId="32864"/>
    <cellStyle name="Normal 3 4 15 2" xfId="15374"/>
    <cellStyle name="Normal 3 4 15 2 10" xfId="15375"/>
    <cellStyle name="Normal 3 4 15 2 10 2" xfId="32872"/>
    <cellStyle name="Normal 3 4 15 2 11" xfId="15376"/>
    <cellStyle name="Normal 3 4 15 2 11 2" xfId="32873"/>
    <cellStyle name="Normal 3 4 15 2 12" xfId="15377"/>
    <cellStyle name="Normal 3 4 15 2 12 2" xfId="32874"/>
    <cellStyle name="Normal 3 4 15 2 13" xfId="15378"/>
    <cellStyle name="Normal 3 4 15 2 13 2" xfId="32875"/>
    <cellStyle name="Normal 3 4 15 2 14" xfId="15379"/>
    <cellStyle name="Normal 3 4 15 2 14 2" xfId="32876"/>
    <cellStyle name="Normal 3 4 15 2 15" xfId="32871"/>
    <cellStyle name="Normal 3 4 15 2 2" xfId="15380"/>
    <cellStyle name="Normal 3 4 15 2 2 2" xfId="32877"/>
    <cellStyle name="Normal 3 4 15 2 3" xfId="15381"/>
    <cellStyle name="Normal 3 4 15 2 3 2" xfId="32878"/>
    <cellStyle name="Normal 3 4 15 2 4" xfId="15382"/>
    <cellStyle name="Normal 3 4 15 2 4 2" xfId="32879"/>
    <cellStyle name="Normal 3 4 15 2 5" xfId="15383"/>
    <cellStyle name="Normal 3 4 15 2 5 2" xfId="32880"/>
    <cellStyle name="Normal 3 4 15 2 6" xfId="15384"/>
    <cellStyle name="Normal 3 4 15 2 6 2" xfId="32881"/>
    <cellStyle name="Normal 3 4 15 2 7" xfId="15385"/>
    <cellStyle name="Normal 3 4 15 2 7 2" xfId="32882"/>
    <cellStyle name="Normal 3 4 15 2 8" xfId="15386"/>
    <cellStyle name="Normal 3 4 15 2 8 2" xfId="32883"/>
    <cellStyle name="Normal 3 4 15 2 9" xfId="15387"/>
    <cellStyle name="Normal 3 4 15 2 9 2" xfId="32884"/>
    <cellStyle name="Normal 3 4 15 3" xfId="15388"/>
    <cellStyle name="Normal 3 4 15 3 2" xfId="32885"/>
    <cellStyle name="Normal 3 4 15 4" xfId="15389"/>
    <cellStyle name="Normal 3 4 15 4 2" xfId="32886"/>
    <cellStyle name="Normal 3 4 15 5" xfId="15390"/>
    <cellStyle name="Normal 3 4 15 5 2" xfId="32887"/>
    <cellStyle name="Normal 3 4 15 6" xfId="15391"/>
    <cellStyle name="Normal 3 4 15 6 2" xfId="32888"/>
    <cellStyle name="Normal 3 4 15 7" xfId="15392"/>
    <cellStyle name="Normal 3 4 15 7 2" xfId="32889"/>
    <cellStyle name="Normal 3 4 15 8" xfId="15393"/>
    <cellStyle name="Normal 3 4 15 8 2" xfId="32890"/>
    <cellStyle name="Normal 3 4 15 9" xfId="15394"/>
    <cellStyle name="Normal 3 4 15 9 2" xfId="32891"/>
    <cellStyle name="Normal 3 4 16" xfId="15395"/>
    <cellStyle name="Normal 3 4 16 10" xfId="15396"/>
    <cellStyle name="Normal 3 4 16 10 2" xfId="32893"/>
    <cellStyle name="Normal 3 4 16 11" xfId="15397"/>
    <cellStyle name="Normal 3 4 16 11 2" xfId="32894"/>
    <cellStyle name="Normal 3 4 16 12" xfId="15398"/>
    <cellStyle name="Normal 3 4 16 12 2" xfId="32895"/>
    <cellStyle name="Normal 3 4 16 13" xfId="15399"/>
    <cellStyle name="Normal 3 4 16 13 2" xfId="32896"/>
    <cellStyle name="Normal 3 4 16 14" xfId="15400"/>
    <cellStyle name="Normal 3 4 16 14 2" xfId="32897"/>
    <cellStyle name="Normal 3 4 16 15" xfId="32892"/>
    <cellStyle name="Normal 3 4 16 2" xfId="15401"/>
    <cellStyle name="Normal 3 4 16 2 2" xfId="32898"/>
    <cellStyle name="Normal 3 4 16 3" xfId="15402"/>
    <cellStyle name="Normal 3 4 16 3 2" xfId="32899"/>
    <cellStyle name="Normal 3 4 16 4" xfId="15403"/>
    <cellStyle name="Normal 3 4 16 4 2" xfId="32900"/>
    <cellStyle name="Normal 3 4 16 5" xfId="15404"/>
    <cellStyle name="Normal 3 4 16 5 2" xfId="32901"/>
    <cellStyle name="Normal 3 4 16 6" xfId="15405"/>
    <cellStyle name="Normal 3 4 16 6 2" xfId="32902"/>
    <cellStyle name="Normal 3 4 16 7" xfId="15406"/>
    <cellStyle name="Normal 3 4 16 7 2" xfId="32903"/>
    <cellStyle name="Normal 3 4 16 8" xfId="15407"/>
    <cellStyle name="Normal 3 4 16 8 2" xfId="32904"/>
    <cellStyle name="Normal 3 4 16 9" xfId="15408"/>
    <cellStyle name="Normal 3 4 16 9 2" xfId="32905"/>
    <cellStyle name="Normal 3 4 17" xfId="15409"/>
    <cellStyle name="Normal 3 4 17 10" xfId="15410"/>
    <cellStyle name="Normal 3 4 17 10 2" xfId="32907"/>
    <cellStyle name="Normal 3 4 17 11" xfId="15411"/>
    <cellStyle name="Normal 3 4 17 11 2" xfId="32908"/>
    <cellStyle name="Normal 3 4 17 12" xfId="15412"/>
    <cellStyle name="Normal 3 4 17 12 2" xfId="32909"/>
    <cellStyle name="Normal 3 4 17 13" xfId="15413"/>
    <cellStyle name="Normal 3 4 17 13 2" xfId="32910"/>
    <cellStyle name="Normal 3 4 17 14" xfId="15414"/>
    <cellStyle name="Normal 3 4 17 14 2" xfId="32911"/>
    <cellStyle name="Normal 3 4 17 15" xfId="32906"/>
    <cellStyle name="Normal 3 4 17 2" xfId="15415"/>
    <cellStyle name="Normal 3 4 17 2 2" xfId="32912"/>
    <cellStyle name="Normal 3 4 17 3" xfId="15416"/>
    <cellStyle name="Normal 3 4 17 3 2" xfId="32913"/>
    <cellStyle name="Normal 3 4 17 4" xfId="15417"/>
    <cellStyle name="Normal 3 4 17 4 2" xfId="32914"/>
    <cellStyle name="Normal 3 4 17 5" xfId="15418"/>
    <cellStyle name="Normal 3 4 17 5 2" xfId="32915"/>
    <cellStyle name="Normal 3 4 17 6" xfId="15419"/>
    <cellStyle name="Normal 3 4 17 6 2" xfId="32916"/>
    <cellStyle name="Normal 3 4 17 7" xfId="15420"/>
    <cellStyle name="Normal 3 4 17 7 2" xfId="32917"/>
    <cellStyle name="Normal 3 4 17 8" xfId="15421"/>
    <cellStyle name="Normal 3 4 17 8 2" xfId="32918"/>
    <cellStyle name="Normal 3 4 17 9" xfId="15422"/>
    <cellStyle name="Normal 3 4 17 9 2" xfId="32919"/>
    <cellStyle name="Normal 3 4 18" xfId="15423"/>
    <cellStyle name="Normal 3 4 18 10" xfId="15424"/>
    <cellStyle name="Normal 3 4 18 10 2" xfId="32921"/>
    <cellStyle name="Normal 3 4 18 11" xfId="15425"/>
    <cellStyle name="Normal 3 4 18 11 2" xfId="32922"/>
    <cellStyle name="Normal 3 4 18 12" xfId="15426"/>
    <cellStyle name="Normal 3 4 18 12 2" xfId="32923"/>
    <cellStyle name="Normal 3 4 18 13" xfId="15427"/>
    <cellStyle name="Normal 3 4 18 13 2" xfId="32924"/>
    <cellStyle name="Normal 3 4 18 14" xfId="15428"/>
    <cellStyle name="Normal 3 4 18 14 2" xfId="32925"/>
    <cellStyle name="Normal 3 4 18 15" xfId="32920"/>
    <cellStyle name="Normal 3 4 18 2" xfId="15429"/>
    <cellStyle name="Normal 3 4 18 2 2" xfId="32926"/>
    <cellStyle name="Normal 3 4 18 3" xfId="15430"/>
    <cellStyle name="Normal 3 4 18 3 2" xfId="32927"/>
    <cellStyle name="Normal 3 4 18 4" xfId="15431"/>
    <cellStyle name="Normal 3 4 18 4 2" xfId="32928"/>
    <cellStyle name="Normal 3 4 18 5" xfId="15432"/>
    <cellStyle name="Normal 3 4 18 5 2" xfId="32929"/>
    <cellStyle name="Normal 3 4 18 6" xfId="15433"/>
    <cellStyle name="Normal 3 4 18 6 2" xfId="32930"/>
    <cellStyle name="Normal 3 4 18 7" xfId="15434"/>
    <cellStyle name="Normal 3 4 18 7 2" xfId="32931"/>
    <cellStyle name="Normal 3 4 18 8" xfId="15435"/>
    <cellStyle name="Normal 3 4 18 8 2" xfId="32932"/>
    <cellStyle name="Normal 3 4 18 9" xfId="15436"/>
    <cellStyle name="Normal 3 4 18 9 2" xfId="32933"/>
    <cellStyle name="Normal 3 4 19" xfId="15437"/>
    <cellStyle name="Normal 3 4 19 10" xfId="15438"/>
    <cellStyle name="Normal 3 4 19 10 2" xfId="32935"/>
    <cellStyle name="Normal 3 4 19 11" xfId="15439"/>
    <cellStyle name="Normal 3 4 19 11 2" xfId="32936"/>
    <cellStyle name="Normal 3 4 19 12" xfId="15440"/>
    <cellStyle name="Normal 3 4 19 12 2" xfId="32937"/>
    <cellStyle name="Normal 3 4 19 13" xfId="15441"/>
    <cellStyle name="Normal 3 4 19 13 2" xfId="32938"/>
    <cellStyle name="Normal 3 4 19 14" xfId="15442"/>
    <cellStyle name="Normal 3 4 19 14 2" xfId="32939"/>
    <cellStyle name="Normal 3 4 19 15" xfId="32934"/>
    <cellStyle name="Normal 3 4 19 2" xfId="15443"/>
    <cellStyle name="Normal 3 4 19 2 2" xfId="32940"/>
    <cellStyle name="Normal 3 4 19 3" xfId="15444"/>
    <cellStyle name="Normal 3 4 19 3 2" xfId="32941"/>
    <cellStyle name="Normal 3 4 19 4" xfId="15445"/>
    <cellStyle name="Normal 3 4 19 4 2" xfId="32942"/>
    <cellStyle name="Normal 3 4 19 5" xfId="15446"/>
    <cellStyle name="Normal 3 4 19 5 2" xfId="32943"/>
    <cellStyle name="Normal 3 4 19 6" xfId="15447"/>
    <cellStyle name="Normal 3 4 19 6 2" xfId="32944"/>
    <cellStyle name="Normal 3 4 19 7" xfId="15448"/>
    <cellStyle name="Normal 3 4 19 7 2" xfId="32945"/>
    <cellStyle name="Normal 3 4 19 8" xfId="15449"/>
    <cellStyle name="Normal 3 4 19 8 2" xfId="32946"/>
    <cellStyle name="Normal 3 4 19 9" xfId="15450"/>
    <cellStyle name="Normal 3 4 19 9 2" xfId="32947"/>
    <cellStyle name="Normal 3 4 2" xfId="15451"/>
    <cellStyle name="Normal 3 4 2 10" xfId="15452"/>
    <cellStyle name="Normal 3 4 2 10 10" xfId="15453"/>
    <cellStyle name="Normal 3 4 2 10 10 2" xfId="32949"/>
    <cellStyle name="Normal 3 4 2 10 11" xfId="15454"/>
    <cellStyle name="Normal 3 4 2 10 11 2" xfId="32950"/>
    <cellStyle name="Normal 3 4 2 10 12" xfId="15455"/>
    <cellStyle name="Normal 3 4 2 10 12 2" xfId="32951"/>
    <cellStyle name="Normal 3 4 2 10 13" xfId="15456"/>
    <cellStyle name="Normal 3 4 2 10 13 2" xfId="32952"/>
    <cellStyle name="Normal 3 4 2 10 14" xfId="15457"/>
    <cellStyle name="Normal 3 4 2 10 14 2" xfId="32953"/>
    <cellStyle name="Normal 3 4 2 10 15" xfId="32948"/>
    <cellStyle name="Normal 3 4 2 10 2" xfId="15458"/>
    <cellStyle name="Normal 3 4 2 10 2 2" xfId="32954"/>
    <cellStyle name="Normal 3 4 2 10 3" xfId="15459"/>
    <cellStyle name="Normal 3 4 2 10 3 2" xfId="32955"/>
    <cellStyle name="Normal 3 4 2 10 4" xfId="15460"/>
    <cellStyle name="Normal 3 4 2 10 4 2" xfId="32956"/>
    <cellStyle name="Normal 3 4 2 10 5" xfId="15461"/>
    <cellStyle name="Normal 3 4 2 10 5 2" xfId="32957"/>
    <cellStyle name="Normal 3 4 2 10 6" xfId="15462"/>
    <cellStyle name="Normal 3 4 2 10 6 2" xfId="32958"/>
    <cellStyle name="Normal 3 4 2 10 7" xfId="15463"/>
    <cellStyle name="Normal 3 4 2 10 7 2" xfId="32959"/>
    <cellStyle name="Normal 3 4 2 10 8" xfId="15464"/>
    <cellStyle name="Normal 3 4 2 10 8 2" xfId="32960"/>
    <cellStyle name="Normal 3 4 2 10 9" xfId="15465"/>
    <cellStyle name="Normal 3 4 2 10 9 2" xfId="32961"/>
    <cellStyle name="Normal 3 4 2 11" xfId="15466"/>
    <cellStyle name="Normal 3 4 2 11 10" xfId="15467"/>
    <cellStyle name="Normal 3 4 2 11 10 2" xfId="32963"/>
    <cellStyle name="Normal 3 4 2 11 11" xfId="15468"/>
    <cellStyle name="Normal 3 4 2 11 11 2" xfId="32964"/>
    <cellStyle name="Normal 3 4 2 11 12" xfId="15469"/>
    <cellStyle name="Normal 3 4 2 11 12 2" xfId="32965"/>
    <cellStyle name="Normal 3 4 2 11 13" xfId="15470"/>
    <cellStyle name="Normal 3 4 2 11 13 2" xfId="32966"/>
    <cellStyle name="Normal 3 4 2 11 14" xfId="15471"/>
    <cellStyle name="Normal 3 4 2 11 14 2" xfId="32967"/>
    <cellStyle name="Normal 3 4 2 11 15" xfId="32962"/>
    <cellStyle name="Normal 3 4 2 11 2" xfId="15472"/>
    <cellStyle name="Normal 3 4 2 11 2 2" xfId="32968"/>
    <cellStyle name="Normal 3 4 2 11 3" xfId="15473"/>
    <cellStyle name="Normal 3 4 2 11 3 2" xfId="32969"/>
    <cellStyle name="Normal 3 4 2 11 4" xfId="15474"/>
    <cellStyle name="Normal 3 4 2 11 4 2" xfId="32970"/>
    <cellStyle name="Normal 3 4 2 11 5" xfId="15475"/>
    <cellStyle name="Normal 3 4 2 11 5 2" xfId="32971"/>
    <cellStyle name="Normal 3 4 2 11 6" xfId="15476"/>
    <cellStyle name="Normal 3 4 2 11 6 2" xfId="32972"/>
    <cellStyle name="Normal 3 4 2 11 7" xfId="15477"/>
    <cellStyle name="Normal 3 4 2 11 7 2" xfId="32973"/>
    <cellStyle name="Normal 3 4 2 11 8" xfId="15478"/>
    <cellStyle name="Normal 3 4 2 11 8 2" xfId="32974"/>
    <cellStyle name="Normal 3 4 2 11 9" xfId="15479"/>
    <cellStyle name="Normal 3 4 2 11 9 2" xfId="32975"/>
    <cellStyle name="Normal 3 4 2 12" xfId="15480"/>
    <cellStyle name="Normal 3 4 2 12 10" xfId="15481"/>
    <cellStyle name="Normal 3 4 2 12 10 2" xfId="32977"/>
    <cellStyle name="Normal 3 4 2 12 11" xfId="15482"/>
    <cellStyle name="Normal 3 4 2 12 11 2" xfId="32978"/>
    <cellStyle name="Normal 3 4 2 12 12" xfId="15483"/>
    <cellStyle name="Normal 3 4 2 12 12 2" xfId="32979"/>
    <cellStyle name="Normal 3 4 2 12 13" xfId="15484"/>
    <cellStyle name="Normal 3 4 2 12 13 2" xfId="32980"/>
    <cellStyle name="Normal 3 4 2 12 14" xfId="15485"/>
    <cellStyle name="Normal 3 4 2 12 14 2" xfId="32981"/>
    <cellStyle name="Normal 3 4 2 12 15" xfId="32976"/>
    <cellStyle name="Normal 3 4 2 12 2" xfId="15486"/>
    <cellStyle name="Normal 3 4 2 12 2 2" xfId="32982"/>
    <cellStyle name="Normal 3 4 2 12 3" xfId="15487"/>
    <cellStyle name="Normal 3 4 2 12 3 2" xfId="32983"/>
    <cellStyle name="Normal 3 4 2 12 4" xfId="15488"/>
    <cellStyle name="Normal 3 4 2 12 4 2" xfId="32984"/>
    <cellStyle name="Normal 3 4 2 12 5" xfId="15489"/>
    <cellStyle name="Normal 3 4 2 12 5 2" xfId="32985"/>
    <cellStyle name="Normal 3 4 2 12 6" xfId="15490"/>
    <cellStyle name="Normal 3 4 2 12 6 2" xfId="32986"/>
    <cellStyle name="Normal 3 4 2 12 7" xfId="15491"/>
    <cellStyle name="Normal 3 4 2 12 7 2" xfId="32987"/>
    <cellStyle name="Normal 3 4 2 12 8" xfId="15492"/>
    <cellStyle name="Normal 3 4 2 12 8 2" xfId="32988"/>
    <cellStyle name="Normal 3 4 2 12 9" xfId="15493"/>
    <cellStyle name="Normal 3 4 2 12 9 2" xfId="32989"/>
    <cellStyle name="Normal 3 4 2 13" xfId="15494"/>
    <cellStyle name="Normal 3 4 2 13 10" xfId="15495"/>
    <cellStyle name="Normal 3 4 2 13 10 2" xfId="32991"/>
    <cellStyle name="Normal 3 4 2 13 11" xfId="15496"/>
    <cellStyle name="Normal 3 4 2 13 11 2" xfId="32992"/>
    <cellStyle name="Normal 3 4 2 13 12" xfId="15497"/>
    <cellStyle name="Normal 3 4 2 13 12 2" xfId="32993"/>
    <cellStyle name="Normal 3 4 2 13 13" xfId="15498"/>
    <cellStyle name="Normal 3 4 2 13 13 2" xfId="32994"/>
    <cellStyle name="Normal 3 4 2 13 14" xfId="15499"/>
    <cellStyle name="Normal 3 4 2 13 14 2" xfId="32995"/>
    <cellStyle name="Normal 3 4 2 13 15" xfId="32990"/>
    <cellStyle name="Normal 3 4 2 13 2" xfId="15500"/>
    <cellStyle name="Normal 3 4 2 13 2 2" xfId="32996"/>
    <cellStyle name="Normal 3 4 2 13 3" xfId="15501"/>
    <cellStyle name="Normal 3 4 2 13 3 2" xfId="32997"/>
    <cellStyle name="Normal 3 4 2 13 4" xfId="15502"/>
    <cellStyle name="Normal 3 4 2 13 4 2" xfId="32998"/>
    <cellStyle name="Normal 3 4 2 13 5" xfId="15503"/>
    <cellStyle name="Normal 3 4 2 13 5 2" xfId="32999"/>
    <cellStyle name="Normal 3 4 2 13 6" xfId="15504"/>
    <cellStyle name="Normal 3 4 2 13 6 2" xfId="33000"/>
    <cellStyle name="Normal 3 4 2 13 7" xfId="15505"/>
    <cellStyle name="Normal 3 4 2 13 7 2" xfId="33001"/>
    <cellStyle name="Normal 3 4 2 13 8" xfId="15506"/>
    <cellStyle name="Normal 3 4 2 13 8 2" xfId="33002"/>
    <cellStyle name="Normal 3 4 2 13 9" xfId="15507"/>
    <cellStyle name="Normal 3 4 2 13 9 2" xfId="33003"/>
    <cellStyle name="Normal 3 4 2 14" xfId="15508"/>
    <cellStyle name="Normal 3 4 2 14 10" xfId="15509"/>
    <cellStyle name="Normal 3 4 2 14 10 2" xfId="33005"/>
    <cellStyle name="Normal 3 4 2 14 11" xfId="15510"/>
    <cellStyle name="Normal 3 4 2 14 11 2" xfId="33006"/>
    <cellStyle name="Normal 3 4 2 14 12" xfId="15511"/>
    <cellStyle name="Normal 3 4 2 14 12 2" xfId="33007"/>
    <cellStyle name="Normal 3 4 2 14 13" xfId="15512"/>
    <cellStyle name="Normal 3 4 2 14 13 2" xfId="33008"/>
    <cellStyle name="Normal 3 4 2 14 14" xfId="15513"/>
    <cellStyle name="Normal 3 4 2 14 14 2" xfId="33009"/>
    <cellStyle name="Normal 3 4 2 14 15" xfId="33004"/>
    <cellStyle name="Normal 3 4 2 14 2" xfId="15514"/>
    <cellStyle name="Normal 3 4 2 14 2 2" xfId="33010"/>
    <cellStyle name="Normal 3 4 2 14 3" xfId="15515"/>
    <cellStyle name="Normal 3 4 2 14 3 2" xfId="33011"/>
    <cellStyle name="Normal 3 4 2 14 4" xfId="15516"/>
    <cellStyle name="Normal 3 4 2 14 4 2" xfId="33012"/>
    <cellStyle name="Normal 3 4 2 14 5" xfId="15517"/>
    <cellStyle name="Normal 3 4 2 14 5 2" xfId="33013"/>
    <cellStyle name="Normal 3 4 2 14 6" xfId="15518"/>
    <cellStyle name="Normal 3 4 2 14 6 2" xfId="33014"/>
    <cellStyle name="Normal 3 4 2 14 7" xfId="15519"/>
    <cellStyle name="Normal 3 4 2 14 7 2" xfId="33015"/>
    <cellStyle name="Normal 3 4 2 14 8" xfId="15520"/>
    <cellStyle name="Normal 3 4 2 14 8 2" xfId="33016"/>
    <cellStyle name="Normal 3 4 2 14 9" xfId="15521"/>
    <cellStyle name="Normal 3 4 2 14 9 2" xfId="33017"/>
    <cellStyle name="Normal 3 4 2 15" xfId="15522"/>
    <cellStyle name="Normal 3 4 2 16" xfId="15523"/>
    <cellStyle name="Normal 3 4 2 17" xfId="15524"/>
    <cellStyle name="Normal 3 4 2 17 10" xfId="15525"/>
    <cellStyle name="Normal 3 4 2 17 10 2" xfId="33019"/>
    <cellStyle name="Normal 3 4 2 17 11" xfId="15526"/>
    <cellStyle name="Normal 3 4 2 17 11 2" xfId="33020"/>
    <cellStyle name="Normal 3 4 2 17 12" xfId="15527"/>
    <cellStyle name="Normal 3 4 2 17 12 2" xfId="33021"/>
    <cellStyle name="Normal 3 4 2 17 13" xfId="15528"/>
    <cellStyle name="Normal 3 4 2 17 13 2" xfId="33022"/>
    <cellStyle name="Normal 3 4 2 17 14" xfId="15529"/>
    <cellStyle name="Normal 3 4 2 17 14 2" xfId="33023"/>
    <cellStyle name="Normal 3 4 2 17 15" xfId="33018"/>
    <cellStyle name="Normal 3 4 2 17 2" xfId="15530"/>
    <cellStyle name="Normal 3 4 2 17 2 2" xfId="33024"/>
    <cellStyle name="Normal 3 4 2 17 3" xfId="15531"/>
    <cellStyle name="Normal 3 4 2 17 3 2" xfId="33025"/>
    <cellStyle name="Normal 3 4 2 17 4" xfId="15532"/>
    <cellStyle name="Normal 3 4 2 17 4 2" xfId="33026"/>
    <cellStyle name="Normal 3 4 2 17 5" xfId="15533"/>
    <cellStyle name="Normal 3 4 2 17 5 2" xfId="33027"/>
    <cellStyle name="Normal 3 4 2 17 6" xfId="15534"/>
    <cellStyle name="Normal 3 4 2 17 6 2" xfId="33028"/>
    <cellStyle name="Normal 3 4 2 17 7" xfId="15535"/>
    <cellStyle name="Normal 3 4 2 17 7 2" xfId="33029"/>
    <cellStyle name="Normal 3 4 2 17 8" xfId="15536"/>
    <cellStyle name="Normal 3 4 2 17 8 2" xfId="33030"/>
    <cellStyle name="Normal 3 4 2 17 9" xfId="15537"/>
    <cellStyle name="Normal 3 4 2 17 9 2" xfId="33031"/>
    <cellStyle name="Normal 3 4 2 18" xfId="15538"/>
    <cellStyle name="Normal 3 4 2 18 10" xfId="15539"/>
    <cellStyle name="Normal 3 4 2 18 10 2" xfId="33033"/>
    <cellStyle name="Normal 3 4 2 18 11" xfId="15540"/>
    <cellStyle name="Normal 3 4 2 18 11 2" xfId="33034"/>
    <cellStyle name="Normal 3 4 2 18 12" xfId="15541"/>
    <cellStyle name="Normal 3 4 2 18 12 2" xfId="33035"/>
    <cellStyle name="Normal 3 4 2 18 13" xfId="15542"/>
    <cellStyle name="Normal 3 4 2 18 13 2" xfId="33036"/>
    <cellStyle name="Normal 3 4 2 18 14" xfId="15543"/>
    <cellStyle name="Normal 3 4 2 18 14 2" xfId="33037"/>
    <cellStyle name="Normal 3 4 2 18 15" xfId="33032"/>
    <cellStyle name="Normal 3 4 2 18 2" xfId="15544"/>
    <cellStyle name="Normal 3 4 2 18 2 2" xfId="33038"/>
    <cellStyle name="Normal 3 4 2 18 3" xfId="15545"/>
    <cellStyle name="Normal 3 4 2 18 3 2" xfId="33039"/>
    <cellStyle name="Normal 3 4 2 18 4" xfId="15546"/>
    <cellStyle name="Normal 3 4 2 18 4 2" xfId="33040"/>
    <cellStyle name="Normal 3 4 2 18 5" xfId="15547"/>
    <cellStyle name="Normal 3 4 2 18 5 2" xfId="33041"/>
    <cellStyle name="Normal 3 4 2 18 6" xfId="15548"/>
    <cellStyle name="Normal 3 4 2 18 6 2" xfId="33042"/>
    <cellStyle name="Normal 3 4 2 18 7" xfId="15549"/>
    <cellStyle name="Normal 3 4 2 18 7 2" xfId="33043"/>
    <cellStyle name="Normal 3 4 2 18 8" xfId="15550"/>
    <cellStyle name="Normal 3 4 2 18 8 2" xfId="33044"/>
    <cellStyle name="Normal 3 4 2 18 9" xfId="15551"/>
    <cellStyle name="Normal 3 4 2 18 9 2" xfId="33045"/>
    <cellStyle name="Normal 3 4 2 2" xfId="15552"/>
    <cellStyle name="Normal 3 4 2 2 10" xfId="15553"/>
    <cellStyle name="Normal 3 4 2 2 10 2" xfId="33047"/>
    <cellStyle name="Normal 3 4 2 2 11" xfId="15554"/>
    <cellStyle name="Normal 3 4 2 2 11 2" xfId="33048"/>
    <cellStyle name="Normal 3 4 2 2 12" xfId="15555"/>
    <cellStyle name="Normal 3 4 2 2 12 2" xfId="33049"/>
    <cellStyle name="Normal 3 4 2 2 13" xfId="15556"/>
    <cellStyle name="Normal 3 4 2 2 13 2" xfId="33050"/>
    <cellStyle name="Normal 3 4 2 2 14" xfId="15557"/>
    <cellStyle name="Normal 3 4 2 2 14 2" xfId="33051"/>
    <cellStyle name="Normal 3 4 2 2 15" xfId="15558"/>
    <cellStyle name="Normal 3 4 2 2 15 2" xfId="33052"/>
    <cellStyle name="Normal 3 4 2 2 16" xfId="15559"/>
    <cellStyle name="Normal 3 4 2 2 16 2" xfId="33053"/>
    <cellStyle name="Normal 3 4 2 2 17" xfId="15560"/>
    <cellStyle name="Normal 3 4 2 2 17 2" xfId="33054"/>
    <cellStyle name="Normal 3 4 2 2 18" xfId="33046"/>
    <cellStyle name="Normal 3 4 2 2 2" xfId="15561"/>
    <cellStyle name="Normal 3 4 2 2 3" xfId="15562"/>
    <cellStyle name="Normal 3 4 2 2 4" xfId="15563"/>
    <cellStyle name="Normal 3 4 2 2 5" xfId="15564"/>
    <cellStyle name="Normal 3 4 2 2 5 2" xfId="33055"/>
    <cellStyle name="Normal 3 4 2 2 6" xfId="15565"/>
    <cellStyle name="Normal 3 4 2 2 6 2" xfId="33056"/>
    <cellStyle name="Normal 3 4 2 2 7" xfId="15566"/>
    <cellStyle name="Normal 3 4 2 2 7 2" xfId="33057"/>
    <cellStyle name="Normal 3 4 2 2 8" xfId="15567"/>
    <cellStyle name="Normal 3 4 2 2 8 2" xfId="33058"/>
    <cellStyle name="Normal 3 4 2 2 9" xfId="15568"/>
    <cellStyle name="Normal 3 4 2 2 9 2" xfId="33059"/>
    <cellStyle name="Normal 3 4 2 3" xfId="15569"/>
    <cellStyle name="Normal 3 4 2 4" xfId="15570"/>
    <cellStyle name="Normal 3 4 2 5" xfId="15571"/>
    <cellStyle name="Normal 3 4 2 6" xfId="15572"/>
    <cellStyle name="Normal 3 4 2 6 10" xfId="15573"/>
    <cellStyle name="Normal 3 4 2 6 10 2" xfId="33061"/>
    <cellStyle name="Normal 3 4 2 6 11" xfId="15574"/>
    <cellStyle name="Normal 3 4 2 6 11 2" xfId="33062"/>
    <cellStyle name="Normal 3 4 2 6 12" xfId="15575"/>
    <cellStyle name="Normal 3 4 2 6 12 2" xfId="33063"/>
    <cellStyle name="Normal 3 4 2 6 13" xfId="15576"/>
    <cellStyle name="Normal 3 4 2 6 13 2" xfId="33064"/>
    <cellStyle name="Normal 3 4 2 6 14" xfId="15577"/>
    <cellStyle name="Normal 3 4 2 6 14 2" xfId="33065"/>
    <cellStyle name="Normal 3 4 2 6 15" xfId="15578"/>
    <cellStyle name="Normal 3 4 2 6 15 2" xfId="33066"/>
    <cellStyle name="Normal 3 4 2 6 16" xfId="33060"/>
    <cellStyle name="Normal 3 4 2 6 2" xfId="15579"/>
    <cellStyle name="Normal 3 4 2 6 2 10" xfId="15580"/>
    <cellStyle name="Normal 3 4 2 6 2 10 2" xfId="33068"/>
    <cellStyle name="Normal 3 4 2 6 2 11" xfId="15581"/>
    <cellStyle name="Normal 3 4 2 6 2 11 2" xfId="33069"/>
    <cellStyle name="Normal 3 4 2 6 2 12" xfId="15582"/>
    <cellStyle name="Normal 3 4 2 6 2 12 2" xfId="33070"/>
    <cellStyle name="Normal 3 4 2 6 2 13" xfId="15583"/>
    <cellStyle name="Normal 3 4 2 6 2 13 2" xfId="33071"/>
    <cellStyle name="Normal 3 4 2 6 2 14" xfId="15584"/>
    <cellStyle name="Normal 3 4 2 6 2 14 2" xfId="33072"/>
    <cellStyle name="Normal 3 4 2 6 2 15" xfId="33067"/>
    <cellStyle name="Normal 3 4 2 6 2 2" xfId="15585"/>
    <cellStyle name="Normal 3 4 2 6 2 2 2" xfId="33073"/>
    <cellStyle name="Normal 3 4 2 6 2 3" xfId="15586"/>
    <cellStyle name="Normal 3 4 2 6 2 3 2" xfId="33074"/>
    <cellStyle name="Normal 3 4 2 6 2 4" xfId="15587"/>
    <cellStyle name="Normal 3 4 2 6 2 4 2" xfId="33075"/>
    <cellStyle name="Normal 3 4 2 6 2 5" xfId="15588"/>
    <cellStyle name="Normal 3 4 2 6 2 5 2" xfId="33076"/>
    <cellStyle name="Normal 3 4 2 6 2 6" xfId="15589"/>
    <cellStyle name="Normal 3 4 2 6 2 6 2" xfId="33077"/>
    <cellStyle name="Normal 3 4 2 6 2 7" xfId="15590"/>
    <cellStyle name="Normal 3 4 2 6 2 7 2" xfId="33078"/>
    <cellStyle name="Normal 3 4 2 6 2 8" xfId="15591"/>
    <cellStyle name="Normal 3 4 2 6 2 8 2" xfId="33079"/>
    <cellStyle name="Normal 3 4 2 6 2 9" xfId="15592"/>
    <cellStyle name="Normal 3 4 2 6 2 9 2" xfId="33080"/>
    <cellStyle name="Normal 3 4 2 6 3" xfId="15593"/>
    <cellStyle name="Normal 3 4 2 6 3 2" xfId="33081"/>
    <cellStyle name="Normal 3 4 2 6 4" xfId="15594"/>
    <cellStyle name="Normal 3 4 2 6 4 2" xfId="33082"/>
    <cellStyle name="Normal 3 4 2 6 5" xfId="15595"/>
    <cellStyle name="Normal 3 4 2 6 5 2" xfId="33083"/>
    <cellStyle name="Normal 3 4 2 6 6" xfId="15596"/>
    <cellStyle name="Normal 3 4 2 6 6 2" xfId="33084"/>
    <cellStyle name="Normal 3 4 2 6 7" xfId="15597"/>
    <cellStyle name="Normal 3 4 2 6 7 2" xfId="33085"/>
    <cellStyle name="Normal 3 4 2 6 8" xfId="15598"/>
    <cellStyle name="Normal 3 4 2 6 8 2" xfId="33086"/>
    <cellStyle name="Normal 3 4 2 6 9" xfId="15599"/>
    <cellStyle name="Normal 3 4 2 6 9 2" xfId="33087"/>
    <cellStyle name="Normal 3 4 2 7" xfId="15600"/>
    <cellStyle name="Normal 3 4 2 7 10" xfId="15601"/>
    <cellStyle name="Normal 3 4 2 7 10 2" xfId="33089"/>
    <cellStyle name="Normal 3 4 2 7 11" xfId="15602"/>
    <cellStyle name="Normal 3 4 2 7 11 2" xfId="33090"/>
    <cellStyle name="Normal 3 4 2 7 12" xfId="15603"/>
    <cellStyle name="Normal 3 4 2 7 12 2" xfId="33091"/>
    <cellStyle name="Normal 3 4 2 7 13" xfId="15604"/>
    <cellStyle name="Normal 3 4 2 7 13 2" xfId="33092"/>
    <cellStyle name="Normal 3 4 2 7 14" xfId="15605"/>
    <cellStyle name="Normal 3 4 2 7 14 2" xfId="33093"/>
    <cellStyle name="Normal 3 4 2 7 15" xfId="15606"/>
    <cellStyle name="Normal 3 4 2 7 15 2" xfId="33094"/>
    <cellStyle name="Normal 3 4 2 7 16" xfId="33088"/>
    <cellStyle name="Normal 3 4 2 7 2" xfId="15607"/>
    <cellStyle name="Normal 3 4 2 7 2 10" xfId="15608"/>
    <cellStyle name="Normal 3 4 2 7 2 10 2" xfId="33096"/>
    <cellStyle name="Normal 3 4 2 7 2 11" xfId="15609"/>
    <cellStyle name="Normal 3 4 2 7 2 11 2" xfId="33097"/>
    <cellStyle name="Normal 3 4 2 7 2 12" xfId="15610"/>
    <cellStyle name="Normal 3 4 2 7 2 12 2" xfId="33098"/>
    <cellStyle name="Normal 3 4 2 7 2 13" xfId="15611"/>
    <cellStyle name="Normal 3 4 2 7 2 13 2" xfId="33099"/>
    <cellStyle name="Normal 3 4 2 7 2 14" xfId="15612"/>
    <cellStyle name="Normal 3 4 2 7 2 14 2" xfId="33100"/>
    <cellStyle name="Normal 3 4 2 7 2 15" xfId="33095"/>
    <cellStyle name="Normal 3 4 2 7 2 2" xfId="15613"/>
    <cellStyle name="Normal 3 4 2 7 2 2 2" xfId="33101"/>
    <cellStyle name="Normal 3 4 2 7 2 3" xfId="15614"/>
    <cellStyle name="Normal 3 4 2 7 2 3 2" xfId="33102"/>
    <cellStyle name="Normal 3 4 2 7 2 4" xfId="15615"/>
    <cellStyle name="Normal 3 4 2 7 2 4 2" xfId="33103"/>
    <cellStyle name="Normal 3 4 2 7 2 5" xfId="15616"/>
    <cellStyle name="Normal 3 4 2 7 2 5 2" xfId="33104"/>
    <cellStyle name="Normal 3 4 2 7 2 6" xfId="15617"/>
    <cellStyle name="Normal 3 4 2 7 2 6 2" xfId="33105"/>
    <cellStyle name="Normal 3 4 2 7 2 7" xfId="15618"/>
    <cellStyle name="Normal 3 4 2 7 2 7 2" xfId="33106"/>
    <cellStyle name="Normal 3 4 2 7 2 8" xfId="15619"/>
    <cellStyle name="Normal 3 4 2 7 2 8 2" xfId="33107"/>
    <cellStyle name="Normal 3 4 2 7 2 9" xfId="15620"/>
    <cellStyle name="Normal 3 4 2 7 2 9 2" xfId="33108"/>
    <cellStyle name="Normal 3 4 2 7 3" xfId="15621"/>
    <cellStyle name="Normal 3 4 2 7 3 2" xfId="33109"/>
    <cellStyle name="Normal 3 4 2 7 4" xfId="15622"/>
    <cellStyle name="Normal 3 4 2 7 4 2" xfId="33110"/>
    <cellStyle name="Normal 3 4 2 7 5" xfId="15623"/>
    <cellStyle name="Normal 3 4 2 7 5 2" xfId="33111"/>
    <cellStyle name="Normal 3 4 2 7 6" xfId="15624"/>
    <cellStyle name="Normal 3 4 2 7 6 2" xfId="33112"/>
    <cellStyle name="Normal 3 4 2 7 7" xfId="15625"/>
    <cellStyle name="Normal 3 4 2 7 7 2" xfId="33113"/>
    <cellStyle name="Normal 3 4 2 7 8" xfId="15626"/>
    <cellStyle name="Normal 3 4 2 7 8 2" xfId="33114"/>
    <cellStyle name="Normal 3 4 2 7 9" xfId="15627"/>
    <cellStyle name="Normal 3 4 2 7 9 2" xfId="33115"/>
    <cellStyle name="Normal 3 4 2 8" xfId="15628"/>
    <cellStyle name="Normal 3 4 2 8 10" xfId="15629"/>
    <cellStyle name="Normal 3 4 2 8 10 2" xfId="33117"/>
    <cellStyle name="Normal 3 4 2 8 11" xfId="15630"/>
    <cellStyle name="Normal 3 4 2 8 11 2" xfId="33118"/>
    <cellStyle name="Normal 3 4 2 8 12" xfId="15631"/>
    <cellStyle name="Normal 3 4 2 8 12 2" xfId="33119"/>
    <cellStyle name="Normal 3 4 2 8 13" xfId="15632"/>
    <cellStyle name="Normal 3 4 2 8 13 2" xfId="33120"/>
    <cellStyle name="Normal 3 4 2 8 14" xfId="15633"/>
    <cellStyle name="Normal 3 4 2 8 14 2" xfId="33121"/>
    <cellStyle name="Normal 3 4 2 8 15" xfId="15634"/>
    <cellStyle name="Normal 3 4 2 8 15 2" xfId="33122"/>
    <cellStyle name="Normal 3 4 2 8 16" xfId="33116"/>
    <cellStyle name="Normal 3 4 2 8 2" xfId="15635"/>
    <cellStyle name="Normal 3 4 2 8 2 10" xfId="15636"/>
    <cellStyle name="Normal 3 4 2 8 2 10 2" xfId="33124"/>
    <cellStyle name="Normal 3 4 2 8 2 11" xfId="15637"/>
    <cellStyle name="Normal 3 4 2 8 2 11 2" xfId="33125"/>
    <cellStyle name="Normal 3 4 2 8 2 12" xfId="15638"/>
    <cellStyle name="Normal 3 4 2 8 2 12 2" xfId="33126"/>
    <cellStyle name="Normal 3 4 2 8 2 13" xfId="15639"/>
    <cellStyle name="Normal 3 4 2 8 2 13 2" xfId="33127"/>
    <cellStyle name="Normal 3 4 2 8 2 14" xfId="15640"/>
    <cellStyle name="Normal 3 4 2 8 2 14 2" xfId="33128"/>
    <cellStyle name="Normal 3 4 2 8 2 15" xfId="33123"/>
    <cellStyle name="Normal 3 4 2 8 2 2" xfId="15641"/>
    <cellStyle name="Normal 3 4 2 8 2 2 2" xfId="33129"/>
    <cellStyle name="Normal 3 4 2 8 2 3" xfId="15642"/>
    <cellStyle name="Normal 3 4 2 8 2 3 2" xfId="33130"/>
    <cellStyle name="Normal 3 4 2 8 2 4" xfId="15643"/>
    <cellStyle name="Normal 3 4 2 8 2 4 2" xfId="33131"/>
    <cellStyle name="Normal 3 4 2 8 2 5" xfId="15644"/>
    <cellStyle name="Normal 3 4 2 8 2 5 2" xfId="33132"/>
    <cellStyle name="Normal 3 4 2 8 2 6" xfId="15645"/>
    <cellStyle name="Normal 3 4 2 8 2 6 2" xfId="33133"/>
    <cellStyle name="Normal 3 4 2 8 2 7" xfId="15646"/>
    <cellStyle name="Normal 3 4 2 8 2 7 2" xfId="33134"/>
    <cellStyle name="Normal 3 4 2 8 2 8" xfId="15647"/>
    <cellStyle name="Normal 3 4 2 8 2 8 2" xfId="33135"/>
    <cellStyle name="Normal 3 4 2 8 2 9" xfId="15648"/>
    <cellStyle name="Normal 3 4 2 8 2 9 2" xfId="33136"/>
    <cellStyle name="Normal 3 4 2 8 3" xfId="15649"/>
    <cellStyle name="Normal 3 4 2 8 3 2" xfId="33137"/>
    <cellStyle name="Normal 3 4 2 8 4" xfId="15650"/>
    <cellStyle name="Normal 3 4 2 8 4 2" xfId="33138"/>
    <cellStyle name="Normal 3 4 2 8 5" xfId="15651"/>
    <cellStyle name="Normal 3 4 2 8 5 2" xfId="33139"/>
    <cellStyle name="Normal 3 4 2 8 6" xfId="15652"/>
    <cellStyle name="Normal 3 4 2 8 6 2" xfId="33140"/>
    <cellStyle name="Normal 3 4 2 8 7" xfId="15653"/>
    <cellStyle name="Normal 3 4 2 8 7 2" xfId="33141"/>
    <cellStyle name="Normal 3 4 2 8 8" xfId="15654"/>
    <cellStyle name="Normal 3 4 2 8 8 2" xfId="33142"/>
    <cellStyle name="Normal 3 4 2 8 9" xfId="15655"/>
    <cellStyle name="Normal 3 4 2 8 9 2" xfId="33143"/>
    <cellStyle name="Normal 3 4 2 9" xfId="15656"/>
    <cellStyle name="Normal 3 4 2 9 10" xfId="15657"/>
    <cellStyle name="Normal 3 4 2 9 10 2" xfId="33145"/>
    <cellStyle name="Normal 3 4 2 9 11" xfId="15658"/>
    <cellStyle name="Normal 3 4 2 9 11 2" xfId="33146"/>
    <cellStyle name="Normal 3 4 2 9 12" xfId="15659"/>
    <cellStyle name="Normal 3 4 2 9 12 2" xfId="33147"/>
    <cellStyle name="Normal 3 4 2 9 13" xfId="15660"/>
    <cellStyle name="Normal 3 4 2 9 13 2" xfId="33148"/>
    <cellStyle name="Normal 3 4 2 9 14" xfId="15661"/>
    <cellStyle name="Normal 3 4 2 9 14 2" xfId="33149"/>
    <cellStyle name="Normal 3 4 2 9 15" xfId="33144"/>
    <cellStyle name="Normal 3 4 2 9 2" xfId="15662"/>
    <cellStyle name="Normal 3 4 2 9 2 2" xfId="33150"/>
    <cellStyle name="Normal 3 4 2 9 3" xfId="15663"/>
    <cellStyle name="Normal 3 4 2 9 3 2" xfId="33151"/>
    <cellStyle name="Normal 3 4 2 9 4" xfId="15664"/>
    <cellStyle name="Normal 3 4 2 9 4 2" xfId="33152"/>
    <cellStyle name="Normal 3 4 2 9 5" xfId="15665"/>
    <cellStyle name="Normal 3 4 2 9 5 2" xfId="33153"/>
    <cellStyle name="Normal 3 4 2 9 6" xfId="15666"/>
    <cellStyle name="Normal 3 4 2 9 6 2" xfId="33154"/>
    <cellStyle name="Normal 3 4 2 9 7" xfId="15667"/>
    <cellStyle name="Normal 3 4 2 9 7 2" xfId="33155"/>
    <cellStyle name="Normal 3 4 2 9 8" xfId="15668"/>
    <cellStyle name="Normal 3 4 2 9 8 2" xfId="33156"/>
    <cellStyle name="Normal 3 4 2 9 9" xfId="15669"/>
    <cellStyle name="Normal 3 4 2 9 9 2" xfId="33157"/>
    <cellStyle name="Normal 3 4 20" xfId="15670"/>
    <cellStyle name="Normal 3 4 20 10" xfId="15671"/>
    <cellStyle name="Normal 3 4 20 10 2" xfId="33159"/>
    <cellStyle name="Normal 3 4 20 11" xfId="15672"/>
    <cellStyle name="Normal 3 4 20 11 2" xfId="33160"/>
    <cellStyle name="Normal 3 4 20 12" xfId="15673"/>
    <cellStyle name="Normal 3 4 20 12 2" xfId="33161"/>
    <cellStyle name="Normal 3 4 20 13" xfId="15674"/>
    <cellStyle name="Normal 3 4 20 13 2" xfId="33162"/>
    <cellStyle name="Normal 3 4 20 14" xfId="15675"/>
    <cellStyle name="Normal 3 4 20 14 2" xfId="33163"/>
    <cellStyle name="Normal 3 4 20 15" xfId="33158"/>
    <cellStyle name="Normal 3 4 20 2" xfId="15676"/>
    <cellStyle name="Normal 3 4 20 2 2" xfId="33164"/>
    <cellStyle name="Normal 3 4 20 3" xfId="15677"/>
    <cellStyle name="Normal 3 4 20 3 2" xfId="33165"/>
    <cellStyle name="Normal 3 4 20 4" xfId="15678"/>
    <cellStyle name="Normal 3 4 20 4 2" xfId="33166"/>
    <cellStyle name="Normal 3 4 20 5" xfId="15679"/>
    <cellStyle name="Normal 3 4 20 5 2" xfId="33167"/>
    <cellStyle name="Normal 3 4 20 6" xfId="15680"/>
    <cellStyle name="Normal 3 4 20 6 2" xfId="33168"/>
    <cellStyle name="Normal 3 4 20 7" xfId="15681"/>
    <cellStyle name="Normal 3 4 20 7 2" xfId="33169"/>
    <cellStyle name="Normal 3 4 20 8" xfId="15682"/>
    <cellStyle name="Normal 3 4 20 8 2" xfId="33170"/>
    <cellStyle name="Normal 3 4 20 9" xfId="15683"/>
    <cellStyle name="Normal 3 4 20 9 2" xfId="33171"/>
    <cellStyle name="Normal 3 4 21" xfId="15684"/>
    <cellStyle name="Normal 3 4 21 10" xfId="15685"/>
    <cellStyle name="Normal 3 4 21 10 2" xfId="33173"/>
    <cellStyle name="Normal 3 4 21 11" xfId="15686"/>
    <cellStyle name="Normal 3 4 21 11 2" xfId="33174"/>
    <cellStyle name="Normal 3 4 21 12" xfId="15687"/>
    <cellStyle name="Normal 3 4 21 12 2" xfId="33175"/>
    <cellStyle name="Normal 3 4 21 13" xfId="15688"/>
    <cellStyle name="Normal 3 4 21 13 2" xfId="33176"/>
    <cellStyle name="Normal 3 4 21 14" xfId="15689"/>
    <cellStyle name="Normal 3 4 21 14 2" xfId="33177"/>
    <cellStyle name="Normal 3 4 21 15" xfId="33172"/>
    <cellStyle name="Normal 3 4 21 2" xfId="15690"/>
    <cellStyle name="Normal 3 4 21 2 2" xfId="33178"/>
    <cellStyle name="Normal 3 4 21 3" xfId="15691"/>
    <cellStyle name="Normal 3 4 21 3 2" xfId="33179"/>
    <cellStyle name="Normal 3 4 21 4" xfId="15692"/>
    <cellStyle name="Normal 3 4 21 4 2" xfId="33180"/>
    <cellStyle name="Normal 3 4 21 5" xfId="15693"/>
    <cellStyle name="Normal 3 4 21 5 2" xfId="33181"/>
    <cellStyle name="Normal 3 4 21 6" xfId="15694"/>
    <cellStyle name="Normal 3 4 21 6 2" xfId="33182"/>
    <cellStyle name="Normal 3 4 21 7" xfId="15695"/>
    <cellStyle name="Normal 3 4 21 7 2" xfId="33183"/>
    <cellStyle name="Normal 3 4 21 8" xfId="15696"/>
    <cellStyle name="Normal 3 4 21 8 2" xfId="33184"/>
    <cellStyle name="Normal 3 4 21 9" xfId="15697"/>
    <cellStyle name="Normal 3 4 21 9 2" xfId="33185"/>
    <cellStyle name="Normal 3 4 22" xfId="15698"/>
    <cellStyle name="Normal 3 4 23" xfId="15699"/>
    <cellStyle name="Normal 3 4 24" xfId="15700"/>
    <cellStyle name="Normal 3 4 24 10" xfId="15701"/>
    <cellStyle name="Normal 3 4 24 10 2" xfId="33187"/>
    <cellStyle name="Normal 3 4 24 11" xfId="15702"/>
    <cellStyle name="Normal 3 4 24 11 2" xfId="33188"/>
    <cellStyle name="Normal 3 4 24 12" xfId="15703"/>
    <cellStyle name="Normal 3 4 24 12 2" xfId="33189"/>
    <cellStyle name="Normal 3 4 24 13" xfId="15704"/>
    <cellStyle name="Normal 3 4 24 13 2" xfId="33190"/>
    <cellStyle name="Normal 3 4 24 14" xfId="15705"/>
    <cellStyle name="Normal 3 4 24 14 2" xfId="33191"/>
    <cellStyle name="Normal 3 4 24 15" xfId="33186"/>
    <cellStyle name="Normal 3 4 24 2" xfId="15706"/>
    <cellStyle name="Normal 3 4 24 2 2" xfId="33192"/>
    <cellStyle name="Normal 3 4 24 3" xfId="15707"/>
    <cellStyle name="Normal 3 4 24 3 2" xfId="33193"/>
    <cellStyle name="Normal 3 4 24 4" xfId="15708"/>
    <cellStyle name="Normal 3 4 24 4 2" xfId="33194"/>
    <cellStyle name="Normal 3 4 24 5" xfId="15709"/>
    <cellStyle name="Normal 3 4 24 5 2" xfId="33195"/>
    <cellStyle name="Normal 3 4 24 6" xfId="15710"/>
    <cellStyle name="Normal 3 4 24 6 2" xfId="33196"/>
    <cellStyle name="Normal 3 4 24 7" xfId="15711"/>
    <cellStyle name="Normal 3 4 24 7 2" xfId="33197"/>
    <cellStyle name="Normal 3 4 24 8" xfId="15712"/>
    <cellStyle name="Normal 3 4 24 8 2" xfId="33198"/>
    <cellStyle name="Normal 3 4 24 9" xfId="15713"/>
    <cellStyle name="Normal 3 4 24 9 2" xfId="33199"/>
    <cellStyle name="Normal 3 4 25" xfId="15714"/>
    <cellStyle name="Normal 3 4 25 10" xfId="15715"/>
    <cellStyle name="Normal 3 4 25 10 2" xfId="33201"/>
    <cellStyle name="Normal 3 4 25 11" xfId="15716"/>
    <cellStyle name="Normal 3 4 25 11 2" xfId="33202"/>
    <cellStyle name="Normal 3 4 25 12" xfId="15717"/>
    <cellStyle name="Normal 3 4 25 12 2" xfId="33203"/>
    <cellStyle name="Normal 3 4 25 13" xfId="15718"/>
    <cellStyle name="Normal 3 4 25 13 2" xfId="33204"/>
    <cellStyle name="Normal 3 4 25 14" xfId="15719"/>
    <cellStyle name="Normal 3 4 25 14 2" xfId="33205"/>
    <cellStyle name="Normal 3 4 25 15" xfId="33200"/>
    <cellStyle name="Normal 3 4 25 2" xfId="15720"/>
    <cellStyle name="Normal 3 4 25 2 2" xfId="33206"/>
    <cellStyle name="Normal 3 4 25 3" xfId="15721"/>
    <cellStyle name="Normal 3 4 25 3 2" xfId="33207"/>
    <cellStyle name="Normal 3 4 25 4" xfId="15722"/>
    <cellStyle name="Normal 3 4 25 4 2" xfId="33208"/>
    <cellStyle name="Normal 3 4 25 5" xfId="15723"/>
    <cellStyle name="Normal 3 4 25 5 2" xfId="33209"/>
    <cellStyle name="Normal 3 4 25 6" xfId="15724"/>
    <cellStyle name="Normal 3 4 25 6 2" xfId="33210"/>
    <cellStyle name="Normal 3 4 25 7" xfId="15725"/>
    <cellStyle name="Normal 3 4 25 7 2" xfId="33211"/>
    <cellStyle name="Normal 3 4 25 8" xfId="15726"/>
    <cellStyle name="Normal 3 4 25 8 2" xfId="33212"/>
    <cellStyle name="Normal 3 4 25 9" xfId="15727"/>
    <cellStyle name="Normal 3 4 25 9 2" xfId="33213"/>
    <cellStyle name="Normal 3 4 3" xfId="15728"/>
    <cellStyle name="Normal 3 4 3 10" xfId="15729"/>
    <cellStyle name="Normal 3 4 3 10 10" xfId="15730"/>
    <cellStyle name="Normal 3 4 3 10 10 2" xfId="33216"/>
    <cellStyle name="Normal 3 4 3 10 11" xfId="15731"/>
    <cellStyle name="Normal 3 4 3 10 11 2" xfId="33217"/>
    <cellStyle name="Normal 3 4 3 10 12" xfId="15732"/>
    <cellStyle name="Normal 3 4 3 10 12 2" xfId="33218"/>
    <cellStyle name="Normal 3 4 3 10 13" xfId="15733"/>
    <cellStyle name="Normal 3 4 3 10 13 2" xfId="33219"/>
    <cellStyle name="Normal 3 4 3 10 14" xfId="15734"/>
    <cellStyle name="Normal 3 4 3 10 14 2" xfId="33220"/>
    <cellStyle name="Normal 3 4 3 10 15" xfId="33215"/>
    <cellStyle name="Normal 3 4 3 10 2" xfId="15735"/>
    <cellStyle name="Normal 3 4 3 10 2 2" xfId="33221"/>
    <cellStyle name="Normal 3 4 3 10 3" xfId="15736"/>
    <cellStyle name="Normal 3 4 3 10 3 2" xfId="33222"/>
    <cellStyle name="Normal 3 4 3 10 4" xfId="15737"/>
    <cellStyle name="Normal 3 4 3 10 4 2" xfId="33223"/>
    <cellStyle name="Normal 3 4 3 10 5" xfId="15738"/>
    <cellStyle name="Normal 3 4 3 10 5 2" xfId="33224"/>
    <cellStyle name="Normal 3 4 3 10 6" xfId="15739"/>
    <cellStyle name="Normal 3 4 3 10 6 2" xfId="33225"/>
    <cellStyle name="Normal 3 4 3 10 7" xfId="15740"/>
    <cellStyle name="Normal 3 4 3 10 7 2" xfId="33226"/>
    <cellStyle name="Normal 3 4 3 10 8" xfId="15741"/>
    <cellStyle name="Normal 3 4 3 10 8 2" xfId="33227"/>
    <cellStyle name="Normal 3 4 3 10 9" xfId="15742"/>
    <cellStyle name="Normal 3 4 3 10 9 2" xfId="33228"/>
    <cellStyle name="Normal 3 4 3 11" xfId="15743"/>
    <cellStyle name="Normal 3 4 3 11 10" xfId="15744"/>
    <cellStyle name="Normal 3 4 3 11 10 2" xfId="33230"/>
    <cellStyle name="Normal 3 4 3 11 11" xfId="15745"/>
    <cellStyle name="Normal 3 4 3 11 11 2" xfId="33231"/>
    <cellStyle name="Normal 3 4 3 11 12" xfId="15746"/>
    <cellStyle name="Normal 3 4 3 11 12 2" xfId="33232"/>
    <cellStyle name="Normal 3 4 3 11 13" xfId="15747"/>
    <cellStyle name="Normal 3 4 3 11 13 2" xfId="33233"/>
    <cellStyle name="Normal 3 4 3 11 14" xfId="15748"/>
    <cellStyle name="Normal 3 4 3 11 14 2" xfId="33234"/>
    <cellStyle name="Normal 3 4 3 11 15" xfId="33229"/>
    <cellStyle name="Normal 3 4 3 11 2" xfId="15749"/>
    <cellStyle name="Normal 3 4 3 11 2 2" xfId="33235"/>
    <cellStyle name="Normal 3 4 3 11 3" xfId="15750"/>
    <cellStyle name="Normal 3 4 3 11 3 2" xfId="33236"/>
    <cellStyle name="Normal 3 4 3 11 4" xfId="15751"/>
    <cellStyle name="Normal 3 4 3 11 4 2" xfId="33237"/>
    <cellStyle name="Normal 3 4 3 11 5" xfId="15752"/>
    <cellStyle name="Normal 3 4 3 11 5 2" xfId="33238"/>
    <cellStyle name="Normal 3 4 3 11 6" xfId="15753"/>
    <cellStyle name="Normal 3 4 3 11 6 2" xfId="33239"/>
    <cellStyle name="Normal 3 4 3 11 7" xfId="15754"/>
    <cellStyle name="Normal 3 4 3 11 7 2" xfId="33240"/>
    <cellStyle name="Normal 3 4 3 11 8" xfId="15755"/>
    <cellStyle name="Normal 3 4 3 11 8 2" xfId="33241"/>
    <cellStyle name="Normal 3 4 3 11 9" xfId="15756"/>
    <cellStyle name="Normal 3 4 3 11 9 2" xfId="33242"/>
    <cellStyle name="Normal 3 4 3 12" xfId="15757"/>
    <cellStyle name="Normal 3 4 3 12 10" xfId="15758"/>
    <cellStyle name="Normal 3 4 3 12 10 2" xfId="33244"/>
    <cellStyle name="Normal 3 4 3 12 11" xfId="15759"/>
    <cellStyle name="Normal 3 4 3 12 11 2" xfId="33245"/>
    <cellStyle name="Normal 3 4 3 12 12" xfId="15760"/>
    <cellStyle name="Normal 3 4 3 12 12 2" xfId="33246"/>
    <cellStyle name="Normal 3 4 3 12 13" xfId="15761"/>
    <cellStyle name="Normal 3 4 3 12 13 2" xfId="33247"/>
    <cellStyle name="Normal 3 4 3 12 14" xfId="15762"/>
    <cellStyle name="Normal 3 4 3 12 14 2" xfId="33248"/>
    <cellStyle name="Normal 3 4 3 12 15" xfId="33243"/>
    <cellStyle name="Normal 3 4 3 12 2" xfId="15763"/>
    <cellStyle name="Normal 3 4 3 12 2 2" xfId="33249"/>
    <cellStyle name="Normal 3 4 3 12 3" xfId="15764"/>
    <cellStyle name="Normal 3 4 3 12 3 2" xfId="33250"/>
    <cellStyle name="Normal 3 4 3 12 4" xfId="15765"/>
    <cellStyle name="Normal 3 4 3 12 4 2" xfId="33251"/>
    <cellStyle name="Normal 3 4 3 12 5" xfId="15766"/>
    <cellStyle name="Normal 3 4 3 12 5 2" xfId="33252"/>
    <cellStyle name="Normal 3 4 3 12 6" xfId="15767"/>
    <cellStyle name="Normal 3 4 3 12 6 2" xfId="33253"/>
    <cellStyle name="Normal 3 4 3 12 7" xfId="15768"/>
    <cellStyle name="Normal 3 4 3 12 7 2" xfId="33254"/>
    <cellStyle name="Normal 3 4 3 12 8" xfId="15769"/>
    <cellStyle name="Normal 3 4 3 12 8 2" xfId="33255"/>
    <cellStyle name="Normal 3 4 3 12 9" xfId="15770"/>
    <cellStyle name="Normal 3 4 3 12 9 2" xfId="33256"/>
    <cellStyle name="Normal 3 4 3 13" xfId="15771"/>
    <cellStyle name="Normal 3 4 3 13 10" xfId="15772"/>
    <cellStyle name="Normal 3 4 3 13 10 2" xfId="33258"/>
    <cellStyle name="Normal 3 4 3 13 11" xfId="15773"/>
    <cellStyle name="Normal 3 4 3 13 11 2" xfId="33259"/>
    <cellStyle name="Normal 3 4 3 13 12" xfId="15774"/>
    <cellStyle name="Normal 3 4 3 13 12 2" xfId="33260"/>
    <cellStyle name="Normal 3 4 3 13 13" xfId="15775"/>
    <cellStyle name="Normal 3 4 3 13 13 2" xfId="33261"/>
    <cellStyle name="Normal 3 4 3 13 14" xfId="15776"/>
    <cellStyle name="Normal 3 4 3 13 14 2" xfId="33262"/>
    <cellStyle name="Normal 3 4 3 13 15" xfId="33257"/>
    <cellStyle name="Normal 3 4 3 13 2" xfId="15777"/>
    <cellStyle name="Normal 3 4 3 13 2 2" xfId="33263"/>
    <cellStyle name="Normal 3 4 3 13 3" xfId="15778"/>
    <cellStyle name="Normal 3 4 3 13 3 2" xfId="33264"/>
    <cellStyle name="Normal 3 4 3 13 4" xfId="15779"/>
    <cellStyle name="Normal 3 4 3 13 4 2" xfId="33265"/>
    <cellStyle name="Normal 3 4 3 13 5" xfId="15780"/>
    <cellStyle name="Normal 3 4 3 13 5 2" xfId="33266"/>
    <cellStyle name="Normal 3 4 3 13 6" xfId="15781"/>
    <cellStyle name="Normal 3 4 3 13 6 2" xfId="33267"/>
    <cellStyle name="Normal 3 4 3 13 7" xfId="15782"/>
    <cellStyle name="Normal 3 4 3 13 7 2" xfId="33268"/>
    <cellStyle name="Normal 3 4 3 13 8" xfId="15783"/>
    <cellStyle name="Normal 3 4 3 13 8 2" xfId="33269"/>
    <cellStyle name="Normal 3 4 3 13 9" xfId="15784"/>
    <cellStyle name="Normal 3 4 3 13 9 2" xfId="33270"/>
    <cellStyle name="Normal 3 4 3 14" xfId="15785"/>
    <cellStyle name="Normal 3 4 3 14 10" xfId="15786"/>
    <cellStyle name="Normal 3 4 3 14 10 2" xfId="33272"/>
    <cellStyle name="Normal 3 4 3 14 11" xfId="15787"/>
    <cellStyle name="Normal 3 4 3 14 11 2" xfId="33273"/>
    <cellStyle name="Normal 3 4 3 14 12" xfId="15788"/>
    <cellStyle name="Normal 3 4 3 14 12 2" xfId="33274"/>
    <cellStyle name="Normal 3 4 3 14 13" xfId="15789"/>
    <cellStyle name="Normal 3 4 3 14 13 2" xfId="33275"/>
    <cellStyle name="Normal 3 4 3 14 14" xfId="15790"/>
    <cellStyle name="Normal 3 4 3 14 14 2" xfId="33276"/>
    <cellStyle name="Normal 3 4 3 14 15" xfId="33271"/>
    <cellStyle name="Normal 3 4 3 14 2" xfId="15791"/>
    <cellStyle name="Normal 3 4 3 14 2 2" xfId="33277"/>
    <cellStyle name="Normal 3 4 3 14 3" xfId="15792"/>
    <cellStyle name="Normal 3 4 3 14 3 2" xfId="33278"/>
    <cellStyle name="Normal 3 4 3 14 4" xfId="15793"/>
    <cellStyle name="Normal 3 4 3 14 4 2" xfId="33279"/>
    <cellStyle name="Normal 3 4 3 14 5" xfId="15794"/>
    <cellStyle name="Normal 3 4 3 14 5 2" xfId="33280"/>
    <cellStyle name="Normal 3 4 3 14 6" xfId="15795"/>
    <cellStyle name="Normal 3 4 3 14 6 2" xfId="33281"/>
    <cellStyle name="Normal 3 4 3 14 7" xfId="15796"/>
    <cellStyle name="Normal 3 4 3 14 7 2" xfId="33282"/>
    <cellStyle name="Normal 3 4 3 14 8" xfId="15797"/>
    <cellStyle name="Normal 3 4 3 14 8 2" xfId="33283"/>
    <cellStyle name="Normal 3 4 3 14 9" xfId="15798"/>
    <cellStyle name="Normal 3 4 3 14 9 2" xfId="33284"/>
    <cellStyle name="Normal 3 4 3 15" xfId="15799"/>
    <cellStyle name="Normal 3 4 3 15 2" xfId="33285"/>
    <cellStyle name="Normal 3 4 3 16" xfId="15800"/>
    <cellStyle name="Normal 3 4 3 16 2" xfId="33286"/>
    <cellStyle name="Normal 3 4 3 17" xfId="15801"/>
    <cellStyle name="Normal 3 4 3 17 2" xfId="33287"/>
    <cellStyle name="Normal 3 4 3 18" xfId="15802"/>
    <cellStyle name="Normal 3 4 3 18 2" xfId="33288"/>
    <cellStyle name="Normal 3 4 3 19" xfId="15803"/>
    <cellStyle name="Normal 3 4 3 19 2" xfId="33289"/>
    <cellStyle name="Normal 3 4 3 2" xfId="15804"/>
    <cellStyle name="Normal 3 4 3 20" xfId="15805"/>
    <cellStyle name="Normal 3 4 3 20 2" xfId="33290"/>
    <cellStyle name="Normal 3 4 3 21" xfId="15806"/>
    <cellStyle name="Normal 3 4 3 21 2" xfId="33291"/>
    <cellStyle name="Normal 3 4 3 22" xfId="15807"/>
    <cellStyle name="Normal 3 4 3 22 2" xfId="33292"/>
    <cellStyle name="Normal 3 4 3 23" xfId="15808"/>
    <cellStyle name="Normal 3 4 3 23 2" xfId="33293"/>
    <cellStyle name="Normal 3 4 3 24" xfId="15809"/>
    <cellStyle name="Normal 3 4 3 24 2" xfId="33294"/>
    <cellStyle name="Normal 3 4 3 25" xfId="15810"/>
    <cellStyle name="Normal 3 4 3 25 2" xfId="33295"/>
    <cellStyle name="Normal 3 4 3 26" xfId="15811"/>
    <cellStyle name="Normal 3 4 3 26 2" xfId="33296"/>
    <cellStyle name="Normal 3 4 3 27" xfId="15812"/>
    <cellStyle name="Normal 3 4 3 27 2" xfId="33297"/>
    <cellStyle name="Normal 3 4 3 28" xfId="33214"/>
    <cellStyle name="Normal 3 4 3 3" xfId="15813"/>
    <cellStyle name="Normal 3 4 3 4" xfId="15814"/>
    <cellStyle name="Normal 3 4 3 5" xfId="15815"/>
    <cellStyle name="Normal 3 4 3 6" xfId="15816"/>
    <cellStyle name="Normal 3 4 3 6 10" xfId="15817"/>
    <cellStyle name="Normal 3 4 3 6 10 2" xfId="33299"/>
    <cellStyle name="Normal 3 4 3 6 11" xfId="15818"/>
    <cellStyle name="Normal 3 4 3 6 11 2" xfId="33300"/>
    <cellStyle name="Normal 3 4 3 6 12" xfId="15819"/>
    <cellStyle name="Normal 3 4 3 6 12 2" xfId="33301"/>
    <cellStyle name="Normal 3 4 3 6 13" xfId="15820"/>
    <cellStyle name="Normal 3 4 3 6 13 2" xfId="33302"/>
    <cellStyle name="Normal 3 4 3 6 14" xfId="15821"/>
    <cellStyle name="Normal 3 4 3 6 14 2" xfId="33303"/>
    <cellStyle name="Normal 3 4 3 6 15" xfId="15822"/>
    <cellStyle name="Normal 3 4 3 6 15 2" xfId="33304"/>
    <cellStyle name="Normal 3 4 3 6 16" xfId="33298"/>
    <cellStyle name="Normal 3 4 3 6 2" xfId="15823"/>
    <cellStyle name="Normal 3 4 3 6 2 10" xfId="15824"/>
    <cellStyle name="Normal 3 4 3 6 2 10 2" xfId="33306"/>
    <cellStyle name="Normal 3 4 3 6 2 11" xfId="15825"/>
    <cellStyle name="Normal 3 4 3 6 2 11 2" xfId="33307"/>
    <cellStyle name="Normal 3 4 3 6 2 12" xfId="15826"/>
    <cellStyle name="Normal 3 4 3 6 2 12 2" xfId="33308"/>
    <cellStyle name="Normal 3 4 3 6 2 13" xfId="15827"/>
    <cellStyle name="Normal 3 4 3 6 2 13 2" xfId="33309"/>
    <cellStyle name="Normal 3 4 3 6 2 14" xfId="15828"/>
    <cellStyle name="Normal 3 4 3 6 2 14 2" xfId="33310"/>
    <cellStyle name="Normal 3 4 3 6 2 15" xfId="33305"/>
    <cellStyle name="Normal 3 4 3 6 2 2" xfId="15829"/>
    <cellStyle name="Normal 3 4 3 6 2 2 2" xfId="33311"/>
    <cellStyle name="Normal 3 4 3 6 2 3" xfId="15830"/>
    <cellStyle name="Normal 3 4 3 6 2 3 2" xfId="33312"/>
    <cellStyle name="Normal 3 4 3 6 2 4" xfId="15831"/>
    <cellStyle name="Normal 3 4 3 6 2 4 2" xfId="33313"/>
    <cellStyle name="Normal 3 4 3 6 2 5" xfId="15832"/>
    <cellStyle name="Normal 3 4 3 6 2 5 2" xfId="33314"/>
    <cellStyle name="Normal 3 4 3 6 2 6" xfId="15833"/>
    <cellStyle name="Normal 3 4 3 6 2 6 2" xfId="33315"/>
    <cellStyle name="Normal 3 4 3 6 2 7" xfId="15834"/>
    <cellStyle name="Normal 3 4 3 6 2 7 2" xfId="33316"/>
    <cellStyle name="Normal 3 4 3 6 2 8" xfId="15835"/>
    <cellStyle name="Normal 3 4 3 6 2 8 2" xfId="33317"/>
    <cellStyle name="Normal 3 4 3 6 2 9" xfId="15836"/>
    <cellStyle name="Normal 3 4 3 6 2 9 2" xfId="33318"/>
    <cellStyle name="Normal 3 4 3 6 3" xfId="15837"/>
    <cellStyle name="Normal 3 4 3 6 3 2" xfId="33319"/>
    <cellStyle name="Normal 3 4 3 6 4" xfId="15838"/>
    <cellStyle name="Normal 3 4 3 6 4 2" xfId="33320"/>
    <cellStyle name="Normal 3 4 3 6 5" xfId="15839"/>
    <cellStyle name="Normal 3 4 3 6 5 2" xfId="33321"/>
    <cellStyle name="Normal 3 4 3 6 6" xfId="15840"/>
    <cellStyle name="Normal 3 4 3 6 6 2" xfId="33322"/>
    <cellStyle name="Normal 3 4 3 6 7" xfId="15841"/>
    <cellStyle name="Normal 3 4 3 6 7 2" xfId="33323"/>
    <cellStyle name="Normal 3 4 3 6 8" xfId="15842"/>
    <cellStyle name="Normal 3 4 3 6 8 2" xfId="33324"/>
    <cellStyle name="Normal 3 4 3 6 9" xfId="15843"/>
    <cellStyle name="Normal 3 4 3 6 9 2" xfId="33325"/>
    <cellStyle name="Normal 3 4 3 7" xfId="15844"/>
    <cellStyle name="Normal 3 4 3 7 10" xfId="15845"/>
    <cellStyle name="Normal 3 4 3 7 10 2" xfId="33327"/>
    <cellStyle name="Normal 3 4 3 7 11" xfId="15846"/>
    <cellStyle name="Normal 3 4 3 7 11 2" xfId="33328"/>
    <cellStyle name="Normal 3 4 3 7 12" xfId="15847"/>
    <cellStyle name="Normal 3 4 3 7 12 2" xfId="33329"/>
    <cellStyle name="Normal 3 4 3 7 13" xfId="15848"/>
    <cellStyle name="Normal 3 4 3 7 13 2" xfId="33330"/>
    <cellStyle name="Normal 3 4 3 7 14" xfId="15849"/>
    <cellStyle name="Normal 3 4 3 7 14 2" xfId="33331"/>
    <cellStyle name="Normal 3 4 3 7 15" xfId="15850"/>
    <cellStyle name="Normal 3 4 3 7 15 2" xfId="33332"/>
    <cellStyle name="Normal 3 4 3 7 16" xfId="33326"/>
    <cellStyle name="Normal 3 4 3 7 2" xfId="15851"/>
    <cellStyle name="Normal 3 4 3 7 2 10" xfId="15852"/>
    <cellStyle name="Normal 3 4 3 7 2 10 2" xfId="33334"/>
    <cellStyle name="Normal 3 4 3 7 2 11" xfId="15853"/>
    <cellStyle name="Normal 3 4 3 7 2 11 2" xfId="33335"/>
    <cellStyle name="Normal 3 4 3 7 2 12" xfId="15854"/>
    <cellStyle name="Normal 3 4 3 7 2 12 2" xfId="33336"/>
    <cellStyle name="Normal 3 4 3 7 2 13" xfId="15855"/>
    <cellStyle name="Normal 3 4 3 7 2 13 2" xfId="33337"/>
    <cellStyle name="Normal 3 4 3 7 2 14" xfId="15856"/>
    <cellStyle name="Normal 3 4 3 7 2 14 2" xfId="33338"/>
    <cellStyle name="Normal 3 4 3 7 2 15" xfId="33333"/>
    <cellStyle name="Normal 3 4 3 7 2 2" xfId="15857"/>
    <cellStyle name="Normal 3 4 3 7 2 2 2" xfId="33339"/>
    <cellStyle name="Normal 3 4 3 7 2 3" xfId="15858"/>
    <cellStyle name="Normal 3 4 3 7 2 3 2" xfId="33340"/>
    <cellStyle name="Normal 3 4 3 7 2 4" xfId="15859"/>
    <cellStyle name="Normal 3 4 3 7 2 4 2" xfId="33341"/>
    <cellStyle name="Normal 3 4 3 7 2 5" xfId="15860"/>
    <cellStyle name="Normal 3 4 3 7 2 5 2" xfId="33342"/>
    <cellStyle name="Normal 3 4 3 7 2 6" xfId="15861"/>
    <cellStyle name="Normal 3 4 3 7 2 6 2" xfId="33343"/>
    <cellStyle name="Normal 3 4 3 7 2 7" xfId="15862"/>
    <cellStyle name="Normal 3 4 3 7 2 7 2" xfId="33344"/>
    <cellStyle name="Normal 3 4 3 7 2 8" xfId="15863"/>
    <cellStyle name="Normal 3 4 3 7 2 8 2" xfId="33345"/>
    <cellStyle name="Normal 3 4 3 7 2 9" xfId="15864"/>
    <cellStyle name="Normal 3 4 3 7 2 9 2" xfId="33346"/>
    <cellStyle name="Normal 3 4 3 7 3" xfId="15865"/>
    <cellStyle name="Normal 3 4 3 7 3 2" xfId="33347"/>
    <cellStyle name="Normal 3 4 3 7 4" xfId="15866"/>
    <cellStyle name="Normal 3 4 3 7 4 2" xfId="33348"/>
    <cellStyle name="Normal 3 4 3 7 5" xfId="15867"/>
    <cellStyle name="Normal 3 4 3 7 5 2" xfId="33349"/>
    <cellStyle name="Normal 3 4 3 7 6" xfId="15868"/>
    <cellStyle name="Normal 3 4 3 7 6 2" xfId="33350"/>
    <cellStyle name="Normal 3 4 3 7 7" xfId="15869"/>
    <cellStyle name="Normal 3 4 3 7 7 2" xfId="33351"/>
    <cellStyle name="Normal 3 4 3 7 8" xfId="15870"/>
    <cellStyle name="Normal 3 4 3 7 8 2" xfId="33352"/>
    <cellStyle name="Normal 3 4 3 7 9" xfId="15871"/>
    <cellStyle name="Normal 3 4 3 7 9 2" xfId="33353"/>
    <cellStyle name="Normal 3 4 3 8" xfId="15872"/>
    <cellStyle name="Normal 3 4 3 8 10" xfId="15873"/>
    <cellStyle name="Normal 3 4 3 8 10 2" xfId="33355"/>
    <cellStyle name="Normal 3 4 3 8 11" xfId="15874"/>
    <cellStyle name="Normal 3 4 3 8 11 2" xfId="33356"/>
    <cellStyle name="Normal 3 4 3 8 12" xfId="15875"/>
    <cellStyle name="Normal 3 4 3 8 12 2" xfId="33357"/>
    <cellStyle name="Normal 3 4 3 8 13" xfId="15876"/>
    <cellStyle name="Normal 3 4 3 8 13 2" xfId="33358"/>
    <cellStyle name="Normal 3 4 3 8 14" xfId="15877"/>
    <cellStyle name="Normal 3 4 3 8 14 2" xfId="33359"/>
    <cellStyle name="Normal 3 4 3 8 15" xfId="15878"/>
    <cellStyle name="Normal 3 4 3 8 15 2" xfId="33360"/>
    <cellStyle name="Normal 3 4 3 8 16" xfId="33354"/>
    <cellStyle name="Normal 3 4 3 8 2" xfId="15879"/>
    <cellStyle name="Normal 3 4 3 8 2 10" xfId="15880"/>
    <cellStyle name="Normal 3 4 3 8 2 10 2" xfId="33362"/>
    <cellStyle name="Normal 3 4 3 8 2 11" xfId="15881"/>
    <cellStyle name="Normal 3 4 3 8 2 11 2" xfId="33363"/>
    <cellStyle name="Normal 3 4 3 8 2 12" xfId="15882"/>
    <cellStyle name="Normal 3 4 3 8 2 12 2" xfId="33364"/>
    <cellStyle name="Normal 3 4 3 8 2 13" xfId="15883"/>
    <cellStyle name="Normal 3 4 3 8 2 13 2" xfId="33365"/>
    <cellStyle name="Normal 3 4 3 8 2 14" xfId="15884"/>
    <cellStyle name="Normal 3 4 3 8 2 14 2" xfId="33366"/>
    <cellStyle name="Normal 3 4 3 8 2 15" xfId="33361"/>
    <cellStyle name="Normal 3 4 3 8 2 2" xfId="15885"/>
    <cellStyle name="Normal 3 4 3 8 2 2 2" xfId="33367"/>
    <cellStyle name="Normal 3 4 3 8 2 3" xfId="15886"/>
    <cellStyle name="Normal 3 4 3 8 2 3 2" xfId="33368"/>
    <cellStyle name="Normal 3 4 3 8 2 4" xfId="15887"/>
    <cellStyle name="Normal 3 4 3 8 2 4 2" xfId="33369"/>
    <cellStyle name="Normal 3 4 3 8 2 5" xfId="15888"/>
    <cellStyle name="Normal 3 4 3 8 2 5 2" xfId="33370"/>
    <cellStyle name="Normal 3 4 3 8 2 6" xfId="15889"/>
    <cellStyle name="Normal 3 4 3 8 2 6 2" xfId="33371"/>
    <cellStyle name="Normal 3 4 3 8 2 7" xfId="15890"/>
    <cellStyle name="Normal 3 4 3 8 2 7 2" xfId="33372"/>
    <cellStyle name="Normal 3 4 3 8 2 8" xfId="15891"/>
    <cellStyle name="Normal 3 4 3 8 2 8 2" xfId="33373"/>
    <cellStyle name="Normal 3 4 3 8 2 9" xfId="15892"/>
    <cellStyle name="Normal 3 4 3 8 2 9 2" xfId="33374"/>
    <cellStyle name="Normal 3 4 3 8 3" xfId="15893"/>
    <cellStyle name="Normal 3 4 3 8 3 2" xfId="33375"/>
    <cellStyle name="Normal 3 4 3 8 4" xfId="15894"/>
    <cellStyle name="Normal 3 4 3 8 4 2" xfId="33376"/>
    <cellStyle name="Normal 3 4 3 8 5" xfId="15895"/>
    <cellStyle name="Normal 3 4 3 8 5 2" xfId="33377"/>
    <cellStyle name="Normal 3 4 3 8 6" xfId="15896"/>
    <cellStyle name="Normal 3 4 3 8 6 2" xfId="33378"/>
    <cellStyle name="Normal 3 4 3 8 7" xfId="15897"/>
    <cellStyle name="Normal 3 4 3 8 7 2" xfId="33379"/>
    <cellStyle name="Normal 3 4 3 8 8" xfId="15898"/>
    <cellStyle name="Normal 3 4 3 8 8 2" xfId="33380"/>
    <cellStyle name="Normal 3 4 3 8 9" xfId="15899"/>
    <cellStyle name="Normal 3 4 3 8 9 2" xfId="33381"/>
    <cellStyle name="Normal 3 4 3 9" xfId="15900"/>
    <cellStyle name="Normal 3 4 3 9 10" xfId="15901"/>
    <cellStyle name="Normal 3 4 3 9 10 2" xfId="33383"/>
    <cellStyle name="Normal 3 4 3 9 11" xfId="15902"/>
    <cellStyle name="Normal 3 4 3 9 11 2" xfId="33384"/>
    <cellStyle name="Normal 3 4 3 9 12" xfId="15903"/>
    <cellStyle name="Normal 3 4 3 9 12 2" xfId="33385"/>
    <cellStyle name="Normal 3 4 3 9 13" xfId="15904"/>
    <cellStyle name="Normal 3 4 3 9 13 2" xfId="33386"/>
    <cellStyle name="Normal 3 4 3 9 14" xfId="15905"/>
    <cellStyle name="Normal 3 4 3 9 14 2" xfId="33387"/>
    <cellStyle name="Normal 3 4 3 9 15" xfId="33382"/>
    <cellStyle name="Normal 3 4 3 9 2" xfId="15906"/>
    <cellStyle name="Normal 3 4 3 9 2 2" xfId="33388"/>
    <cellStyle name="Normal 3 4 3 9 3" xfId="15907"/>
    <cellStyle name="Normal 3 4 3 9 3 2" xfId="33389"/>
    <cellStyle name="Normal 3 4 3 9 4" xfId="15908"/>
    <cellStyle name="Normal 3 4 3 9 4 2" xfId="33390"/>
    <cellStyle name="Normal 3 4 3 9 5" xfId="15909"/>
    <cellStyle name="Normal 3 4 3 9 5 2" xfId="33391"/>
    <cellStyle name="Normal 3 4 3 9 6" xfId="15910"/>
    <cellStyle name="Normal 3 4 3 9 6 2" xfId="33392"/>
    <cellStyle name="Normal 3 4 3 9 7" xfId="15911"/>
    <cellStyle name="Normal 3 4 3 9 7 2" xfId="33393"/>
    <cellStyle name="Normal 3 4 3 9 8" xfId="15912"/>
    <cellStyle name="Normal 3 4 3 9 8 2" xfId="33394"/>
    <cellStyle name="Normal 3 4 3 9 9" xfId="15913"/>
    <cellStyle name="Normal 3 4 3 9 9 2" xfId="33395"/>
    <cellStyle name="Normal 3 4 4" xfId="15914"/>
    <cellStyle name="Normal 3 4 4 10" xfId="15915"/>
    <cellStyle name="Normal 3 4 4 10 10" xfId="15916"/>
    <cellStyle name="Normal 3 4 4 10 10 2" xfId="33398"/>
    <cellStyle name="Normal 3 4 4 10 11" xfId="15917"/>
    <cellStyle name="Normal 3 4 4 10 11 2" xfId="33399"/>
    <cellStyle name="Normal 3 4 4 10 12" xfId="15918"/>
    <cellStyle name="Normal 3 4 4 10 12 2" xfId="33400"/>
    <cellStyle name="Normal 3 4 4 10 13" xfId="15919"/>
    <cellStyle name="Normal 3 4 4 10 13 2" xfId="33401"/>
    <cellStyle name="Normal 3 4 4 10 14" xfId="15920"/>
    <cellStyle name="Normal 3 4 4 10 14 2" xfId="33402"/>
    <cellStyle name="Normal 3 4 4 10 15" xfId="33397"/>
    <cellStyle name="Normal 3 4 4 10 2" xfId="15921"/>
    <cellStyle name="Normal 3 4 4 10 2 2" xfId="33403"/>
    <cellStyle name="Normal 3 4 4 10 3" xfId="15922"/>
    <cellStyle name="Normal 3 4 4 10 3 2" xfId="33404"/>
    <cellStyle name="Normal 3 4 4 10 4" xfId="15923"/>
    <cellStyle name="Normal 3 4 4 10 4 2" xfId="33405"/>
    <cellStyle name="Normal 3 4 4 10 5" xfId="15924"/>
    <cellStyle name="Normal 3 4 4 10 5 2" xfId="33406"/>
    <cellStyle name="Normal 3 4 4 10 6" xfId="15925"/>
    <cellStyle name="Normal 3 4 4 10 6 2" xfId="33407"/>
    <cellStyle name="Normal 3 4 4 10 7" xfId="15926"/>
    <cellStyle name="Normal 3 4 4 10 7 2" xfId="33408"/>
    <cellStyle name="Normal 3 4 4 10 8" xfId="15927"/>
    <cellStyle name="Normal 3 4 4 10 8 2" xfId="33409"/>
    <cellStyle name="Normal 3 4 4 10 9" xfId="15928"/>
    <cellStyle name="Normal 3 4 4 10 9 2" xfId="33410"/>
    <cellStyle name="Normal 3 4 4 11" xfId="15929"/>
    <cellStyle name="Normal 3 4 4 11 10" xfId="15930"/>
    <cellStyle name="Normal 3 4 4 11 10 2" xfId="33412"/>
    <cellStyle name="Normal 3 4 4 11 11" xfId="15931"/>
    <cellStyle name="Normal 3 4 4 11 11 2" xfId="33413"/>
    <cellStyle name="Normal 3 4 4 11 12" xfId="15932"/>
    <cellStyle name="Normal 3 4 4 11 12 2" xfId="33414"/>
    <cellStyle name="Normal 3 4 4 11 13" xfId="15933"/>
    <cellStyle name="Normal 3 4 4 11 13 2" xfId="33415"/>
    <cellStyle name="Normal 3 4 4 11 14" xfId="15934"/>
    <cellStyle name="Normal 3 4 4 11 14 2" xfId="33416"/>
    <cellStyle name="Normal 3 4 4 11 15" xfId="33411"/>
    <cellStyle name="Normal 3 4 4 11 2" xfId="15935"/>
    <cellStyle name="Normal 3 4 4 11 2 2" xfId="33417"/>
    <cellStyle name="Normal 3 4 4 11 3" xfId="15936"/>
    <cellStyle name="Normal 3 4 4 11 3 2" xfId="33418"/>
    <cellStyle name="Normal 3 4 4 11 4" xfId="15937"/>
    <cellStyle name="Normal 3 4 4 11 4 2" xfId="33419"/>
    <cellStyle name="Normal 3 4 4 11 5" xfId="15938"/>
    <cellStyle name="Normal 3 4 4 11 5 2" xfId="33420"/>
    <cellStyle name="Normal 3 4 4 11 6" xfId="15939"/>
    <cellStyle name="Normal 3 4 4 11 6 2" xfId="33421"/>
    <cellStyle name="Normal 3 4 4 11 7" xfId="15940"/>
    <cellStyle name="Normal 3 4 4 11 7 2" xfId="33422"/>
    <cellStyle name="Normal 3 4 4 11 8" xfId="15941"/>
    <cellStyle name="Normal 3 4 4 11 8 2" xfId="33423"/>
    <cellStyle name="Normal 3 4 4 11 9" xfId="15942"/>
    <cellStyle name="Normal 3 4 4 11 9 2" xfId="33424"/>
    <cellStyle name="Normal 3 4 4 12" xfId="15943"/>
    <cellStyle name="Normal 3 4 4 12 10" xfId="15944"/>
    <cellStyle name="Normal 3 4 4 12 10 2" xfId="33426"/>
    <cellStyle name="Normal 3 4 4 12 11" xfId="15945"/>
    <cellStyle name="Normal 3 4 4 12 11 2" xfId="33427"/>
    <cellStyle name="Normal 3 4 4 12 12" xfId="15946"/>
    <cellStyle name="Normal 3 4 4 12 12 2" xfId="33428"/>
    <cellStyle name="Normal 3 4 4 12 13" xfId="15947"/>
    <cellStyle name="Normal 3 4 4 12 13 2" xfId="33429"/>
    <cellStyle name="Normal 3 4 4 12 14" xfId="15948"/>
    <cellStyle name="Normal 3 4 4 12 14 2" xfId="33430"/>
    <cellStyle name="Normal 3 4 4 12 15" xfId="33425"/>
    <cellStyle name="Normal 3 4 4 12 2" xfId="15949"/>
    <cellStyle name="Normal 3 4 4 12 2 2" xfId="33431"/>
    <cellStyle name="Normal 3 4 4 12 3" xfId="15950"/>
    <cellStyle name="Normal 3 4 4 12 3 2" xfId="33432"/>
    <cellStyle name="Normal 3 4 4 12 4" xfId="15951"/>
    <cellStyle name="Normal 3 4 4 12 4 2" xfId="33433"/>
    <cellStyle name="Normal 3 4 4 12 5" xfId="15952"/>
    <cellStyle name="Normal 3 4 4 12 5 2" xfId="33434"/>
    <cellStyle name="Normal 3 4 4 12 6" xfId="15953"/>
    <cellStyle name="Normal 3 4 4 12 6 2" xfId="33435"/>
    <cellStyle name="Normal 3 4 4 12 7" xfId="15954"/>
    <cellStyle name="Normal 3 4 4 12 7 2" xfId="33436"/>
    <cellStyle name="Normal 3 4 4 12 8" xfId="15955"/>
    <cellStyle name="Normal 3 4 4 12 8 2" xfId="33437"/>
    <cellStyle name="Normal 3 4 4 12 9" xfId="15956"/>
    <cellStyle name="Normal 3 4 4 12 9 2" xfId="33438"/>
    <cellStyle name="Normal 3 4 4 13" xfId="15957"/>
    <cellStyle name="Normal 3 4 4 13 10" xfId="15958"/>
    <cellStyle name="Normal 3 4 4 13 10 2" xfId="33440"/>
    <cellStyle name="Normal 3 4 4 13 11" xfId="15959"/>
    <cellStyle name="Normal 3 4 4 13 11 2" xfId="33441"/>
    <cellStyle name="Normal 3 4 4 13 12" xfId="15960"/>
    <cellStyle name="Normal 3 4 4 13 12 2" xfId="33442"/>
    <cellStyle name="Normal 3 4 4 13 13" xfId="15961"/>
    <cellStyle name="Normal 3 4 4 13 13 2" xfId="33443"/>
    <cellStyle name="Normal 3 4 4 13 14" xfId="15962"/>
    <cellStyle name="Normal 3 4 4 13 14 2" xfId="33444"/>
    <cellStyle name="Normal 3 4 4 13 15" xfId="33439"/>
    <cellStyle name="Normal 3 4 4 13 2" xfId="15963"/>
    <cellStyle name="Normal 3 4 4 13 2 2" xfId="33445"/>
    <cellStyle name="Normal 3 4 4 13 3" xfId="15964"/>
    <cellStyle name="Normal 3 4 4 13 3 2" xfId="33446"/>
    <cellStyle name="Normal 3 4 4 13 4" xfId="15965"/>
    <cellStyle name="Normal 3 4 4 13 4 2" xfId="33447"/>
    <cellStyle name="Normal 3 4 4 13 5" xfId="15966"/>
    <cellStyle name="Normal 3 4 4 13 5 2" xfId="33448"/>
    <cellStyle name="Normal 3 4 4 13 6" xfId="15967"/>
    <cellStyle name="Normal 3 4 4 13 6 2" xfId="33449"/>
    <cellStyle name="Normal 3 4 4 13 7" xfId="15968"/>
    <cellStyle name="Normal 3 4 4 13 7 2" xfId="33450"/>
    <cellStyle name="Normal 3 4 4 13 8" xfId="15969"/>
    <cellStyle name="Normal 3 4 4 13 8 2" xfId="33451"/>
    <cellStyle name="Normal 3 4 4 13 9" xfId="15970"/>
    <cellStyle name="Normal 3 4 4 13 9 2" xfId="33452"/>
    <cellStyle name="Normal 3 4 4 14" xfId="15971"/>
    <cellStyle name="Normal 3 4 4 14 10" xfId="15972"/>
    <cellStyle name="Normal 3 4 4 14 10 2" xfId="33454"/>
    <cellStyle name="Normal 3 4 4 14 11" xfId="15973"/>
    <cellStyle name="Normal 3 4 4 14 11 2" xfId="33455"/>
    <cellStyle name="Normal 3 4 4 14 12" xfId="15974"/>
    <cellStyle name="Normal 3 4 4 14 12 2" xfId="33456"/>
    <cellStyle name="Normal 3 4 4 14 13" xfId="15975"/>
    <cellStyle name="Normal 3 4 4 14 13 2" xfId="33457"/>
    <cellStyle name="Normal 3 4 4 14 14" xfId="15976"/>
    <cellStyle name="Normal 3 4 4 14 14 2" xfId="33458"/>
    <cellStyle name="Normal 3 4 4 14 15" xfId="33453"/>
    <cellStyle name="Normal 3 4 4 14 2" xfId="15977"/>
    <cellStyle name="Normal 3 4 4 14 2 2" xfId="33459"/>
    <cellStyle name="Normal 3 4 4 14 3" xfId="15978"/>
    <cellStyle name="Normal 3 4 4 14 3 2" xfId="33460"/>
    <cellStyle name="Normal 3 4 4 14 4" xfId="15979"/>
    <cellStyle name="Normal 3 4 4 14 4 2" xfId="33461"/>
    <cellStyle name="Normal 3 4 4 14 5" xfId="15980"/>
    <cellStyle name="Normal 3 4 4 14 5 2" xfId="33462"/>
    <cellStyle name="Normal 3 4 4 14 6" xfId="15981"/>
    <cellStyle name="Normal 3 4 4 14 6 2" xfId="33463"/>
    <cellStyle name="Normal 3 4 4 14 7" xfId="15982"/>
    <cellStyle name="Normal 3 4 4 14 7 2" xfId="33464"/>
    <cellStyle name="Normal 3 4 4 14 8" xfId="15983"/>
    <cellStyle name="Normal 3 4 4 14 8 2" xfId="33465"/>
    <cellStyle name="Normal 3 4 4 14 9" xfId="15984"/>
    <cellStyle name="Normal 3 4 4 14 9 2" xfId="33466"/>
    <cellStyle name="Normal 3 4 4 15" xfId="15985"/>
    <cellStyle name="Normal 3 4 4 15 2" xfId="33467"/>
    <cellStyle name="Normal 3 4 4 16" xfId="15986"/>
    <cellStyle name="Normal 3 4 4 16 2" xfId="33468"/>
    <cellStyle name="Normal 3 4 4 17" xfId="15987"/>
    <cellStyle name="Normal 3 4 4 17 2" xfId="33469"/>
    <cellStyle name="Normal 3 4 4 18" xfId="15988"/>
    <cellStyle name="Normal 3 4 4 18 2" xfId="33470"/>
    <cellStyle name="Normal 3 4 4 19" xfId="15989"/>
    <cellStyle name="Normal 3 4 4 19 2" xfId="33471"/>
    <cellStyle name="Normal 3 4 4 2" xfId="15990"/>
    <cellStyle name="Normal 3 4 4 20" xfId="15991"/>
    <cellStyle name="Normal 3 4 4 20 2" xfId="33472"/>
    <cellStyle name="Normal 3 4 4 21" xfId="15992"/>
    <cellStyle name="Normal 3 4 4 21 2" xfId="33473"/>
    <cellStyle name="Normal 3 4 4 22" xfId="15993"/>
    <cellStyle name="Normal 3 4 4 22 2" xfId="33474"/>
    <cellStyle name="Normal 3 4 4 23" xfId="15994"/>
    <cellStyle name="Normal 3 4 4 23 2" xfId="33475"/>
    <cellStyle name="Normal 3 4 4 24" xfId="15995"/>
    <cellStyle name="Normal 3 4 4 24 2" xfId="33476"/>
    <cellStyle name="Normal 3 4 4 25" xfId="15996"/>
    <cellStyle name="Normal 3 4 4 25 2" xfId="33477"/>
    <cellStyle name="Normal 3 4 4 26" xfId="15997"/>
    <cellStyle name="Normal 3 4 4 26 2" xfId="33478"/>
    <cellStyle name="Normal 3 4 4 27" xfId="15998"/>
    <cellStyle name="Normal 3 4 4 27 2" xfId="33479"/>
    <cellStyle name="Normal 3 4 4 28" xfId="33396"/>
    <cellStyle name="Normal 3 4 4 3" xfId="15999"/>
    <cellStyle name="Normal 3 4 4 4" xfId="16000"/>
    <cellStyle name="Normal 3 4 4 5" xfId="16001"/>
    <cellStyle name="Normal 3 4 4 6" xfId="16002"/>
    <cellStyle name="Normal 3 4 4 6 10" xfId="16003"/>
    <cellStyle name="Normal 3 4 4 6 10 2" xfId="33481"/>
    <cellStyle name="Normal 3 4 4 6 11" xfId="16004"/>
    <cellStyle name="Normal 3 4 4 6 11 2" xfId="33482"/>
    <cellStyle name="Normal 3 4 4 6 12" xfId="16005"/>
    <cellStyle name="Normal 3 4 4 6 12 2" xfId="33483"/>
    <cellStyle name="Normal 3 4 4 6 13" xfId="16006"/>
    <cellStyle name="Normal 3 4 4 6 13 2" xfId="33484"/>
    <cellStyle name="Normal 3 4 4 6 14" xfId="16007"/>
    <cellStyle name="Normal 3 4 4 6 14 2" xfId="33485"/>
    <cellStyle name="Normal 3 4 4 6 15" xfId="16008"/>
    <cellStyle name="Normal 3 4 4 6 15 2" xfId="33486"/>
    <cellStyle name="Normal 3 4 4 6 16" xfId="33480"/>
    <cellStyle name="Normal 3 4 4 6 2" xfId="16009"/>
    <cellStyle name="Normal 3 4 4 6 2 10" xfId="16010"/>
    <cellStyle name="Normal 3 4 4 6 2 10 2" xfId="33488"/>
    <cellStyle name="Normal 3 4 4 6 2 11" xfId="16011"/>
    <cellStyle name="Normal 3 4 4 6 2 11 2" xfId="33489"/>
    <cellStyle name="Normal 3 4 4 6 2 12" xfId="16012"/>
    <cellStyle name="Normal 3 4 4 6 2 12 2" xfId="33490"/>
    <cellStyle name="Normal 3 4 4 6 2 13" xfId="16013"/>
    <cellStyle name="Normal 3 4 4 6 2 13 2" xfId="33491"/>
    <cellStyle name="Normal 3 4 4 6 2 14" xfId="16014"/>
    <cellStyle name="Normal 3 4 4 6 2 14 2" xfId="33492"/>
    <cellStyle name="Normal 3 4 4 6 2 15" xfId="33487"/>
    <cellStyle name="Normal 3 4 4 6 2 2" xfId="16015"/>
    <cellStyle name="Normal 3 4 4 6 2 2 2" xfId="33493"/>
    <cellStyle name="Normal 3 4 4 6 2 3" xfId="16016"/>
    <cellStyle name="Normal 3 4 4 6 2 3 2" xfId="33494"/>
    <cellStyle name="Normal 3 4 4 6 2 4" xfId="16017"/>
    <cellStyle name="Normal 3 4 4 6 2 4 2" xfId="33495"/>
    <cellStyle name="Normal 3 4 4 6 2 5" xfId="16018"/>
    <cellStyle name="Normal 3 4 4 6 2 5 2" xfId="33496"/>
    <cellStyle name="Normal 3 4 4 6 2 6" xfId="16019"/>
    <cellStyle name="Normal 3 4 4 6 2 6 2" xfId="33497"/>
    <cellStyle name="Normal 3 4 4 6 2 7" xfId="16020"/>
    <cellStyle name="Normal 3 4 4 6 2 7 2" xfId="33498"/>
    <cellStyle name="Normal 3 4 4 6 2 8" xfId="16021"/>
    <cellStyle name="Normal 3 4 4 6 2 8 2" xfId="33499"/>
    <cellStyle name="Normal 3 4 4 6 2 9" xfId="16022"/>
    <cellStyle name="Normal 3 4 4 6 2 9 2" xfId="33500"/>
    <cellStyle name="Normal 3 4 4 6 3" xfId="16023"/>
    <cellStyle name="Normal 3 4 4 6 3 2" xfId="33501"/>
    <cellStyle name="Normal 3 4 4 6 4" xfId="16024"/>
    <cellStyle name="Normal 3 4 4 6 4 2" xfId="33502"/>
    <cellStyle name="Normal 3 4 4 6 5" xfId="16025"/>
    <cellStyle name="Normal 3 4 4 6 5 2" xfId="33503"/>
    <cellStyle name="Normal 3 4 4 6 6" xfId="16026"/>
    <cellStyle name="Normal 3 4 4 6 6 2" xfId="33504"/>
    <cellStyle name="Normal 3 4 4 6 7" xfId="16027"/>
    <cellStyle name="Normal 3 4 4 6 7 2" xfId="33505"/>
    <cellStyle name="Normal 3 4 4 6 8" xfId="16028"/>
    <cellStyle name="Normal 3 4 4 6 8 2" xfId="33506"/>
    <cellStyle name="Normal 3 4 4 6 9" xfId="16029"/>
    <cellStyle name="Normal 3 4 4 6 9 2" xfId="33507"/>
    <cellStyle name="Normal 3 4 4 7" xfId="16030"/>
    <cellStyle name="Normal 3 4 4 7 10" xfId="16031"/>
    <cellStyle name="Normal 3 4 4 7 10 2" xfId="33509"/>
    <cellStyle name="Normal 3 4 4 7 11" xfId="16032"/>
    <cellStyle name="Normal 3 4 4 7 11 2" xfId="33510"/>
    <cellStyle name="Normal 3 4 4 7 12" xfId="16033"/>
    <cellStyle name="Normal 3 4 4 7 12 2" xfId="33511"/>
    <cellStyle name="Normal 3 4 4 7 13" xfId="16034"/>
    <cellStyle name="Normal 3 4 4 7 13 2" xfId="33512"/>
    <cellStyle name="Normal 3 4 4 7 14" xfId="16035"/>
    <cellStyle name="Normal 3 4 4 7 14 2" xfId="33513"/>
    <cellStyle name="Normal 3 4 4 7 15" xfId="16036"/>
    <cellStyle name="Normal 3 4 4 7 15 2" xfId="33514"/>
    <cellStyle name="Normal 3 4 4 7 16" xfId="33508"/>
    <cellStyle name="Normal 3 4 4 7 2" xfId="16037"/>
    <cellStyle name="Normal 3 4 4 7 2 10" xfId="16038"/>
    <cellStyle name="Normal 3 4 4 7 2 10 2" xfId="33516"/>
    <cellStyle name="Normal 3 4 4 7 2 11" xfId="16039"/>
    <cellStyle name="Normal 3 4 4 7 2 11 2" xfId="33517"/>
    <cellStyle name="Normal 3 4 4 7 2 12" xfId="16040"/>
    <cellStyle name="Normal 3 4 4 7 2 12 2" xfId="33518"/>
    <cellStyle name="Normal 3 4 4 7 2 13" xfId="16041"/>
    <cellStyle name="Normal 3 4 4 7 2 13 2" xfId="33519"/>
    <cellStyle name="Normal 3 4 4 7 2 14" xfId="16042"/>
    <cellStyle name="Normal 3 4 4 7 2 14 2" xfId="33520"/>
    <cellStyle name="Normal 3 4 4 7 2 15" xfId="33515"/>
    <cellStyle name="Normal 3 4 4 7 2 2" xfId="16043"/>
    <cellStyle name="Normal 3 4 4 7 2 2 2" xfId="33521"/>
    <cellStyle name="Normal 3 4 4 7 2 3" xfId="16044"/>
    <cellStyle name="Normal 3 4 4 7 2 3 2" xfId="33522"/>
    <cellStyle name="Normal 3 4 4 7 2 4" xfId="16045"/>
    <cellStyle name="Normal 3 4 4 7 2 4 2" xfId="33523"/>
    <cellStyle name="Normal 3 4 4 7 2 5" xfId="16046"/>
    <cellStyle name="Normal 3 4 4 7 2 5 2" xfId="33524"/>
    <cellStyle name="Normal 3 4 4 7 2 6" xfId="16047"/>
    <cellStyle name="Normal 3 4 4 7 2 6 2" xfId="33525"/>
    <cellStyle name="Normal 3 4 4 7 2 7" xfId="16048"/>
    <cellStyle name="Normal 3 4 4 7 2 7 2" xfId="33526"/>
    <cellStyle name="Normal 3 4 4 7 2 8" xfId="16049"/>
    <cellStyle name="Normal 3 4 4 7 2 8 2" xfId="33527"/>
    <cellStyle name="Normal 3 4 4 7 2 9" xfId="16050"/>
    <cellStyle name="Normal 3 4 4 7 2 9 2" xfId="33528"/>
    <cellStyle name="Normal 3 4 4 7 3" xfId="16051"/>
    <cellStyle name="Normal 3 4 4 7 3 2" xfId="33529"/>
    <cellStyle name="Normal 3 4 4 7 4" xfId="16052"/>
    <cellStyle name="Normal 3 4 4 7 4 2" xfId="33530"/>
    <cellStyle name="Normal 3 4 4 7 5" xfId="16053"/>
    <cellStyle name="Normal 3 4 4 7 5 2" xfId="33531"/>
    <cellStyle name="Normal 3 4 4 7 6" xfId="16054"/>
    <cellStyle name="Normal 3 4 4 7 6 2" xfId="33532"/>
    <cellStyle name="Normal 3 4 4 7 7" xfId="16055"/>
    <cellStyle name="Normal 3 4 4 7 7 2" xfId="33533"/>
    <cellStyle name="Normal 3 4 4 7 8" xfId="16056"/>
    <cellStyle name="Normal 3 4 4 7 8 2" xfId="33534"/>
    <cellStyle name="Normal 3 4 4 7 9" xfId="16057"/>
    <cellStyle name="Normal 3 4 4 7 9 2" xfId="33535"/>
    <cellStyle name="Normal 3 4 4 8" xfId="16058"/>
    <cellStyle name="Normal 3 4 4 8 10" xfId="16059"/>
    <cellStyle name="Normal 3 4 4 8 10 2" xfId="33537"/>
    <cellStyle name="Normal 3 4 4 8 11" xfId="16060"/>
    <cellStyle name="Normal 3 4 4 8 11 2" xfId="33538"/>
    <cellStyle name="Normal 3 4 4 8 12" xfId="16061"/>
    <cellStyle name="Normal 3 4 4 8 12 2" xfId="33539"/>
    <cellStyle name="Normal 3 4 4 8 13" xfId="16062"/>
    <cellStyle name="Normal 3 4 4 8 13 2" xfId="33540"/>
    <cellStyle name="Normal 3 4 4 8 14" xfId="16063"/>
    <cellStyle name="Normal 3 4 4 8 14 2" xfId="33541"/>
    <cellStyle name="Normal 3 4 4 8 15" xfId="16064"/>
    <cellStyle name="Normal 3 4 4 8 15 2" xfId="33542"/>
    <cellStyle name="Normal 3 4 4 8 16" xfId="33536"/>
    <cellStyle name="Normal 3 4 4 8 2" xfId="16065"/>
    <cellStyle name="Normal 3 4 4 8 2 10" xfId="16066"/>
    <cellStyle name="Normal 3 4 4 8 2 10 2" xfId="33544"/>
    <cellStyle name="Normal 3 4 4 8 2 11" xfId="16067"/>
    <cellStyle name="Normal 3 4 4 8 2 11 2" xfId="33545"/>
    <cellStyle name="Normal 3 4 4 8 2 12" xfId="16068"/>
    <cellStyle name="Normal 3 4 4 8 2 12 2" xfId="33546"/>
    <cellStyle name="Normal 3 4 4 8 2 13" xfId="16069"/>
    <cellStyle name="Normal 3 4 4 8 2 13 2" xfId="33547"/>
    <cellStyle name="Normal 3 4 4 8 2 14" xfId="16070"/>
    <cellStyle name="Normal 3 4 4 8 2 14 2" xfId="33548"/>
    <cellStyle name="Normal 3 4 4 8 2 15" xfId="33543"/>
    <cellStyle name="Normal 3 4 4 8 2 2" xfId="16071"/>
    <cellStyle name="Normal 3 4 4 8 2 2 2" xfId="33549"/>
    <cellStyle name="Normal 3 4 4 8 2 3" xfId="16072"/>
    <cellStyle name="Normal 3 4 4 8 2 3 2" xfId="33550"/>
    <cellStyle name="Normal 3 4 4 8 2 4" xfId="16073"/>
    <cellStyle name="Normal 3 4 4 8 2 4 2" xfId="33551"/>
    <cellStyle name="Normal 3 4 4 8 2 5" xfId="16074"/>
    <cellStyle name="Normal 3 4 4 8 2 5 2" xfId="33552"/>
    <cellStyle name="Normal 3 4 4 8 2 6" xfId="16075"/>
    <cellStyle name="Normal 3 4 4 8 2 6 2" xfId="33553"/>
    <cellStyle name="Normal 3 4 4 8 2 7" xfId="16076"/>
    <cellStyle name="Normal 3 4 4 8 2 7 2" xfId="33554"/>
    <cellStyle name="Normal 3 4 4 8 2 8" xfId="16077"/>
    <cellStyle name="Normal 3 4 4 8 2 8 2" xfId="33555"/>
    <cellStyle name="Normal 3 4 4 8 2 9" xfId="16078"/>
    <cellStyle name="Normal 3 4 4 8 2 9 2" xfId="33556"/>
    <cellStyle name="Normal 3 4 4 8 3" xfId="16079"/>
    <cellStyle name="Normal 3 4 4 8 3 2" xfId="33557"/>
    <cellStyle name="Normal 3 4 4 8 4" xfId="16080"/>
    <cellStyle name="Normal 3 4 4 8 4 2" xfId="33558"/>
    <cellStyle name="Normal 3 4 4 8 5" xfId="16081"/>
    <cellStyle name="Normal 3 4 4 8 5 2" xfId="33559"/>
    <cellStyle name="Normal 3 4 4 8 6" xfId="16082"/>
    <cellStyle name="Normal 3 4 4 8 6 2" xfId="33560"/>
    <cellStyle name="Normal 3 4 4 8 7" xfId="16083"/>
    <cellStyle name="Normal 3 4 4 8 7 2" xfId="33561"/>
    <cellStyle name="Normal 3 4 4 8 8" xfId="16084"/>
    <cellStyle name="Normal 3 4 4 8 8 2" xfId="33562"/>
    <cellStyle name="Normal 3 4 4 8 9" xfId="16085"/>
    <cellStyle name="Normal 3 4 4 8 9 2" xfId="33563"/>
    <cellStyle name="Normal 3 4 4 9" xfId="16086"/>
    <cellStyle name="Normal 3 4 4 9 10" xfId="16087"/>
    <cellStyle name="Normal 3 4 4 9 10 2" xfId="33565"/>
    <cellStyle name="Normal 3 4 4 9 11" xfId="16088"/>
    <cellStyle name="Normal 3 4 4 9 11 2" xfId="33566"/>
    <cellStyle name="Normal 3 4 4 9 12" xfId="16089"/>
    <cellStyle name="Normal 3 4 4 9 12 2" xfId="33567"/>
    <cellStyle name="Normal 3 4 4 9 13" xfId="16090"/>
    <cellStyle name="Normal 3 4 4 9 13 2" xfId="33568"/>
    <cellStyle name="Normal 3 4 4 9 14" xfId="16091"/>
    <cellStyle name="Normal 3 4 4 9 14 2" xfId="33569"/>
    <cellStyle name="Normal 3 4 4 9 15" xfId="33564"/>
    <cellStyle name="Normal 3 4 4 9 2" xfId="16092"/>
    <cellStyle name="Normal 3 4 4 9 2 2" xfId="33570"/>
    <cellStyle name="Normal 3 4 4 9 3" xfId="16093"/>
    <cellStyle name="Normal 3 4 4 9 3 2" xfId="33571"/>
    <cellStyle name="Normal 3 4 4 9 4" xfId="16094"/>
    <cellStyle name="Normal 3 4 4 9 4 2" xfId="33572"/>
    <cellStyle name="Normal 3 4 4 9 5" xfId="16095"/>
    <cellStyle name="Normal 3 4 4 9 5 2" xfId="33573"/>
    <cellStyle name="Normal 3 4 4 9 6" xfId="16096"/>
    <cellStyle name="Normal 3 4 4 9 6 2" xfId="33574"/>
    <cellStyle name="Normal 3 4 4 9 7" xfId="16097"/>
    <cellStyle name="Normal 3 4 4 9 7 2" xfId="33575"/>
    <cellStyle name="Normal 3 4 4 9 8" xfId="16098"/>
    <cellStyle name="Normal 3 4 4 9 8 2" xfId="33576"/>
    <cellStyle name="Normal 3 4 4 9 9" xfId="16099"/>
    <cellStyle name="Normal 3 4 4 9 9 2" xfId="33577"/>
    <cellStyle name="Normal 3 4 5" xfId="16100"/>
    <cellStyle name="Normal 3 4 5 10" xfId="16101"/>
    <cellStyle name="Normal 3 4 5 10 10" xfId="16102"/>
    <cellStyle name="Normal 3 4 5 10 10 2" xfId="33580"/>
    <cellStyle name="Normal 3 4 5 10 11" xfId="16103"/>
    <cellStyle name="Normal 3 4 5 10 11 2" xfId="33581"/>
    <cellStyle name="Normal 3 4 5 10 12" xfId="16104"/>
    <cellStyle name="Normal 3 4 5 10 12 2" xfId="33582"/>
    <cellStyle name="Normal 3 4 5 10 13" xfId="16105"/>
    <cellStyle name="Normal 3 4 5 10 13 2" xfId="33583"/>
    <cellStyle name="Normal 3 4 5 10 14" xfId="16106"/>
    <cellStyle name="Normal 3 4 5 10 14 2" xfId="33584"/>
    <cellStyle name="Normal 3 4 5 10 15" xfId="33579"/>
    <cellStyle name="Normal 3 4 5 10 2" xfId="16107"/>
    <cellStyle name="Normal 3 4 5 10 2 2" xfId="33585"/>
    <cellStyle name="Normal 3 4 5 10 3" xfId="16108"/>
    <cellStyle name="Normal 3 4 5 10 3 2" xfId="33586"/>
    <cellStyle name="Normal 3 4 5 10 4" xfId="16109"/>
    <cellStyle name="Normal 3 4 5 10 4 2" xfId="33587"/>
    <cellStyle name="Normal 3 4 5 10 5" xfId="16110"/>
    <cellStyle name="Normal 3 4 5 10 5 2" xfId="33588"/>
    <cellStyle name="Normal 3 4 5 10 6" xfId="16111"/>
    <cellStyle name="Normal 3 4 5 10 6 2" xfId="33589"/>
    <cellStyle name="Normal 3 4 5 10 7" xfId="16112"/>
    <cellStyle name="Normal 3 4 5 10 7 2" xfId="33590"/>
    <cellStyle name="Normal 3 4 5 10 8" xfId="16113"/>
    <cellStyle name="Normal 3 4 5 10 8 2" xfId="33591"/>
    <cellStyle name="Normal 3 4 5 10 9" xfId="16114"/>
    <cellStyle name="Normal 3 4 5 10 9 2" xfId="33592"/>
    <cellStyle name="Normal 3 4 5 11" xfId="16115"/>
    <cellStyle name="Normal 3 4 5 11 10" xfId="16116"/>
    <cellStyle name="Normal 3 4 5 11 10 2" xfId="33594"/>
    <cellStyle name="Normal 3 4 5 11 11" xfId="16117"/>
    <cellStyle name="Normal 3 4 5 11 11 2" xfId="33595"/>
    <cellStyle name="Normal 3 4 5 11 12" xfId="16118"/>
    <cellStyle name="Normal 3 4 5 11 12 2" xfId="33596"/>
    <cellStyle name="Normal 3 4 5 11 13" xfId="16119"/>
    <cellStyle name="Normal 3 4 5 11 13 2" xfId="33597"/>
    <cellStyle name="Normal 3 4 5 11 14" xfId="16120"/>
    <cellStyle name="Normal 3 4 5 11 14 2" xfId="33598"/>
    <cellStyle name="Normal 3 4 5 11 15" xfId="33593"/>
    <cellStyle name="Normal 3 4 5 11 2" xfId="16121"/>
    <cellStyle name="Normal 3 4 5 11 2 2" xfId="33599"/>
    <cellStyle name="Normal 3 4 5 11 3" xfId="16122"/>
    <cellStyle name="Normal 3 4 5 11 3 2" xfId="33600"/>
    <cellStyle name="Normal 3 4 5 11 4" xfId="16123"/>
    <cellStyle name="Normal 3 4 5 11 4 2" xfId="33601"/>
    <cellStyle name="Normal 3 4 5 11 5" xfId="16124"/>
    <cellStyle name="Normal 3 4 5 11 5 2" xfId="33602"/>
    <cellStyle name="Normal 3 4 5 11 6" xfId="16125"/>
    <cellStyle name="Normal 3 4 5 11 6 2" xfId="33603"/>
    <cellStyle name="Normal 3 4 5 11 7" xfId="16126"/>
    <cellStyle name="Normal 3 4 5 11 7 2" xfId="33604"/>
    <cellStyle name="Normal 3 4 5 11 8" xfId="16127"/>
    <cellStyle name="Normal 3 4 5 11 8 2" xfId="33605"/>
    <cellStyle name="Normal 3 4 5 11 9" xfId="16128"/>
    <cellStyle name="Normal 3 4 5 11 9 2" xfId="33606"/>
    <cellStyle name="Normal 3 4 5 12" xfId="16129"/>
    <cellStyle name="Normal 3 4 5 12 10" xfId="16130"/>
    <cellStyle name="Normal 3 4 5 12 10 2" xfId="33608"/>
    <cellStyle name="Normal 3 4 5 12 11" xfId="16131"/>
    <cellStyle name="Normal 3 4 5 12 11 2" xfId="33609"/>
    <cellStyle name="Normal 3 4 5 12 12" xfId="16132"/>
    <cellStyle name="Normal 3 4 5 12 12 2" xfId="33610"/>
    <cellStyle name="Normal 3 4 5 12 13" xfId="16133"/>
    <cellStyle name="Normal 3 4 5 12 13 2" xfId="33611"/>
    <cellStyle name="Normal 3 4 5 12 14" xfId="16134"/>
    <cellStyle name="Normal 3 4 5 12 14 2" xfId="33612"/>
    <cellStyle name="Normal 3 4 5 12 15" xfId="33607"/>
    <cellStyle name="Normal 3 4 5 12 2" xfId="16135"/>
    <cellStyle name="Normal 3 4 5 12 2 2" xfId="33613"/>
    <cellStyle name="Normal 3 4 5 12 3" xfId="16136"/>
    <cellStyle name="Normal 3 4 5 12 3 2" xfId="33614"/>
    <cellStyle name="Normal 3 4 5 12 4" xfId="16137"/>
    <cellStyle name="Normal 3 4 5 12 4 2" xfId="33615"/>
    <cellStyle name="Normal 3 4 5 12 5" xfId="16138"/>
    <cellStyle name="Normal 3 4 5 12 5 2" xfId="33616"/>
    <cellStyle name="Normal 3 4 5 12 6" xfId="16139"/>
    <cellStyle name="Normal 3 4 5 12 6 2" xfId="33617"/>
    <cellStyle name="Normal 3 4 5 12 7" xfId="16140"/>
    <cellStyle name="Normal 3 4 5 12 7 2" xfId="33618"/>
    <cellStyle name="Normal 3 4 5 12 8" xfId="16141"/>
    <cellStyle name="Normal 3 4 5 12 8 2" xfId="33619"/>
    <cellStyle name="Normal 3 4 5 12 9" xfId="16142"/>
    <cellStyle name="Normal 3 4 5 12 9 2" xfId="33620"/>
    <cellStyle name="Normal 3 4 5 13" xfId="16143"/>
    <cellStyle name="Normal 3 4 5 13 10" xfId="16144"/>
    <cellStyle name="Normal 3 4 5 13 10 2" xfId="33622"/>
    <cellStyle name="Normal 3 4 5 13 11" xfId="16145"/>
    <cellStyle name="Normal 3 4 5 13 11 2" xfId="33623"/>
    <cellStyle name="Normal 3 4 5 13 12" xfId="16146"/>
    <cellStyle name="Normal 3 4 5 13 12 2" xfId="33624"/>
    <cellStyle name="Normal 3 4 5 13 13" xfId="16147"/>
    <cellStyle name="Normal 3 4 5 13 13 2" xfId="33625"/>
    <cellStyle name="Normal 3 4 5 13 14" xfId="16148"/>
    <cellStyle name="Normal 3 4 5 13 14 2" xfId="33626"/>
    <cellStyle name="Normal 3 4 5 13 15" xfId="33621"/>
    <cellStyle name="Normal 3 4 5 13 2" xfId="16149"/>
    <cellStyle name="Normal 3 4 5 13 2 2" xfId="33627"/>
    <cellStyle name="Normal 3 4 5 13 3" xfId="16150"/>
    <cellStyle name="Normal 3 4 5 13 3 2" xfId="33628"/>
    <cellStyle name="Normal 3 4 5 13 4" xfId="16151"/>
    <cellStyle name="Normal 3 4 5 13 4 2" xfId="33629"/>
    <cellStyle name="Normal 3 4 5 13 5" xfId="16152"/>
    <cellStyle name="Normal 3 4 5 13 5 2" xfId="33630"/>
    <cellStyle name="Normal 3 4 5 13 6" xfId="16153"/>
    <cellStyle name="Normal 3 4 5 13 6 2" xfId="33631"/>
    <cellStyle name="Normal 3 4 5 13 7" xfId="16154"/>
    <cellStyle name="Normal 3 4 5 13 7 2" xfId="33632"/>
    <cellStyle name="Normal 3 4 5 13 8" xfId="16155"/>
    <cellStyle name="Normal 3 4 5 13 8 2" xfId="33633"/>
    <cellStyle name="Normal 3 4 5 13 9" xfId="16156"/>
    <cellStyle name="Normal 3 4 5 13 9 2" xfId="33634"/>
    <cellStyle name="Normal 3 4 5 14" xfId="16157"/>
    <cellStyle name="Normal 3 4 5 14 10" xfId="16158"/>
    <cellStyle name="Normal 3 4 5 14 10 2" xfId="33636"/>
    <cellStyle name="Normal 3 4 5 14 11" xfId="16159"/>
    <cellStyle name="Normal 3 4 5 14 11 2" xfId="33637"/>
    <cellStyle name="Normal 3 4 5 14 12" xfId="16160"/>
    <cellStyle name="Normal 3 4 5 14 12 2" xfId="33638"/>
    <cellStyle name="Normal 3 4 5 14 13" xfId="16161"/>
    <cellStyle name="Normal 3 4 5 14 13 2" xfId="33639"/>
    <cellStyle name="Normal 3 4 5 14 14" xfId="16162"/>
    <cellStyle name="Normal 3 4 5 14 14 2" xfId="33640"/>
    <cellStyle name="Normal 3 4 5 14 15" xfId="33635"/>
    <cellStyle name="Normal 3 4 5 14 2" xfId="16163"/>
    <cellStyle name="Normal 3 4 5 14 2 2" xfId="33641"/>
    <cellStyle name="Normal 3 4 5 14 3" xfId="16164"/>
    <cellStyle name="Normal 3 4 5 14 3 2" xfId="33642"/>
    <cellStyle name="Normal 3 4 5 14 4" xfId="16165"/>
    <cellStyle name="Normal 3 4 5 14 4 2" xfId="33643"/>
    <cellStyle name="Normal 3 4 5 14 5" xfId="16166"/>
    <cellStyle name="Normal 3 4 5 14 5 2" xfId="33644"/>
    <cellStyle name="Normal 3 4 5 14 6" xfId="16167"/>
    <cellStyle name="Normal 3 4 5 14 6 2" xfId="33645"/>
    <cellStyle name="Normal 3 4 5 14 7" xfId="16168"/>
    <cellStyle name="Normal 3 4 5 14 7 2" xfId="33646"/>
    <cellStyle name="Normal 3 4 5 14 8" xfId="16169"/>
    <cellStyle name="Normal 3 4 5 14 8 2" xfId="33647"/>
    <cellStyle name="Normal 3 4 5 14 9" xfId="16170"/>
    <cellStyle name="Normal 3 4 5 14 9 2" xfId="33648"/>
    <cellStyle name="Normal 3 4 5 15" xfId="16171"/>
    <cellStyle name="Normal 3 4 5 15 2" xfId="33649"/>
    <cellStyle name="Normal 3 4 5 16" xfId="16172"/>
    <cellStyle name="Normal 3 4 5 16 2" xfId="33650"/>
    <cellStyle name="Normal 3 4 5 17" xfId="16173"/>
    <cellStyle name="Normal 3 4 5 17 2" xfId="33651"/>
    <cellStyle name="Normal 3 4 5 18" xfId="16174"/>
    <cellStyle name="Normal 3 4 5 18 2" xfId="33652"/>
    <cellStyle name="Normal 3 4 5 19" xfId="16175"/>
    <cellStyle name="Normal 3 4 5 19 2" xfId="33653"/>
    <cellStyle name="Normal 3 4 5 2" xfId="16176"/>
    <cellStyle name="Normal 3 4 5 20" xfId="16177"/>
    <cellStyle name="Normal 3 4 5 20 2" xfId="33654"/>
    <cellStyle name="Normal 3 4 5 21" xfId="16178"/>
    <cellStyle name="Normal 3 4 5 21 2" xfId="33655"/>
    <cellStyle name="Normal 3 4 5 22" xfId="16179"/>
    <cellStyle name="Normal 3 4 5 22 2" xfId="33656"/>
    <cellStyle name="Normal 3 4 5 23" xfId="16180"/>
    <cellStyle name="Normal 3 4 5 23 2" xfId="33657"/>
    <cellStyle name="Normal 3 4 5 24" xfId="16181"/>
    <cellStyle name="Normal 3 4 5 24 2" xfId="33658"/>
    <cellStyle name="Normal 3 4 5 25" xfId="16182"/>
    <cellStyle name="Normal 3 4 5 25 2" xfId="33659"/>
    <cellStyle name="Normal 3 4 5 26" xfId="16183"/>
    <cellStyle name="Normal 3 4 5 26 2" xfId="33660"/>
    <cellStyle name="Normal 3 4 5 27" xfId="16184"/>
    <cellStyle name="Normal 3 4 5 27 2" xfId="33661"/>
    <cellStyle name="Normal 3 4 5 28" xfId="33578"/>
    <cellStyle name="Normal 3 4 5 3" xfId="16185"/>
    <cellStyle name="Normal 3 4 5 4" xfId="16186"/>
    <cellStyle name="Normal 3 4 5 5" xfId="16187"/>
    <cellStyle name="Normal 3 4 5 6" xfId="16188"/>
    <cellStyle name="Normal 3 4 5 6 10" xfId="16189"/>
    <cellStyle name="Normal 3 4 5 6 10 2" xfId="33663"/>
    <cellStyle name="Normal 3 4 5 6 11" xfId="16190"/>
    <cellStyle name="Normal 3 4 5 6 11 2" xfId="33664"/>
    <cellStyle name="Normal 3 4 5 6 12" xfId="16191"/>
    <cellStyle name="Normal 3 4 5 6 12 2" xfId="33665"/>
    <cellStyle name="Normal 3 4 5 6 13" xfId="16192"/>
    <cellStyle name="Normal 3 4 5 6 13 2" xfId="33666"/>
    <cellStyle name="Normal 3 4 5 6 14" xfId="16193"/>
    <cellStyle name="Normal 3 4 5 6 14 2" xfId="33667"/>
    <cellStyle name="Normal 3 4 5 6 15" xfId="16194"/>
    <cellStyle name="Normal 3 4 5 6 15 2" xfId="33668"/>
    <cellStyle name="Normal 3 4 5 6 16" xfId="33662"/>
    <cellStyle name="Normal 3 4 5 6 2" xfId="16195"/>
    <cellStyle name="Normal 3 4 5 6 2 10" xfId="16196"/>
    <cellStyle name="Normal 3 4 5 6 2 10 2" xfId="33670"/>
    <cellStyle name="Normal 3 4 5 6 2 11" xfId="16197"/>
    <cellStyle name="Normal 3 4 5 6 2 11 2" xfId="33671"/>
    <cellStyle name="Normal 3 4 5 6 2 12" xfId="16198"/>
    <cellStyle name="Normal 3 4 5 6 2 12 2" xfId="33672"/>
    <cellStyle name="Normal 3 4 5 6 2 13" xfId="16199"/>
    <cellStyle name="Normal 3 4 5 6 2 13 2" xfId="33673"/>
    <cellStyle name="Normal 3 4 5 6 2 14" xfId="16200"/>
    <cellStyle name="Normal 3 4 5 6 2 14 2" xfId="33674"/>
    <cellStyle name="Normal 3 4 5 6 2 15" xfId="33669"/>
    <cellStyle name="Normal 3 4 5 6 2 2" xfId="16201"/>
    <cellStyle name="Normal 3 4 5 6 2 2 2" xfId="33675"/>
    <cellStyle name="Normal 3 4 5 6 2 3" xfId="16202"/>
    <cellStyle name="Normal 3 4 5 6 2 3 2" xfId="33676"/>
    <cellStyle name="Normal 3 4 5 6 2 4" xfId="16203"/>
    <cellStyle name="Normal 3 4 5 6 2 4 2" xfId="33677"/>
    <cellStyle name="Normal 3 4 5 6 2 5" xfId="16204"/>
    <cellStyle name="Normal 3 4 5 6 2 5 2" xfId="33678"/>
    <cellStyle name="Normal 3 4 5 6 2 6" xfId="16205"/>
    <cellStyle name="Normal 3 4 5 6 2 6 2" xfId="33679"/>
    <cellStyle name="Normal 3 4 5 6 2 7" xfId="16206"/>
    <cellStyle name="Normal 3 4 5 6 2 7 2" xfId="33680"/>
    <cellStyle name="Normal 3 4 5 6 2 8" xfId="16207"/>
    <cellStyle name="Normal 3 4 5 6 2 8 2" xfId="33681"/>
    <cellStyle name="Normal 3 4 5 6 2 9" xfId="16208"/>
    <cellStyle name="Normal 3 4 5 6 2 9 2" xfId="33682"/>
    <cellStyle name="Normal 3 4 5 6 3" xfId="16209"/>
    <cellStyle name="Normal 3 4 5 6 3 2" xfId="33683"/>
    <cellStyle name="Normal 3 4 5 6 4" xfId="16210"/>
    <cellStyle name="Normal 3 4 5 6 4 2" xfId="33684"/>
    <cellStyle name="Normal 3 4 5 6 5" xfId="16211"/>
    <cellStyle name="Normal 3 4 5 6 5 2" xfId="33685"/>
    <cellStyle name="Normal 3 4 5 6 6" xfId="16212"/>
    <cellStyle name="Normal 3 4 5 6 6 2" xfId="33686"/>
    <cellStyle name="Normal 3 4 5 6 7" xfId="16213"/>
    <cellStyle name="Normal 3 4 5 6 7 2" xfId="33687"/>
    <cellStyle name="Normal 3 4 5 6 8" xfId="16214"/>
    <cellStyle name="Normal 3 4 5 6 8 2" xfId="33688"/>
    <cellStyle name="Normal 3 4 5 6 9" xfId="16215"/>
    <cellStyle name="Normal 3 4 5 6 9 2" xfId="33689"/>
    <cellStyle name="Normal 3 4 5 7" xfId="16216"/>
    <cellStyle name="Normal 3 4 5 7 10" xfId="16217"/>
    <cellStyle name="Normal 3 4 5 7 10 2" xfId="33691"/>
    <cellStyle name="Normal 3 4 5 7 11" xfId="16218"/>
    <cellStyle name="Normal 3 4 5 7 11 2" xfId="33692"/>
    <cellStyle name="Normal 3 4 5 7 12" xfId="16219"/>
    <cellStyle name="Normal 3 4 5 7 12 2" xfId="33693"/>
    <cellStyle name="Normal 3 4 5 7 13" xfId="16220"/>
    <cellStyle name="Normal 3 4 5 7 13 2" xfId="33694"/>
    <cellStyle name="Normal 3 4 5 7 14" xfId="16221"/>
    <cellStyle name="Normal 3 4 5 7 14 2" xfId="33695"/>
    <cellStyle name="Normal 3 4 5 7 15" xfId="16222"/>
    <cellStyle name="Normal 3 4 5 7 15 2" xfId="33696"/>
    <cellStyle name="Normal 3 4 5 7 16" xfId="33690"/>
    <cellStyle name="Normal 3 4 5 7 2" xfId="16223"/>
    <cellStyle name="Normal 3 4 5 7 2 10" xfId="16224"/>
    <cellStyle name="Normal 3 4 5 7 2 10 2" xfId="33698"/>
    <cellStyle name="Normal 3 4 5 7 2 11" xfId="16225"/>
    <cellStyle name="Normal 3 4 5 7 2 11 2" xfId="33699"/>
    <cellStyle name="Normal 3 4 5 7 2 12" xfId="16226"/>
    <cellStyle name="Normal 3 4 5 7 2 12 2" xfId="33700"/>
    <cellStyle name="Normal 3 4 5 7 2 13" xfId="16227"/>
    <cellStyle name="Normal 3 4 5 7 2 13 2" xfId="33701"/>
    <cellStyle name="Normal 3 4 5 7 2 14" xfId="16228"/>
    <cellStyle name="Normal 3 4 5 7 2 14 2" xfId="33702"/>
    <cellStyle name="Normal 3 4 5 7 2 15" xfId="33697"/>
    <cellStyle name="Normal 3 4 5 7 2 2" xfId="16229"/>
    <cellStyle name="Normal 3 4 5 7 2 2 2" xfId="33703"/>
    <cellStyle name="Normal 3 4 5 7 2 3" xfId="16230"/>
    <cellStyle name="Normal 3 4 5 7 2 3 2" xfId="33704"/>
    <cellStyle name="Normal 3 4 5 7 2 4" xfId="16231"/>
    <cellStyle name="Normal 3 4 5 7 2 4 2" xfId="33705"/>
    <cellStyle name="Normal 3 4 5 7 2 5" xfId="16232"/>
    <cellStyle name="Normal 3 4 5 7 2 5 2" xfId="33706"/>
    <cellStyle name="Normal 3 4 5 7 2 6" xfId="16233"/>
    <cellStyle name="Normal 3 4 5 7 2 6 2" xfId="33707"/>
    <cellStyle name="Normal 3 4 5 7 2 7" xfId="16234"/>
    <cellStyle name="Normal 3 4 5 7 2 7 2" xfId="33708"/>
    <cellStyle name="Normal 3 4 5 7 2 8" xfId="16235"/>
    <cellStyle name="Normal 3 4 5 7 2 8 2" xfId="33709"/>
    <cellStyle name="Normal 3 4 5 7 2 9" xfId="16236"/>
    <cellStyle name="Normal 3 4 5 7 2 9 2" xfId="33710"/>
    <cellStyle name="Normal 3 4 5 7 3" xfId="16237"/>
    <cellStyle name="Normal 3 4 5 7 3 2" xfId="33711"/>
    <cellStyle name="Normal 3 4 5 7 4" xfId="16238"/>
    <cellStyle name="Normal 3 4 5 7 4 2" xfId="33712"/>
    <cellStyle name="Normal 3 4 5 7 5" xfId="16239"/>
    <cellStyle name="Normal 3 4 5 7 5 2" xfId="33713"/>
    <cellStyle name="Normal 3 4 5 7 6" xfId="16240"/>
    <cellStyle name="Normal 3 4 5 7 6 2" xfId="33714"/>
    <cellStyle name="Normal 3 4 5 7 7" xfId="16241"/>
    <cellStyle name="Normal 3 4 5 7 7 2" xfId="33715"/>
    <cellStyle name="Normal 3 4 5 7 8" xfId="16242"/>
    <cellStyle name="Normal 3 4 5 7 8 2" xfId="33716"/>
    <cellStyle name="Normal 3 4 5 7 9" xfId="16243"/>
    <cellStyle name="Normal 3 4 5 7 9 2" xfId="33717"/>
    <cellStyle name="Normal 3 4 5 8" xfId="16244"/>
    <cellStyle name="Normal 3 4 5 8 10" xfId="16245"/>
    <cellStyle name="Normal 3 4 5 8 10 2" xfId="33719"/>
    <cellStyle name="Normal 3 4 5 8 11" xfId="16246"/>
    <cellStyle name="Normal 3 4 5 8 11 2" xfId="33720"/>
    <cellStyle name="Normal 3 4 5 8 12" xfId="16247"/>
    <cellStyle name="Normal 3 4 5 8 12 2" xfId="33721"/>
    <cellStyle name="Normal 3 4 5 8 13" xfId="16248"/>
    <cellStyle name="Normal 3 4 5 8 13 2" xfId="33722"/>
    <cellStyle name="Normal 3 4 5 8 14" xfId="16249"/>
    <cellStyle name="Normal 3 4 5 8 14 2" xfId="33723"/>
    <cellStyle name="Normal 3 4 5 8 15" xfId="16250"/>
    <cellStyle name="Normal 3 4 5 8 15 2" xfId="33724"/>
    <cellStyle name="Normal 3 4 5 8 16" xfId="33718"/>
    <cellStyle name="Normal 3 4 5 8 2" xfId="16251"/>
    <cellStyle name="Normal 3 4 5 8 2 10" xfId="16252"/>
    <cellStyle name="Normal 3 4 5 8 2 10 2" xfId="33726"/>
    <cellStyle name="Normal 3 4 5 8 2 11" xfId="16253"/>
    <cellStyle name="Normal 3 4 5 8 2 11 2" xfId="33727"/>
    <cellStyle name="Normal 3 4 5 8 2 12" xfId="16254"/>
    <cellStyle name="Normal 3 4 5 8 2 12 2" xfId="33728"/>
    <cellStyle name="Normal 3 4 5 8 2 13" xfId="16255"/>
    <cellStyle name="Normal 3 4 5 8 2 13 2" xfId="33729"/>
    <cellStyle name="Normal 3 4 5 8 2 14" xfId="16256"/>
    <cellStyle name="Normal 3 4 5 8 2 14 2" xfId="33730"/>
    <cellStyle name="Normal 3 4 5 8 2 15" xfId="33725"/>
    <cellStyle name="Normal 3 4 5 8 2 2" xfId="16257"/>
    <cellStyle name="Normal 3 4 5 8 2 2 2" xfId="33731"/>
    <cellStyle name="Normal 3 4 5 8 2 3" xfId="16258"/>
    <cellStyle name="Normal 3 4 5 8 2 3 2" xfId="33732"/>
    <cellStyle name="Normal 3 4 5 8 2 4" xfId="16259"/>
    <cellStyle name="Normal 3 4 5 8 2 4 2" xfId="33733"/>
    <cellStyle name="Normal 3 4 5 8 2 5" xfId="16260"/>
    <cellStyle name="Normal 3 4 5 8 2 5 2" xfId="33734"/>
    <cellStyle name="Normal 3 4 5 8 2 6" xfId="16261"/>
    <cellStyle name="Normal 3 4 5 8 2 6 2" xfId="33735"/>
    <cellStyle name="Normal 3 4 5 8 2 7" xfId="16262"/>
    <cellStyle name="Normal 3 4 5 8 2 7 2" xfId="33736"/>
    <cellStyle name="Normal 3 4 5 8 2 8" xfId="16263"/>
    <cellStyle name="Normal 3 4 5 8 2 8 2" xfId="33737"/>
    <cellStyle name="Normal 3 4 5 8 2 9" xfId="16264"/>
    <cellStyle name="Normal 3 4 5 8 2 9 2" xfId="33738"/>
    <cellStyle name="Normal 3 4 5 8 3" xfId="16265"/>
    <cellStyle name="Normal 3 4 5 8 3 2" xfId="33739"/>
    <cellStyle name="Normal 3 4 5 8 4" xfId="16266"/>
    <cellStyle name="Normal 3 4 5 8 4 2" xfId="33740"/>
    <cellStyle name="Normal 3 4 5 8 5" xfId="16267"/>
    <cellStyle name="Normal 3 4 5 8 5 2" xfId="33741"/>
    <cellStyle name="Normal 3 4 5 8 6" xfId="16268"/>
    <cellStyle name="Normal 3 4 5 8 6 2" xfId="33742"/>
    <cellStyle name="Normal 3 4 5 8 7" xfId="16269"/>
    <cellStyle name="Normal 3 4 5 8 7 2" xfId="33743"/>
    <cellStyle name="Normal 3 4 5 8 8" xfId="16270"/>
    <cellStyle name="Normal 3 4 5 8 8 2" xfId="33744"/>
    <cellStyle name="Normal 3 4 5 8 9" xfId="16271"/>
    <cellStyle name="Normal 3 4 5 8 9 2" xfId="33745"/>
    <cellStyle name="Normal 3 4 5 9" xfId="16272"/>
    <cellStyle name="Normal 3 4 5 9 10" xfId="16273"/>
    <cellStyle name="Normal 3 4 5 9 10 2" xfId="33747"/>
    <cellStyle name="Normal 3 4 5 9 11" xfId="16274"/>
    <cellStyle name="Normal 3 4 5 9 11 2" xfId="33748"/>
    <cellStyle name="Normal 3 4 5 9 12" xfId="16275"/>
    <cellStyle name="Normal 3 4 5 9 12 2" xfId="33749"/>
    <cellStyle name="Normal 3 4 5 9 13" xfId="16276"/>
    <cellStyle name="Normal 3 4 5 9 13 2" xfId="33750"/>
    <cellStyle name="Normal 3 4 5 9 14" xfId="16277"/>
    <cellStyle name="Normal 3 4 5 9 14 2" xfId="33751"/>
    <cellStyle name="Normal 3 4 5 9 15" xfId="33746"/>
    <cellStyle name="Normal 3 4 5 9 2" xfId="16278"/>
    <cellStyle name="Normal 3 4 5 9 2 2" xfId="33752"/>
    <cellStyle name="Normal 3 4 5 9 3" xfId="16279"/>
    <cellStyle name="Normal 3 4 5 9 3 2" xfId="33753"/>
    <cellStyle name="Normal 3 4 5 9 4" xfId="16280"/>
    <cellStyle name="Normal 3 4 5 9 4 2" xfId="33754"/>
    <cellStyle name="Normal 3 4 5 9 5" xfId="16281"/>
    <cellStyle name="Normal 3 4 5 9 5 2" xfId="33755"/>
    <cellStyle name="Normal 3 4 5 9 6" xfId="16282"/>
    <cellStyle name="Normal 3 4 5 9 6 2" xfId="33756"/>
    <cellStyle name="Normal 3 4 5 9 7" xfId="16283"/>
    <cellStyle name="Normal 3 4 5 9 7 2" xfId="33757"/>
    <cellStyle name="Normal 3 4 5 9 8" xfId="16284"/>
    <cellStyle name="Normal 3 4 5 9 8 2" xfId="33758"/>
    <cellStyle name="Normal 3 4 5 9 9" xfId="16285"/>
    <cellStyle name="Normal 3 4 5 9 9 2" xfId="33759"/>
    <cellStyle name="Normal 3 4 6" xfId="16286"/>
    <cellStyle name="Normal 3 4 6 10" xfId="16287"/>
    <cellStyle name="Normal 3 4 6 10 10" xfId="16288"/>
    <cellStyle name="Normal 3 4 6 10 10 2" xfId="33762"/>
    <cellStyle name="Normal 3 4 6 10 11" xfId="16289"/>
    <cellStyle name="Normal 3 4 6 10 11 2" xfId="33763"/>
    <cellStyle name="Normal 3 4 6 10 12" xfId="16290"/>
    <cellStyle name="Normal 3 4 6 10 12 2" xfId="33764"/>
    <cellStyle name="Normal 3 4 6 10 13" xfId="16291"/>
    <cellStyle name="Normal 3 4 6 10 13 2" xfId="33765"/>
    <cellStyle name="Normal 3 4 6 10 14" xfId="16292"/>
    <cellStyle name="Normal 3 4 6 10 14 2" xfId="33766"/>
    <cellStyle name="Normal 3 4 6 10 15" xfId="33761"/>
    <cellStyle name="Normal 3 4 6 10 2" xfId="16293"/>
    <cellStyle name="Normal 3 4 6 10 2 2" xfId="33767"/>
    <cellStyle name="Normal 3 4 6 10 3" xfId="16294"/>
    <cellStyle name="Normal 3 4 6 10 3 2" xfId="33768"/>
    <cellStyle name="Normal 3 4 6 10 4" xfId="16295"/>
    <cellStyle name="Normal 3 4 6 10 4 2" xfId="33769"/>
    <cellStyle name="Normal 3 4 6 10 5" xfId="16296"/>
    <cellStyle name="Normal 3 4 6 10 5 2" xfId="33770"/>
    <cellStyle name="Normal 3 4 6 10 6" xfId="16297"/>
    <cellStyle name="Normal 3 4 6 10 6 2" xfId="33771"/>
    <cellStyle name="Normal 3 4 6 10 7" xfId="16298"/>
    <cellStyle name="Normal 3 4 6 10 7 2" xfId="33772"/>
    <cellStyle name="Normal 3 4 6 10 8" xfId="16299"/>
    <cellStyle name="Normal 3 4 6 10 8 2" xfId="33773"/>
    <cellStyle name="Normal 3 4 6 10 9" xfId="16300"/>
    <cellStyle name="Normal 3 4 6 10 9 2" xfId="33774"/>
    <cellStyle name="Normal 3 4 6 11" xfId="16301"/>
    <cellStyle name="Normal 3 4 6 11 10" xfId="16302"/>
    <cellStyle name="Normal 3 4 6 11 10 2" xfId="33776"/>
    <cellStyle name="Normal 3 4 6 11 11" xfId="16303"/>
    <cellStyle name="Normal 3 4 6 11 11 2" xfId="33777"/>
    <cellStyle name="Normal 3 4 6 11 12" xfId="16304"/>
    <cellStyle name="Normal 3 4 6 11 12 2" xfId="33778"/>
    <cellStyle name="Normal 3 4 6 11 13" xfId="16305"/>
    <cellStyle name="Normal 3 4 6 11 13 2" xfId="33779"/>
    <cellStyle name="Normal 3 4 6 11 14" xfId="16306"/>
    <cellStyle name="Normal 3 4 6 11 14 2" xfId="33780"/>
    <cellStyle name="Normal 3 4 6 11 15" xfId="33775"/>
    <cellStyle name="Normal 3 4 6 11 2" xfId="16307"/>
    <cellStyle name="Normal 3 4 6 11 2 2" xfId="33781"/>
    <cellStyle name="Normal 3 4 6 11 3" xfId="16308"/>
    <cellStyle name="Normal 3 4 6 11 3 2" xfId="33782"/>
    <cellStyle name="Normal 3 4 6 11 4" xfId="16309"/>
    <cellStyle name="Normal 3 4 6 11 4 2" xfId="33783"/>
    <cellStyle name="Normal 3 4 6 11 5" xfId="16310"/>
    <cellStyle name="Normal 3 4 6 11 5 2" xfId="33784"/>
    <cellStyle name="Normal 3 4 6 11 6" xfId="16311"/>
    <cellStyle name="Normal 3 4 6 11 6 2" xfId="33785"/>
    <cellStyle name="Normal 3 4 6 11 7" xfId="16312"/>
    <cellStyle name="Normal 3 4 6 11 7 2" xfId="33786"/>
    <cellStyle name="Normal 3 4 6 11 8" xfId="16313"/>
    <cellStyle name="Normal 3 4 6 11 8 2" xfId="33787"/>
    <cellStyle name="Normal 3 4 6 11 9" xfId="16314"/>
    <cellStyle name="Normal 3 4 6 11 9 2" xfId="33788"/>
    <cellStyle name="Normal 3 4 6 12" xfId="16315"/>
    <cellStyle name="Normal 3 4 6 12 10" xfId="16316"/>
    <cellStyle name="Normal 3 4 6 12 10 2" xfId="33790"/>
    <cellStyle name="Normal 3 4 6 12 11" xfId="16317"/>
    <cellStyle name="Normal 3 4 6 12 11 2" xfId="33791"/>
    <cellStyle name="Normal 3 4 6 12 12" xfId="16318"/>
    <cellStyle name="Normal 3 4 6 12 12 2" xfId="33792"/>
    <cellStyle name="Normal 3 4 6 12 13" xfId="16319"/>
    <cellStyle name="Normal 3 4 6 12 13 2" xfId="33793"/>
    <cellStyle name="Normal 3 4 6 12 14" xfId="16320"/>
    <cellStyle name="Normal 3 4 6 12 14 2" xfId="33794"/>
    <cellStyle name="Normal 3 4 6 12 15" xfId="33789"/>
    <cellStyle name="Normal 3 4 6 12 2" xfId="16321"/>
    <cellStyle name="Normal 3 4 6 12 2 2" xfId="33795"/>
    <cellStyle name="Normal 3 4 6 12 3" xfId="16322"/>
    <cellStyle name="Normal 3 4 6 12 3 2" xfId="33796"/>
    <cellStyle name="Normal 3 4 6 12 4" xfId="16323"/>
    <cellStyle name="Normal 3 4 6 12 4 2" xfId="33797"/>
    <cellStyle name="Normal 3 4 6 12 5" xfId="16324"/>
    <cellStyle name="Normal 3 4 6 12 5 2" xfId="33798"/>
    <cellStyle name="Normal 3 4 6 12 6" xfId="16325"/>
    <cellStyle name="Normal 3 4 6 12 6 2" xfId="33799"/>
    <cellStyle name="Normal 3 4 6 12 7" xfId="16326"/>
    <cellStyle name="Normal 3 4 6 12 7 2" xfId="33800"/>
    <cellStyle name="Normal 3 4 6 12 8" xfId="16327"/>
    <cellStyle name="Normal 3 4 6 12 8 2" xfId="33801"/>
    <cellStyle name="Normal 3 4 6 12 9" xfId="16328"/>
    <cellStyle name="Normal 3 4 6 12 9 2" xfId="33802"/>
    <cellStyle name="Normal 3 4 6 13" xfId="16329"/>
    <cellStyle name="Normal 3 4 6 13 10" xfId="16330"/>
    <cellStyle name="Normal 3 4 6 13 10 2" xfId="33804"/>
    <cellStyle name="Normal 3 4 6 13 11" xfId="16331"/>
    <cellStyle name="Normal 3 4 6 13 11 2" xfId="33805"/>
    <cellStyle name="Normal 3 4 6 13 12" xfId="16332"/>
    <cellStyle name="Normal 3 4 6 13 12 2" xfId="33806"/>
    <cellStyle name="Normal 3 4 6 13 13" xfId="16333"/>
    <cellStyle name="Normal 3 4 6 13 13 2" xfId="33807"/>
    <cellStyle name="Normal 3 4 6 13 14" xfId="16334"/>
    <cellStyle name="Normal 3 4 6 13 14 2" xfId="33808"/>
    <cellStyle name="Normal 3 4 6 13 15" xfId="33803"/>
    <cellStyle name="Normal 3 4 6 13 2" xfId="16335"/>
    <cellStyle name="Normal 3 4 6 13 2 2" xfId="33809"/>
    <cellStyle name="Normal 3 4 6 13 3" xfId="16336"/>
    <cellStyle name="Normal 3 4 6 13 3 2" xfId="33810"/>
    <cellStyle name="Normal 3 4 6 13 4" xfId="16337"/>
    <cellStyle name="Normal 3 4 6 13 4 2" xfId="33811"/>
    <cellStyle name="Normal 3 4 6 13 5" xfId="16338"/>
    <cellStyle name="Normal 3 4 6 13 5 2" xfId="33812"/>
    <cellStyle name="Normal 3 4 6 13 6" xfId="16339"/>
    <cellStyle name="Normal 3 4 6 13 6 2" xfId="33813"/>
    <cellStyle name="Normal 3 4 6 13 7" xfId="16340"/>
    <cellStyle name="Normal 3 4 6 13 7 2" xfId="33814"/>
    <cellStyle name="Normal 3 4 6 13 8" xfId="16341"/>
    <cellStyle name="Normal 3 4 6 13 8 2" xfId="33815"/>
    <cellStyle name="Normal 3 4 6 13 9" xfId="16342"/>
    <cellStyle name="Normal 3 4 6 13 9 2" xfId="33816"/>
    <cellStyle name="Normal 3 4 6 14" xfId="16343"/>
    <cellStyle name="Normal 3 4 6 14 10" xfId="16344"/>
    <cellStyle name="Normal 3 4 6 14 10 2" xfId="33818"/>
    <cellStyle name="Normal 3 4 6 14 11" xfId="16345"/>
    <cellStyle name="Normal 3 4 6 14 11 2" xfId="33819"/>
    <cellStyle name="Normal 3 4 6 14 12" xfId="16346"/>
    <cellStyle name="Normal 3 4 6 14 12 2" xfId="33820"/>
    <cellStyle name="Normal 3 4 6 14 13" xfId="16347"/>
    <cellStyle name="Normal 3 4 6 14 13 2" xfId="33821"/>
    <cellStyle name="Normal 3 4 6 14 14" xfId="16348"/>
    <cellStyle name="Normal 3 4 6 14 14 2" xfId="33822"/>
    <cellStyle name="Normal 3 4 6 14 15" xfId="33817"/>
    <cellStyle name="Normal 3 4 6 14 2" xfId="16349"/>
    <cellStyle name="Normal 3 4 6 14 2 2" xfId="33823"/>
    <cellStyle name="Normal 3 4 6 14 3" xfId="16350"/>
    <cellStyle name="Normal 3 4 6 14 3 2" xfId="33824"/>
    <cellStyle name="Normal 3 4 6 14 4" xfId="16351"/>
    <cellStyle name="Normal 3 4 6 14 4 2" xfId="33825"/>
    <cellStyle name="Normal 3 4 6 14 5" xfId="16352"/>
    <cellStyle name="Normal 3 4 6 14 5 2" xfId="33826"/>
    <cellStyle name="Normal 3 4 6 14 6" xfId="16353"/>
    <cellStyle name="Normal 3 4 6 14 6 2" xfId="33827"/>
    <cellStyle name="Normal 3 4 6 14 7" xfId="16354"/>
    <cellStyle name="Normal 3 4 6 14 7 2" xfId="33828"/>
    <cellStyle name="Normal 3 4 6 14 8" xfId="16355"/>
    <cellStyle name="Normal 3 4 6 14 8 2" xfId="33829"/>
    <cellStyle name="Normal 3 4 6 14 9" xfId="16356"/>
    <cellStyle name="Normal 3 4 6 14 9 2" xfId="33830"/>
    <cellStyle name="Normal 3 4 6 15" xfId="16357"/>
    <cellStyle name="Normal 3 4 6 15 2" xfId="33831"/>
    <cellStyle name="Normal 3 4 6 16" xfId="16358"/>
    <cellStyle name="Normal 3 4 6 16 2" xfId="33832"/>
    <cellStyle name="Normal 3 4 6 17" xfId="16359"/>
    <cellStyle name="Normal 3 4 6 17 2" xfId="33833"/>
    <cellStyle name="Normal 3 4 6 18" xfId="16360"/>
    <cellStyle name="Normal 3 4 6 18 2" xfId="33834"/>
    <cellStyle name="Normal 3 4 6 19" xfId="16361"/>
    <cellStyle name="Normal 3 4 6 19 2" xfId="33835"/>
    <cellStyle name="Normal 3 4 6 2" xfId="16362"/>
    <cellStyle name="Normal 3 4 6 20" xfId="16363"/>
    <cellStyle name="Normal 3 4 6 20 2" xfId="33836"/>
    <cellStyle name="Normal 3 4 6 21" xfId="16364"/>
    <cellStyle name="Normal 3 4 6 21 2" xfId="33837"/>
    <cellStyle name="Normal 3 4 6 22" xfId="16365"/>
    <cellStyle name="Normal 3 4 6 22 2" xfId="33838"/>
    <cellStyle name="Normal 3 4 6 23" xfId="16366"/>
    <cellStyle name="Normal 3 4 6 23 2" xfId="33839"/>
    <cellStyle name="Normal 3 4 6 24" xfId="16367"/>
    <cellStyle name="Normal 3 4 6 24 2" xfId="33840"/>
    <cellStyle name="Normal 3 4 6 25" xfId="16368"/>
    <cellStyle name="Normal 3 4 6 25 2" xfId="33841"/>
    <cellStyle name="Normal 3 4 6 26" xfId="16369"/>
    <cellStyle name="Normal 3 4 6 26 2" xfId="33842"/>
    <cellStyle name="Normal 3 4 6 27" xfId="16370"/>
    <cellStyle name="Normal 3 4 6 27 2" xfId="33843"/>
    <cellStyle name="Normal 3 4 6 28" xfId="33760"/>
    <cellStyle name="Normal 3 4 6 3" xfId="16371"/>
    <cellStyle name="Normal 3 4 6 4" xfId="16372"/>
    <cellStyle name="Normal 3 4 6 5" xfId="16373"/>
    <cellStyle name="Normal 3 4 6 6" xfId="16374"/>
    <cellStyle name="Normal 3 4 6 6 10" xfId="16375"/>
    <cellStyle name="Normal 3 4 6 6 10 2" xfId="33845"/>
    <cellStyle name="Normal 3 4 6 6 11" xfId="16376"/>
    <cellStyle name="Normal 3 4 6 6 11 2" xfId="33846"/>
    <cellStyle name="Normal 3 4 6 6 12" xfId="16377"/>
    <cellStyle name="Normal 3 4 6 6 12 2" xfId="33847"/>
    <cellStyle name="Normal 3 4 6 6 13" xfId="16378"/>
    <cellStyle name="Normal 3 4 6 6 13 2" xfId="33848"/>
    <cellStyle name="Normal 3 4 6 6 14" xfId="16379"/>
    <cellStyle name="Normal 3 4 6 6 14 2" xfId="33849"/>
    <cellStyle name="Normal 3 4 6 6 15" xfId="16380"/>
    <cellStyle name="Normal 3 4 6 6 15 2" xfId="33850"/>
    <cellStyle name="Normal 3 4 6 6 16" xfId="33844"/>
    <cellStyle name="Normal 3 4 6 6 2" xfId="16381"/>
    <cellStyle name="Normal 3 4 6 6 2 10" xfId="16382"/>
    <cellStyle name="Normal 3 4 6 6 2 10 2" xfId="33852"/>
    <cellStyle name="Normal 3 4 6 6 2 11" xfId="16383"/>
    <cellStyle name="Normal 3 4 6 6 2 11 2" xfId="33853"/>
    <cellStyle name="Normal 3 4 6 6 2 12" xfId="16384"/>
    <cellStyle name="Normal 3 4 6 6 2 12 2" xfId="33854"/>
    <cellStyle name="Normal 3 4 6 6 2 13" xfId="16385"/>
    <cellStyle name="Normal 3 4 6 6 2 13 2" xfId="33855"/>
    <cellStyle name="Normal 3 4 6 6 2 14" xfId="16386"/>
    <cellStyle name="Normal 3 4 6 6 2 14 2" xfId="33856"/>
    <cellStyle name="Normal 3 4 6 6 2 15" xfId="33851"/>
    <cellStyle name="Normal 3 4 6 6 2 2" xfId="16387"/>
    <cellStyle name="Normal 3 4 6 6 2 2 2" xfId="33857"/>
    <cellStyle name="Normal 3 4 6 6 2 3" xfId="16388"/>
    <cellStyle name="Normal 3 4 6 6 2 3 2" xfId="33858"/>
    <cellStyle name="Normal 3 4 6 6 2 4" xfId="16389"/>
    <cellStyle name="Normal 3 4 6 6 2 4 2" xfId="33859"/>
    <cellStyle name="Normal 3 4 6 6 2 5" xfId="16390"/>
    <cellStyle name="Normal 3 4 6 6 2 5 2" xfId="33860"/>
    <cellStyle name="Normal 3 4 6 6 2 6" xfId="16391"/>
    <cellStyle name="Normal 3 4 6 6 2 6 2" xfId="33861"/>
    <cellStyle name="Normal 3 4 6 6 2 7" xfId="16392"/>
    <cellStyle name="Normal 3 4 6 6 2 7 2" xfId="33862"/>
    <cellStyle name="Normal 3 4 6 6 2 8" xfId="16393"/>
    <cellStyle name="Normal 3 4 6 6 2 8 2" xfId="33863"/>
    <cellStyle name="Normal 3 4 6 6 2 9" xfId="16394"/>
    <cellStyle name="Normal 3 4 6 6 2 9 2" xfId="33864"/>
    <cellStyle name="Normal 3 4 6 6 3" xfId="16395"/>
    <cellStyle name="Normal 3 4 6 6 3 2" xfId="33865"/>
    <cellStyle name="Normal 3 4 6 6 4" xfId="16396"/>
    <cellStyle name="Normal 3 4 6 6 4 2" xfId="33866"/>
    <cellStyle name="Normal 3 4 6 6 5" xfId="16397"/>
    <cellStyle name="Normal 3 4 6 6 5 2" xfId="33867"/>
    <cellStyle name="Normal 3 4 6 6 6" xfId="16398"/>
    <cellStyle name="Normal 3 4 6 6 6 2" xfId="33868"/>
    <cellStyle name="Normal 3 4 6 6 7" xfId="16399"/>
    <cellStyle name="Normal 3 4 6 6 7 2" xfId="33869"/>
    <cellStyle name="Normal 3 4 6 6 8" xfId="16400"/>
    <cellStyle name="Normal 3 4 6 6 8 2" xfId="33870"/>
    <cellStyle name="Normal 3 4 6 6 9" xfId="16401"/>
    <cellStyle name="Normal 3 4 6 6 9 2" xfId="33871"/>
    <cellStyle name="Normal 3 4 6 7" xfId="16402"/>
    <cellStyle name="Normal 3 4 6 7 10" xfId="16403"/>
    <cellStyle name="Normal 3 4 6 7 10 2" xfId="33873"/>
    <cellStyle name="Normal 3 4 6 7 11" xfId="16404"/>
    <cellStyle name="Normal 3 4 6 7 11 2" xfId="33874"/>
    <cellStyle name="Normal 3 4 6 7 12" xfId="16405"/>
    <cellStyle name="Normal 3 4 6 7 12 2" xfId="33875"/>
    <cellStyle name="Normal 3 4 6 7 13" xfId="16406"/>
    <cellStyle name="Normal 3 4 6 7 13 2" xfId="33876"/>
    <cellStyle name="Normal 3 4 6 7 14" xfId="16407"/>
    <cellStyle name="Normal 3 4 6 7 14 2" xfId="33877"/>
    <cellStyle name="Normal 3 4 6 7 15" xfId="16408"/>
    <cellStyle name="Normal 3 4 6 7 15 2" xfId="33878"/>
    <cellStyle name="Normal 3 4 6 7 16" xfId="33872"/>
    <cellStyle name="Normal 3 4 6 7 2" xfId="16409"/>
    <cellStyle name="Normal 3 4 6 7 2 10" xfId="16410"/>
    <cellStyle name="Normal 3 4 6 7 2 10 2" xfId="33880"/>
    <cellStyle name="Normal 3 4 6 7 2 11" xfId="16411"/>
    <cellStyle name="Normal 3 4 6 7 2 11 2" xfId="33881"/>
    <cellStyle name="Normal 3 4 6 7 2 12" xfId="16412"/>
    <cellStyle name="Normal 3 4 6 7 2 12 2" xfId="33882"/>
    <cellStyle name="Normal 3 4 6 7 2 13" xfId="16413"/>
    <cellStyle name="Normal 3 4 6 7 2 13 2" xfId="33883"/>
    <cellStyle name="Normal 3 4 6 7 2 14" xfId="16414"/>
    <cellStyle name="Normal 3 4 6 7 2 14 2" xfId="33884"/>
    <cellStyle name="Normal 3 4 6 7 2 15" xfId="33879"/>
    <cellStyle name="Normal 3 4 6 7 2 2" xfId="16415"/>
    <cellStyle name="Normal 3 4 6 7 2 2 2" xfId="33885"/>
    <cellStyle name="Normal 3 4 6 7 2 3" xfId="16416"/>
    <cellStyle name="Normal 3 4 6 7 2 3 2" xfId="33886"/>
    <cellStyle name="Normal 3 4 6 7 2 4" xfId="16417"/>
    <cellStyle name="Normal 3 4 6 7 2 4 2" xfId="33887"/>
    <cellStyle name="Normal 3 4 6 7 2 5" xfId="16418"/>
    <cellStyle name="Normal 3 4 6 7 2 5 2" xfId="33888"/>
    <cellStyle name="Normal 3 4 6 7 2 6" xfId="16419"/>
    <cellStyle name="Normal 3 4 6 7 2 6 2" xfId="33889"/>
    <cellStyle name="Normal 3 4 6 7 2 7" xfId="16420"/>
    <cellStyle name="Normal 3 4 6 7 2 7 2" xfId="33890"/>
    <cellStyle name="Normal 3 4 6 7 2 8" xfId="16421"/>
    <cellStyle name="Normal 3 4 6 7 2 8 2" xfId="33891"/>
    <cellStyle name="Normal 3 4 6 7 2 9" xfId="16422"/>
    <cellStyle name="Normal 3 4 6 7 2 9 2" xfId="33892"/>
    <cellStyle name="Normal 3 4 6 7 3" xfId="16423"/>
    <cellStyle name="Normal 3 4 6 7 3 2" xfId="33893"/>
    <cellStyle name="Normal 3 4 6 7 4" xfId="16424"/>
    <cellStyle name="Normal 3 4 6 7 4 2" xfId="33894"/>
    <cellStyle name="Normal 3 4 6 7 5" xfId="16425"/>
    <cellStyle name="Normal 3 4 6 7 5 2" xfId="33895"/>
    <cellStyle name="Normal 3 4 6 7 6" xfId="16426"/>
    <cellStyle name="Normal 3 4 6 7 6 2" xfId="33896"/>
    <cellStyle name="Normal 3 4 6 7 7" xfId="16427"/>
    <cellStyle name="Normal 3 4 6 7 7 2" xfId="33897"/>
    <cellStyle name="Normal 3 4 6 7 8" xfId="16428"/>
    <cellStyle name="Normal 3 4 6 7 8 2" xfId="33898"/>
    <cellStyle name="Normal 3 4 6 7 9" xfId="16429"/>
    <cellStyle name="Normal 3 4 6 7 9 2" xfId="33899"/>
    <cellStyle name="Normal 3 4 6 8" xfId="16430"/>
    <cellStyle name="Normal 3 4 6 8 10" xfId="16431"/>
    <cellStyle name="Normal 3 4 6 8 10 2" xfId="33901"/>
    <cellStyle name="Normal 3 4 6 8 11" xfId="16432"/>
    <cellStyle name="Normal 3 4 6 8 11 2" xfId="33902"/>
    <cellStyle name="Normal 3 4 6 8 12" xfId="16433"/>
    <cellStyle name="Normal 3 4 6 8 12 2" xfId="33903"/>
    <cellStyle name="Normal 3 4 6 8 13" xfId="16434"/>
    <cellStyle name="Normal 3 4 6 8 13 2" xfId="33904"/>
    <cellStyle name="Normal 3 4 6 8 14" xfId="16435"/>
    <cellStyle name="Normal 3 4 6 8 14 2" xfId="33905"/>
    <cellStyle name="Normal 3 4 6 8 15" xfId="16436"/>
    <cellStyle name="Normal 3 4 6 8 15 2" xfId="33906"/>
    <cellStyle name="Normal 3 4 6 8 16" xfId="33900"/>
    <cellStyle name="Normal 3 4 6 8 2" xfId="16437"/>
    <cellStyle name="Normal 3 4 6 8 2 10" xfId="16438"/>
    <cellStyle name="Normal 3 4 6 8 2 10 2" xfId="33908"/>
    <cellStyle name="Normal 3 4 6 8 2 11" xfId="16439"/>
    <cellStyle name="Normal 3 4 6 8 2 11 2" xfId="33909"/>
    <cellStyle name="Normal 3 4 6 8 2 12" xfId="16440"/>
    <cellStyle name="Normal 3 4 6 8 2 12 2" xfId="33910"/>
    <cellStyle name="Normal 3 4 6 8 2 13" xfId="16441"/>
    <cellStyle name="Normal 3 4 6 8 2 13 2" xfId="33911"/>
    <cellStyle name="Normal 3 4 6 8 2 14" xfId="16442"/>
    <cellStyle name="Normal 3 4 6 8 2 14 2" xfId="33912"/>
    <cellStyle name="Normal 3 4 6 8 2 15" xfId="33907"/>
    <cellStyle name="Normal 3 4 6 8 2 2" xfId="16443"/>
    <cellStyle name="Normal 3 4 6 8 2 2 2" xfId="33913"/>
    <cellStyle name="Normal 3 4 6 8 2 3" xfId="16444"/>
    <cellStyle name="Normal 3 4 6 8 2 3 2" xfId="33914"/>
    <cellStyle name="Normal 3 4 6 8 2 4" xfId="16445"/>
    <cellStyle name="Normal 3 4 6 8 2 4 2" xfId="33915"/>
    <cellStyle name="Normal 3 4 6 8 2 5" xfId="16446"/>
    <cellStyle name="Normal 3 4 6 8 2 5 2" xfId="33916"/>
    <cellStyle name="Normal 3 4 6 8 2 6" xfId="16447"/>
    <cellStyle name="Normal 3 4 6 8 2 6 2" xfId="33917"/>
    <cellStyle name="Normal 3 4 6 8 2 7" xfId="16448"/>
    <cellStyle name="Normal 3 4 6 8 2 7 2" xfId="33918"/>
    <cellStyle name="Normal 3 4 6 8 2 8" xfId="16449"/>
    <cellStyle name="Normal 3 4 6 8 2 8 2" xfId="33919"/>
    <cellStyle name="Normal 3 4 6 8 2 9" xfId="16450"/>
    <cellStyle name="Normal 3 4 6 8 2 9 2" xfId="33920"/>
    <cellStyle name="Normal 3 4 6 8 3" xfId="16451"/>
    <cellStyle name="Normal 3 4 6 8 3 2" xfId="33921"/>
    <cellStyle name="Normal 3 4 6 8 4" xfId="16452"/>
    <cellStyle name="Normal 3 4 6 8 4 2" xfId="33922"/>
    <cellStyle name="Normal 3 4 6 8 5" xfId="16453"/>
    <cellStyle name="Normal 3 4 6 8 5 2" xfId="33923"/>
    <cellStyle name="Normal 3 4 6 8 6" xfId="16454"/>
    <cellStyle name="Normal 3 4 6 8 6 2" xfId="33924"/>
    <cellStyle name="Normal 3 4 6 8 7" xfId="16455"/>
    <cellStyle name="Normal 3 4 6 8 7 2" xfId="33925"/>
    <cellStyle name="Normal 3 4 6 8 8" xfId="16456"/>
    <cellStyle name="Normal 3 4 6 8 8 2" xfId="33926"/>
    <cellStyle name="Normal 3 4 6 8 9" xfId="16457"/>
    <cellStyle name="Normal 3 4 6 8 9 2" xfId="33927"/>
    <cellStyle name="Normal 3 4 6 9" xfId="16458"/>
    <cellStyle name="Normal 3 4 6 9 10" xfId="16459"/>
    <cellStyle name="Normal 3 4 6 9 10 2" xfId="33929"/>
    <cellStyle name="Normal 3 4 6 9 11" xfId="16460"/>
    <cellStyle name="Normal 3 4 6 9 11 2" xfId="33930"/>
    <cellStyle name="Normal 3 4 6 9 12" xfId="16461"/>
    <cellStyle name="Normal 3 4 6 9 12 2" xfId="33931"/>
    <cellStyle name="Normal 3 4 6 9 13" xfId="16462"/>
    <cellStyle name="Normal 3 4 6 9 13 2" xfId="33932"/>
    <cellStyle name="Normal 3 4 6 9 14" xfId="16463"/>
    <cellStyle name="Normal 3 4 6 9 14 2" xfId="33933"/>
    <cellStyle name="Normal 3 4 6 9 15" xfId="33928"/>
    <cellStyle name="Normal 3 4 6 9 2" xfId="16464"/>
    <cellStyle name="Normal 3 4 6 9 2 2" xfId="33934"/>
    <cellStyle name="Normal 3 4 6 9 3" xfId="16465"/>
    <cellStyle name="Normal 3 4 6 9 3 2" xfId="33935"/>
    <cellStyle name="Normal 3 4 6 9 4" xfId="16466"/>
    <cellStyle name="Normal 3 4 6 9 4 2" xfId="33936"/>
    <cellStyle name="Normal 3 4 6 9 5" xfId="16467"/>
    <cellStyle name="Normal 3 4 6 9 5 2" xfId="33937"/>
    <cellStyle name="Normal 3 4 6 9 6" xfId="16468"/>
    <cellStyle name="Normal 3 4 6 9 6 2" xfId="33938"/>
    <cellStyle name="Normal 3 4 6 9 7" xfId="16469"/>
    <cellStyle name="Normal 3 4 6 9 7 2" xfId="33939"/>
    <cellStyle name="Normal 3 4 6 9 8" xfId="16470"/>
    <cellStyle name="Normal 3 4 6 9 8 2" xfId="33940"/>
    <cellStyle name="Normal 3 4 6 9 9" xfId="16471"/>
    <cellStyle name="Normal 3 4 6 9 9 2" xfId="33941"/>
    <cellStyle name="Normal 3 4 7" xfId="16472"/>
    <cellStyle name="Normal 3 4 7 10" xfId="16473"/>
    <cellStyle name="Normal 3 4 7 10 10" xfId="16474"/>
    <cellStyle name="Normal 3 4 7 10 10 2" xfId="33944"/>
    <cellStyle name="Normal 3 4 7 10 11" xfId="16475"/>
    <cellStyle name="Normal 3 4 7 10 11 2" xfId="33945"/>
    <cellStyle name="Normal 3 4 7 10 12" xfId="16476"/>
    <cellStyle name="Normal 3 4 7 10 12 2" xfId="33946"/>
    <cellStyle name="Normal 3 4 7 10 13" xfId="16477"/>
    <cellStyle name="Normal 3 4 7 10 13 2" xfId="33947"/>
    <cellStyle name="Normal 3 4 7 10 14" xfId="16478"/>
    <cellStyle name="Normal 3 4 7 10 14 2" xfId="33948"/>
    <cellStyle name="Normal 3 4 7 10 15" xfId="33943"/>
    <cellStyle name="Normal 3 4 7 10 2" xfId="16479"/>
    <cellStyle name="Normal 3 4 7 10 2 2" xfId="33949"/>
    <cellStyle name="Normal 3 4 7 10 3" xfId="16480"/>
    <cellStyle name="Normal 3 4 7 10 3 2" xfId="33950"/>
    <cellStyle name="Normal 3 4 7 10 4" xfId="16481"/>
    <cellStyle name="Normal 3 4 7 10 4 2" xfId="33951"/>
    <cellStyle name="Normal 3 4 7 10 5" xfId="16482"/>
    <cellStyle name="Normal 3 4 7 10 5 2" xfId="33952"/>
    <cellStyle name="Normal 3 4 7 10 6" xfId="16483"/>
    <cellStyle name="Normal 3 4 7 10 6 2" xfId="33953"/>
    <cellStyle name="Normal 3 4 7 10 7" xfId="16484"/>
    <cellStyle name="Normal 3 4 7 10 7 2" xfId="33954"/>
    <cellStyle name="Normal 3 4 7 10 8" xfId="16485"/>
    <cellStyle name="Normal 3 4 7 10 8 2" xfId="33955"/>
    <cellStyle name="Normal 3 4 7 10 9" xfId="16486"/>
    <cellStyle name="Normal 3 4 7 10 9 2" xfId="33956"/>
    <cellStyle name="Normal 3 4 7 11" xfId="16487"/>
    <cellStyle name="Normal 3 4 7 11 2" xfId="33957"/>
    <cellStyle name="Normal 3 4 7 12" xfId="16488"/>
    <cellStyle name="Normal 3 4 7 12 2" xfId="33958"/>
    <cellStyle name="Normal 3 4 7 13" xfId="16489"/>
    <cellStyle name="Normal 3 4 7 13 2" xfId="33959"/>
    <cellStyle name="Normal 3 4 7 14" xfId="16490"/>
    <cellStyle name="Normal 3 4 7 14 2" xfId="33960"/>
    <cellStyle name="Normal 3 4 7 15" xfId="16491"/>
    <cellStyle name="Normal 3 4 7 15 2" xfId="33961"/>
    <cellStyle name="Normal 3 4 7 16" xfId="16492"/>
    <cellStyle name="Normal 3 4 7 16 2" xfId="33962"/>
    <cellStyle name="Normal 3 4 7 17" xfId="16493"/>
    <cellStyle name="Normal 3 4 7 17 2" xfId="33963"/>
    <cellStyle name="Normal 3 4 7 18" xfId="16494"/>
    <cellStyle name="Normal 3 4 7 18 2" xfId="33964"/>
    <cellStyle name="Normal 3 4 7 19" xfId="16495"/>
    <cellStyle name="Normal 3 4 7 19 2" xfId="33965"/>
    <cellStyle name="Normal 3 4 7 2" xfId="16496"/>
    <cellStyle name="Normal 3 4 7 2 10" xfId="16497"/>
    <cellStyle name="Normal 3 4 7 2 10 2" xfId="33967"/>
    <cellStyle name="Normal 3 4 7 2 11" xfId="16498"/>
    <cellStyle name="Normal 3 4 7 2 11 2" xfId="33968"/>
    <cellStyle name="Normal 3 4 7 2 12" xfId="16499"/>
    <cellStyle name="Normal 3 4 7 2 12 2" xfId="33969"/>
    <cellStyle name="Normal 3 4 7 2 13" xfId="16500"/>
    <cellStyle name="Normal 3 4 7 2 13 2" xfId="33970"/>
    <cellStyle name="Normal 3 4 7 2 14" xfId="16501"/>
    <cellStyle name="Normal 3 4 7 2 14 2" xfId="33971"/>
    <cellStyle name="Normal 3 4 7 2 15" xfId="16502"/>
    <cellStyle name="Normal 3 4 7 2 15 2" xfId="33972"/>
    <cellStyle name="Normal 3 4 7 2 16" xfId="33966"/>
    <cellStyle name="Normal 3 4 7 2 2" xfId="16503"/>
    <cellStyle name="Normal 3 4 7 2 2 10" xfId="16504"/>
    <cellStyle name="Normal 3 4 7 2 2 10 2" xfId="33974"/>
    <cellStyle name="Normal 3 4 7 2 2 11" xfId="16505"/>
    <cellStyle name="Normal 3 4 7 2 2 11 2" xfId="33975"/>
    <cellStyle name="Normal 3 4 7 2 2 12" xfId="16506"/>
    <cellStyle name="Normal 3 4 7 2 2 12 2" xfId="33976"/>
    <cellStyle name="Normal 3 4 7 2 2 13" xfId="16507"/>
    <cellStyle name="Normal 3 4 7 2 2 13 2" xfId="33977"/>
    <cellStyle name="Normal 3 4 7 2 2 14" xfId="16508"/>
    <cellStyle name="Normal 3 4 7 2 2 14 2" xfId="33978"/>
    <cellStyle name="Normal 3 4 7 2 2 15" xfId="33973"/>
    <cellStyle name="Normal 3 4 7 2 2 2" xfId="16509"/>
    <cellStyle name="Normal 3 4 7 2 2 2 2" xfId="33979"/>
    <cellStyle name="Normal 3 4 7 2 2 3" xfId="16510"/>
    <cellStyle name="Normal 3 4 7 2 2 3 2" xfId="33980"/>
    <cellStyle name="Normal 3 4 7 2 2 4" xfId="16511"/>
    <cellStyle name="Normal 3 4 7 2 2 4 2" xfId="33981"/>
    <cellStyle name="Normal 3 4 7 2 2 5" xfId="16512"/>
    <cellStyle name="Normal 3 4 7 2 2 5 2" xfId="33982"/>
    <cellStyle name="Normal 3 4 7 2 2 6" xfId="16513"/>
    <cellStyle name="Normal 3 4 7 2 2 6 2" xfId="33983"/>
    <cellStyle name="Normal 3 4 7 2 2 7" xfId="16514"/>
    <cellStyle name="Normal 3 4 7 2 2 7 2" xfId="33984"/>
    <cellStyle name="Normal 3 4 7 2 2 8" xfId="16515"/>
    <cellStyle name="Normal 3 4 7 2 2 8 2" xfId="33985"/>
    <cellStyle name="Normal 3 4 7 2 2 9" xfId="16516"/>
    <cellStyle name="Normal 3 4 7 2 2 9 2" xfId="33986"/>
    <cellStyle name="Normal 3 4 7 2 3" xfId="16517"/>
    <cellStyle name="Normal 3 4 7 2 3 2" xfId="33987"/>
    <cellStyle name="Normal 3 4 7 2 4" xfId="16518"/>
    <cellStyle name="Normal 3 4 7 2 4 2" xfId="33988"/>
    <cellStyle name="Normal 3 4 7 2 5" xfId="16519"/>
    <cellStyle name="Normal 3 4 7 2 5 2" xfId="33989"/>
    <cellStyle name="Normal 3 4 7 2 6" xfId="16520"/>
    <cellStyle name="Normal 3 4 7 2 6 2" xfId="33990"/>
    <cellStyle name="Normal 3 4 7 2 7" xfId="16521"/>
    <cellStyle name="Normal 3 4 7 2 7 2" xfId="33991"/>
    <cellStyle name="Normal 3 4 7 2 8" xfId="16522"/>
    <cellStyle name="Normal 3 4 7 2 8 2" xfId="33992"/>
    <cellStyle name="Normal 3 4 7 2 9" xfId="16523"/>
    <cellStyle name="Normal 3 4 7 2 9 2" xfId="33993"/>
    <cellStyle name="Normal 3 4 7 20" xfId="16524"/>
    <cellStyle name="Normal 3 4 7 20 2" xfId="33994"/>
    <cellStyle name="Normal 3 4 7 21" xfId="16525"/>
    <cellStyle name="Normal 3 4 7 21 2" xfId="33995"/>
    <cellStyle name="Normal 3 4 7 22" xfId="16526"/>
    <cellStyle name="Normal 3 4 7 22 2" xfId="33996"/>
    <cellStyle name="Normal 3 4 7 23" xfId="16527"/>
    <cellStyle name="Normal 3 4 7 23 2" xfId="33997"/>
    <cellStyle name="Normal 3 4 7 24" xfId="33942"/>
    <cellStyle name="Normal 3 4 7 3" xfId="16528"/>
    <cellStyle name="Normal 3 4 7 3 10" xfId="16529"/>
    <cellStyle name="Normal 3 4 7 3 10 2" xfId="33999"/>
    <cellStyle name="Normal 3 4 7 3 11" xfId="16530"/>
    <cellStyle name="Normal 3 4 7 3 11 2" xfId="34000"/>
    <cellStyle name="Normal 3 4 7 3 12" xfId="16531"/>
    <cellStyle name="Normal 3 4 7 3 12 2" xfId="34001"/>
    <cellStyle name="Normal 3 4 7 3 13" xfId="16532"/>
    <cellStyle name="Normal 3 4 7 3 13 2" xfId="34002"/>
    <cellStyle name="Normal 3 4 7 3 14" xfId="16533"/>
    <cellStyle name="Normal 3 4 7 3 14 2" xfId="34003"/>
    <cellStyle name="Normal 3 4 7 3 15" xfId="16534"/>
    <cellStyle name="Normal 3 4 7 3 15 2" xfId="34004"/>
    <cellStyle name="Normal 3 4 7 3 16" xfId="33998"/>
    <cellStyle name="Normal 3 4 7 3 2" xfId="16535"/>
    <cellStyle name="Normal 3 4 7 3 2 10" xfId="16536"/>
    <cellStyle name="Normal 3 4 7 3 2 10 2" xfId="34006"/>
    <cellStyle name="Normal 3 4 7 3 2 11" xfId="16537"/>
    <cellStyle name="Normal 3 4 7 3 2 11 2" xfId="34007"/>
    <cellStyle name="Normal 3 4 7 3 2 12" xfId="16538"/>
    <cellStyle name="Normal 3 4 7 3 2 12 2" xfId="34008"/>
    <cellStyle name="Normal 3 4 7 3 2 13" xfId="16539"/>
    <cellStyle name="Normal 3 4 7 3 2 13 2" xfId="34009"/>
    <cellStyle name="Normal 3 4 7 3 2 14" xfId="16540"/>
    <cellStyle name="Normal 3 4 7 3 2 14 2" xfId="34010"/>
    <cellStyle name="Normal 3 4 7 3 2 15" xfId="34005"/>
    <cellStyle name="Normal 3 4 7 3 2 2" xfId="16541"/>
    <cellStyle name="Normal 3 4 7 3 2 2 2" xfId="34011"/>
    <cellStyle name="Normal 3 4 7 3 2 3" xfId="16542"/>
    <cellStyle name="Normal 3 4 7 3 2 3 2" xfId="34012"/>
    <cellStyle name="Normal 3 4 7 3 2 4" xfId="16543"/>
    <cellStyle name="Normal 3 4 7 3 2 4 2" xfId="34013"/>
    <cellStyle name="Normal 3 4 7 3 2 5" xfId="16544"/>
    <cellStyle name="Normal 3 4 7 3 2 5 2" xfId="34014"/>
    <cellStyle name="Normal 3 4 7 3 2 6" xfId="16545"/>
    <cellStyle name="Normal 3 4 7 3 2 6 2" xfId="34015"/>
    <cellStyle name="Normal 3 4 7 3 2 7" xfId="16546"/>
    <cellStyle name="Normal 3 4 7 3 2 7 2" xfId="34016"/>
    <cellStyle name="Normal 3 4 7 3 2 8" xfId="16547"/>
    <cellStyle name="Normal 3 4 7 3 2 8 2" xfId="34017"/>
    <cellStyle name="Normal 3 4 7 3 2 9" xfId="16548"/>
    <cellStyle name="Normal 3 4 7 3 2 9 2" xfId="34018"/>
    <cellStyle name="Normal 3 4 7 3 3" xfId="16549"/>
    <cellStyle name="Normal 3 4 7 3 3 2" xfId="34019"/>
    <cellStyle name="Normal 3 4 7 3 4" xfId="16550"/>
    <cellStyle name="Normal 3 4 7 3 4 2" xfId="34020"/>
    <cellStyle name="Normal 3 4 7 3 5" xfId="16551"/>
    <cellStyle name="Normal 3 4 7 3 5 2" xfId="34021"/>
    <cellStyle name="Normal 3 4 7 3 6" xfId="16552"/>
    <cellStyle name="Normal 3 4 7 3 6 2" xfId="34022"/>
    <cellStyle name="Normal 3 4 7 3 7" xfId="16553"/>
    <cellStyle name="Normal 3 4 7 3 7 2" xfId="34023"/>
    <cellStyle name="Normal 3 4 7 3 8" xfId="16554"/>
    <cellStyle name="Normal 3 4 7 3 8 2" xfId="34024"/>
    <cellStyle name="Normal 3 4 7 3 9" xfId="16555"/>
    <cellStyle name="Normal 3 4 7 3 9 2" xfId="34025"/>
    <cellStyle name="Normal 3 4 7 4" xfId="16556"/>
    <cellStyle name="Normal 3 4 7 4 10" xfId="16557"/>
    <cellStyle name="Normal 3 4 7 4 10 2" xfId="34027"/>
    <cellStyle name="Normal 3 4 7 4 11" xfId="16558"/>
    <cellStyle name="Normal 3 4 7 4 11 2" xfId="34028"/>
    <cellStyle name="Normal 3 4 7 4 12" xfId="16559"/>
    <cellStyle name="Normal 3 4 7 4 12 2" xfId="34029"/>
    <cellStyle name="Normal 3 4 7 4 13" xfId="16560"/>
    <cellStyle name="Normal 3 4 7 4 13 2" xfId="34030"/>
    <cellStyle name="Normal 3 4 7 4 14" xfId="16561"/>
    <cellStyle name="Normal 3 4 7 4 14 2" xfId="34031"/>
    <cellStyle name="Normal 3 4 7 4 15" xfId="16562"/>
    <cellStyle name="Normal 3 4 7 4 15 2" xfId="34032"/>
    <cellStyle name="Normal 3 4 7 4 16" xfId="34026"/>
    <cellStyle name="Normal 3 4 7 4 2" xfId="16563"/>
    <cellStyle name="Normal 3 4 7 4 2 10" xfId="16564"/>
    <cellStyle name="Normal 3 4 7 4 2 10 2" xfId="34034"/>
    <cellStyle name="Normal 3 4 7 4 2 11" xfId="16565"/>
    <cellStyle name="Normal 3 4 7 4 2 11 2" xfId="34035"/>
    <cellStyle name="Normal 3 4 7 4 2 12" xfId="16566"/>
    <cellStyle name="Normal 3 4 7 4 2 12 2" xfId="34036"/>
    <cellStyle name="Normal 3 4 7 4 2 13" xfId="16567"/>
    <cellStyle name="Normal 3 4 7 4 2 13 2" xfId="34037"/>
    <cellStyle name="Normal 3 4 7 4 2 14" xfId="16568"/>
    <cellStyle name="Normal 3 4 7 4 2 14 2" xfId="34038"/>
    <cellStyle name="Normal 3 4 7 4 2 15" xfId="34033"/>
    <cellStyle name="Normal 3 4 7 4 2 2" xfId="16569"/>
    <cellStyle name="Normal 3 4 7 4 2 2 2" xfId="34039"/>
    <cellStyle name="Normal 3 4 7 4 2 3" xfId="16570"/>
    <cellStyle name="Normal 3 4 7 4 2 3 2" xfId="34040"/>
    <cellStyle name="Normal 3 4 7 4 2 4" xfId="16571"/>
    <cellStyle name="Normal 3 4 7 4 2 4 2" xfId="34041"/>
    <cellStyle name="Normal 3 4 7 4 2 5" xfId="16572"/>
    <cellStyle name="Normal 3 4 7 4 2 5 2" xfId="34042"/>
    <cellStyle name="Normal 3 4 7 4 2 6" xfId="16573"/>
    <cellStyle name="Normal 3 4 7 4 2 6 2" xfId="34043"/>
    <cellStyle name="Normal 3 4 7 4 2 7" xfId="16574"/>
    <cellStyle name="Normal 3 4 7 4 2 7 2" xfId="34044"/>
    <cellStyle name="Normal 3 4 7 4 2 8" xfId="16575"/>
    <cellStyle name="Normal 3 4 7 4 2 8 2" xfId="34045"/>
    <cellStyle name="Normal 3 4 7 4 2 9" xfId="16576"/>
    <cellStyle name="Normal 3 4 7 4 2 9 2" xfId="34046"/>
    <cellStyle name="Normal 3 4 7 4 3" xfId="16577"/>
    <cellStyle name="Normal 3 4 7 4 3 2" xfId="34047"/>
    <cellStyle name="Normal 3 4 7 4 4" xfId="16578"/>
    <cellStyle name="Normal 3 4 7 4 4 2" xfId="34048"/>
    <cellStyle name="Normal 3 4 7 4 5" xfId="16579"/>
    <cellStyle name="Normal 3 4 7 4 5 2" xfId="34049"/>
    <cellStyle name="Normal 3 4 7 4 6" xfId="16580"/>
    <cellStyle name="Normal 3 4 7 4 6 2" xfId="34050"/>
    <cellStyle name="Normal 3 4 7 4 7" xfId="16581"/>
    <cellStyle name="Normal 3 4 7 4 7 2" xfId="34051"/>
    <cellStyle name="Normal 3 4 7 4 8" xfId="16582"/>
    <cellStyle name="Normal 3 4 7 4 8 2" xfId="34052"/>
    <cellStyle name="Normal 3 4 7 4 9" xfId="16583"/>
    <cellStyle name="Normal 3 4 7 4 9 2" xfId="34053"/>
    <cellStyle name="Normal 3 4 7 5" xfId="16584"/>
    <cellStyle name="Normal 3 4 7 5 10" xfId="16585"/>
    <cellStyle name="Normal 3 4 7 5 10 2" xfId="34055"/>
    <cellStyle name="Normal 3 4 7 5 11" xfId="16586"/>
    <cellStyle name="Normal 3 4 7 5 11 2" xfId="34056"/>
    <cellStyle name="Normal 3 4 7 5 12" xfId="16587"/>
    <cellStyle name="Normal 3 4 7 5 12 2" xfId="34057"/>
    <cellStyle name="Normal 3 4 7 5 13" xfId="16588"/>
    <cellStyle name="Normal 3 4 7 5 13 2" xfId="34058"/>
    <cellStyle name="Normal 3 4 7 5 14" xfId="16589"/>
    <cellStyle name="Normal 3 4 7 5 14 2" xfId="34059"/>
    <cellStyle name="Normal 3 4 7 5 15" xfId="34054"/>
    <cellStyle name="Normal 3 4 7 5 2" xfId="16590"/>
    <cellStyle name="Normal 3 4 7 5 2 2" xfId="34060"/>
    <cellStyle name="Normal 3 4 7 5 3" xfId="16591"/>
    <cellStyle name="Normal 3 4 7 5 3 2" xfId="34061"/>
    <cellStyle name="Normal 3 4 7 5 4" xfId="16592"/>
    <cellStyle name="Normal 3 4 7 5 4 2" xfId="34062"/>
    <cellStyle name="Normal 3 4 7 5 5" xfId="16593"/>
    <cellStyle name="Normal 3 4 7 5 5 2" xfId="34063"/>
    <cellStyle name="Normal 3 4 7 5 6" xfId="16594"/>
    <cellStyle name="Normal 3 4 7 5 6 2" xfId="34064"/>
    <cellStyle name="Normal 3 4 7 5 7" xfId="16595"/>
    <cellStyle name="Normal 3 4 7 5 7 2" xfId="34065"/>
    <cellStyle name="Normal 3 4 7 5 8" xfId="16596"/>
    <cellStyle name="Normal 3 4 7 5 8 2" xfId="34066"/>
    <cellStyle name="Normal 3 4 7 5 9" xfId="16597"/>
    <cellStyle name="Normal 3 4 7 5 9 2" xfId="34067"/>
    <cellStyle name="Normal 3 4 7 6" xfId="16598"/>
    <cellStyle name="Normal 3 4 7 6 10" xfId="16599"/>
    <cellStyle name="Normal 3 4 7 6 10 2" xfId="34069"/>
    <cellStyle name="Normal 3 4 7 6 11" xfId="16600"/>
    <cellStyle name="Normal 3 4 7 6 11 2" xfId="34070"/>
    <cellStyle name="Normal 3 4 7 6 12" xfId="16601"/>
    <cellStyle name="Normal 3 4 7 6 12 2" xfId="34071"/>
    <cellStyle name="Normal 3 4 7 6 13" xfId="16602"/>
    <cellStyle name="Normal 3 4 7 6 13 2" xfId="34072"/>
    <cellStyle name="Normal 3 4 7 6 14" xfId="16603"/>
    <cellStyle name="Normal 3 4 7 6 14 2" xfId="34073"/>
    <cellStyle name="Normal 3 4 7 6 15" xfId="34068"/>
    <cellStyle name="Normal 3 4 7 6 2" xfId="16604"/>
    <cellStyle name="Normal 3 4 7 6 2 2" xfId="34074"/>
    <cellStyle name="Normal 3 4 7 6 3" xfId="16605"/>
    <cellStyle name="Normal 3 4 7 6 3 2" xfId="34075"/>
    <cellStyle name="Normal 3 4 7 6 4" xfId="16606"/>
    <cellStyle name="Normal 3 4 7 6 4 2" xfId="34076"/>
    <cellStyle name="Normal 3 4 7 6 5" xfId="16607"/>
    <cellStyle name="Normal 3 4 7 6 5 2" xfId="34077"/>
    <cellStyle name="Normal 3 4 7 6 6" xfId="16608"/>
    <cellStyle name="Normal 3 4 7 6 6 2" xfId="34078"/>
    <cellStyle name="Normal 3 4 7 6 7" xfId="16609"/>
    <cellStyle name="Normal 3 4 7 6 7 2" xfId="34079"/>
    <cellStyle name="Normal 3 4 7 6 8" xfId="16610"/>
    <cellStyle name="Normal 3 4 7 6 8 2" xfId="34080"/>
    <cellStyle name="Normal 3 4 7 6 9" xfId="16611"/>
    <cellStyle name="Normal 3 4 7 6 9 2" xfId="34081"/>
    <cellStyle name="Normal 3 4 7 7" xfId="16612"/>
    <cellStyle name="Normal 3 4 7 7 10" xfId="16613"/>
    <cellStyle name="Normal 3 4 7 7 10 2" xfId="34083"/>
    <cellStyle name="Normal 3 4 7 7 11" xfId="16614"/>
    <cellStyle name="Normal 3 4 7 7 11 2" xfId="34084"/>
    <cellStyle name="Normal 3 4 7 7 12" xfId="16615"/>
    <cellStyle name="Normal 3 4 7 7 12 2" xfId="34085"/>
    <cellStyle name="Normal 3 4 7 7 13" xfId="16616"/>
    <cellStyle name="Normal 3 4 7 7 13 2" xfId="34086"/>
    <cellStyle name="Normal 3 4 7 7 14" xfId="16617"/>
    <cellStyle name="Normal 3 4 7 7 14 2" xfId="34087"/>
    <cellStyle name="Normal 3 4 7 7 15" xfId="34082"/>
    <cellStyle name="Normal 3 4 7 7 2" xfId="16618"/>
    <cellStyle name="Normal 3 4 7 7 2 2" xfId="34088"/>
    <cellStyle name="Normal 3 4 7 7 3" xfId="16619"/>
    <cellStyle name="Normal 3 4 7 7 3 2" xfId="34089"/>
    <cellStyle name="Normal 3 4 7 7 4" xfId="16620"/>
    <cellStyle name="Normal 3 4 7 7 4 2" xfId="34090"/>
    <cellStyle name="Normal 3 4 7 7 5" xfId="16621"/>
    <cellStyle name="Normal 3 4 7 7 5 2" xfId="34091"/>
    <cellStyle name="Normal 3 4 7 7 6" xfId="16622"/>
    <cellStyle name="Normal 3 4 7 7 6 2" xfId="34092"/>
    <cellStyle name="Normal 3 4 7 7 7" xfId="16623"/>
    <cellStyle name="Normal 3 4 7 7 7 2" xfId="34093"/>
    <cellStyle name="Normal 3 4 7 7 8" xfId="16624"/>
    <cellStyle name="Normal 3 4 7 7 8 2" xfId="34094"/>
    <cellStyle name="Normal 3 4 7 7 9" xfId="16625"/>
    <cellStyle name="Normal 3 4 7 7 9 2" xfId="34095"/>
    <cellStyle name="Normal 3 4 7 8" xfId="16626"/>
    <cellStyle name="Normal 3 4 7 8 10" xfId="16627"/>
    <cellStyle name="Normal 3 4 7 8 10 2" xfId="34097"/>
    <cellStyle name="Normal 3 4 7 8 11" xfId="16628"/>
    <cellStyle name="Normal 3 4 7 8 11 2" xfId="34098"/>
    <cellStyle name="Normal 3 4 7 8 12" xfId="16629"/>
    <cellStyle name="Normal 3 4 7 8 12 2" xfId="34099"/>
    <cellStyle name="Normal 3 4 7 8 13" xfId="16630"/>
    <cellStyle name="Normal 3 4 7 8 13 2" xfId="34100"/>
    <cellStyle name="Normal 3 4 7 8 14" xfId="16631"/>
    <cellStyle name="Normal 3 4 7 8 14 2" xfId="34101"/>
    <cellStyle name="Normal 3 4 7 8 15" xfId="34096"/>
    <cellStyle name="Normal 3 4 7 8 2" xfId="16632"/>
    <cellStyle name="Normal 3 4 7 8 2 2" xfId="34102"/>
    <cellStyle name="Normal 3 4 7 8 3" xfId="16633"/>
    <cellStyle name="Normal 3 4 7 8 3 2" xfId="34103"/>
    <cellStyle name="Normal 3 4 7 8 4" xfId="16634"/>
    <cellStyle name="Normal 3 4 7 8 4 2" xfId="34104"/>
    <cellStyle name="Normal 3 4 7 8 5" xfId="16635"/>
    <cellStyle name="Normal 3 4 7 8 5 2" xfId="34105"/>
    <cellStyle name="Normal 3 4 7 8 6" xfId="16636"/>
    <cellStyle name="Normal 3 4 7 8 6 2" xfId="34106"/>
    <cellStyle name="Normal 3 4 7 8 7" xfId="16637"/>
    <cellStyle name="Normal 3 4 7 8 7 2" xfId="34107"/>
    <cellStyle name="Normal 3 4 7 8 8" xfId="16638"/>
    <cellStyle name="Normal 3 4 7 8 8 2" xfId="34108"/>
    <cellStyle name="Normal 3 4 7 8 9" xfId="16639"/>
    <cellStyle name="Normal 3 4 7 8 9 2" xfId="34109"/>
    <cellStyle name="Normal 3 4 7 9" xfId="16640"/>
    <cellStyle name="Normal 3 4 7 9 10" xfId="16641"/>
    <cellStyle name="Normal 3 4 7 9 10 2" xfId="34111"/>
    <cellStyle name="Normal 3 4 7 9 11" xfId="16642"/>
    <cellStyle name="Normal 3 4 7 9 11 2" xfId="34112"/>
    <cellStyle name="Normal 3 4 7 9 12" xfId="16643"/>
    <cellStyle name="Normal 3 4 7 9 12 2" xfId="34113"/>
    <cellStyle name="Normal 3 4 7 9 13" xfId="16644"/>
    <cellStyle name="Normal 3 4 7 9 13 2" xfId="34114"/>
    <cellStyle name="Normal 3 4 7 9 14" xfId="16645"/>
    <cellStyle name="Normal 3 4 7 9 14 2" xfId="34115"/>
    <cellStyle name="Normal 3 4 7 9 15" xfId="34110"/>
    <cellStyle name="Normal 3 4 7 9 2" xfId="16646"/>
    <cellStyle name="Normal 3 4 7 9 2 2" xfId="34116"/>
    <cellStyle name="Normal 3 4 7 9 3" xfId="16647"/>
    <cellStyle name="Normal 3 4 7 9 3 2" xfId="34117"/>
    <cellStyle name="Normal 3 4 7 9 4" xfId="16648"/>
    <cellStyle name="Normal 3 4 7 9 4 2" xfId="34118"/>
    <cellStyle name="Normal 3 4 7 9 5" xfId="16649"/>
    <cellStyle name="Normal 3 4 7 9 5 2" xfId="34119"/>
    <cellStyle name="Normal 3 4 7 9 6" xfId="16650"/>
    <cellStyle name="Normal 3 4 7 9 6 2" xfId="34120"/>
    <cellStyle name="Normal 3 4 7 9 7" xfId="16651"/>
    <cellStyle name="Normal 3 4 7 9 7 2" xfId="34121"/>
    <cellStyle name="Normal 3 4 7 9 8" xfId="16652"/>
    <cellStyle name="Normal 3 4 7 9 8 2" xfId="34122"/>
    <cellStyle name="Normal 3 4 7 9 9" xfId="16653"/>
    <cellStyle name="Normal 3 4 7 9 9 2" xfId="34123"/>
    <cellStyle name="Normal 3 4 8" xfId="16654"/>
    <cellStyle name="Normal 3 4 8 10" xfId="16655"/>
    <cellStyle name="Normal 3 4 8 10 10" xfId="16656"/>
    <cellStyle name="Normal 3 4 8 10 10 2" xfId="34126"/>
    <cellStyle name="Normal 3 4 8 10 11" xfId="16657"/>
    <cellStyle name="Normal 3 4 8 10 11 2" xfId="34127"/>
    <cellStyle name="Normal 3 4 8 10 12" xfId="16658"/>
    <cellStyle name="Normal 3 4 8 10 12 2" xfId="34128"/>
    <cellStyle name="Normal 3 4 8 10 13" xfId="16659"/>
    <cellStyle name="Normal 3 4 8 10 13 2" xfId="34129"/>
    <cellStyle name="Normal 3 4 8 10 14" xfId="16660"/>
    <cellStyle name="Normal 3 4 8 10 14 2" xfId="34130"/>
    <cellStyle name="Normal 3 4 8 10 15" xfId="34125"/>
    <cellStyle name="Normal 3 4 8 10 2" xfId="16661"/>
    <cellStyle name="Normal 3 4 8 10 2 2" xfId="34131"/>
    <cellStyle name="Normal 3 4 8 10 3" xfId="16662"/>
    <cellStyle name="Normal 3 4 8 10 3 2" xfId="34132"/>
    <cellStyle name="Normal 3 4 8 10 4" xfId="16663"/>
    <cellStyle name="Normal 3 4 8 10 4 2" xfId="34133"/>
    <cellStyle name="Normal 3 4 8 10 5" xfId="16664"/>
    <cellStyle name="Normal 3 4 8 10 5 2" xfId="34134"/>
    <cellStyle name="Normal 3 4 8 10 6" xfId="16665"/>
    <cellStyle name="Normal 3 4 8 10 6 2" xfId="34135"/>
    <cellStyle name="Normal 3 4 8 10 7" xfId="16666"/>
    <cellStyle name="Normal 3 4 8 10 7 2" xfId="34136"/>
    <cellStyle name="Normal 3 4 8 10 8" xfId="16667"/>
    <cellStyle name="Normal 3 4 8 10 8 2" xfId="34137"/>
    <cellStyle name="Normal 3 4 8 10 9" xfId="16668"/>
    <cellStyle name="Normal 3 4 8 10 9 2" xfId="34138"/>
    <cellStyle name="Normal 3 4 8 11" xfId="16669"/>
    <cellStyle name="Normal 3 4 8 11 2" xfId="34139"/>
    <cellStyle name="Normal 3 4 8 12" xfId="16670"/>
    <cellStyle name="Normal 3 4 8 12 2" xfId="34140"/>
    <cellStyle name="Normal 3 4 8 13" xfId="16671"/>
    <cellStyle name="Normal 3 4 8 13 2" xfId="34141"/>
    <cellStyle name="Normal 3 4 8 14" xfId="16672"/>
    <cellStyle name="Normal 3 4 8 14 2" xfId="34142"/>
    <cellStyle name="Normal 3 4 8 15" xfId="16673"/>
    <cellStyle name="Normal 3 4 8 15 2" xfId="34143"/>
    <cellStyle name="Normal 3 4 8 16" xfId="16674"/>
    <cellStyle name="Normal 3 4 8 16 2" xfId="34144"/>
    <cellStyle name="Normal 3 4 8 17" xfId="16675"/>
    <cellStyle name="Normal 3 4 8 17 2" xfId="34145"/>
    <cellStyle name="Normal 3 4 8 18" xfId="16676"/>
    <cellStyle name="Normal 3 4 8 18 2" xfId="34146"/>
    <cellStyle name="Normal 3 4 8 19" xfId="16677"/>
    <cellStyle name="Normal 3 4 8 19 2" xfId="34147"/>
    <cellStyle name="Normal 3 4 8 2" xfId="16678"/>
    <cellStyle name="Normal 3 4 8 2 10" xfId="16679"/>
    <cellStyle name="Normal 3 4 8 2 10 2" xfId="34149"/>
    <cellStyle name="Normal 3 4 8 2 11" xfId="16680"/>
    <cellStyle name="Normal 3 4 8 2 11 2" xfId="34150"/>
    <cellStyle name="Normal 3 4 8 2 12" xfId="16681"/>
    <cellStyle name="Normal 3 4 8 2 12 2" xfId="34151"/>
    <cellStyle name="Normal 3 4 8 2 13" xfId="16682"/>
    <cellStyle name="Normal 3 4 8 2 13 2" xfId="34152"/>
    <cellStyle name="Normal 3 4 8 2 14" xfId="16683"/>
    <cellStyle name="Normal 3 4 8 2 14 2" xfId="34153"/>
    <cellStyle name="Normal 3 4 8 2 15" xfId="16684"/>
    <cellStyle name="Normal 3 4 8 2 15 2" xfId="34154"/>
    <cellStyle name="Normal 3 4 8 2 16" xfId="34148"/>
    <cellStyle name="Normal 3 4 8 2 2" xfId="16685"/>
    <cellStyle name="Normal 3 4 8 2 2 10" xfId="16686"/>
    <cellStyle name="Normal 3 4 8 2 2 10 2" xfId="34156"/>
    <cellStyle name="Normal 3 4 8 2 2 11" xfId="16687"/>
    <cellStyle name="Normal 3 4 8 2 2 11 2" xfId="34157"/>
    <cellStyle name="Normal 3 4 8 2 2 12" xfId="16688"/>
    <cellStyle name="Normal 3 4 8 2 2 12 2" xfId="34158"/>
    <cellStyle name="Normal 3 4 8 2 2 13" xfId="16689"/>
    <cellStyle name="Normal 3 4 8 2 2 13 2" xfId="34159"/>
    <cellStyle name="Normal 3 4 8 2 2 14" xfId="16690"/>
    <cellStyle name="Normal 3 4 8 2 2 14 2" xfId="34160"/>
    <cellStyle name="Normal 3 4 8 2 2 15" xfId="34155"/>
    <cellStyle name="Normal 3 4 8 2 2 2" xfId="16691"/>
    <cellStyle name="Normal 3 4 8 2 2 2 2" xfId="34161"/>
    <cellStyle name="Normal 3 4 8 2 2 3" xfId="16692"/>
    <cellStyle name="Normal 3 4 8 2 2 3 2" xfId="34162"/>
    <cellStyle name="Normal 3 4 8 2 2 4" xfId="16693"/>
    <cellStyle name="Normal 3 4 8 2 2 4 2" xfId="34163"/>
    <cellStyle name="Normal 3 4 8 2 2 5" xfId="16694"/>
    <cellStyle name="Normal 3 4 8 2 2 5 2" xfId="34164"/>
    <cellStyle name="Normal 3 4 8 2 2 6" xfId="16695"/>
    <cellStyle name="Normal 3 4 8 2 2 6 2" xfId="34165"/>
    <cellStyle name="Normal 3 4 8 2 2 7" xfId="16696"/>
    <cellStyle name="Normal 3 4 8 2 2 7 2" xfId="34166"/>
    <cellStyle name="Normal 3 4 8 2 2 8" xfId="16697"/>
    <cellStyle name="Normal 3 4 8 2 2 8 2" xfId="34167"/>
    <cellStyle name="Normal 3 4 8 2 2 9" xfId="16698"/>
    <cellStyle name="Normal 3 4 8 2 2 9 2" xfId="34168"/>
    <cellStyle name="Normal 3 4 8 2 3" xfId="16699"/>
    <cellStyle name="Normal 3 4 8 2 3 2" xfId="34169"/>
    <cellStyle name="Normal 3 4 8 2 4" xfId="16700"/>
    <cellStyle name="Normal 3 4 8 2 4 2" xfId="34170"/>
    <cellStyle name="Normal 3 4 8 2 5" xfId="16701"/>
    <cellStyle name="Normal 3 4 8 2 5 2" xfId="34171"/>
    <cellStyle name="Normal 3 4 8 2 6" xfId="16702"/>
    <cellStyle name="Normal 3 4 8 2 6 2" xfId="34172"/>
    <cellStyle name="Normal 3 4 8 2 7" xfId="16703"/>
    <cellStyle name="Normal 3 4 8 2 7 2" xfId="34173"/>
    <cellStyle name="Normal 3 4 8 2 8" xfId="16704"/>
    <cellStyle name="Normal 3 4 8 2 8 2" xfId="34174"/>
    <cellStyle name="Normal 3 4 8 2 9" xfId="16705"/>
    <cellStyle name="Normal 3 4 8 2 9 2" xfId="34175"/>
    <cellStyle name="Normal 3 4 8 20" xfId="16706"/>
    <cellStyle name="Normal 3 4 8 20 2" xfId="34176"/>
    <cellStyle name="Normal 3 4 8 21" xfId="16707"/>
    <cellStyle name="Normal 3 4 8 21 2" xfId="34177"/>
    <cellStyle name="Normal 3 4 8 22" xfId="16708"/>
    <cellStyle name="Normal 3 4 8 22 2" xfId="34178"/>
    <cellStyle name="Normal 3 4 8 23" xfId="16709"/>
    <cellStyle name="Normal 3 4 8 23 2" xfId="34179"/>
    <cellStyle name="Normal 3 4 8 24" xfId="34124"/>
    <cellStyle name="Normal 3 4 8 3" xfId="16710"/>
    <cellStyle name="Normal 3 4 8 3 10" xfId="16711"/>
    <cellStyle name="Normal 3 4 8 3 10 2" xfId="34181"/>
    <cellStyle name="Normal 3 4 8 3 11" xfId="16712"/>
    <cellStyle name="Normal 3 4 8 3 11 2" xfId="34182"/>
    <cellStyle name="Normal 3 4 8 3 12" xfId="16713"/>
    <cellStyle name="Normal 3 4 8 3 12 2" xfId="34183"/>
    <cellStyle name="Normal 3 4 8 3 13" xfId="16714"/>
    <cellStyle name="Normal 3 4 8 3 13 2" xfId="34184"/>
    <cellStyle name="Normal 3 4 8 3 14" xfId="16715"/>
    <cellStyle name="Normal 3 4 8 3 14 2" xfId="34185"/>
    <cellStyle name="Normal 3 4 8 3 15" xfId="16716"/>
    <cellStyle name="Normal 3 4 8 3 15 2" xfId="34186"/>
    <cellStyle name="Normal 3 4 8 3 16" xfId="34180"/>
    <cellStyle name="Normal 3 4 8 3 2" xfId="16717"/>
    <cellStyle name="Normal 3 4 8 3 2 10" xfId="16718"/>
    <cellStyle name="Normal 3 4 8 3 2 10 2" xfId="34188"/>
    <cellStyle name="Normal 3 4 8 3 2 11" xfId="16719"/>
    <cellStyle name="Normal 3 4 8 3 2 11 2" xfId="34189"/>
    <cellStyle name="Normal 3 4 8 3 2 12" xfId="16720"/>
    <cellStyle name="Normal 3 4 8 3 2 12 2" xfId="34190"/>
    <cellStyle name="Normal 3 4 8 3 2 13" xfId="16721"/>
    <cellStyle name="Normal 3 4 8 3 2 13 2" xfId="34191"/>
    <cellStyle name="Normal 3 4 8 3 2 14" xfId="16722"/>
    <cellStyle name="Normal 3 4 8 3 2 14 2" xfId="34192"/>
    <cellStyle name="Normal 3 4 8 3 2 15" xfId="34187"/>
    <cellStyle name="Normal 3 4 8 3 2 2" xfId="16723"/>
    <cellStyle name="Normal 3 4 8 3 2 2 2" xfId="34193"/>
    <cellStyle name="Normal 3 4 8 3 2 3" xfId="16724"/>
    <cellStyle name="Normal 3 4 8 3 2 3 2" xfId="34194"/>
    <cellStyle name="Normal 3 4 8 3 2 4" xfId="16725"/>
    <cellStyle name="Normal 3 4 8 3 2 4 2" xfId="34195"/>
    <cellStyle name="Normal 3 4 8 3 2 5" xfId="16726"/>
    <cellStyle name="Normal 3 4 8 3 2 5 2" xfId="34196"/>
    <cellStyle name="Normal 3 4 8 3 2 6" xfId="16727"/>
    <cellStyle name="Normal 3 4 8 3 2 6 2" xfId="34197"/>
    <cellStyle name="Normal 3 4 8 3 2 7" xfId="16728"/>
    <cellStyle name="Normal 3 4 8 3 2 7 2" xfId="34198"/>
    <cellStyle name="Normal 3 4 8 3 2 8" xfId="16729"/>
    <cellStyle name="Normal 3 4 8 3 2 8 2" xfId="34199"/>
    <cellStyle name="Normal 3 4 8 3 2 9" xfId="16730"/>
    <cellStyle name="Normal 3 4 8 3 2 9 2" xfId="34200"/>
    <cellStyle name="Normal 3 4 8 3 3" xfId="16731"/>
    <cellStyle name="Normal 3 4 8 3 3 2" xfId="34201"/>
    <cellStyle name="Normal 3 4 8 3 4" xfId="16732"/>
    <cellStyle name="Normal 3 4 8 3 4 2" xfId="34202"/>
    <cellStyle name="Normal 3 4 8 3 5" xfId="16733"/>
    <cellStyle name="Normal 3 4 8 3 5 2" xfId="34203"/>
    <cellStyle name="Normal 3 4 8 3 6" xfId="16734"/>
    <cellStyle name="Normal 3 4 8 3 6 2" xfId="34204"/>
    <cellStyle name="Normal 3 4 8 3 7" xfId="16735"/>
    <cellStyle name="Normal 3 4 8 3 7 2" xfId="34205"/>
    <cellStyle name="Normal 3 4 8 3 8" xfId="16736"/>
    <cellStyle name="Normal 3 4 8 3 8 2" xfId="34206"/>
    <cellStyle name="Normal 3 4 8 3 9" xfId="16737"/>
    <cellStyle name="Normal 3 4 8 3 9 2" xfId="34207"/>
    <cellStyle name="Normal 3 4 8 4" xfId="16738"/>
    <cellStyle name="Normal 3 4 8 4 10" xfId="16739"/>
    <cellStyle name="Normal 3 4 8 4 10 2" xfId="34209"/>
    <cellStyle name="Normal 3 4 8 4 11" xfId="16740"/>
    <cellStyle name="Normal 3 4 8 4 11 2" xfId="34210"/>
    <cellStyle name="Normal 3 4 8 4 12" xfId="16741"/>
    <cellStyle name="Normal 3 4 8 4 12 2" xfId="34211"/>
    <cellStyle name="Normal 3 4 8 4 13" xfId="16742"/>
    <cellStyle name="Normal 3 4 8 4 13 2" xfId="34212"/>
    <cellStyle name="Normal 3 4 8 4 14" xfId="16743"/>
    <cellStyle name="Normal 3 4 8 4 14 2" xfId="34213"/>
    <cellStyle name="Normal 3 4 8 4 15" xfId="16744"/>
    <cellStyle name="Normal 3 4 8 4 15 2" xfId="34214"/>
    <cellStyle name="Normal 3 4 8 4 16" xfId="34208"/>
    <cellStyle name="Normal 3 4 8 4 2" xfId="16745"/>
    <cellStyle name="Normal 3 4 8 4 2 10" xfId="16746"/>
    <cellStyle name="Normal 3 4 8 4 2 10 2" xfId="34216"/>
    <cellStyle name="Normal 3 4 8 4 2 11" xfId="16747"/>
    <cellStyle name="Normal 3 4 8 4 2 11 2" xfId="34217"/>
    <cellStyle name="Normal 3 4 8 4 2 12" xfId="16748"/>
    <cellStyle name="Normal 3 4 8 4 2 12 2" xfId="34218"/>
    <cellStyle name="Normal 3 4 8 4 2 13" xfId="16749"/>
    <cellStyle name="Normal 3 4 8 4 2 13 2" xfId="34219"/>
    <cellStyle name="Normal 3 4 8 4 2 14" xfId="16750"/>
    <cellStyle name="Normal 3 4 8 4 2 14 2" xfId="34220"/>
    <cellStyle name="Normal 3 4 8 4 2 15" xfId="34215"/>
    <cellStyle name="Normal 3 4 8 4 2 2" xfId="16751"/>
    <cellStyle name="Normal 3 4 8 4 2 2 2" xfId="34221"/>
    <cellStyle name="Normal 3 4 8 4 2 3" xfId="16752"/>
    <cellStyle name="Normal 3 4 8 4 2 3 2" xfId="34222"/>
    <cellStyle name="Normal 3 4 8 4 2 4" xfId="16753"/>
    <cellStyle name="Normal 3 4 8 4 2 4 2" xfId="34223"/>
    <cellStyle name="Normal 3 4 8 4 2 5" xfId="16754"/>
    <cellStyle name="Normal 3 4 8 4 2 5 2" xfId="34224"/>
    <cellStyle name="Normal 3 4 8 4 2 6" xfId="16755"/>
    <cellStyle name="Normal 3 4 8 4 2 6 2" xfId="34225"/>
    <cellStyle name="Normal 3 4 8 4 2 7" xfId="16756"/>
    <cellStyle name="Normal 3 4 8 4 2 7 2" xfId="34226"/>
    <cellStyle name="Normal 3 4 8 4 2 8" xfId="16757"/>
    <cellStyle name="Normal 3 4 8 4 2 8 2" xfId="34227"/>
    <cellStyle name="Normal 3 4 8 4 2 9" xfId="16758"/>
    <cellStyle name="Normal 3 4 8 4 2 9 2" xfId="34228"/>
    <cellStyle name="Normal 3 4 8 4 3" xfId="16759"/>
    <cellStyle name="Normal 3 4 8 4 3 2" xfId="34229"/>
    <cellStyle name="Normal 3 4 8 4 4" xfId="16760"/>
    <cellStyle name="Normal 3 4 8 4 4 2" xfId="34230"/>
    <cellStyle name="Normal 3 4 8 4 5" xfId="16761"/>
    <cellStyle name="Normal 3 4 8 4 5 2" xfId="34231"/>
    <cellStyle name="Normal 3 4 8 4 6" xfId="16762"/>
    <cellStyle name="Normal 3 4 8 4 6 2" xfId="34232"/>
    <cellStyle name="Normal 3 4 8 4 7" xfId="16763"/>
    <cellStyle name="Normal 3 4 8 4 7 2" xfId="34233"/>
    <cellStyle name="Normal 3 4 8 4 8" xfId="16764"/>
    <cellStyle name="Normal 3 4 8 4 8 2" xfId="34234"/>
    <cellStyle name="Normal 3 4 8 4 9" xfId="16765"/>
    <cellStyle name="Normal 3 4 8 4 9 2" xfId="34235"/>
    <cellStyle name="Normal 3 4 8 5" xfId="16766"/>
    <cellStyle name="Normal 3 4 8 5 10" xfId="16767"/>
    <cellStyle name="Normal 3 4 8 5 10 2" xfId="34237"/>
    <cellStyle name="Normal 3 4 8 5 11" xfId="16768"/>
    <cellStyle name="Normal 3 4 8 5 11 2" xfId="34238"/>
    <cellStyle name="Normal 3 4 8 5 12" xfId="16769"/>
    <cellStyle name="Normal 3 4 8 5 12 2" xfId="34239"/>
    <cellStyle name="Normal 3 4 8 5 13" xfId="16770"/>
    <cellStyle name="Normal 3 4 8 5 13 2" xfId="34240"/>
    <cellStyle name="Normal 3 4 8 5 14" xfId="16771"/>
    <cellStyle name="Normal 3 4 8 5 14 2" xfId="34241"/>
    <cellStyle name="Normal 3 4 8 5 15" xfId="34236"/>
    <cellStyle name="Normal 3 4 8 5 2" xfId="16772"/>
    <cellStyle name="Normal 3 4 8 5 2 2" xfId="34242"/>
    <cellStyle name="Normal 3 4 8 5 3" xfId="16773"/>
    <cellStyle name="Normal 3 4 8 5 3 2" xfId="34243"/>
    <cellStyle name="Normal 3 4 8 5 4" xfId="16774"/>
    <cellStyle name="Normal 3 4 8 5 4 2" xfId="34244"/>
    <cellStyle name="Normal 3 4 8 5 5" xfId="16775"/>
    <cellStyle name="Normal 3 4 8 5 5 2" xfId="34245"/>
    <cellStyle name="Normal 3 4 8 5 6" xfId="16776"/>
    <cellStyle name="Normal 3 4 8 5 6 2" xfId="34246"/>
    <cellStyle name="Normal 3 4 8 5 7" xfId="16777"/>
    <cellStyle name="Normal 3 4 8 5 7 2" xfId="34247"/>
    <cellStyle name="Normal 3 4 8 5 8" xfId="16778"/>
    <cellStyle name="Normal 3 4 8 5 8 2" xfId="34248"/>
    <cellStyle name="Normal 3 4 8 5 9" xfId="16779"/>
    <cellStyle name="Normal 3 4 8 5 9 2" xfId="34249"/>
    <cellStyle name="Normal 3 4 8 6" xfId="16780"/>
    <cellStyle name="Normal 3 4 8 6 10" xfId="16781"/>
    <cellStyle name="Normal 3 4 8 6 10 2" xfId="34251"/>
    <cellStyle name="Normal 3 4 8 6 11" xfId="16782"/>
    <cellStyle name="Normal 3 4 8 6 11 2" xfId="34252"/>
    <cellStyle name="Normal 3 4 8 6 12" xfId="16783"/>
    <cellStyle name="Normal 3 4 8 6 12 2" xfId="34253"/>
    <cellStyle name="Normal 3 4 8 6 13" xfId="16784"/>
    <cellStyle name="Normal 3 4 8 6 13 2" xfId="34254"/>
    <cellStyle name="Normal 3 4 8 6 14" xfId="16785"/>
    <cellStyle name="Normal 3 4 8 6 14 2" xfId="34255"/>
    <cellStyle name="Normal 3 4 8 6 15" xfId="34250"/>
    <cellStyle name="Normal 3 4 8 6 2" xfId="16786"/>
    <cellStyle name="Normal 3 4 8 6 2 2" xfId="34256"/>
    <cellStyle name="Normal 3 4 8 6 3" xfId="16787"/>
    <cellStyle name="Normal 3 4 8 6 3 2" xfId="34257"/>
    <cellStyle name="Normal 3 4 8 6 4" xfId="16788"/>
    <cellStyle name="Normal 3 4 8 6 4 2" xfId="34258"/>
    <cellStyle name="Normal 3 4 8 6 5" xfId="16789"/>
    <cellStyle name="Normal 3 4 8 6 5 2" xfId="34259"/>
    <cellStyle name="Normal 3 4 8 6 6" xfId="16790"/>
    <cellStyle name="Normal 3 4 8 6 6 2" xfId="34260"/>
    <cellStyle name="Normal 3 4 8 6 7" xfId="16791"/>
    <cellStyle name="Normal 3 4 8 6 7 2" xfId="34261"/>
    <cellStyle name="Normal 3 4 8 6 8" xfId="16792"/>
    <cellStyle name="Normal 3 4 8 6 8 2" xfId="34262"/>
    <cellStyle name="Normal 3 4 8 6 9" xfId="16793"/>
    <cellStyle name="Normal 3 4 8 6 9 2" xfId="34263"/>
    <cellStyle name="Normal 3 4 8 7" xfId="16794"/>
    <cellStyle name="Normal 3 4 8 7 10" xfId="16795"/>
    <cellStyle name="Normal 3 4 8 7 10 2" xfId="34265"/>
    <cellStyle name="Normal 3 4 8 7 11" xfId="16796"/>
    <cellStyle name="Normal 3 4 8 7 11 2" xfId="34266"/>
    <cellStyle name="Normal 3 4 8 7 12" xfId="16797"/>
    <cellStyle name="Normal 3 4 8 7 12 2" xfId="34267"/>
    <cellStyle name="Normal 3 4 8 7 13" xfId="16798"/>
    <cellStyle name="Normal 3 4 8 7 13 2" xfId="34268"/>
    <cellStyle name="Normal 3 4 8 7 14" xfId="16799"/>
    <cellStyle name="Normal 3 4 8 7 14 2" xfId="34269"/>
    <cellStyle name="Normal 3 4 8 7 15" xfId="34264"/>
    <cellStyle name="Normal 3 4 8 7 2" xfId="16800"/>
    <cellStyle name="Normal 3 4 8 7 2 2" xfId="34270"/>
    <cellStyle name="Normal 3 4 8 7 3" xfId="16801"/>
    <cellStyle name="Normal 3 4 8 7 3 2" xfId="34271"/>
    <cellStyle name="Normal 3 4 8 7 4" xfId="16802"/>
    <cellStyle name="Normal 3 4 8 7 4 2" xfId="34272"/>
    <cellStyle name="Normal 3 4 8 7 5" xfId="16803"/>
    <cellStyle name="Normal 3 4 8 7 5 2" xfId="34273"/>
    <cellStyle name="Normal 3 4 8 7 6" xfId="16804"/>
    <cellStyle name="Normal 3 4 8 7 6 2" xfId="34274"/>
    <cellStyle name="Normal 3 4 8 7 7" xfId="16805"/>
    <cellStyle name="Normal 3 4 8 7 7 2" xfId="34275"/>
    <cellStyle name="Normal 3 4 8 7 8" xfId="16806"/>
    <cellStyle name="Normal 3 4 8 7 8 2" xfId="34276"/>
    <cellStyle name="Normal 3 4 8 7 9" xfId="16807"/>
    <cellStyle name="Normal 3 4 8 7 9 2" xfId="34277"/>
    <cellStyle name="Normal 3 4 8 8" xfId="16808"/>
    <cellStyle name="Normal 3 4 8 8 10" xfId="16809"/>
    <cellStyle name="Normal 3 4 8 8 10 2" xfId="34279"/>
    <cellStyle name="Normal 3 4 8 8 11" xfId="16810"/>
    <cellStyle name="Normal 3 4 8 8 11 2" xfId="34280"/>
    <cellStyle name="Normal 3 4 8 8 12" xfId="16811"/>
    <cellStyle name="Normal 3 4 8 8 12 2" xfId="34281"/>
    <cellStyle name="Normal 3 4 8 8 13" xfId="16812"/>
    <cellStyle name="Normal 3 4 8 8 13 2" xfId="34282"/>
    <cellStyle name="Normal 3 4 8 8 14" xfId="16813"/>
    <cellStyle name="Normal 3 4 8 8 14 2" xfId="34283"/>
    <cellStyle name="Normal 3 4 8 8 15" xfId="34278"/>
    <cellStyle name="Normal 3 4 8 8 2" xfId="16814"/>
    <cellStyle name="Normal 3 4 8 8 2 2" xfId="34284"/>
    <cellStyle name="Normal 3 4 8 8 3" xfId="16815"/>
    <cellStyle name="Normal 3 4 8 8 3 2" xfId="34285"/>
    <cellStyle name="Normal 3 4 8 8 4" xfId="16816"/>
    <cellStyle name="Normal 3 4 8 8 4 2" xfId="34286"/>
    <cellStyle name="Normal 3 4 8 8 5" xfId="16817"/>
    <cellStyle name="Normal 3 4 8 8 5 2" xfId="34287"/>
    <cellStyle name="Normal 3 4 8 8 6" xfId="16818"/>
    <cellStyle name="Normal 3 4 8 8 6 2" xfId="34288"/>
    <cellStyle name="Normal 3 4 8 8 7" xfId="16819"/>
    <cellStyle name="Normal 3 4 8 8 7 2" xfId="34289"/>
    <cellStyle name="Normal 3 4 8 8 8" xfId="16820"/>
    <cellStyle name="Normal 3 4 8 8 8 2" xfId="34290"/>
    <cellStyle name="Normal 3 4 8 8 9" xfId="16821"/>
    <cellStyle name="Normal 3 4 8 8 9 2" xfId="34291"/>
    <cellStyle name="Normal 3 4 8 9" xfId="16822"/>
    <cellStyle name="Normal 3 4 8 9 10" xfId="16823"/>
    <cellStyle name="Normal 3 4 8 9 10 2" xfId="34293"/>
    <cellStyle name="Normal 3 4 8 9 11" xfId="16824"/>
    <cellStyle name="Normal 3 4 8 9 11 2" xfId="34294"/>
    <cellStyle name="Normal 3 4 8 9 12" xfId="16825"/>
    <cellStyle name="Normal 3 4 8 9 12 2" xfId="34295"/>
    <cellStyle name="Normal 3 4 8 9 13" xfId="16826"/>
    <cellStyle name="Normal 3 4 8 9 13 2" xfId="34296"/>
    <cellStyle name="Normal 3 4 8 9 14" xfId="16827"/>
    <cellStyle name="Normal 3 4 8 9 14 2" xfId="34297"/>
    <cellStyle name="Normal 3 4 8 9 15" xfId="34292"/>
    <cellStyle name="Normal 3 4 8 9 2" xfId="16828"/>
    <cellStyle name="Normal 3 4 8 9 2 2" xfId="34298"/>
    <cellStyle name="Normal 3 4 8 9 3" xfId="16829"/>
    <cellStyle name="Normal 3 4 8 9 3 2" xfId="34299"/>
    <cellStyle name="Normal 3 4 8 9 4" xfId="16830"/>
    <cellStyle name="Normal 3 4 8 9 4 2" xfId="34300"/>
    <cellStyle name="Normal 3 4 8 9 5" xfId="16831"/>
    <cellStyle name="Normal 3 4 8 9 5 2" xfId="34301"/>
    <cellStyle name="Normal 3 4 8 9 6" xfId="16832"/>
    <cellStyle name="Normal 3 4 8 9 6 2" xfId="34302"/>
    <cellStyle name="Normal 3 4 8 9 7" xfId="16833"/>
    <cellStyle name="Normal 3 4 8 9 7 2" xfId="34303"/>
    <cellStyle name="Normal 3 4 8 9 8" xfId="16834"/>
    <cellStyle name="Normal 3 4 8 9 8 2" xfId="34304"/>
    <cellStyle name="Normal 3 4 8 9 9" xfId="16835"/>
    <cellStyle name="Normal 3 4 8 9 9 2" xfId="34305"/>
    <cellStyle name="Normal 3 4 9" xfId="16836"/>
    <cellStyle name="Normal 3 4 9 10" xfId="16837"/>
    <cellStyle name="Normal 3 4 9 10 10" xfId="16838"/>
    <cellStyle name="Normal 3 4 9 10 10 2" xfId="34308"/>
    <cellStyle name="Normal 3 4 9 10 11" xfId="16839"/>
    <cellStyle name="Normal 3 4 9 10 11 2" xfId="34309"/>
    <cellStyle name="Normal 3 4 9 10 12" xfId="16840"/>
    <cellStyle name="Normal 3 4 9 10 12 2" xfId="34310"/>
    <cellStyle name="Normal 3 4 9 10 13" xfId="16841"/>
    <cellStyle name="Normal 3 4 9 10 13 2" xfId="34311"/>
    <cellStyle name="Normal 3 4 9 10 14" xfId="16842"/>
    <cellStyle name="Normal 3 4 9 10 14 2" xfId="34312"/>
    <cellStyle name="Normal 3 4 9 10 15" xfId="34307"/>
    <cellStyle name="Normal 3 4 9 10 2" xfId="16843"/>
    <cellStyle name="Normal 3 4 9 10 2 2" xfId="34313"/>
    <cellStyle name="Normal 3 4 9 10 3" xfId="16844"/>
    <cellStyle name="Normal 3 4 9 10 3 2" xfId="34314"/>
    <cellStyle name="Normal 3 4 9 10 4" xfId="16845"/>
    <cellStyle name="Normal 3 4 9 10 4 2" xfId="34315"/>
    <cellStyle name="Normal 3 4 9 10 5" xfId="16846"/>
    <cellStyle name="Normal 3 4 9 10 5 2" xfId="34316"/>
    <cellStyle name="Normal 3 4 9 10 6" xfId="16847"/>
    <cellStyle name="Normal 3 4 9 10 6 2" xfId="34317"/>
    <cellStyle name="Normal 3 4 9 10 7" xfId="16848"/>
    <cellStyle name="Normal 3 4 9 10 7 2" xfId="34318"/>
    <cellStyle name="Normal 3 4 9 10 8" xfId="16849"/>
    <cellStyle name="Normal 3 4 9 10 8 2" xfId="34319"/>
    <cellStyle name="Normal 3 4 9 10 9" xfId="16850"/>
    <cellStyle name="Normal 3 4 9 10 9 2" xfId="34320"/>
    <cellStyle name="Normal 3 4 9 11" xfId="16851"/>
    <cellStyle name="Normal 3 4 9 11 2" xfId="34321"/>
    <cellStyle name="Normal 3 4 9 12" xfId="16852"/>
    <cellStyle name="Normal 3 4 9 12 2" xfId="34322"/>
    <cellStyle name="Normal 3 4 9 13" xfId="16853"/>
    <cellStyle name="Normal 3 4 9 13 2" xfId="34323"/>
    <cellStyle name="Normal 3 4 9 14" xfId="16854"/>
    <cellStyle name="Normal 3 4 9 14 2" xfId="34324"/>
    <cellStyle name="Normal 3 4 9 15" xfId="16855"/>
    <cellStyle name="Normal 3 4 9 15 2" xfId="34325"/>
    <cellStyle name="Normal 3 4 9 16" xfId="16856"/>
    <cellStyle name="Normal 3 4 9 16 2" xfId="34326"/>
    <cellStyle name="Normal 3 4 9 17" xfId="16857"/>
    <cellStyle name="Normal 3 4 9 17 2" xfId="34327"/>
    <cellStyle name="Normal 3 4 9 18" xfId="16858"/>
    <cellStyle name="Normal 3 4 9 18 2" xfId="34328"/>
    <cellStyle name="Normal 3 4 9 19" xfId="16859"/>
    <cellStyle name="Normal 3 4 9 19 2" xfId="34329"/>
    <cellStyle name="Normal 3 4 9 2" xfId="16860"/>
    <cellStyle name="Normal 3 4 9 2 10" xfId="16861"/>
    <cellStyle name="Normal 3 4 9 2 10 2" xfId="34331"/>
    <cellStyle name="Normal 3 4 9 2 11" xfId="16862"/>
    <cellStyle name="Normal 3 4 9 2 11 2" xfId="34332"/>
    <cellStyle name="Normal 3 4 9 2 12" xfId="16863"/>
    <cellStyle name="Normal 3 4 9 2 12 2" xfId="34333"/>
    <cellStyle name="Normal 3 4 9 2 13" xfId="16864"/>
    <cellStyle name="Normal 3 4 9 2 13 2" xfId="34334"/>
    <cellStyle name="Normal 3 4 9 2 14" xfId="16865"/>
    <cellStyle name="Normal 3 4 9 2 14 2" xfId="34335"/>
    <cellStyle name="Normal 3 4 9 2 15" xfId="16866"/>
    <cellStyle name="Normal 3 4 9 2 15 2" xfId="34336"/>
    <cellStyle name="Normal 3 4 9 2 16" xfId="34330"/>
    <cellStyle name="Normal 3 4 9 2 2" xfId="16867"/>
    <cellStyle name="Normal 3 4 9 2 2 10" xfId="16868"/>
    <cellStyle name="Normal 3 4 9 2 2 10 2" xfId="34338"/>
    <cellStyle name="Normal 3 4 9 2 2 11" xfId="16869"/>
    <cellStyle name="Normal 3 4 9 2 2 11 2" xfId="34339"/>
    <cellStyle name="Normal 3 4 9 2 2 12" xfId="16870"/>
    <cellStyle name="Normal 3 4 9 2 2 12 2" xfId="34340"/>
    <cellStyle name="Normal 3 4 9 2 2 13" xfId="16871"/>
    <cellStyle name="Normal 3 4 9 2 2 13 2" xfId="34341"/>
    <cellStyle name="Normal 3 4 9 2 2 14" xfId="16872"/>
    <cellStyle name="Normal 3 4 9 2 2 14 2" xfId="34342"/>
    <cellStyle name="Normal 3 4 9 2 2 15" xfId="34337"/>
    <cellStyle name="Normal 3 4 9 2 2 2" xfId="16873"/>
    <cellStyle name="Normal 3 4 9 2 2 2 2" xfId="34343"/>
    <cellStyle name="Normal 3 4 9 2 2 3" xfId="16874"/>
    <cellStyle name="Normal 3 4 9 2 2 3 2" xfId="34344"/>
    <cellStyle name="Normal 3 4 9 2 2 4" xfId="16875"/>
    <cellStyle name="Normal 3 4 9 2 2 4 2" xfId="34345"/>
    <cellStyle name="Normal 3 4 9 2 2 5" xfId="16876"/>
    <cellStyle name="Normal 3 4 9 2 2 5 2" xfId="34346"/>
    <cellStyle name="Normal 3 4 9 2 2 6" xfId="16877"/>
    <cellStyle name="Normal 3 4 9 2 2 6 2" xfId="34347"/>
    <cellStyle name="Normal 3 4 9 2 2 7" xfId="16878"/>
    <cellStyle name="Normal 3 4 9 2 2 7 2" xfId="34348"/>
    <cellStyle name="Normal 3 4 9 2 2 8" xfId="16879"/>
    <cellStyle name="Normal 3 4 9 2 2 8 2" xfId="34349"/>
    <cellStyle name="Normal 3 4 9 2 2 9" xfId="16880"/>
    <cellStyle name="Normal 3 4 9 2 2 9 2" xfId="34350"/>
    <cellStyle name="Normal 3 4 9 2 3" xfId="16881"/>
    <cellStyle name="Normal 3 4 9 2 3 2" xfId="34351"/>
    <cellStyle name="Normal 3 4 9 2 4" xfId="16882"/>
    <cellStyle name="Normal 3 4 9 2 4 2" xfId="34352"/>
    <cellStyle name="Normal 3 4 9 2 5" xfId="16883"/>
    <cellStyle name="Normal 3 4 9 2 5 2" xfId="34353"/>
    <cellStyle name="Normal 3 4 9 2 6" xfId="16884"/>
    <cellStyle name="Normal 3 4 9 2 6 2" xfId="34354"/>
    <cellStyle name="Normal 3 4 9 2 7" xfId="16885"/>
    <cellStyle name="Normal 3 4 9 2 7 2" xfId="34355"/>
    <cellStyle name="Normal 3 4 9 2 8" xfId="16886"/>
    <cellStyle name="Normal 3 4 9 2 8 2" xfId="34356"/>
    <cellStyle name="Normal 3 4 9 2 9" xfId="16887"/>
    <cellStyle name="Normal 3 4 9 2 9 2" xfId="34357"/>
    <cellStyle name="Normal 3 4 9 20" xfId="16888"/>
    <cellStyle name="Normal 3 4 9 20 2" xfId="34358"/>
    <cellStyle name="Normal 3 4 9 21" xfId="16889"/>
    <cellStyle name="Normal 3 4 9 21 2" xfId="34359"/>
    <cellStyle name="Normal 3 4 9 22" xfId="16890"/>
    <cellStyle name="Normal 3 4 9 22 2" xfId="34360"/>
    <cellStyle name="Normal 3 4 9 23" xfId="16891"/>
    <cellStyle name="Normal 3 4 9 23 2" xfId="34361"/>
    <cellStyle name="Normal 3 4 9 24" xfId="34306"/>
    <cellStyle name="Normal 3 4 9 3" xfId="16892"/>
    <cellStyle name="Normal 3 4 9 3 10" xfId="16893"/>
    <cellStyle name="Normal 3 4 9 3 10 2" xfId="34363"/>
    <cellStyle name="Normal 3 4 9 3 11" xfId="16894"/>
    <cellStyle name="Normal 3 4 9 3 11 2" xfId="34364"/>
    <cellStyle name="Normal 3 4 9 3 12" xfId="16895"/>
    <cellStyle name="Normal 3 4 9 3 12 2" xfId="34365"/>
    <cellStyle name="Normal 3 4 9 3 13" xfId="16896"/>
    <cellStyle name="Normal 3 4 9 3 13 2" xfId="34366"/>
    <cellStyle name="Normal 3 4 9 3 14" xfId="16897"/>
    <cellStyle name="Normal 3 4 9 3 14 2" xfId="34367"/>
    <cellStyle name="Normal 3 4 9 3 15" xfId="16898"/>
    <cellStyle name="Normal 3 4 9 3 15 2" xfId="34368"/>
    <cellStyle name="Normal 3 4 9 3 16" xfId="34362"/>
    <cellStyle name="Normal 3 4 9 3 2" xfId="16899"/>
    <cellStyle name="Normal 3 4 9 3 2 10" xfId="16900"/>
    <cellStyle name="Normal 3 4 9 3 2 10 2" xfId="34370"/>
    <cellStyle name="Normal 3 4 9 3 2 11" xfId="16901"/>
    <cellStyle name="Normal 3 4 9 3 2 11 2" xfId="34371"/>
    <cellStyle name="Normal 3 4 9 3 2 12" xfId="16902"/>
    <cellStyle name="Normal 3 4 9 3 2 12 2" xfId="34372"/>
    <cellStyle name="Normal 3 4 9 3 2 13" xfId="16903"/>
    <cellStyle name="Normal 3 4 9 3 2 13 2" xfId="34373"/>
    <cellStyle name="Normal 3 4 9 3 2 14" xfId="16904"/>
    <cellStyle name="Normal 3 4 9 3 2 14 2" xfId="34374"/>
    <cellStyle name="Normal 3 4 9 3 2 15" xfId="34369"/>
    <cellStyle name="Normal 3 4 9 3 2 2" xfId="16905"/>
    <cellStyle name="Normal 3 4 9 3 2 2 2" xfId="34375"/>
    <cellStyle name="Normal 3 4 9 3 2 3" xfId="16906"/>
    <cellStyle name="Normal 3 4 9 3 2 3 2" xfId="34376"/>
    <cellStyle name="Normal 3 4 9 3 2 4" xfId="16907"/>
    <cellStyle name="Normal 3 4 9 3 2 4 2" xfId="34377"/>
    <cellStyle name="Normal 3 4 9 3 2 5" xfId="16908"/>
    <cellStyle name="Normal 3 4 9 3 2 5 2" xfId="34378"/>
    <cellStyle name="Normal 3 4 9 3 2 6" xfId="16909"/>
    <cellStyle name="Normal 3 4 9 3 2 6 2" xfId="34379"/>
    <cellStyle name="Normal 3 4 9 3 2 7" xfId="16910"/>
    <cellStyle name="Normal 3 4 9 3 2 7 2" xfId="34380"/>
    <cellStyle name="Normal 3 4 9 3 2 8" xfId="16911"/>
    <cellStyle name="Normal 3 4 9 3 2 8 2" xfId="34381"/>
    <cellStyle name="Normal 3 4 9 3 2 9" xfId="16912"/>
    <cellStyle name="Normal 3 4 9 3 2 9 2" xfId="34382"/>
    <cellStyle name="Normal 3 4 9 3 3" xfId="16913"/>
    <cellStyle name="Normal 3 4 9 3 3 2" xfId="34383"/>
    <cellStyle name="Normal 3 4 9 3 4" xfId="16914"/>
    <cellStyle name="Normal 3 4 9 3 4 2" xfId="34384"/>
    <cellStyle name="Normal 3 4 9 3 5" xfId="16915"/>
    <cellStyle name="Normal 3 4 9 3 5 2" xfId="34385"/>
    <cellStyle name="Normal 3 4 9 3 6" xfId="16916"/>
    <cellStyle name="Normal 3 4 9 3 6 2" xfId="34386"/>
    <cellStyle name="Normal 3 4 9 3 7" xfId="16917"/>
    <cellStyle name="Normal 3 4 9 3 7 2" xfId="34387"/>
    <cellStyle name="Normal 3 4 9 3 8" xfId="16918"/>
    <cellStyle name="Normal 3 4 9 3 8 2" xfId="34388"/>
    <cellStyle name="Normal 3 4 9 3 9" xfId="16919"/>
    <cellStyle name="Normal 3 4 9 3 9 2" xfId="34389"/>
    <cellStyle name="Normal 3 4 9 4" xfId="16920"/>
    <cellStyle name="Normal 3 4 9 4 10" xfId="16921"/>
    <cellStyle name="Normal 3 4 9 4 10 2" xfId="34391"/>
    <cellStyle name="Normal 3 4 9 4 11" xfId="16922"/>
    <cellStyle name="Normal 3 4 9 4 11 2" xfId="34392"/>
    <cellStyle name="Normal 3 4 9 4 12" xfId="16923"/>
    <cellStyle name="Normal 3 4 9 4 12 2" xfId="34393"/>
    <cellStyle name="Normal 3 4 9 4 13" xfId="16924"/>
    <cellStyle name="Normal 3 4 9 4 13 2" xfId="34394"/>
    <cellStyle name="Normal 3 4 9 4 14" xfId="16925"/>
    <cellStyle name="Normal 3 4 9 4 14 2" xfId="34395"/>
    <cellStyle name="Normal 3 4 9 4 15" xfId="16926"/>
    <cellStyle name="Normal 3 4 9 4 15 2" xfId="34396"/>
    <cellStyle name="Normal 3 4 9 4 16" xfId="34390"/>
    <cellStyle name="Normal 3 4 9 4 2" xfId="16927"/>
    <cellStyle name="Normal 3 4 9 4 2 10" xfId="16928"/>
    <cellStyle name="Normal 3 4 9 4 2 10 2" xfId="34398"/>
    <cellStyle name="Normal 3 4 9 4 2 11" xfId="16929"/>
    <cellStyle name="Normal 3 4 9 4 2 11 2" xfId="34399"/>
    <cellStyle name="Normal 3 4 9 4 2 12" xfId="16930"/>
    <cellStyle name="Normal 3 4 9 4 2 12 2" xfId="34400"/>
    <cellStyle name="Normal 3 4 9 4 2 13" xfId="16931"/>
    <cellStyle name="Normal 3 4 9 4 2 13 2" xfId="34401"/>
    <cellStyle name="Normal 3 4 9 4 2 14" xfId="16932"/>
    <cellStyle name="Normal 3 4 9 4 2 14 2" xfId="34402"/>
    <cellStyle name="Normal 3 4 9 4 2 15" xfId="34397"/>
    <cellStyle name="Normal 3 4 9 4 2 2" xfId="16933"/>
    <cellStyle name="Normal 3 4 9 4 2 2 2" xfId="34403"/>
    <cellStyle name="Normal 3 4 9 4 2 3" xfId="16934"/>
    <cellStyle name="Normal 3 4 9 4 2 3 2" xfId="34404"/>
    <cellStyle name="Normal 3 4 9 4 2 4" xfId="16935"/>
    <cellStyle name="Normal 3 4 9 4 2 4 2" xfId="34405"/>
    <cellStyle name="Normal 3 4 9 4 2 5" xfId="16936"/>
    <cellStyle name="Normal 3 4 9 4 2 5 2" xfId="34406"/>
    <cellStyle name="Normal 3 4 9 4 2 6" xfId="16937"/>
    <cellStyle name="Normal 3 4 9 4 2 6 2" xfId="34407"/>
    <cellStyle name="Normal 3 4 9 4 2 7" xfId="16938"/>
    <cellStyle name="Normal 3 4 9 4 2 7 2" xfId="34408"/>
    <cellStyle name="Normal 3 4 9 4 2 8" xfId="16939"/>
    <cellStyle name="Normal 3 4 9 4 2 8 2" xfId="34409"/>
    <cellStyle name="Normal 3 4 9 4 2 9" xfId="16940"/>
    <cellStyle name="Normal 3 4 9 4 2 9 2" xfId="34410"/>
    <cellStyle name="Normal 3 4 9 4 3" xfId="16941"/>
    <cellStyle name="Normal 3 4 9 4 3 2" xfId="34411"/>
    <cellStyle name="Normal 3 4 9 4 4" xfId="16942"/>
    <cellStyle name="Normal 3 4 9 4 4 2" xfId="34412"/>
    <cellStyle name="Normal 3 4 9 4 5" xfId="16943"/>
    <cellStyle name="Normal 3 4 9 4 5 2" xfId="34413"/>
    <cellStyle name="Normal 3 4 9 4 6" xfId="16944"/>
    <cellStyle name="Normal 3 4 9 4 6 2" xfId="34414"/>
    <cellStyle name="Normal 3 4 9 4 7" xfId="16945"/>
    <cellStyle name="Normal 3 4 9 4 7 2" xfId="34415"/>
    <cellStyle name="Normal 3 4 9 4 8" xfId="16946"/>
    <cellStyle name="Normal 3 4 9 4 8 2" xfId="34416"/>
    <cellStyle name="Normal 3 4 9 4 9" xfId="16947"/>
    <cellStyle name="Normal 3 4 9 4 9 2" xfId="34417"/>
    <cellStyle name="Normal 3 4 9 5" xfId="16948"/>
    <cellStyle name="Normal 3 4 9 5 10" xfId="16949"/>
    <cellStyle name="Normal 3 4 9 5 10 2" xfId="34419"/>
    <cellStyle name="Normal 3 4 9 5 11" xfId="16950"/>
    <cellStyle name="Normal 3 4 9 5 11 2" xfId="34420"/>
    <cellStyle name="Normal 3 4 9 5 12" xfId="16951"/>
    <cellStyle name="Normal 3 4 9 5 12 2" xfId="34421"/>
    <cellStyle name="Normal 3 4 9 5 13" xfId="16952"/>
    <cellStyle name="Normal 3 4 9 5 13 2" xfId="34422"/>
    <cellStyle name="Normal 3 4 9 5 14" xfId="16953"/>
    <cellStyle name="Normal 3 4 9 5 14 2" xfId="34423"/>
    <cellStyle name="Normal 3 4 9 5 15" xfId="34418"/>
    <cellStyle name="Normal 3 4 9 5 2" xfId="16954"/>
    <cellStyle name="Normal 3 4 9 5 2 2" xfId="34424"/>
    <cellStyle name="Normal 3 4 9 5 3" xfId="16955"/>
    <cellStyle name="Normal 3 4 9 5 3 2" xfId="34425"/>
    <cellStyle name="Normal 3 4 9 5 4" xfId="16956"/>
    <cellStyle name="Normal 3 4 9 5 4 2" xfId="34426"/>
    <cellStyle name="Normal 3 4 9 5 5" xfId="16957"/>
    <cellStyle name="Normal 3 4 9 5 5 2" xfId="34427"/>
    <cellStyle name="Normal 3 4 9 5 6" xfId="16958"/>
    <cellStyle name="Normal 3 4 9 5 6 2" xfId="34428"/>
    <cellStyle name="Normal 3 4 9 5 7" xfId="16959"/>
    <cellStyle name="Normal 3 4 9 5 7 2" xfId="34429"/>
    <cellStyle name="Normal 3 4 9 5 8" xfId="16960"/>
    <cellStyle name="Normal 3 4 9 5 8 2" xfId="34430"/>
    <cellStyle name="Normal 3 4 9 5 9" xfId="16961"/>
    <cellStyle name="Normal 3 4 9 5 9 2" xfId="34431"/>
    <cellStyle name="Normal 3 4 9 6" xfId="16962"/>
    <cellStyle name="Normal 3 4 9 6 10" xfId="16963"/>
    <cellStyle name="Normal 3 4 9 6 10 2" xfId="34433"/>
    <cellStyle name="Normal 3 4 9 6 11" xfId="16964"/>
    <cellStyle name="Normal 3 4 9 6 11 2" xfId="34434"/>
    <cellStyle name="Normal 3 4 9 6 12" xfId="16965"/>
    <cellStyle name="Normal 3 4 9 6 12 2" xfId="34435"/>
    <cellStyle name="Normal 3 4 9 6 13" xfId="16966"/>
    <cellStyle name="Normal 3 4 9 6 13 2" xfId="34436"/>
    <cellStyle name="Normal 3 4 9 6 14" xfId="16967"/>
    <cellStyle name="Normal 3 4 9 6 14 2" xfId="34437"/>
    <cellStyle name="Normal 3 4 9 6 15" xfId="34432"/>
    <cellStyle name="Normal 3 4 9 6 2" xfId="16968"/>
    <cellStyle name="Normal 3 4 9 6 2 2" xfId="34438"/>
    <cellStyle name="Normal 3 4 9 6 3" xfId="16969"/>
    <cellStyle name="Normal 3 4 9 6 3 2" xfId="34439"/>
    <cellStyle name="Normal 3 4 9 6 4" xfId="16970"/>
    <cellStyle name="Normal 3 4 9 6 4 2" xfId="34440"/>
    <cellStyle name="Normal 3 4 9 6 5" xfId="16971"/>
    <cellStyle name="Normal 3 4 9 6 5 2" xfId="34441"/>
    <cellStyle name="Normal 3 4 9 6 6" xfId="16972"/>
    <cellStyle name="Normal 3 4 9 6 6 2" xfId="34442"/>
    <cellStyle name="Normal 3 4 9 6 7" xfId="16973"/>
    <cellStyle name="Normal 3 4 9 6 7 2" xfId="34443"/>
    <cellStyle name="Normal 3 4 9 6 8" xfId="16974"/>
    <cellStyle name="Normal 3 4 9 6 8 2" xfId="34444"/>
    <cellStyle name="Normal 3 4 9 6 9" xfId="16975"/>
    <cellStyle name="Normal 3 4 9 6 9 2" xfId="34445"/>
    <cellStyle name="Normal 3 4 9 7" xfId="16976"/>
    <cellStyle name="Normal 3 4 9 7 10" xfId="16977"/>
    <cellStyle name="Normal 3 4 9 7 10 2" xfId="34447"/>
    <cellStyle name="Normal 3 4 9 7 11" xfId="16978"/>
    <cellStyle name="Normal 3 4 9 7 11 2" xfId="34448"/>
    <cellStyle name="Normal 3 4 9 7 12" xfId="16979"/>
    <cellStyle name="Normal 3 4 9 7 12 2" xfId="34449"/>
    <cellStyle name="Normal 3 4 9 7 13" xfId="16980"/>
    <cellStyle name="Normal 3 4 9 7 13 2" xfId="34450"/>
    <cellStyle name="Normal 3 4 9 7 14" xfId="16981"/>
    <cellStyle name="Normal 3 4 9 7 14 2" xfId="34451"/>
    <cellStyle name="Normal 3 4 9 7 15" xfId="34446"/>
    <cellStyle name="Normal 3 4 9 7 2" xfId="16982"/>
    <cellStyle name="Normal 3 4 9 7 2 2" xfId="34452"/>
    <cellStyle name="Normal 3 4 9 7 3" xfId="16983"/>
    <cellStyle name="Normal 3 4 9 7 3 2" xfId="34453"/>
    <cellStyle name="Normal 3 4 9 7 4" xfId="16984"/>
    <cellStyle name="Normal 3 4 9 7 4 2" xfId="34454"/>
    <cellStyle name="Normal 3 4 9 7 5" xfId="16985"/>
    <cellStyle name="Normal 3 4 9 7 5 2" xfId="34455"/>
    <cellStyle name="Normal 3 4 9 7 6" xfId="16986"/>
    <cellStyle name="Normal 3 4 9 7 6 2" xfId="34456"/>
    <cellStyle name="Normal 3 4 9 7 7" xfId="16987"/>
    <cellStyle name="Normal 3 4 9 7 7 2" xfId="34457"/>
    <cellStyle name="Normal 3 4 9 7 8" xfId="16988"/>
    <cellStyle name="Normal 3 4 9 7 8 2" xfId="34458"/>
    <cellStyle name="Normal 3 4 9 7 9" xfId="16989"/>
    <cellStyle name="Normal 3 4 9 7 9 2" xfId="34459"/>
    <cellStyle name="Normal 3 4 9 8" xfId="16990"/>
    <cellStyle name="Normal 3 4 9 8 10" xfId="16991"/>
    <cellStyle name="Normal 3 4 9 8 10 2" xfId="34461"/>
    <cellStyle name="Normal 3 4 9 8 11" xfId="16992"/>
    <cellStyle name="Normal 3 4 9 8 11 2" xfId="34462"/>
    <cellStyle name="Normal 3 4 9 8 12" xfId="16993"/>
    <cellStyle name="Normal 3 4 9 8 12 2" xfId="34463"/>
    <cellStyle name="Normal 3 4 9 8 13" xfId="16994"/>
    <cellStyle name="Normal 3 4 9 8 13 2" xfId="34464"/>
    <cellStyle name="Normal 3 4 9 8 14" xfId="16995"/>
    <cellStyle name="Normal 3 4 9 8 14 2" xfId="34465"/>
    <cellStyle name="Normal 3 4 9 8 15" xfId="34460"/>
    <cellStyle name="Normal 3 4 9 8 2" xfId="16996"/>
    <cellStyle name="Normal 3 4 9 8 2 2" xfId="34466"/>
    <cellStyle name="Normal 3 4 9 8 3" xfId="16997"/>
    <cellStyle name="Normal 3 4 9 8 3 2" xfId="34467"/>
    <cellStyle name="Normal 3 4 9 8 4" xfId="16998"/>
    <cellStyle name="Normal 3 4 9 8 4 2" xfId="34468"/>
    <cellStyle name="Normal 3 4 9 8 5" xfId="16999"/>
    <cellStyle name="Normal 3 4 9 8 5 2" xfId="34469"/>
    <cellStyle name="Normal 3 4 9 8 6" xfId="17000"/>
    <cellStyle name="Normal 3 4 9 8 6 2" xfId="34470"/>
    <cellStyle name="Normal 3 4 9 8 7" xfId="17001"/>
    <cellStyle name="Normal 3 4 9 8 7 2" xfId="34471"/>
    <cellStyle name="Normal 3 4 9 8 8" xfId="17002"/>
    <cellStyle name="Normal 3 4 9 8 8 2" xfId="34472"/>
    <cellStyle name="Normal 3 4 9 8 9" xfId="17003"/>
    <cellStyle name="Normal 3 4 9 8 9 2" xfId="34473"/>
    <cellStyle name="Normal 3 4 9 9" xfId="17004"/>
    <cellStyle name="Normal 3 4 9 9 10" xfId="17005"/>
    <cellStyle name="Normal 3 4 9 9 10 2" xfId="34475"/>
    <cellStyle name="Normal 3 4 9 9 11" xfId="17006"/>
    <cellStyle name="Normal 3 4 9 9 11 2" xfId="34476"/>
    <cellStyle name="Normal 3 4 9 9 12" xfId="17007"/>
    <cellStyle name="Normal 3 4 9 9 12 2" xfId="34477"/>
    <cellStyle name="Normal 3 4 9 9 13" xfId="17008"/>
    <cellStyle name="Normal 3 4 9 9 13 2" xfId="34478"/>
    <cellStyle name="Normal 3 4 9 9 14" xfId="17009"/>
    <cellStyle name="Normal 3 4 9 9 14 2" xfId="34479"/>
    <cellStyle name="Normal 3 4 9 9 15" xfId="34474"/>
    <cellStyle name="Normal 3 4 9 9 2" xfId="17010"/>
    <cellStyle name="Normal 3 4 9 9 2 2" xfId="34480"/>
    <cellStyle name="Normal 3 4 9 9 3" xfId="17011"/>
    <cellStyle name="Normal 3 4 9 9 3 2" xfId="34481"/>
    <cellStyle name="Normal 3 4 9 9 4" xfId="17012"/>
    <cellStyle name="Normal 3 4 9 9 4 2" xfId="34482"/>
    <cellStyle name="Normal 3 4 9 9 5" xfId="17013"/>
    <cellStyle name="Normal 3 4 9 9 5 2" xfId="34483"/>
    <cellStyle name="Normal 3 4 9 9 6" xfId="17014"/>
    <cellStyle name="Normal 3 4 9 9 6 2" xfId="34484"/>
    <cellStyle name="Normal 3 4 9 9 7" xfId="17015"/>
    <cellStyle name="Normal 3 4 9 9 7 2" xfId="34485"/>
    <cellStyle name="Normal 3 4 9 9 8" xfId="17016"/>
    <cellStyle name="Normal 3 4 9 9 8 2" xfId="34486"/>
    <cellStyle name="Normal 3 4 9 9 9" xfId="17017"/>
    <cellStyle name="Normal 3 4 9 9 9 2" xfId="34487"/>
    <cellStyle name="Normal 3 40" xfId="63"/>
    <cellStyle name="Normal 3 40 10" xfId="17019"/>
    <cellStyle name="Normal 3 40 10 2" xfId="34488"/>
    <cellStyle name="Normal 3 40 11" xfId="17020"/>
    <cellStyle name="Normal 3 40 11 2" xfId="34489"/>
    <cellStyle name="Normal 3 40 12" xfId="17021"/>
    <cellStyle name="Normal 3 40 12 2" xfId="34490"/>
    <cellStyle name="Normal 3 40 13" xfId="17022"/>
    <cellStyle name="Normal 3 40 13 2" xfId="34491"/>
    <cellStyle name="Normal 3 40 14" xfId="17023"/>
    <cellStyle name="Normal 3 40 14 2" xfId="34492"/>
    <cellStyle name="Normal 3 40 15" xfId="17018"/>
    <cellStyle name="Normal 3 40 16" xfId="21157"/>
    <cellStyle name="Normal 3 40 2" xfId="383"/>
    <cellStyle name="Normal 3 40 2 2" xfId="575"/>
    <cellStyle name="Normal 3 40 2 3" xfId="17024"/>
    <cellStyle name="Normal 3 40 2 4" xfId="34493"/>
    <cellStyle name="Normal 3 40 3" xfId="490"/>
    <cellStyle name="Normal 3 40 3 2" xfId="17025"/>
    <cellStyle name="Normal 3 40 3 3" xfId="34494"/>
    <cellStyle name="Normal 3 40 4" xfId="17026"/>
    <cellStyle name="Normal 3 40 4 2" xfId="34495"/>
    <cellStyle name="Normal 3 40 5" xfId="17027"/>
    <cellStyle name="Normal 3 40 5 2" xfId="34496"/>
    <cellStyle name="Normal 3 40 6" xfId="17028"/>
    <cellStyle name="Normal 3 40 6 2" xfId="34497"/>
    <cellStyle name="Normal 3 40 7" xfId="17029"/>
    <cellStyle name="Normal 3 40 7 2" xfId="34498"/>
    <cellStyle name="Normal 3 40 8" xfId="17030"/>
    <cellStyle name="Normal 3 40 8 2" xfId="34499"/>
    <cellStyle name="Normal 3 40 9" xfId="17031"/>
    <cellStyle name="Normal 3 40 9 2" xfId="34500"/>
    <cellStyle name="Normal 3 41" xfId="17032"/>
    <cellStyle name="Normal 3 41 2" xfId="34501"/>
    <cellStyle name="Normal 3 42" xfId="17033"/>
    <cellStyle name="Normal 3 42 2" xfId="34502"/>
    <cellStyle name="Normal 3 43" xfId="17034"/>
    <cellStyle name="Normal 3 43 2" xfId="34503"/>
    <cellStyle name="Normal 3 44" xfId="17035"/>
    <cellStyle name="Normal 3 44 2" xfId="34504"/>
    <cellStyle name="Normal 3 45" xfId="17036"/>
    <cellStyle name="Normal 3 45 2" xfId="34505"/>
    <cellStyle name="Normal 3 46" xfId="17037"/>
    <cellStyle name="Normal 3 46 2" xfId="34506"/>
    <cellStyle name="Normal 3 47" xfId="17038"/>
    <cellStyle name="Normal 3 47 2" xfId="34507"/>
    <cellStyle name="Normal 3 48" xfId="17039"/>
    <cellStyle name="Normal 3 48 2" xfId="34508"/>
    <cellStyle name="Normal 3 49" xfId="17040"/>
    <cellStyle name="Normal 3 49 2" xfId="34509"/>
    <cellStyle name="Normal 3 5" xfId="17041"/>
    <cellStyle name="Normal 3 5 10" xfId="17042"/>
    <cellStyle name="Normal 3 5 10 10" xfId="17043"/>
    <cellStyle name="Normal 3 5 10 10 2" xfId="34511"/>
    <cellStyle name="Normal 3 5 10 11" xfId="17044"/>
    <cellStyle name="Normal 3 5 10 11 2" xfId="34512"/>
    <cellStyle name="Normal 3 5 10 12" xfId="17045"/>
    <cellStyle name="Normal 3 5 10 12 2" xfId="34513"/>
    <cellStyle name="Normal 3 5 10 13" xfId="17046"/>
    <cellStyle name="Normal 3 5 10 13 2" xfId="34514"/>
    <cellStyle name="Normal 3 5 10 14" xfId="17047"/>
    <cellStyle name="Normal 3 5 10 14 2" xfId="34515"/>
    <cellStyle name="Normal 3 5 10 15" xfId="34510"/>
    <cellStyle name="Normal 3 5 10 2" xfId="17048"/>
    <cellStyle name="Normal 3 5 10 2 2" xfId="34516"/>
    <cellStyle name="Normal 3 5 10 3" xfId="17049"/>
    <cellStyle name="Normal 3 5 10 3 2" xfId="34517"/>
    <cellStyle name="Normal 3 5 10 4" xfId="17050"/>
    <cellStyle name="Normal 3 5 10 4 2" xfId="34518"/>
    <cellStyle name="Normal 3 5 10 5" xfId="17051"/>
    <cellStyle name="Normal 3 5 10 5 2" xfId="34519"/>
    <cellStyle name="Normal 3 5 10 6" xfId="17052"/>
    <cellStyle name="Normal 3 5 10 6 2" xfId="34520"/>
    <cellStyle name="Normal 3 5 10 7" xfId="17053"/>
    <cellStyle name="Normal 3 5 10 7 2" xfId="34521"/>
    <cellStyle name="Normal 3 5 10 8" xfId="17054"/>
    <cellStyle name="Normal 3 5 10 8 2" xfId="34522"/>
    <cellStyle name="Normal 3 5 10 9" xfId="17055"/>
    <cellStyle name="Normal 3 5 10 9 2" xfId="34523"/>
    <cellStyle name="Normal 3 5 11" xfId="17056"/>
    <cellStyle name="Normal 3 5 11 10" xfId="17057"/>
    <cellStyle name="Normal 3 5 11 10 2" xfId="34525"/>
    <cellStyle name="Normal 3 5 11 11" xfId="17058"/>
    <cellStyle name="Normal 3 5 11 11 2" xfId="34526"/>
    <cellStyle name="Normal 3 5 11 12" xfId="17059"/>
    <cellStyle name="Normal 3 5 11 12 2" xfId="34527"/>
    <cellStyle name="Normal 3 5 11 13" xfId="17060"/>
    <cellStyle name="Normal 3 5 11 13 2" xfId="34528"/>
    <cellStyle name="Normal 3 5 11 14" xfId="17061"/>
    <cellStyle name="Normal 3 5 11 14 2" xfId="34529"/>
    <cellStyle name="Normal 3 5 11 15" xfId="34524"/>
    <cellStyle name="Normal 3 5 11 2" xfId="17062"/>
    <cellStyle name="Normal 3 5 11 2 2" xfId="34530"/>
    <cellStyle name="Normal 3 5 11 3" xfId="17063"/>
    <cellStyle name="Normal 3 5 11 3 2" xfId="34531"/>
    <cellStyle name="Normal 3 5 11 4" xfId="17064"/>
    <cellStyle name="Normal 3 5 11 4 2" xfId="34532"/>
    <cellStyle name="Normal 3 5 11 5" xfId="17065"/>
    <cellStyle name="Normal 3 5 11 5 2" xfId="34533"/>
    <cellStyle name="Normal 3 5 11 6" xfId="17066"/>
    <cellStyle name="Normal 3 5 11 6 2" xfId="34534"/>
    <cellStyle name="Normal 3 5 11 7" xfId="17067"/>
    <cellStyle name="Normal 3 5 11 7 2" xfId="34535"/>
    <cellStyle name="Normal 3 5 11 8" xfId="17068"/>
    <cellStyle name="Normal 3 5 11 8 2" xfId="34536"/>
    <cellStyle name="Normal 3 5 11 9" xfId="17069"/>
    <cellStyle name="Normal 3 5 11 9 2" xfId="34537"/>
    <cellStyle name="Normal 3 5 12" xfId="17070"/>
    <cellStyle name="Normal 3 5 12 10" xfId="17071"/>
    <cellStyle name="Normal 3 5 12 10 2" xfId="34539"/>
    <cellStyle name="Normal 3 5 12 11" xfId="17072"/>
    <cellStyle name="Normal 3 5 12 11 2" xfId="34540"/>
    <cellStyle name="Normal 3 5 12 12" xfId="17073"/>
    <cellStyle name="Normal 3 5 12 12 2" xfId="34541"/>
    <cellStyle name="Normal 3 5 12 13" xfId="17074"/>
    <cellStyle name="Normal 3 5 12 13 2" xfId="34542"/>
    <cellStyle name="Normal 3 5 12 14" xfId="17075"/>
    <cellStyle name="Normal 3 5 12 14 2" xfId="34543"/>
    <cellStyle name="Normal 3 5 12 15" xfId="34538"/>
    <cellStyle name="Normal 3 5 12 2" xfId="17076"/>
    <cellStyle name="Normal 3 5 12 2 2" xfId="34544"/>
    <cellStyle name="Normal 3 5 12 3" xfId="17077"/>
    <cellStyle name="Normal 3 5 12 3 2" xfId="34545"/>
    <cellStyle name="Normal 3 5 12 4" xfId="17078"/>
    <cellStyle name="Normal 3 5 12 4 2" xfId="34546"/>
    <cellStyle name="Normal 3 5 12 5" xfId="17079"/>
    <cellStyle name="Normal 3 5 12 5 2" xfId="34547"/>
    <cellStyle name="Normal 3 5 12 6" xfId="17080"/>
    <cellStyle name="Normal 3 5 12 6 2" xfId="34548"/>
    <cellStyle name="Normal 3 5 12 7" xfId="17081"/>
    <cellStyle name="Normal 3 5 12 7 2" xfId="34549"/>
    <cellStyle name="Normal 3 5 12 8" xfId="17082"/>
    <cellStyle name="Normal 3 5 12 8 2" xfId="34550"/>
    <cellStyle name="Normal 3 5 12 9" xfId="17083"/>
    <cellStyle name="Normal 3 5 12 9 2" xfId="34551"/>
    <cellStyle name="Normal 3 5 13" xfId="17084"/>
    <cellStyle name="Normal 3 5 13 10" xfId="17085"/>
    <cellStyle name="Normal 3 5 13 10 2" xfId="34553"/>
    <cellStyle name="Normal 3 5 13 11" xfId="17086"/>
    <cellStyle name="Normal 3 5 13 11 2" xfId="34554"/>
    <cellStyle name="Normal 3 5 13 12" xfId="17087"/>
    <cellStyle name="Normal 3 5 13 12 2" xfId="34555"/>
    <cellStyle name="Normal 3 5 13 13" xfId="17088"/>
    <cellStyle name="Normal 3 5 13 13 2" xfId="34556"/>
    <cellStyle name="Normal 3 5 13 14" xfId="17089"/>
    <cellStyle name="Normal 3 5 13 14 2" xfId="34557"/>
    <cellStyle name="Normal 3 5 13 15" xfId="34552"/>
    <cellStyle name="Normal 3 5 13 2" xfId="17090"/>
    <cellStyle name="Normal 3 5 13 2 2" xfId="34558"/>
    <cellStyle name="Normal 3 5 13 3" xfId="17091"/>
    <cellStyle name="Normal 3 5 13 3 2" xfId="34559"/>
    <cellStyle name="Normal 3 5 13 4" xfId="17092"/>
    <cellStyle name="Normal 3 5 13 4 2" xfId="34560"/>
    <cellStyle name="Normal 3 5 13 5" xfId="17093"/>
    <cellStyle name="Normal 3 5 13 5 2" xfId="34561"/>
    <cellStyle name="Normal 3 5 13 6" xfId="17094"/>
    <cellStyle name="Normal 3 5 13 6 2" xfId="34562"/>
    <cellStyle name="Normal 3 5 13 7" xfId="17095"/>
    <cellStyle name="Normal 3 5 13 7 2" xfId="34563"/>
    <cellStyle name="Normal 3 5 13 8" xfId="17096"/>
    <cellStyle name="Normal 3 5 13 8 2" xfId="34564"/>
    <cellStyle name="Normal 3 5 13 9" xfId="17097"/>
    <cellStyle name="Normal 3 5 13 9 2" xfId="34565"/>
    <cellStyle name="Normal 3 5 14" xfId="17098"/>
    <cellStyle name="Normal 3 5 14 10" xfId="17099"/>
    <cellStyle name="Normal 3 5 14 10 2" xfId="34567"/>
    <cellStyle name="Normal 3 5 14 11" xfId="17100"/>
    <cellStyle name="Normal 3 5 14 11 2" xfId="34568"/>
    <cellStyle name="Normal 3 5 14 12" xfId="17101"/>
    <cellStyle name="Normal 3 5 14 12 2" xfId="34569"/>
    <cellStyle name="Normal 3 5 14 13" xfId="17102"/>
    <cellStyle name="Normal 3 5 14 13 2" xfId="34570"/>
    <cellStyle name="Normal 3 5 14 14" xfId="17103"/>
    <cellStyle name="Normal 3 5 14 14 2" xfId="34571"/>
    <cellStyle name="Normal 3 5 14 15" xfId="34566"/>
    <cellStyle name="Normal 3 5 14 2" xfId="17104"/>
    <cellStyle name="Normal 3 5 14 2 2" xfId="34572"/>
    <cellStyle name="Normal 3 5 14 3" xfId="17105"/>
    <cellStyle name="Normal 3 5 14 3 2" xfId="34573"/>
    <cellStyle name="Normal 3 5 14 4" xfId="17106"/>
    <cellStyle name="Normal 3 5 14 4 2" xfId="34574"/>
    <cellStyle name="Normal 3 5 14 5" xfId="17107"/>
    <cellStyle name="Normal 3 5 14 5 2" xfId="34575"/>
    <cellStyle name="Normal 3 5 14 6" xfId="17108"/>
    <cellStyle name="Normal 3 5 14 6 2" xfId="34576"/>
    <cellStyle name="Normal 3 5 14 7" xfId="17109"/>
    <cellStyle name="Normal 3 5 14 7 2" xfId="34577"/>
    <cellStyle name="Normal 3 5 14 8" xfId="17110"/>
    <cellStyle name="Normal 3 5 14 8 2" xfId="34578"/>
    <cellStyle name="Normal 3 5 14 9" xfId="17111"/>
    <cellStyle name="Normal 3 5 14 9 2" xfId="34579"/>
    <cellStyle name="Normal 3 5 15" xfId="17112"/>
    <cellStyle name="Normal 3 5 16" xfId="17113"/>
    <cellStyle name="Normal 3 5 17" xfId="17114"/>
    <cellStyle name="Normal 3 5 17 10" xfId="17115"/>
    <cellStyle name="Normal 3 5 17 10 2" xfId="34581"/>
    <cellStyle name="Normal 3 5 17 11" xfId="17116"/>
    <cellStyle name="Normal 3 5 17 11 2" xfId="34582"/>
    <cellStyle name="Normal 3 5 17 12" xfId="17117"/>
    <cellStyle name="Normal 3 5 17 12 2" xfId="34583"/>
    <cellStyle name="Normal 3 5 17 13" xfId="17118"/>
    <cellStyle name="Normal 3 5 17 13 2" xfId="34584"/>
    <cellStyle name="Normal 3 5 17 14" xfId="17119"/>
    <cellStyle name="Normal 3 5 17 14 2" xfId="34585"/>
    <cellStyle name="Normal 3 5 17 15" xfId="34580"/>
    <cellStyle name="Normal 3 5 17 2" xfId="17120"/>
    <cellStyle name="Normal 3 5 17 2 2" xfId="34586"/>
    <cellStyle name="Normal 3 5 17 3" xfId="17121"/>
    <cellStyle name="Normal 3 5 17 3 2" xfId="34587"/>
    <cellStyle name="Normal 3 5 17 4" xfId="17122"/>
    <cellStyle name="Normal 3 5 17 4 2" xfId="34588"/>
    <cellStyle name="Normal 3 5 17 5" xfId="17123"/>
    <cellStyle name="Normal 3 5 17 5 2" xfId="34589"/>
    <cellStyle name="Normal 3 5 17 6" xfId="17124"/>
    <cellStyle name="Normal 3 5 17 6 2" xfId="34590"/>
    <cellStyle name="Normal 3 5 17 7" xfId="17125"/>
    <cellStyle name="Normal 3 5 17 7 2" xfId="34591"/>
    <cellStyle name="Normal 3 5 17 8" xfId="17126"/>
    <cellStyle name="Normal 3 5 17 8 2" xfId="34592"/>
    <cellStyle name="Normal 3 5 17 9" xfId="17127"/>
    <cellStyle name="Normal 3 5 17 9 2" xfId="34593"/>
    <cellStyle name="Normal 3 5 18" xfId="17128"/>
    <cellStyle name="Normal 3 5 18 10" xfId="17129"/>
    <cellStyle name="Normal 3 5 18 10 2" xfId="34595"/>
    <cellStyle name="Normal 3 5 18 11" xfId="17130"/>
    <cellStyle name="Normal 3 5 18 11 2" xfId="34596"/>
    <cellStyle name="Normal 3 5 18 12" xfId="17131"/>
    <cellStyle name="Normal 3 5 18 12 2" xfId="34597"/>
    <cellStyle name="Normal 3 5 18 13" xfId="17132"/>
    <cellStyle name="Normal 3 5 18 13 2" xfId="34598"/>
    <cellStyle name="Normal 3 5 18 14" xfId="17133"/>
    <cellStyle name="Normal 3 5 18 14 2" xfId="34599"/>
    <cellStyle name="Normal 3 5 18 15" xfId="34594"/>
    <cellStyle name="Normal 3 5 18 2" xfId="17134"/>
    <cellStyle name="Normal 3 5 18 2 2" xfId="34600"/>
    <cellStyle name="Normal 3 5 18 3" xfId="17135"/>
    <cellStyle name="Normal 3 5 18 3 2" xfId="34601"/>
    <cellStyle name="Normal 3 5 18 4" xfId="17136"/>
    <cellStyle name="Normal 3 5 18 4 2" xfId="34602"/>
    <cellStyle name="Normal 3 5 18 5" xfId="17137"/>
    <cellStyle name="Normal 3 5 18 5 2" xfId="34603"/>
    <cellStyle name="Normal 3 5 18 6" xfId="17138"/>
    <cellStyle name="Normal 3 5 18 6 2" xfId="34604"/>
    <cellStyle name="Normal 3 5 18 7" xfId="17139"/>
    <cellStyle name="Normal 3 5 18 7 2" xfId="34605"/>
    <cellStyle name="Normal 3 5 18 8" xfId="17140"/>
    <cellStyle name="Normal 3 5 18 8 2" xfId="34606"/>
    <cellStyle name="Normal 3 5 18 9" xfId="17141"/>
    <cellStyle name="Normal 3 5 18 9 2" xfId="34607"/>
    <cellStyle name="Normal 3 5 2" xfId="17142"/>
    <cellStyle name="Normal 3 5 3" xfId="17143"/>
    <cellStyle name="Normal 3 5 3 10" xfId="17144"/>
    <cellStyle name="Normal 3 5 3 10 2" xfId="34609"/>
    <cellStyle name="Normal 3 5 3 11" xfId="17145"/>
    <cellStyle name="Normal 3 5 3 11 2" xfId="34610"/>
    <cellStyle name="Normal 3 5 3 12" xfId="17146"/>
    <cellStyle name="Normal 3 5 3 12 2" xfId="34611"/>
    <cellStyle name="Normal 3 5 3 13" xfId="17147"/>
    <cellStyle name="Normal 3 5 3 13 2" xfId="34612"/>
    <cellStyle name="Normal 3 5 3 14" xfId="17148"/>
    <cellStyle name="Normal 3 5 3 14 2" xfId="34613"/>
    <cellStyle name="Normal 3 5 3 15" xfId="17149"/>
    <cellStyle name="Normal 3 5 3 15 2" xfId="34614"/>
    <cellStyle name="Normal 3 5 3 16" xfId="17150"/>
    <cellStyle name="Normal 3 5 3 16 2" xfId="34615"/>
    <cellStyle name="Normal 3 5 3 17" xfId="17151"/>
    <cellStyle name="Normal 3 5 3 17 2" xfId="34616"/>
    <cellStyle name="Normal 3 5 3 18" xfId="34608"/>
    <cellStyle name="Normal 3 5 3 2" xfId="17152"/>
    <cellStyle name="Normal 3 5 3 3" xfId="17153"/>
    <cellStyle name="Normal 3 5 3 4" xfId="17154"/>
    <cellStyle name="Normal 3 5 3 5" xfId="17155"/>
    <cellStyle name="Normal 3 5 3 5 2" xfId="34617"/>
    <cellStyle name="Normal 3 5 3 6" xfId="17156"/>
    <cellStyle name="Normal 3 5 3 6 2" xfId="34618"/>
    <cellStyle name="Normal 3 5 3 7" xfId="17157"/>
    <cellStyle name="Normal 3 5 3 7 2" xfId="34619"/>
    <cellStyle name="Normal 3 5 3 8" xfId="17158"/>
    <cellStyle name="Normal 3 5 3 8 2" xfId="34620"/>
    <cellStyle name="Normal 3 5 3 9" xfId="17159"/>
    <cellStyle name="Normal 3 5 3 9 2" xfId="34621"/>
    <cellStyle name="Normal 3 5 4" xfId="17160"/>
    <cellStyle name="Normal 3 5 5" xfId="17161"/>
    <cellStyle name="Normal 3 5 6" xfId="17162"/>
    <cellStyle name="Normal 3 5 6 10" xfId="17163"/>
    <cellStyle name="Normal 3 5 6 10 2" xfId="34623"/>
    <cellStyle name="Normal 3 5 6 11" xfId="17164"/>
    <cellStyle name="Normal 3 5 6 11 2" xfId="34624"/>
    <cellStyle name="Normal 3 5 6 12" xfId="17165"/>
    <cellStyle name="Normal 3 5 6 12 2" xfId="34625"/>
    <cellStyle name="Normal 3 5 6 13" xfId="17166"/>
    <cellStyle name="Normal 3 5 6 13 2" xfId="34626"/>
    <cellStyle name="Normal 3 5 6 14" xfId="17167"/>
    <cellStyle name="Normal 3 5 6 14 2" xfId="34627"/>
    <cellStyle name="Normal 3 5 6 15" xfId="17168"/>
    <cellStyle name="Normal 3 5 6 15 2" xfId="34628"/>
    <cellStyle name="Normal 3 5 6 16" xfId="34622"/>
    <cellStyle name="Normal 3 5 6 2" xfId="17169"/>
    <cellStyle name="Normal 3 5 6 2 10" xfId="17170"/>
    <cellStyle name="Normal 3 5 6 2 10 2" xfId="34630"/>
    <cellStyle name="Normal 3 5 6 2 11" xfId="17171"/>
    <cellStyle name="Normal 3 5 6 2 11 2" xfId="34631"/>
    <cellStyle name="Normal 3 5 6 2 12" xfId="17172"/>
    <cellStyle name="Normal 3 5 6 2 12 2" xfId="34632"/>
    <cellStyle name="Normal 3 5 6 2 13" xfId="17173"/>
    <cellStyle name="Normal 3 5 6 2 13 2" xfId="34633"/>
    <cellStyle name="Normal 3 5 6 2 14" xfId="17174"/>
    <cellStyle name="Normal 3 5 6 2 14 2" xfId="34634"/>
    <cellStyle name="Normal 3 5 6 2 15" xfId="34629"/>
    <cellStyle name="Normal 3 5 6 2 2" xfId="17175"/>
    <cellStyle name="Normal 3 5 6 2 2 2" xfId="34635"/>
    <cellStyle name="Normal 3 5 6 2 3" xfId="17176"/>
    <cellStyle name="Normal 3 5 6 2 3 2" xfId="34636"/>
    <cellStyle name="Normal 3 5 6 2 4" xfId="17177"/>
    <cellStyle name="Normal 3 5 6 2 4 2" xfId="34637"/>
    <cellStyle name="Normal 3 5 6 2 5" xfId="17178"/>
    <cellStyle name="Normal 3 5 6 2 5 2" xfId="34638"/>
    <cellStyle name="Normal 3 5 6 2 6" xfId="17179"/>
    <cellStyle name="Normal 3 5 6 2 6 2" xfId="34639"/>
    <cellStyle name="Normal 3 5 6 2 7" xfId="17180"/>
    <cellStyle name="Normal 3 5 6 2 7 2" xfId="34640"/>
    <cellStyle name="Normal 3 5 6 2 8" xfId="17181"/>
    <cellStyle name="Normal 3 5 6 2 8 2" xfId="34641"/>
    <cellStyle name="Normal 3 5 6 2 9" xfId="17182"/>
    <cellStyle name="Normal 3 5 6 2 9 2" xfId="34642"/>
    <cellStyle name="Normal 3 5 6 3" xfId="17183"/>
    <cellStyle name="Normal 3 5 6 3 2" xfId="34643"/>
    <cellStyle name="Normal 3 5 6 4" xfId="17184"/>
    <cellStyle name="Normal 3 5 6 4 2" xfId="34644"/>
    <cellStyle name="Normal 3 5 6 5" xfId="17185"/>
    <cellStyle name="Normal 3 5 6 5 2" xfId="34645"/>
    <cellStyle name="Normal 3 5 6 6" xfId="17186"/>
    <cellStyle name="Normal 3 5 6 6 2" xfId="34646"/>
    <cellStyle name="Normal 3 5 6 7" xfId="17187"/>
    <cellStyle name="Normal 3 5 6 7 2" xfId="34647"/>
    <cellStyle name="Normal 3 5 6 8" xfId="17188"/>
    <cellStyle name="Normal 3 5 6 8 2" xfId="34648"/>
    <cellStyle name="Normal 3 5 6 9" xfId="17189"/>
    <cellStyle name="Normal 3 5 6 9 2" xfId="34649"/>
    <cellStyle name="Normal 3 5 7" xfId="17190"/>
    <cellStyle name="Normal 3 5 7 10" xfId="17191"/>
    <cellStyle name="Normal 3 5 7 10 2" xfId="34651"/>
    <cellStyle name="Normal 3 5 7 11" xfId="17192"/>
    <cellStyle name="Normal 3 5 7 11 2" xfId="34652"/>
    <cellStyle name="Normal 3 5 7 12" xfId="17193"/>
    <cellStyle name="Normal 3 5 7 12 2" xfId="34653"/>
    <cellStyle name="Normal 3 5 7 13" xfId="17194"/>
    <cellStyle name="Normal 3 5 7 13 2" xfId="34654"/>
    <cellStyle name="Normal 3 5 7 14" xfId="17195"/>
    <cellStyle name="Normal 3 5 7 14 2" xfId="34655"/>
    <cellStyle name="Normal 3 5 7 15" xfId="17196"/>
    <cellStyle name="Normal 3 5 7 15 2" xfId="34656"/>
    <cellStyle name="Normal 3 5 7 16" xfId="34650"/>
    <cellStyle name="Normal 3 5 7 2" xfId="17197"/>
    <cellStyle name="Normal 3 5 7 2 10" xfId="17198"/>
    <cellStyle name="Normal 3 5 7 2 10 2" xfId="34658"/>
    <cellStyle name="Normal 3 5 7 2 11" xfId="17199"/>
    <cellStyle name="Normal 3 5 7 2 11 2" xfId="34659"/>
    <cellStyle name="Normal 3 5 7 2 12" xfId="17200"/>
    <cellStyle name="Normal 3 5 7 2 12 2" xfId="34660"/>
    <cellStyle name="Normal 3 5 7 2 13" xfId="17201"/>
    <cellStyle name="Normal 3 5 7 2 13 2" xfId="34661"/>
    <cellStyle name="Normal 3 5 7 2 14" xfId="17202"/>
    <cellStyle name="Normal 3 5 7 2 14 2" xfId="34662"/>
    <cellStyle name="Normal 3 5 7 2 15" xfId="34657"/>
    <cellStyle name="Normal 3 5 7 2 2" xfId="17203"/>
    <cellStyle name="Normal 3 5 7 2 2 2" xfId="34663"/>
    <cellStyle name="Normal 3 5 7 2 3" xfId="17204"/>
    <cellStyle name="Normal 3 5 7 2 3 2" xfId="34664"/>
    <cellStyle name="Normal 3 5 7 2 4" xfId="17205"/>
    <cellStyle name="Normal 3 5 7 2 4 2" xfId="34665"/>
    <cellStyle name="Normal 3 5 7 2 5" xfId="17206"/>
    <cellStyle name="Normal 3 5 7 2 5 2" xfId="34666"/>
    <cellStyle name="Normal 3 5 7 2 6" xfId="17207"/>
    <cellStyle name="Normal 3 5 7 2 6 2" xfId="34667"/>
    <cellStyle name="Normal 3 5 7 2 7" xfId="17208"/>
    <cellStyle name="Normal 3 5 7 2 7 2" xfId="34668"/>
    <cellStyle name="Normal 3 5 7 2 8" xfId="17209"/>
    <cellStyle name="Normal 3 5 7 2 8 2" xfId="34669"/>
    <cellStyle name="Normal 3 5 7 2 9" xfId="17210"/>
    <cellStyle name="Normal 3 5 7 2 9 2" xfId="34670"/>
    <cellStyle name="Normal 3 5 7 3" xfId="17211"/>
    <cellStyle name="Normal 3 5 7 3 2" xfId="34671"/>
    <cellStyle name="Normal 3 5 7 4" xfId="17212"/>
    <cellStyle name="Normal 3 5 7 4 2" xfId="34672"/>
    <cellStyle name="Normal 3 5 7 5" xfId="17213"/>
    <cellStyle name="Normal 3 5 7 5 2" xfId="34673"/>
    <cellStyle name="Normal 3 5 7 6" xfId="17214"/>
    <cellStyle name="Normal 3 5 7 6 2" xfId="34674"/>
    <cellStyle name="Normal 3 5 7 7" xfId="17215"/>
    <cellStyle name="Normal 3 5 7 7 2" xfId="34675"/>
    <cellStyle name="Normal 3 5 7 8" xfId="17216"/>
    <cellStyle name="Normal 3 5 7 8 2" xfId="34676"/>
    <cellStyle name="Normal 3 5 7 9" xfId="17217"/>
    <cellStyle name="Normal 3 5 7 9 2" xfId="34677"/>
    <cellStyle name="Normal 3 5 8" xfId="17218"/>
    <cellStyle name="Normal 3 5 8 10" xfId="17219"/>
    <cellStyle name="Normal 3 5 8 10 2" xfId="34679"/>
    <cellStyle name="Normal 3 5 8 11" xfId="17220"/>
    <cellStyle name="Normal 3 5 8 11 2" xfId="34680"/>
    <cellStyle name="Normal 3 5 8 12" xfId="17221"/>
    <cellStyle name="Normal 3 5 8 12 2" xfId="34681"/>
    <cellStyle name="Normal 3 5 8 13" xfId="17222"/>
    <cellStyle name="Normal 3 5 8 13 2" xfId="34682"/>
    <cellStyle name="Normal 3 5 8 14" xfId="17223"/>
    <cellStyle name="Normal 3 5 8 14 2" xfId="34683"/>
    <cellStyle name="Normal 3 5 8 15" xfId="17224"/>
    <cellStyle name="Normal 3 5 8 15 2" xfId="34684"/>
    <cellStyle name="Normal 3 5 8 16" xfId="34678"/>
    <cellStyle name="Normal 3 5 8 2" xfId="17225"/>
    <cellStyle name="Normal 3 5 8 2 10" xfId="17226"/>
    <cellStyle name="Normal 3 5 8 2 10 2" xfId="34686"/>
    <cellStyle name="Normal 3 5 8 2 11" xfId="17227"/>
    <cellStyle name="Normal 3 5 8 2 11 2" xfId="34687"/>
    <cellStyle name="Normal 3 5 8 2 12" xfId="17228"/>
    <cellStyle name="Normal 3 5 8 2 12 2" xfId="34688"/>
    <cellStyle name="Normal 3 5 8 2 13" xfId="17229"/>
    <cellStyle name="Normal 3 5 8 2 13 2" xfId="34689"/>
    <cellStyle name="Normal 3 5 8 2 14" xfId="17230"/>
    <cellStyle name="Normal 3 5 8 2 14 2" xfId="34690"/>
    <cellStyle name="Normal 3 5 8 2 15" xfId="34685"/>
    <cellStyle name="Normal 3 5 8 2 2" xfId="17231"/>
    <cellStyle name="Normal 3 5 8 2 2 2" xfId="34691"/>
    <cellStyle name="Normal 3 5 8 2 3" xfId="17232"/>
    <cellStyle name="Normal 3 5 8 2 3 2" xfId="34692"/>
    <cellStyle name="Normal 3 5 8 2 4" xfId="17233"/>
    <cellStyle name="Normal 3 5 8 2 4 2" xfId="34693"/>
    <cellStyle name="Normal 3 5 8 2 5" xfId="17234"/>
    <cellStyle name="Normal 3 5 8 2 5 2" xfId="34694"/>
    <cellStyle name="Normal 3 5 8 2 6" xfId="17235"/>
    <cellStyle name="Normal 3 5 8 2 6 2" xfId="34695"/>
    <cellStyle name="Normal 3 5 8 2 7" xfId="17236"/>
    <cellStyle name="Normal 3 5 8 2 7 2" xfId="34696"/>
    <cellStyle name="Normal 3 5 8 2 8" xfId="17237"/>
    <cellStyle name="Normal 3 5 8 2 8 2" xfId="34697"/>
    <cellStyle name="Normal 3 5 8 2 9" xfId="17238"/>
    <cellStyle name="Normal 3 5 8 2 9 2" xfId="34698"/>
    <cellStyle name="Normal 3 5 8 3" xfId="17239"/>
    <cellStyle name="Normal 3 5 8 3 2" xfId="34699"/>
    <cellStyle name="Normal 3 5 8 4" xfId="17240"/>
    <cellStyle name="Normal 3 5 8 4 2" xfId="34700"/>
    <cellStyle name="Normal 3 5 8 5" xfId="17241"/>
    <cellStyle name="Normal 3 5 8 5 2" xfId="34701"/>
    <cellStyle name="Normal 3 5 8 6" xfId="17242"/>
    <cellStyle name="Normal 3 5 8 6 2" xfId="34702"/>
    <cellStyle name="Normal 3 5 8 7" xfId="17243"/>
    <cellStyle name="Normal 3 5 8 7 2" xfId="34703"/>
    <cellStyle name="Normal 3 5 8 8" xfId="17244"/>
    <cellStyle name="Normal 3 5 8 8 2" xfId="34704"/>
    <cellStyle name="Normal 3 5 8 9" xfId="17245"/>
    <cellStyle name="Normal 3 5 8 9 2" xfId="34705"/>
    <cellStyle name="Normal 3 5 9" xfId="17246"/>
    <cellStyle name="Normal 3 5 9 10" xfId="17247"/>
    <cellStyle name="Normal 3 5 9 10 2" xfId="34707"/>
    <cellStyle name="Normal 3 5 9 11" xfId="17248"/>
    <cellStyle name="Normal 3 5 9 11 2" xfId="34708"/>
    <cellStyle name="Normal 3 5 9 12" xfId="17249"/>
    <cellStyle name="Normal 3 5 9 12 2" xfId="34709"/>
    <cellStyle name="Normal 3 5 9 13" xfId="17250"/>
    <cellStyle name="Normal 3 5 9 13 2" xfId="34710"/>
    <cellStyle name="Normal 3 5 9 14" xfId="17251"/>
    <cellStyle name="Normal 3 5 9 14 2" xfId="34711"/>
    <cellStyle name="Normal 3 5 9 15" xfId="34706"/>
    <cellStyle name="Normal 3 5 9 2" xfId="17252"/>
    <cellStyle name="Normal 3 5 9 2 2" xfId="34712"/>
    <cellStyle name="Normal 3 5 9 3" xfId="17253"/>
    <cellStyle name="Normal 3 5 9 3 2" xfId="34713"/>
    <cellStyle name="Normal 3 5 9 4" xfId="17254"/>
    <cellStyle name="Normal 3 5 9 4 2" xfId="34714"/>
    <cellStyle name="Normal 3 5 9 5" xfId="17255"/>
    <cellStyle name="Normal 3 5 9 5 2" xfId="34715"/>
    <cellStyle name="Normal 3 5 9 6" xfId="17256"/>
    <cellStyle name="Normal 3 5 9 6 2" xfId="34716"/>
    <cellStyle name="Normal 3 5 9 7" xfId="17257"/>
    <cellStyle name="Normal 3 5 9 7 2" xfId="34717"/>
    <cellStyle name="Normal 3 5 9 8" xfId="17258"/>
    <cellStyle name="Normal 3 5 9 8 2" xfId="34718"/>
    <cellStyle name="Normal 3 5 9 9" xfId="17259"/>
    <cellStyle name="Normal 3 5 9 9 2" xfId="34719"/>
    <cellStyle name="Normal 3 50" xfId="17260"/>
    <cellStyle name="Normal 3 50 2" xfId="34720"/>
    <cellStyle name="Normal 3 51" xfId="17261"/>
    <cellStyle name="Normal 3 51 2" xfId="34721"/>
    <cellStyle name="Normal 3 52" xfId="17262"/>
    <cellStyle name="Normal 3 52 2" xfId="34722"/>
    <cellStyle name="Normal 3 53" xfId="17263"/>
    <cellStyle name="Normal 3 53 2" xfId="34723"/>
    <cellStyle name="Normal 3 54" xfId="17264"/>
    <cellStyle name="Normal 3 54 2" xfId="37603"/>
    <cellStyle name="Normal 3 55" xfId="37666"/>
    <cellStyle name="Normal 3 56" xfId="21156"/>
    <cellStyle name="Normal 3 6" xfId="17265"/>
    <cellStyle name="Normal 3 6 10" xfId="17266"/>
    <cellStyle name="Normal 3 6 11" xfId="17267"/>
    <cellStyle name="Normal 3 6 11 10" xfId="17268"/>
    <cellStyle name="Normal 3 6 11 10 2" xfId="34725"/>
    <cellStyle name="Normal 3 6 11 11" xfId="17269"/>
    <cellStyle name="Normal 3 6 11 11 2" xfId="34726"/>
    <cellStyle name="Normal 3 6 11 12" xfId="17270"/>
    <cellStyle name="Normal 3 6 11 12 2" xfId="34727"/>
    <cellStyle name="Normal 3 6 11 13" xfId="17271"/>
    <cellStyle name="Normal 3 6 11 13 2" xfId="34728"/>
    <cellStyle name="Normal 3 6 11 14" xfId="17272"/>
    <cellStyle name="Normal 3 6 11 14 2" xfId="34729"/>
    <cellStyle name="Normal 3 6 11 15" xfId="17273"/>
    <cellStyle name="Normal 3 6 11 15 2" xfId="34730"/>
    <cellStyle name="Normal 3 6 11 16" xfId="17274"/>
    <cellStyle name="Normal 3 6 11 16 2" xfId="34731"/>
    <cellStyle name="Normal 3 6 11 17" xfId="17275"/>
    <cellStyle name="Normal 3 6 11 17 2" xfId="34732"/>
    <cellStyle name="Normal 3 6 11 18" xfId="34724"/>
    <cellStyle name="Normal 3 6 11 2" xfId="17276"/>
    <cellStyle name="Normal 3 6 11 3" xfId="17277"/>
    <cellStyle name="Normal 3 6 11 4" xfId="17278"/>
    <cellStyle name="Normal 3 6 11 5" xfId="17279"/>
    <cellStyle name="Normal 3 6 11 5 2" xfId="34733"/>
    <cellStyle name="Normal 3 6 11 6" xfId="17280"/>
    <cellStyle name="Normal 3 6 11 6 2" xfId="34734"/>
    <cellStyle name="Normal 3 6 11 7" xfId="17281"/>
    <cellStyle name="Normal 3 6 11 7 2" xfId="34735"/>
    <cellStyle name="Normal 3 6 11 8" xfId="17282"/>
    <cellStyle name="Normal 3 6 11 8 2" xfId="34736"/>
    <cellStyle name="Normal 3 6 11 9" xfId="17283"/>
    <cellStyle name="Normal 3 6 11 9 2" xfId="34737"/>
    <cellStyle name="Normal 3 6 12" xfId="17284"/>
    <cellStyle name="Normal 3 6 13" xfId="17285"/>
    <cellStyle name="Normal 3 6 14" xfId="17286"/>
    <cellStyle name="Normal 3 6 14 10" xfId="17287"/>
    <cellStyle name="Normal 3 6 14 10 2" xfId="34739"/>
    <cellStyle name="Normal 3 6 14 11" xfId="17288"/>
    <cellStyle name="Normal 3 6 14 11 2" xfId="34740"/>
    <cellStyle name="Normal 3 6 14 12" xfId="17289"/>
    <cellStyle name="Normal 3 6 14 12 2" xfId="34741"/>
    <cellStyle name="Normal 3 6 14 13" xfId="17290"/>
    <cellStyle name="Normal 3 6 14 13 2" xfId="34742"/>
    <cellStyle name="Normal 3 6 14 14" xfId="17291"/>
    <cellStyle name="Normal 3 6 14 14 2" xfId="34743"/>
    <cellStyle name="Normal 3 6 14 15" xfId="17292"/>
    <cellStyle name="Normal 3 6 14 15 2" xfId="34744"/>
    <cellStyle name="Normal 3 6 14 16" xfId="34738"/>
    <cellStyle name="Normal 3 6 14 2" xfId="17293"/>
    <cellStyle name="Normal 3 6 14 2 10" xfId="17294"/>
    <cellStyle name="Normal 3 6 14 2 10 2" xfId="34746"/>
    <cellStyle name="Normal 3 6 14 2 11" xfId="17295"/>
    <cellStyle name="Normal 3 6 14 2 11 2" xfId="34747"/>
    <cellStyle name="Normal 3 6 14 2 12" xfId="17296"/>
    <cellStyle name="Normal 3 6 14 2 12 2" xfId="34748"/>
    <cellStyle name="Normal 3 6 14 2 13" xfId="17297"/>
    <cellStyle name="Normal 3 6 14 2 13 2" xfId="34749"/>
    <cellStyle name="Normal 3 6 14 2 14" xfId="17298"/>
    <cellStyle name="Normal 3 6 14 2 14 2" xfId="34750"/>
    <cellStyle name="Normal 3 6 14 2 15" xfId="34745"/>
    <cellStyle name="Normal 3 6 14 2 2" xfId="17299"/>
    <cellStyle name="Normal 3 6 14 2 2 2" xfId="34751"/>
    <cellStyle name="Normal 3 6 14 2 3" xfId="17300"/>
    <cellStyle name="Normal 3 6 14 2 3 2" xfId="34752"/>
    <cellStyle name="Normal 3 6 14 2 4" xfId="17301"/>
    <cellStyle name="Normal 3 6 14 2 4 2" xfId="34753"/>
    <cellStyle name="Normal 3 6 14 2 5" xfId="17302"/>
    <cellStyle name="Normal 3 6 14 2 5 2" xfId="34754"/>
    <cellStyle name="Normal 3 6 14 2 6" xfId="17303"/>
    <cellStyle name="Normal 3 6 14 2 6 2" xfId="34755"/>
    <cellStyle name="Normal 3 6 14 2 7" xfId="17304"/>
    <cellStyle name="Normal 3 6 14 2 7 2" xfId="34756"/>
    <cellStyle name="Normal 3 6 14 2 8" xfId="17305"/>
    <cellStyle name="Normal 3 6 14 2 8 2" xfId="34757"/>
    <cellStyle name="Normal 3 6 14 2 9" xfId="17306"/>
    <cellStyle name="Normal 3 6 14 2 9 2" xfId="34758"/>
    <cellStyle name="Normal 3 6 14 3" xfId="17307"/>
    <cellStyle name="Normal 3 6 14 3 2" xfId="34759"/>
    <cellStyle name="Normal 3 6 14 4" xfId="17308"/>
    <cellStyle name="Normal 3 6 14 4 2" xfId="34760"/>
    <cellStyle name="Normal 3 6 14 5" xfId="17309"/>
    <cellStyle name="Normal 3 6 14 5 2" xfId="34761"/>
    <cellStyle name="Normal 3 6 14 6" xfId="17310"/>
    <cellStyle name="Normal 3 6 14 6 2" xfId="34762"/>
    <cellStyle name="Normal 3 6 14 7" xfId="17311"/>
    <cellStyle name="Normal 3 6 14 7 2" xfId="34763"/>
    <cellStyle name="Normal 3 6 14 8" xfId="17312"/>
    <cellStyle name="Normal 3 6 14 8 2" xfId="34764"/>
    <cellStyle name="Normal 3 6 14 9" xfId="17313"/>
    <cellStyle name="Normal 3 6 14 9 2" xfId="34765"/>
    <cellStyle name="Normal 3 6 15" xfId="17314"/>
    <cellStyle name="Normal 3 6 15 10" xfId="17315"/>
    <cellStyle name="Normal 3 6 15 10 2" xfId="34767"/>
    <cellStyle name="Normal 3 6 15 11" xfId="17316"/>
    <cellStyle name="Normal 3 6 15 11 2" xfId="34768"/>
    <cellStyle name="Normal 3 6 15 12" xfId="17317"/>
    <cellStyle name="Normal 3 6 15 12 2" xfId="34769"/>
    <cellStyle name="Normal 3 6 15 13" xfId="17318"/>
    <cellStyle name="Normal 3 6 15 13 2" xfId="34770"/>
    <cellStyle name="Normal 3 6 15 14" xfId="17319"/>
    <cellStyle name="Normal 3 6 15 14 2" xfId="34771"/>
    <cellStyle name="Normal 3 6 15 15" xfId="17320"/>
    <cellStyle name="Normal 3 6 15 15 2" xfId="34772"/>
    <cellStyle name="Normal 3 6 15 16" xfId="34766"/>
    <cellStyle name="Normal 3 6 15 2" xfId="17321"/>
    <cellStyle name="Normal 3 6 15 2 10" xfId="17322"/>
    <cellStyle name="Normal 3 6 15 2 10 2" xfId="34774"/>
    <cellStyle name="Normal 3 6 15 2 11" xfId="17323"/>
    <cellStyle name="Normal 3 6 15 2 11 2" xfId="34775"/>
    <cellStyle name="Normal 3 6 15 2 12" xfId="17324"/>
    <cellStyle name="Normal 3 6 15 2 12 2" xfId="34776"/>
    <cellStyle name="Normal 3 6 15 2 13" xfId="17325"/>
    <cellStyle name="Normal 3 6 15 2 13 2" xfId="34777"/>
    <cellStyle name="Normal 3 6 15 2 14" xfId="17326"/>
    <cellStyle name="Normal 3 6 15 2 14 2" xfId="34778"/>
    <cellStyle name="Normal 3 6 15 2 15" xfId="34773"/>
    <cellStyle name="Normal 3 6 15 2 2" xfId="17327"/>
    <cellStyle name="Normal 3 6 15 2 2 2" xfId="34779"/>
    <cellStyle name="Normal 3 6 15 2 3" xfId="17328"/>
    <cellStyle name="Normal 3 6 15 2 3 2" xfId="34780"/>
    <cellStyle name="Normal 3 6 15 2 4" xfId="17329"/>
    <cellStyle name="Normal 3 6 15 2 4 2" xfId="34781"/>
    <cellStyle name="Normal 3 6 15 2 5" xfId="17330"/>
    <cellStyle name="Normal 3 6 15 2 5 2" xfId="34782"/>
    <cellStyle name="Normal 3 6 15 2 6" xfId="17331"/>
    <cellStyle name="Normal 3 6 15 2 6 2" xfId="34783"/>
    <cellStyle name="Normal 3 6 15 2 7" xfId="17332"/>
    <cellStyle name="Normal 3 6 15 2 7 2" xfId="34784"/>
    <cellStyle name="Normal 3 6 15 2 8" xfId="17333"/>
    <cellStyle name="Normal 3 6 15 2 8 2" xfId="34785"/>
    <cellStyle name="Normal 3 6 15 2 9" xfId="17334"/>
    <cellStyle name="Normal 3 6 15 2 9 2" xfId="34786"/>
    <cellStyle name="Normal 3 6 15 3" xfId="17335"/>
    <cellStyle name="Normal 3 6 15 3 2" xfId="34787"/>
    <cellStyle name="Normal 3 6 15 4" xfId="17336"/>
    <cellStyle name="Normal 3 6 15 4 2" xfId="34788"/>
    <cellStyle name="Normal 3 6 15 5" xfId="17337"/>
    <cellStyle name="Normal 3 6 15 5 2" xfId="34789"/>
    <cellStyle name="Normal 3 6 15 6" xfId="17338"/>
    <cellStyle name="Normal 3 6 15 6 2" xfId="34790"/>
    <cellStyle name="Normal 3 6 15 7" xfId="17339"/>
    <cellStyle name="Normal 3 6 15 7 2" xfId="34791"/>
    <cellStyle name="Normal 3 6 15 8" xfId="17340"/>
    <cellStyle name="Normal 3 6 15 8 2" xfId="34792"/>
    <cellStyle name="Normal 3 6 15 9" xfId="17341"/>
    <cellStyle name="Normal 3 6 15 9 2" xfId="34793"/>
    <cellStyle name="Normal 3 6 16" xfId="17342"/>
    <cellStyle name="Normal 3 6 16 10" xfId="17343"/>
    <cellStyle name="Normal 3 6 16 10 2" xfId="34795"/>
    <cellStyle name="Normal 3 6 16 11" xfId="17344"/>
    <cellStyle name="Normal 3 6 16 11 2" xfId="34796"/>
    <cellStyle name="Normal 3 6 16 12" xfId="17345"/>
    <cellStyle name="Normal 3 6 16 12 2" xfId="34797"/>
    <cellStyle name="Normal 3 6 16 13" xfId="17346"/>
    <cellStyle name="Normal 3 6 16 13 2" xfId="34798"/>
    <cellStyle name="Normal 3 6 16 14" xfId="17347"/>
    <cellStyle name="Normal 3 6 16 14 2" xfId="34799"/>
    <cellStyle name="Normal 3 6 16 15" xfId="17348"/>
    <cellStyle name="Normal 3 6 16 15 2" xfId="34800"/>
    <cellStyle name="Normal 3 6 16 16" xfId="34794"/>
    <cellStyle name="Normal 3 6 16 2" xfId="17349"/>
    <cellStyle name="Normal 3 6 16 2 10" xfId="17350"/>
    <cellStyle name="Normal 3 6 16 2 10 2" xfId="34802"/>
    <cellStyle name="Normal 3 6 16 2 11" xfId="17351"/>
    <cellStyle name="Normal 3 6 16 2 11 2" xfId="34803"/>
    <cellStyle name="Normal 3 6 16 2 12" xfId="17352"/>
    <cellStyle name="Normal 3 6 16 2 12 2" xfId="34804"/>
    <cellStyle name="Normal 3 6 16 2 13" xfId="17353"/>
    <cellStyle name="Normal 3 6 16 2 13 2" xfId="34805"/>
    <cellStyle name="Normal 3 6 16 2 14" xfId="17354"/>
    <cellStyle name="Normal 3 6 16 2 14 2" xfId="34806"/>
    <cellStyle name="Normal 3 6 16 2 15" xfId="34801"/>
    <cellStyle name="Normal 3 6 16 2 2" xfId="17355"/>
    <cellStyle name="Normal 3 6 16 2 2 2" xfId="34807"/>
    <cellStyle name="Normal 3 6 16 2 3" xfId="17356"/>
    <cellStyle name="Normal 3 6 16 2 3 2" xfId="34808"/>
    <cellStyle name="Normal 3 6 16 2 4" xfId="17357"/>
    <cellStyle name="Normal 3 6 16 2 4 2" xfId="34809"/>
    <cellStyle name="Normal 3 6 16 2 5" xfId="17358"/>
    <cellStyle name="Normal 3 6 16 2 5 2" xfId="34810"/>
    <cellStyle name="Normal 3 6 16 2 6" xfId="17359"/>
    <cellStyle name="Normal 3 6 16 2 6 2" xfId="34811"/>
    <cellStyle name="Normal 3 6 16 2 7" xfId="17360"/>
    <cellStyle name="Normal 3 6 16 2 7 2" xfId="34812"/>
    <cellStyle name="Normal 3 6 16 2 8" xfId="17361"/>
    <cellStyle name="Normal 3 6 16 2 8 2" xfId="34813"/>
    <cellStyle name="Normal 3 6 16 2 9" xfId="17362"/>
    <cellStyle name="Normal 3 6 16 2 9 2" xfId="34814"/>
    <cellStyle name="Normal 3 6 16 3" xfId="17363"/>
    <cellStyle name="Normal 3 6 16 3 2" xfId="34815"/>
    <cellStyle name="Normal 3 6 16 4" xfId="17364"/>
    <cellStyle name="Normal 3 6 16 4 2" xfId="34816"/>
    <cellStyle name="Normal 3 6 16 5" xfId="17365"/>
    <cellStyle name="Normal 3 6 16 5 2" xfId="34817"/>
    <cellStyle name="Normal 3 6 16 6" xfId="17366"/>
    <cellStyle name="Normal 3 6 16 6 2" xfId="34818"/>
    <cellStyle name="Normal 3 6 16 7" xfId="17367"/>
    <cellStyle name="Normal 3 6 16 7 2" xfId="34819"/>
    <cellStyle name="Normal 3 6 16 8" xfId="17368"/>
    <cellStyle name="Normal 3 6 16 8 2" xfId="34820"/>
    <cellStyle name="Normal 3 6 16 9" xfId="17369"/>
    <cellStyle name="Normal 3 6 16 9 2" xfId="34821"/>
    <cellStyle name="Normal 3 6 17" xfId="17370"/>
    <cellStyle name="Normal 3 6 17 10" xfId="17371"/>
    <cellStyle name="Normal 3 6 17 10 2" xfId="34823"/>
    <cellStyle name="Normal 3 6 17 11" xfId="17372"/>
    <cellStyle name="Normal 3 6 17 11 2" xfId="34824"/>
    <cellStyle name="Normal 3 6 17 12" xfId="17373"/>
    <cellStyle name="Normal 3 6 17 12 2" xfId="34825"/>
    <cellStyle name="Normal 3 6 17 13" xfId="17374"/>
    <cellStyle name="Normal 3 6 17 13 2" xfId="34826"/>
    <cellStyle name="Normal 3 6 17 14" xfId="17375"/>
    <cellStyle name="Normal 3 6 17 14 2" xfId="34827"/>
    <cellStyle name="Normal 3 6 17 15" xfId="34822"/>
    <cellStyle name="Normal 3 6 17 2" xfId="17376"/>
    <cellStyle name="Normal 3 6 17 2 2" xfId="34828"/>
    <cellStyle name="Normal 3 6 17 3" xfId="17377"/>
    <cellStyle name="Normal 3 6 17 3 2" xfId="34829"/>
    <cellStyle name="Normal 3 6 17 4" xfId="17378"/>
    <cellStyle name="Normal 3 6 17 4 2" xfId="34830"/>
    <cellStyle name="Normal 3 6 17 5" xfId="17379"/>
    <cellStyle name="Normal 3 6 17 5 2" xfId="34831"/>
    <cellStyle name="Normal 3 6 17 6" xfId="17380"/>
    <cellStyle name="Normal 3 6 17 6 2" xfId="34832"/>
    <cellStyle name="Normal 3 6 17 7" xfId="17381"/>
    <cellStyle name="Normal 3 6 17 7 2" xfId="34833"/>
    <cellStyle name="Normal 3 6 17 8" xfId="17382"/>
    <cellStyle name="Normal 3 6 17 8 2" xfId="34834"/>
    <cellStyle name="Normal 3 6 17 9" xfId="17383"/>
    <cellStyle name="Normal 3 6 17 9 2" xfId="34835"/>
    <cellStyle name="Normal 3 6 18" xfId="17384"/>
    <cellStyle name="Normal 3 6 18 10" xfId="17385"/>
    <cellStyle name="Normal 3 6 18 10 2" xfId="34837"/>
    <cellStyle name="Normal 3 6 18 11" xfId="17386"/>
    <cellStyle name="Normal 3 6 18 11 2" xfId="34838"/>
    <cellStyle name="Normal 3 6 18 12" xfId="17387"/>
    <cellStyle name="Normal 3 6 18 12 2" xfId="34839"/>
    <cellStyle name="Normal 3 6 18 13" xfId="17388"/>
    <cellStyle name="Normal 3 6 18 13 2" xfId="34840"/>
    <cellStyle name="Normal 3 6 18 14" xfId="17389"/>
    <cellStyle name="Normal 3 6 18 14 2" xfId="34841"/>
    <cellStyle name="Normal 3 6 18 15" xfId="34836"/>
    <cellStyle name="Normal 3 6 18 2" xfId="17390"/>
    <cellStyle name="Normal 3 6 18 2 2" xfId="34842"/>
    <cellStyle name="Normal 3 6 18 3" xfId="17391"/>
    <cellStyle name="Normal 3 6 18 3 2" xfId="34843"/>
    <cellStyle name="Normal 3 6 18 4" xfId="17392"/>
    <cellStyle name="Normal 3 6 18 4 2" xfId="34844"/>
    <cellStyle name="Normal 3 6 18 5" xfId="17393"/>
    <cellStyle name="Normal 3 6 18 5 2" xfId="34845"/>
    <cellStyle name="Normal 3 6 18 6" xfId="17394"/>
    <cellStyle name="Normal 3 6 18 6 2" xfId="34846"/>
    <cellStyle name="Normal 3 6 18 7" xfId="17395"/>
    <cellStyle name="Normal 3 6 18 7 2" xfId="34847"/>
    <cellStyle name="Normal 3 6 18 8" xfId="17396"/>
    <cellStyle name="Normal 3 6 18 8 2" xfId="34848"/>
    <cellStyle name="Normal 3 6 18 9" xfId="17397"/>
    <cellStyle name="Normal 3 6 18 9 2" xfId="34849"/>
    <cellStyle name="Normal 3 6 19" xfId="17398"/>
    <cellStyle name="Normal 3 6 19 10" xfId="17399"/>
    <cellStyle name="Normal 3 6 19 10 2" xfId="34851"/>
    <cellStyle name="Normal 3 6 19 11" xfId="17400"/>
    <cellStyle name="Normal 3 6 19 11 2" xfId="34852"/>
    <cellStyle name="Normal 3 6 19 12" xfId="17401"/>
    <cellStyle name="Normal 3 6 19 12 2" xfId="34853"/>
    <cellStyle name="Normal 3 6 19 13" xfId="17402"/>
    <cellStyle name="Normal 3 6 19 13 2" xfId="34854"/>
    <cellStyle name="Normal 3 6 19 14" xfId="17403"/>
    <cellStyle name="Normal 3 6 19 14 2" xfId="34855"/>
    <cellStyle name="Normal 3 6 19 15" xfId="34850"/>
    <cellStyle name="Normal 3 6 19 2" xfId="17404"/>
    <cellStyle name="Normal 3 6 19 2 2" xfId="34856"/>
    <cellStyle name="Normal 3 6 19 3" xfId="17405"/>
    <cellStyle name="Normal 3 6 19 3 2" xfId="34857"/>
    <cellStyle name="Normal 3 6 19 4" xfId="17406"/>
    <cellStyle name="Normal 3 6 19 4 2" xfId="34858"/>
    <cellStyle name="Normal 3 6 19 5" xfId="17407"/>
    <cellStyle name="Normal 3 6 19 5 2" xfId="34859"/>
    <cellStyle name="Normal 3 6 19 6" xfId="17408"/>
    <cellStyle name="Normal 3 6 19 6 2" xfId="34860"/>
    <cellStyle name="Normal 3 6 19 7" xfId="17409"/>
    <cellStyle name="Normal 3 6 19 7 2" xfId="34861"/>
    <cellStyle name="Normal 3 6 19 8" xfId="17410"/>
    <cellStyle name="Normal 3 6 19 8 2" xfId="34862"/>
    <cellStyle name="Normal 3 6 19 9" xfId="17411"/>
    <cellStyle name="Normal 3 6 19 9 2" xfId="34863"/>
    <cellStyle name="Normal 3 6 2" xfId="17412"/>
    <cellStyle name="Normal 3 6 20" xfId="17413"/>
    <cellStyle name="Normal 3 6 20 10" xfId="17414"/>
    <cellStyle name="Normal 3 6 20 10 2" xfId="34865"/>
    <cellStyle name="Normal 3 6 20 11" xfId="17415"/>
    <cellStyle name="Normal 3 6 20 11 2" xfId="34866"/>
    <cellStyle name="Normal 3 6 20 12" xfId="17416"/>
    <cellStyle name="Normal 3 6 20 12 2" xfId="34867"/>
    <cellStyle name="Normal 3 6 20 13" xfId="17417"/>
    <cellStyle name="Normal 3 6 20 13 2" xfId="34868"/>
    <cellStyle name="Normal 3 6 20 14" xfId="17418"/>
    <cellStyle name="Normal 3 6 20 14 2" xfId="34869"/>
    <cellStyle name="Normal 3 6 20 15" xfId="34864"/>
    <cellStyle name="Normal 3 6 20 2" xfId="17419"/>
    <cellStyle name="Normal 3 6 20 2 2" xfId="34870"/>
    <cellStyle name="Normal 3 6 20 3" xfId="17420"/>
    <cellStyle name="Normal 3 6 20 3 2" xfId="34871"/>
    <cellStyle name="Normal 3 6 20 4" xfId="17421"/>
    <cellStyle name="Normal 3 6 20 4 2" xfId="34872"/>
    <cellStyle name="Normal 3 6 20 5" xfId="17422"/>
    <cellStyle name="Normal 3 6 20 5 2" xfId="34873"/>
    <cellStyle name="Normal 3 6 20 6" xfId="17423"/>
    <cellStyle name="Normal 3 6 20 6 2" xfId="34874"/>
    <cellStyle name="Normal 3 6 20 7" xfId="17424"/>
    <cellStyle name="Normal 3 6 20 7 2" xfId="34875"/>
    <cellStyle name="Normal 3 6 20 8" xfId="17425"/>
    <cellStyle name="Normal 3 6 20 8 2" xfId="34876"/>
    <cellStyle name="Normal 3 6 20 9" xfId="17426"/>
    <cellStyle name="Normal 3 6 20 9 2" xfId="34877"/>
    <cellStyle name="Normal 3 6 21" xfId="17427"/>
    <cellStyle name="Normal 3 6 21 10" xfId="17428"/>
    <cellStyle name="Normal 3 6 21 10 2" xfId="34879"/>
    <cellStyle name="Normal 3 6 21 11" xfId="17429"/>
    <cellStyle name="Normal 3 6 21 11 2" xfId="34880"/>
    <cellStyle name="Normal 3 6 21 12" xfId="17430"/>
    <cellStyle name="Normal 3 6 21 12 2" xfId="34881"/>
    <cellStyle name="Normal 3 6 21 13" xfId="17431"/>
    <cellStyle name="Normal 3 6 21 13 2" xfId="34882"/>
    <cellStyle name="Normal 3 6 21 14" xfId="17432"/>
    <cellStyle name="Normal 3 6 21 14 2" xfId="34883"/>
    <cellStyle name="Normal 3 6 21 15" xfId="34878"/>
    <cellStyle name="Normal 3 6 21 2" xfId="17433"/>
    <cellStyle name="Normal 3 6 21 2 2" xfId="34884"/>
    <cellStyle name="Normal 3 6 21 3" xfId="17434"/>
    <cellStyle name="Normal 3 6 21 3 2" xfId="34885"/>
    <cellStyle name="Normal 3 6 21 4" xfId="17435"/>
    <cellStyle name="Normal 3 6 21 4 2" xfId="34886"/>
    <cellStyle name="Normal 3 6 21 5" xfId="17436"/>
    <cellStyle name="Normal 3 6 21 5 2" xfId="34887"/>
    <cellStyle name="Normal 3 6 21 6" xfId="17437"/>
    <cellStyle name="Normal 3 6 21 6 2" xfId="34888"/>
    <cellStyle name="Normal 3 6 21 7" xfId="17438"/>
    <cellStyle name="Normal 3 6 21 7 2" xfId="34889"/>
    <cellStyle name="Normal 3 6 21 8" xfId="17439"/>
    <cellStyle name="Normal 3 6 21 8 2" xfId="34890"/>
    <cellStyle name="Normal 3 6 21 9" xfId="17440"/>
    <cellStyle name="Normal 3 6 21 9 2" xfId="34891"/>
    <cellStyle name="Normal 3 6 22" xfId="17441"/>
    <cellStyle name="Normal 3 6 22 10" xfId="17442"/>
    <cellStyle name="Normal 3 6 22 10 2" xfId="34893"/>
    <cellStyle name="Normal 3 6 22 11" xfId="17443"/>
    <cellStyle name="Normal 3 6 22 11 2" xfId="34894"/>
    <cellStyle name="Normal 3 6 22 12" xfId="17444"/>
    <cellStyle name="Normal 3 6 22 12 2" xfId="34895"/>
    <cellStyle name="Normal 3 6 22 13" xfId="17445"/>
    <cellStyle name="Normal 3 6 22 13 2" xfId="34896"/>
    <cellStyle name="Normal 3 6 22 14" xfId="17446"/>
    <cellStyle name="Normal 3 6 22 14 2" xfId="34897"/>
    <cellStyle name="Normal 3 6 22 15" xfId="34892"/>
    <cellStyle name="Normal 3 6 22 2" xfId="17447"/>
    <cellStyle name="Normal 3 6 22 2 2" xfId="34898"/>
    <cellStyle name="Normal 3 6 22 3" xfId="17448"/>
    <cellStyle name="Normal 3 6 22 3 2" xfId="34899"/>
    <cellStyle name="Normal 3 6 22 4" xfId="17449"/>
    <cellStyle name="Normal 3 6 22 4 2" xfId="34900"/>
    <cellStyle name="Normal 3 6 22 5" xfId="17450"/>
    <cellStyle name="Normal 3 6 22 5 2" xfId="34901"/>
    <cellStyle name="Normal 3 6 22 6" xfId="17451"/>
    <cellStyle name="Normal 3 6 22 6 2" xfId="34902"/>
    <cellStyle name="Normal 3 6 22 7" xfId="17452"/>
    <cellStyle name="Normal 3 6 22 7 2" xfId="34903"/>
    <cellStyle name="Normal 3 6 22 8" xfId="17453"/>
    <cellStyle name="Normal 3 6 22 8 2" xfId="34904"/>
    <cellStyle name="Normal 3 6 22 9" xfId="17454"/>
    <cellStyle name="Normal 3 6 22 9 2" xfId="34905"/>
    <cellStyle name="Normal 3 6 23" xfId="17455"/>
    <cellStyle name="Normal 3 6 24" xfId="17456"/>
    <cellStyle name="Normal 3 6 25" xfId="17457"/>
    <cellStyle name="Normal 3 6 25 10" xfId="17458"/>
    <cellStyle name="Normal 3 6 25 10 2" xfId="34907"/>
    <cellStyle name="Normal 3 6 25 11" xfId="17459"/>
    <cellStyle name="Normal 3 6 25 11 2" xfId="34908"/>
    <cellStyle name="Normal 3 6 25 12" xfId="17460"/>
    <cellStyle name="Normal 3 6 25 12 2" xfId="34909"/>
    <cellStyle name="Normal 3 6 25 13" xfId="17461"/>
    <cellStyle name="Normal 3 6 25 13 2" xfId="34910"/>
    <cellStyle name="Normal 3 6 25 14" xfId="17462"/>
    <cellStyle name="Normal 3 6 25 14 2" xfId="34911"/>
    <cellStyle name="Normal 3 6 25 15" xfId="34906"/>
    <cellStyle name="Normal 3 6 25 2" xfId="17463"/>
    <cellStyle name="Normal 3 6 25 2 2" xfId="34912"/>
    <cellStyle name="Normal 3 6 25 3" xfId="17464"/>
    <cellStyle name="Normal 3 6 25 3 2" xfId="34913"/>
    <cellStyle name="Normal 3 6 25 4" xfId="17465"/>
    <cellStyle name="Normal 3 6 25 4 2" xfId="34914"/>
    <cellStyle name="Normal 3 6 25 5" xfId="17466"/>
    <cellStyle name="Normal 3 6 25 5 2" xfId="34915"/>
    <cellStyle name="Normal 3 6 25 6" xfId="17467"/>
    <cellStyle name="Normal 3 6 25 6 2" xfId="34916"/>
    <cellStyle name="Normal 3 6 25 7" xfId="17468"/>
    <cellStyle name="Normal 3 6 25 7 2" xfId="34917"/>
    <cellStyle name="Normal 3 6 25 8" xfId="17469"/>
    <cellStyle name="Normal 3 6 25 8 2" xfId="34918"/>
    <cellStyle name="Normal 3 6 25 9" xfId="17470"/>
    <cellStyle name="Normal 3 6 25 9 2" xfId="34919"/>
    <cellStyle name="Normal 3 6 26" xfId="17471"/>
    <cellStyle name="Normal 3 6 26 10" xfId="17472"/>
    <cellStyle name="Normal 3 6 26 10 2" xfId="34921"/>
    <cellStyle name="Normal 3 6 26 11" xfId="17473"/>
    <cellStyle name="Normal 3 6 26 11 2" xfId="34922"/>
    <cellStyle name="Normal 3 6 26 12" xfId="17474"/>
    <cellStyle name="Normal 3 6 26 12 2" xfId="34923"/>
    <cellStyle name="Normal 3 6 26 13" xfId="17475"/>
    <cellStyle name="Normal 3 6 26 13 2" xfId="34924"/>
    <cellStyle name="Normal 3 6 26 14" xfId="17476"/>
    <cellStyle name="Normal 3 6 26 14 2" xfId="34925"/>
    <cellStyle name="Normal 3 6 26 15" xfId="34920"/>
    <cellStyle name="Normal 3 6 26 2" xfId="17477"/>
    <cellStyle name="Normal 3 6 26 2 2" xfId="34926"/>
    <cellStyle name="Normal 3 6 26 3" xfId="17478"/>
    <cellStyle name="Normal 3 6 26 3 2" xfId="34927"/>
    <cellStyle name="Normal 3 6 26 4" xfId="17479"/>
    <cellStyle name="Normal 3 6 26 4 2" xfId="34928"/>
    <cellStyle name="Normal 3 6 26 5" xfId="17480"/>
    <cellStyle name="Normal 3 6 26 5 2" xfId="34929"/>
    <cellStyle name="Normal 3 6 26 6" xfId="17481"/>
    <cellStyle name="Normal 3 6 26 6 2" xfId="34930"/>
    <cellStyle name="Normal 3 6 26 7" xfId="17482"/>
    <cellStyle name="Normal 3 6 26 7 2" xfId="34931"/>
    <cellStyle name="Normal 3 6 26 8" xfId="17483"/>
    <cellStyle name="Normal 3 6 26 8 2" xfId="34932"/>
    <cellStyle name="Normal 3 6 26 9" xfId="17484"/>
    <cellStyle name="Normal 3 6 26 9 2" xfId="34933"/>
    <cellStyle name="Normal 3 6 3" xfId="17485"/>
    <cellStyle name="Normal 3 6 4" xfId="17486"/>
    <cellStyle name="Normal 3 6 5" xfId="17487"/>
    <cellStyle name="Normal 3 6 6" xfId="17488"/>
    <cellStyle name="Normal 3 6 7" xfId="17489"/>
    <cellStyle name="Normal 3 6 8" xfId="17490"/>
    <cellStyle name="Normal 3 6 9" xfId="17491"/>
    <cellStyle name="Normal 3 7" xfId="17492"/>
    <cellStyle name="Normal 3 7 10" xfId="17493"/>
    <cellStyle name="Normal 3 7 11" xfId="17494"/>
    <cellStyle name="Normal 3 7 11 10" xfId="17495"/>
    <cellStyle name="Normal 3 7 11 10 2" xfId="34935"/>
    <cellStyle name="Normal 3 7 11 11" xfId="17496"/>
    <cellStyle name="Normal 3 7 11 11 2" xfId="34936"/>
    <cellStyle name="Normal 3 7 11 12" xfId="17497"/>
    <cellStyle name="Normal 3 7 11 12 2" xfId="34937"/>
    <cellStyle name="Normal 3 7 11 13" xfId="17498"/>
    <cellStyle name="Normal 3 7 11 13 2" xfId="34938"/>
    <cellStyle name="Normal 3 7 11 14" xfId="17499"/>
    <cellStyle name="Normal 3 7 11 14 2" xfId="34939"/>
    <cellStyle name="Normal 3 7 11 15" xfId="17500"/>
    <cellStyle name="Normal 3 7 11 15 2" xfId="34940"/>
    <cellStyle name="Normal 3 7 11 16" xfId="17501"/>
    <cellStyle name="Normal 3 7 11 16 2" xfId="34941"/>
    <cellStyle name="Normal 3 7 11 17" xfId="17502"/>
    <cellStyle name="Normal 3 7 11 17 2" xfId="34942"/>
    <cellStyle name="Normal 3 7 11 18" xfId="34934"/>
    <cellStyle name="Normal 3 7 11 2" xfId="17503"/>
    <cellStyle name="Normal 3 7 11 3" xfId="17504"/>
    <cellStyle name="Normal 3 7 11 4" xfId="17505"/>
    <cellStyle name="Normal 3 7 11 5" xfId="17506"/>
    <cellStyle name="Normal 3 7 11 5 2" xfId="34943"/>
    <cellStyle name="Normal 3 7 11 6" xfId="17507"/>
    <cellStyle name="Normal 3 7 11 6 2" xfId="34944"/>
    <cellStyle name="Normal 3 7 11 7" xfId="17508"/>
    <cellStyle name="Normal 3 7 11 7 2" xfId="34945"/>
    <cellStyle name="Normal 3 7 11 8" xfId="17509"/>
    <cellStyle name="Normal 3 7 11 8 2" xfId="34946"/>
    <cellStyle name="Normal 3 7 11 9" xfId="17510"/>
    <cellStyle name="Normal 3 7 11 9 2" xfId="34947"/>
    <cellStyle name="Normal 3 7 12" xfId="17511"/>
    <cellStyle name="Normal 3 7 13" xfId="17512"/>
    <cellStyle name="Normal 3 7 14" xfId="17513"/>
    <cellStyle name="Normal 3 7 14 10" xfId="17514"/>
    <cellStyle name="Normal 3 7 14 10 2" xfId="34949"/>
    <cellStyle name="Normal 3 7 14 11" xfId="17515"/>
    <cellStyle name="Normal 3 7 14 11 2" xfId="34950"/>
    <cellStyle name="Normal 3 7 14 12" xfId="17516"/>
    <cellStyle name="Normal 3 7 14 12 2" xfId="34951"/>
    <cellStyle name="Normal 3 7 14 13" xfId="17517"/>
    <cellStyle name="Normal 3 7 14 13 2" xfId="34952"/>
    <cellStyle name="Normal 3 7 14 14" xfId="17518"/>
    <cellStyle name="Normal 3 7 14 14 2" xfId="34953"/>
    <cellStyle name="Normal 3 7 14 15" xfId="17519"/>
    <cellStyle name="Normal 3 7 14 15 2" xfId="34954"/>
    <cellStyle name="Normal 3 7 14 16" xfId="34948"/>
    <cellStyle name="Normal 3 7 14 2" xfId="17520"/>
    <cellStyle name="Normal 3 7 14 2 10" xfId="17521"/>
    <cellStyle name="Normal 3 7 14 2 10 2" xfId="34956"/>
    <cellStyle name="Normal 3 7 14 2 11" xfId="17522"/>
    <cellStyle name="Normal 3 7 14 2 11 2" xfId="34957"/>
    <cellStyle name="Normal 3 7 14 2 12" xfId="17523"/>
    <cellStyle name="Normal 3 7 14 2 12 2" xfId="34958"/>
    <cellStyle name="Normal 3 7 14 2 13" xfId="17524"/>
    <cellStyle name="Normal 3 7 14 2 13 2" xfId="34959"/>
    <cellStyle name="Normal 3 7 14 2 14" xfId="17525"/>
    <cellStyle name="Normal 3 7 14 2 14 2" xfId="34960"/>
    <cellStyle name="Normal 3 7 14 2 15" xfId="34955"/>
    <cellStyle name="Normal 3 7 14 2 2" xfId="17526"/>
    <cellStyle name="Normal 3 7 14 2 2 2" xfId="34961"/>
    <cellStyle name="Normal 3 7 14 2 3" xfId="17527"/>
    <cellStyle name="Normal 3 7 14 2 3 2" xfId="34962"/>
    <cellStyle name="Normal 3 7 14 2 4" xfId="17528"/>
    <cellStyle name="Normal 3 7 14 2 4 2" xfId="34963"/>
    <cellStyle name="Normal 3 7 14 2 5" xfId="17529"/>
    <cellStyle name="Normal 3 7 14 2 5 2" xfId="34964"/>
    <cellStyle name="Normal 3 7 14 2 6" xfId="17530"/>
    <cellStyle name="Normal 3 7 14 2 6 2" xfId="34965"/>
    <cellStyle name="Normal 3 7 14 2 7" xfId="17531"/>
    <cellStyle name="Normal 3 7 14 2 7 2" xfId="34966"/>
    <cellStyle name="Normal 3 7 14 2 8" xfId="17532"/>
    <cellStyle name="Normal 3 7 14 2 8 2" xfId="34967"/>
    <cellStyle name="Normal 3 7 14 2 9" xfId="17533"/>
    <cellStyle name="Normal 3 7 14 2 9 2" xfId="34968"/>
    <cellStyle name="Normal 3 7 14 3" xfId="17534"/>
    <cellStyle name="Normal 3 7 14 3 2" xfId="34969"/>
    <cellStyle name="Normal 3 7 14 4" xfId="17535"/>
    <cellStyle name="Normal 3 7 14 4 2" xfId="34970"/>
    <cellStyle name="Normal 3 7 14 5" xfId="17536"/>
    <cellStyle name="Normal 3 7 14 5 2" xfId="34971"/>
    <cellStyle name="Normal 3 7 14 6" xfId="17537"/>
    <cellStyle name="Normal 3 7 14 6 2" xfId="34972"/>
    <cellStyle name="Normal 3 7 14 7" xfId="17538"/>
    <cellStyle name="Normal 3 7 14 7 2" xfId="34973"/>
    <cellStyle name="Normal 3 7 14 8" xfId="17539"/>
    <cellStyle name="Normal 3 7 14 8 2" xfId="34974"/>
    <cellStyle name="Normal 3 7 14 9" xfId="17540"/>
    <cellStyle name="Normal 3 7 14 9 2" xfId="34975"/>
    <cellStyle name="Normal 3 7 15" xfId="17541"/>
    <cellStyle name="Normal 3 7 15 10" xfId="17542"/>
    <cellStyle name="Normal 3 7 15 10 2" xfId="34977"/>
    <cellStyle name="Normal 3 7 15 11" xfId="17543"/>
    <cellStyle name="Normal 3 7 15 11 2" xfId="34978"/>
    <cellStyle name="Normal 3 7 15 12" xfId="17544"/>
    <cellStyle name="Normal 3 7 15 12 2" xfId="34979"/>
    <cellStyle name="Normal 3 7 15 13" xfId="17545"/>
    <cellStyle name="Normal 3 7 15 13 2" xfId="34980"/>
    <cellStyle name="Normal 3 7 15 14" xfId="17546"/>
    <cellStyle name="Normal 3 7 15 14 2" xfId="34981"/>
    <cellStyle name="Normal 3 7 15 15" xfId="17547"/>
    <cellStyle name="Normal 3 7 15 15 2" xfId="34982"/>
    <cellStyle name="Normal 3 7 15 16" xfId="34976"/>
    <cellStyle name="Normal 3 7 15 2" xfId="17548"/>
    <cellStyle name="Normal 3 7 15 2 10" xfId="17549"/>
    <cellStyle name="Normal 3 7 15 2 10 2" xfId="34984"/>
    <cellStyle name="Normal 3 7 15 2 11" xfId="17550"/>
    <cellStyle name="Normal 3 7 15 2 11 2" xfId="34985"/>
    <cellStyle name="Normal 3 7 15 2 12" xfId="17551"/>
    <cellStyle name="Normal 3 7 15 2 12 2" xfId="34986"/>
    <cellStyle name="Normal 3 7 15 2 13" xfId="17552"/>
    <cellStyle name="Normal 3 7 15 2 13 2" xfId="34987"/>
    <cellStyle name="Normal 3 7 15 2 14" xfId="17553"/>
    <cellStyle name="Normal 3 7 15 2 14 2" xfId="34988"/>
    <cellStyle name="Normal 3 7 15 2 15" xfId="34983"/>
    <cellStyle name="Normal 3 7 15 2 2" xfId="17554"/>
    <cellStyle name="Normal 3 7 15 2 2 2" xfId="34989"/>
    <cellStyle name="Normal 3 7 15 2 3" xfId="17555"/>
    <cellStyle name="Normal 3 7 15 2 3 2" xfId="34990"/>
    <cellStyle name="Normal 3 7 15 2 4" xfId="17556"/>
    <cellStyle name="Normal 3 7 15 2 4 2" xfId="34991"/>
    <cellStyle name="Normal 3 7 15 2 5" xfId="17557"/>
    <cellStyle name="Normal 3 7 15 2 5 2" xfId="34992"/>
    <cellStyle name="Normal 3 7 15 2 6" xfId="17558"/>
    <cellStyle name="Normal 3 7 15 2 6 2" xfId="34993"/>
    <cellStyle name="Normal 3 7 15 2 7" xfId="17559"/>
    <cellStyle name="Normal 3 7 15 2 7 2" xfId="34994"/>
    <cellStyle name="Normal 3 7 15 2 8" xfId="17560"/>
    <cellStyle name="Normal 3 7 15 2 8 2" xfId="34995"/>
    <cellStyle name="Normal 3 7 15 2 9" xfId="17561"/>
    <cellStyle name="Normal 3 7 15 2 9 2" xfId="34996"/>
    <cellStyle name="Normal 3 7 15 3" xfId="17562"/>
    <cellStyle name="Normal 3 7 15 3 2" xfId="34997"/>
    <cellStyle name="Normal 3 7 15 4" xfId="17563"/>
    <cellStyle name="Normal 3 7 15 4 2" xfId="34998"/>
    <cellStyle name="Normal 3 7 15 5" xfId="17564"/>
    <cellStyle name="Normal 3 7 15 5 2" xfId="34999"/>
    <cellStyle name="Normal 3 7 15 6" xfId="17565"/>
    <cellStyle name="Normal 3 7 15 6 2" xfId="35000"/>
    <cellStyle name="Normal 3 7 15 7" xfId="17566"/>
    <cellStyle name="Normal 3 7 15 7 2" xfId="35001"/>
    <cellStyle name="Normal 3 7 15 8" xfId="17567"/>
    <cellStyle name="Normal 3 7 15 8 2" xfId="35002"/>
    <cellStyle name="Normal 3 7 15 9" xfId="17568"/>
    <cellStyle name="Normal 3 7 15 9 2" xfId="35003"/>
    <cellStyle name="Normal 3 7 16" xfId="17569"/>
    <cellStyle name="Normal 3 7 16 10" xfId="17570"/>
    <cellStyle name="Normal 3 7 16 10 2" xfId="35005"/>
    <cellStyle name="Normal 3 7 16 11" xfId="17571"/>
    <cellStyle name="Normal 3 7 16 11 2" xfId="35006"/>
    <cellStyle name="Normal 3 7 16 12" xfId="17572"/>
    <cellStyle name="Normal 3 7 16 12 2" xfId="35007"/>
    <cellStyle name="Normal 3 7 16 13" xfId="17573"/>
    <cellStyle name="Normal 3 7 16 13 2" xfId="35008"/>
    <cellStyle name="Normal 3 7 16 14" xfId="17574"/>
    <cellStyle name="Normal 3 7 16 14 2" xfId="35009"/>
    <cellStyle name="Normal 3 7 16 15" xfId="17575"/>
    <cellStyle name="Normal 3 7 16 15 2" xfId="35010"/>
    <cellStyle name="Normal 3 7 16 16" xfId="35004"/>
    <cellStyle name="Normal 3 7 16 2" xfId="17576"/>
    <cellStyle name="Normal 3 7 16 2 10" xfId="17577"/>
    <cellStyle name="Normal 3 7 16 2 10 2" xfId="35012"/>
    <cellStyle name="Normal 3 7 16 2 11" xfId="17578"/>
    <cellStyle name="Normal 3 7 16 2 11 2" xfId="35013"/>
    <cellStyle name="Normal 3 7 16 2 12" xfId="17579"/>
    <cellStyle name="Normal 3 7 16 2 12 2" xfId="35014"/>
    <cellStyle name="Normal 3 7 16 2 13" xfId="17580"/>
    <cellStyle name="Normal 3 7 16 2 13 2" xfId="35015"/>
    <cellStyle name="Normal 3 7 16 2 14" xfId="17581"/>
    <cellStyle name="Normal 3 7 16 2 14 2" xfId="35016"/>
    <cellStyle name="Normal 3 7 16 2 15" xfId="35011"/>
    <cellStyle name="Normal 3 7 16 2 2" xfId="17582"/>
    <cellStyle name="Normal 3 7 16 2 2 2" xfId="35017"/>
    <cellStyle name="Normal 3 7 16 2 3" xfId="17583"/>
    <cellStyle name="Normal 3 7 16 2 3 2" xfId="35018"/>
    <cellStyle name="Normal 3 7 16 2 4" xfId="17584"/>
    <cellStyle name="Normal 3 7 16 2 4 2" xfId="35019"/>
    <cellStyle name="Normal 3 7 16 2 5" xfId="17585"/>
    <cellStyle name="Normal 3 7 16 2 5 2" xfId="35020"/>
    <cellStyle name="Normal 3 7 16 2 6" xfId="17586"/>
    <cellStyle name="Normal 3 7 16 2 6 2" xfId="35021"/>
    <cellStyle name="Normal 3 7 16 2 7" xfId="17587"/>
    <cellStyle name="Normal 3 7 16 2 7 2" xfId="35022"/>
    <cellStyle name="Normal 3 7 16 2 8" xfId="17588"/>
    <cellStyle name="Normal 3 7 16 2 8 2" xfId="35023"/>
    <cellStyle name="Normal 3 7 16 2 9" xfId="17589"/>
    <cellStyle name="Normal 3 7 16 2 9 2" xfId="35024"/>
    <cellStyle name="Normal 3 7 16 3" xfId="17590"/>
    <cellStyle name="Normal 3 7 16 3 2" xfId="35025"/>
    <cellStyle name="Normal 3 7 16 4" xfId="17591"/>
    <cellStyle name="Normal 3 7 16 4 2" xfId="35026"/>
    <cellStyle name="Normal 3 7 16 5" xfId="17592"/>
    <cellStyle name="Normal 3 7 16 5 2" xfId="35027"/>
    <cellStyle name="Normal 3 7 16 6" xfId="17593"/>
    <cellStyle name="Normal 3 7 16 6 2" xfId="35028"/>
    <cellStyle name="Normal 3 7 16 7" xfId="17594"/>
    <cellStyle name="Normal 3 7 16 7 2" xfId="35029"/>
    <cellStyle name="Normal 3 7 16 8" xfId="17595"/>
    <cellStyle name="Normal 3 7 16 8 2" xfId="35030"/>
    <cellStyle name="Normal 3 7 16 9" xfId="17596"/>
    <cellStyle name="Normal 3 7 16 9 2" xfId="35031"/>
    <cellStyle name="Normal 3 7 17" xfId="17597"/>
    <cellStyle name="Normal 3 7 17 10" xfId="17598"/>
    <cellStyle name="Normal 3 7 17 10 2" xfId="35033"/>
    <cellStyle name="Normal 3 7 17 11" xfId="17599"/>
    <cellStyle name="Normal 3 7 17 11 2" xfId="35034"/>
    <cellStyle name="Normal 3 7 17 12" xfId="17600"/>
    <cellStyle name="Normal 3 7 17 12 2" xfId="35035"/>
    <cellStyle name="Normal 3 7 17 13" xfId="17601"/>
    <cellStyle name="Normal 3 7 17 13 2" xfId="35036"/>
    <cellStyle name="Normal 3 7 17 14" xfId="17602"/>
    <cellStyle name="Normal 3 7 17 14 2" xfId="35037"/>
    <cellStyle name="Normal 3 7 17 15" xfId="35032"/>
    <cellStyle name="Normal 3 7 17 2" xfId="17603"/>
    <cellStyle name="Normal 3 7 17 2 2" xfId="35038"/>
    <cellStyle name="Normal 3 7 17 3" xfId="17604"/>
    <cellStyle name="Normal 3 7 17 3 2" xfId="35039"/>
    <cellStyle name="Normal 3 7 17 4" xfId="17605"/>
    <cellStyle name="Normal 3 7 17 4 2" xfId="35040"/>
    <cellStyle name="Normal 3 7 17 5" xfId="17606"/>
    <cellStyle name="Normal 3 7 17 5 2" xfId="35041"/>
    <cellStyle name="Normal 3 7 17 6" xfId="17607"/>
    <cellStyle name="Normal 3 7 17 6 2" xfId="35042"/>
    <cellStyle name="Normal 3 7 17 7" xfId="17608"/>
    <cellStyle name="Normal 3 7 17 7 2" xfId="35043"/>
    <cellStyle name="Normal 3 7 17 8" xfId="17609"/>
    <cellStyle name="Normal 3 7 17 8 2" xfId="35044"/>
    <cellStyle name="Normal 3 7 17 9" xfId="17610"/>
    <cellStyle name="Normal 3 7 17 9 2" xfId="35045"/>
    <cellStyle name="Normal 3 7 18" xfId="17611"/>
    <cellStyle name="Normal 3 7 18 10" xfId="17612"/>
    <cellStyle name="Normal 3 7 18 10 2" xfId="35047"/>
    <cellStyle name="Normal 3 7 18 11" xfId="17613"/>
    <cellStyle name="Normal 3 7 18 11 2" xfId="35048"/>
    <cellStyle name="Normal 3 7 18 12" xfId="17614"/>
    <cellStyle name="Normal 3 7 18 12 2" xfId="35049"/>
    <cellStyle name="Normal 3 7 18 13" xfId="17615"/>
    <cellStyle name="Normal 3 7 18 13 2" xfId="35050"/>
    <cellStyle name="Normal 3 7 18 14" xfId="17616"/>
    <cellStyle name="Normal 3 7 18 14 2" xfId="35051"/>
    <cellStyle name="Normal 3 7 18 15" xfId="35046"/>
    <cellStyle name="Normal 3 7 18 2" xfId="17617"/>
    <cellStyle name="Normal 3 7 18 2 2" xfId="35052"/>
    <cellStyle name="Normal 3 7 18 3" xfId="17618"/>
    <cellStyle name="Normal 3 7 18 3 2" xfId="35053"/>
    <cellStyle name="Normal 3 7 18 4" xfId="17619"/>
    <cellStyle name="Normal 3 7 18 4 2" xfId="35054"/>
    <cellStyle name="Normal 3 7 18 5" xfId="17620"/>
    <cellStyle name="Normal 3 7 18 5 2" xfId="35055"/>
    <cellStyle name="Normal 3 7 18 6" xfId="17621"/>
    <cellStyle name="Normal 3 7 18 6 2" xfId="35056"/>
    <cellStyle name="Normal 3 7 18 7" xfId="17622"/>
    <cellStyle name="Normal 3 7 18 7 2" xfId="35057"/>
    <cellStyle name="Normal 3 7 18 8" xfId="17623"/>
    <cellStyle name="Normal 3 7 18 8 2" xfId="35058"/>
    <cellStyle name="Normal 3 7 18 9" xfId="17624"/>
    <cellStyle name="Normal 3 7 18 9 2" xfId="35059"/>
    <cellStyle name="Normal 3 7 19" xfId="17625"/>
    <cellStyle name="Normal 3 7 19 10" xfId="17626"/>
    <cellStyle name="Normal 3 7 19 10 2" xfId="35061"/>
    <cellStyle name="Normal 3 7 19 11" xfId="17627"/>
    <cellStyle name="Normal 3 7 19 11 2" xfId="35062"/>
    <cellStyle name="Normal 3 7 19 12" xfId="17628"/>
    <cellStyle name="Normal 3 7 19 12 2" xfId="35063"/>
    <cellStyle name="Normal 3 7 19 13" xfId="17629"/>
    <cellStyle name="Normal 3 7 19 13 2" xfId="35064"/>
    <cellStyle name="Normal 3 7 19 14" xfId="17630"/>
    <cellStyle name="Normal 3 7 19 14 2" xfId="35065"/>
    <cellStyle name="Normal 3 7 19 15" xfId="35060"/>
    <cellStyle name="Normal 3 7 19 2" xfId="17631"/>
    <cellStyle name="Normal 3 7 19 2 2" xfId="35066"/>
    <cellStyle name="Normal 3 7 19 3" xfId="17632"/>
    <cellStyle name="Normal 3 7 19 3 2" xfId="35067"/>
    <cellStyle name="Normal 3 7 19 4" xfId="17633"/>
    <cellStyle name="Normal 3 7 19 4 2" xfId="35068"/>
    <cellStyle name="Normal 3 7 19 5" xfId="17634"/>
    <cellStyle name="Normal 3 7 19 5 2" xfId="35069"/>
    <cellStyle name="Normal 3 7 19 6" xfId="17635"/>
    <cellStyle name="Normal 3 7 19 6 2" xfId="35070"/>
    <cellStyle name="Normal 3 7 19 7" xfId="17636"/>
    <cellStyle name="Normal 3 7 19 7 2" xfId="35071"/>
    <cellStyle name="Normal 3 7 19 8" xfId="17637"/>
    <cellStyle name="Normal 3 7 19 8 2" xfId="35072"/>
    <cellStyle name="Normal 3 7 19 9" xfId="17638"/>
    <cellStyle name="Normal 3 7 19 9 2" xfId="35073"/>
    <cellStyle name="Normal 3 7 2" xfId="17639"/>
    <cellStyle name="Normal 3 7 20" xfId="17640"/>
    <cellStyle name="Normal 3 7 20 10" xfId="17641"/>
    <cellStyle name="Normal 3 7 20 10 2" xfId="35075"/>
    <cellStyle name="Normal 3 7 20 11" xfId="17642"/>
    <cellStyle name="Normal 3 7 20 11 2" xfId="35076"/>
    <cellStyle name="Normal 3 7 20 12" xfId="17643"/>
    <cellStyle name="Normal 3 7 20 12 2" xfId="35077"/>
    <cellStyle name="Normal 3 7 20 13" xfId="17644"/>
    <cellStyle name="Normal 3 7 20 13 2" xfId="35078"/>
    <cellStyle name="Normal 3 7 20 14" xfId="17645"/>
    <cellStyle name="Normal 3 7 20 14 2" xfId="35079"/>
    <cellStyle name="Normal 3 7 20 15" xfId="35074"/>
    <cellStyle name="Normal 3 7 20 2" xfId="17646"/>
    <cellStyle name="Normal 3 7 20 2 2" xfId="35080"/>
    <cellStyle name="Normal 3 7 20 3" xfId="17647"/>
    <cellStyle name="Normal 3 7 20 3 2" xfId="35081"/>
    <cellStyle name="Normal 3 7 20 4" xfId="17648"/>
    <cellStyle name="Normal 3 7 20 4 2" xfId="35082"/>
    <cellStyle name="Normal 3 7 20 5" xfId="17649"/>
    <cellStyle name="Normal 3 7 20 5 2" xfId="35083"/>
    <cellStyle name="Normal 3 7 20 6" xfId="17650"/>
    <cellStyle name="Normal 3 7 20 6 2" xfId="35084"/>
    <cellStyle name="Normal 3 7 20 7" xfId="17651"/>
    <cellStyle name="Normal 3 7 20 7 2" xfId="35085"/>
    <cellStyle name="Normal 3 7 20 8" xfId="17652"/>
    <cellStyle name="Normal 3 7 20 8 2" xfId="35086"/>
    <cellStyle name="Normal 3 7 20 9" xfId="17653"/>
    <cellStyle name="Normal 3 7 20 9 2" xfId="35087"/>
    <cellStyle name="Normal 3 7 21" xfId="17654"/>
    <cellStyle name="Normal 3 7 21 10" xfId="17655"/>
    <cellStyle name="Normal 3 7 21 10 2" xfId="35089"/>
    <cellStyle name="Normal 3 7 21 11" xfId="17656"/>
    <cellStyle name="Normal 3 7 21 11 2" xfId="35090"/>
    <cellStyle name="Normal 3 7 21 12" xfId="17657"/>
    <cellStyle name="Normal 3 7 21 12 2" xfId="35091"/>
    <cellStyle name="Normal 3 7 21 13" xfId="17658"/>
    <cellStyle name="Normal 3 7 21 13 2" xfId="35092"/>
    <cellStyle name="Normal 3 7 21 14" xfId="17659"/>
    <cellStyle name="Normal 3 7 21 14 2" xfId="35093"/>
    <cellStyle name="Normal 3 7 21 15" xfId="35088"/>
    <cellStyle name="Normal 3 7 21 2" xfId="17660"/>
    <cellStyle name="Normal 3 7 21 2 2" xfId="35094"/>
    <cellStyle name="Normal 3 7 21 3" xfId="17661"/>
    <cellStyle name="Normal 3 7 21 3 2" xfId="35095"/>
    <cellStyle name="Normal 3 7 21 4" xfId="17662"/>
    <cellStyle name="Normal 3 7 21 4 2" xfId="35096"/>
    <cellStyle name="Normal 3 7 21 5" xfId="17663"/>
    <cellStyle name="Normal 3 7 21 5 2" xfId="35097"/>
    <cellStyle name="Normal 3 7 21 6" xfId="17664"/>
    <cellStyle name="Normal 3 7 21 6 2" xfId="35098"/>
    <cellStyle name="Normal 3 7 21 7" xfId="17665"/>
    <cellStyle name="Normal 3 7 21 7 2" xfId="35099"/>
    <cellStyle name="Normal 3 7 21 8" xfId="17666"/>
    <cellStyle name="Normal 3 7 21 8 2" xfId="35100"/>
    <cellStyle name="Normal 3 7 21 9" xfId="17667"/>
    <cellStyle name="Normal 3 7 21 9 2" xfId="35101"/>
    <cellStyle name="Normal 3 7 22" xfId="17668"/>
    <cellStyle name="Normal 3 7 22 10" xfId="17669"/>
    <cellStyle name="Normal 3 7 22 10 2" xfId="35103"/>
    <cellStyle name="Normal 3 7 22 11" xfId="17670"/>
    <cellStyle name="Normal 3 7 22 11 2" xfId="35104"/>
    <cellStyle name="Normal 3 7 22 12" xfId="17671"/>
    <cellStyle name="Normal 3 7 22 12 2" xfId="35105"/>
    <cellStyle name="Normal 3 7 22 13" xfId="17672"/>
    <cellStyle name="Normal 3 7 22 13 2" xfId="35106"/>
    <cellStyle name="Normal 3 7 22 14" xfId="17673"/>
    <cellStyle name="Normal 3 7 22 14 2" xfId="35107"/>
    <cellStyle name="Normal 3 7 22 15" xfId="35102"/>
    <cellStyle name="Normal 3 7 22 2" xfId="17674"/>
    <cellStyle name="Normal 3 7 22 2 2" xfId="35108"/>
    <cellStyle name="Normal 3 7 22 3" xfId="17675"/>
    <cellStyle name="Normal 3 7 22 3 2" xfId="35109"/>
    <cellStyle name="Normal 3 7 22 4" xfId="17676"/>
    <cellStyle name="Normal 3 7 22 4 2" xfId="35110"/>
    <cellStyle name="Normal 3 7 22 5" xfId="17677"/>
    <cellStyle name="Normal 3 7 22 5 2" xfId="35111"/>
    <cellStyle name="Normal 3 7 22 6" xfId="17678"/>
    <cellStyle name="Normal 3 7 22 6 2" xfId="35112"/>
    <cellStyle name="Normal 3 7 22 7" xfId="17679"/>
    <cellStyle name="Normal 3 7 22 7 2" xfId="35113"/>
    <cellStyle name="Normal 3 7 22 8" xfId="17680"/>
    <cellStyle name="Normal 3 7 22 8 2" xfId="35114"/>
    <cellStyle name="Normal 3 7 22 9" xfId="17681"/>
    <cellStyle name="Normal 3 7 22 9 2" xfId="35115"/>
    <cellStyle name="Normal 3 7 23" xfId="17682"/>
    <cellStyle name="Normal 3 7 24" xfId="17683"/>
    <cellStyle name="Normal 3 7 25" xfId="17684"/>
    <cellStyle name="Normal 3 7 25 10" xfId="17685"/>
    <cellStyle name="Normal 3 7 25 10 2" xfId="35117"/>
    <cellStyle name="Normal 3 7 25 11" xfId="17686"/>
    <cellStyle name="Normal 3 7 25 11 2" xfId="35118"/>
    <cellStyle name="Normal 3 7 25 12" xfId="17687"/>
    <cellStyle name="Normal 3 7 25 12 2" xfId="35119"/>
    <cellStyle name="Normal 3 7 25 13" xfId="17688"/>
    <cellStyle name="Normal 3 7 25 13 2" xfId="35120"/>
    <cellStyle name="Normal 3 7 25 14" xfId="17689"/>
    <cellStyle name="Normal 3 7 25 14 2" xfId="35121"/>
    <cellStyle name="Normal 3 7 25 15" xfId="35116"/>
    <cellStyle name="Normal 3 7 25 2" xfId="17690"/>
    <cellStyle name="Normal 3 7 25 2 2" xfId="35122"/>
    <cellStyle name="Normal 3 7 25 3" xfId="17691"/>
    <cellStyle name="Normal 3 7 25 3 2" xfId="35123"/>
    <cellStyle name="Normal 3 7 25 4" xfId="17692"/>
    <cellStyle name="Normal 3 7 25 4 2" xfId="35124"/>
    <cellStyle name="Normal 3 7 25 5" xfId="17693"/>
    <cellStyle name="Normal 3 7 25 5 2" xfId="35125"/>
    <cellStyle name="Normal 3 7 25 6" xfId="17694"/>
    <cellStyle name="Normal 3 7 25 6 2" xfId="35126"/>
    <cellStyle name="Normal 3 7 25 7" xfId="17695"/>
    <cellStyle name="Normal 3 7 25 7 2" xfId="35127"/>
    <cellStyle name="Normal 3 7 25 8" xfId="17696"/>
    <cellStyle name="Normal 3 7 25 8 2" xfId="35128"/>
    <cellStyle name="Normal 3 7 25 9" xfId="17697"/>
    <cellStyle name="Normal 3 7 25 9 2" xfId="35129"/>
    <cellStyle name="Normal 3 7 26" xfId="17698"/>
    <cellStyle name="Normal 3 7 26 10" xfId="17699"/>
    <cellStyle name="Normal 3 7 26 10 2" xfId="35131"/>
    <cellStyle name="Normal 3 7 26 11" xfId="17700"/>
    <cellStyle name="Normal 3 7 26 11 2" xfId="35132"/>
    <cellStyle name="Normal 3 7 26 12" xfId="17701"/>
    <cellStyle name="Normal 3 7 26 12 2" xfId="35133"/>
    <cellStyle name="Normal 3 7 26 13" xfId="17702"/>
    <cellStyle name="Normal 3 7 26 13 2" xfId="35134"/>
    <cellStyle name="Normal 3 7 26 14" xfId="17703"/>
    <cellStyle name="Normal 3 7 26 14 2" xfId="35135"/>
    <cellStyle name="Normal 3 7 26 15" xfId="35130"/>
    <cellStyle name="Normal 3 7 26 2" xfId="17704"/>
    <cellStyle name="Normal 3 7 26 2 2" xfId="35136"/>
    <cellStyle name="Normal 3 7 26 3" xfId="17705"/>
    <cellStyle name="Normal 3 7 26 3 2" xfId="35137"/>
    <cellStyle name="Normal 3 7 26 4" xfId="17706"/>
    <cellStyle name="Normal 3 7 26 4 2" xfId="35138"/>
    <cellStyle name="Normal 3 7 26 5" xfId="17707"/>
    <cellStyle name="Normal 3 7 26 5 2" xfId="35139"/>
    <cellStyle name="Normal 3 7 26 6" xfId="17708"/>
    <cellStyle name="Normal 3 7 26 6 2" xfId="35140"/>
    <cellStyle name="Normal 3 7 26 7" xfId="17709"/>
    <cellStyle name="Normal 3 7 26 7 2" xfId="35141"/>
    <cellStyle name="Normal 3 7 26 8" xfId="17710"/>
    <cellStyle name="Normal 3 7 26 8 2" xfId="35142"/>
    <cellStyle name="Normal 3 7 26 9" xfId="17711"/>
    <cellStyle name="Normal 3 7 26 9 2" xfId="35143"/>
    <cellStyle name="Normal 3 7 3" xfId="17712"/>
    <cellStyle name="Normal 3 7 4" xfId="17713"/>
    <cellStyle name="Normal 3 7 5" xfId="17714"/>
    <cellStyle name="Normal 3 7 6" xfId="17715"/>
    <cellStyle name="Normal 3 7 7" xfId="17716"/>
    <cellStyle name="Normal 3 7 8" xfId="17717"/>
    <cellStyle name="Normal 3 7 9" xfId="17718"/>
    <cellStyle name="Normal 3 8" xfId="17719"/>
    <cellStyle name="Normal 3 8 10" xfId="17720"/>
    <cellStyle name="Normal 3 8 11" xfId="17721"/>
    <cellStyle name="Normal 3 8 11 10" xfId="17722"/>
    <cellStyle name="Normal 3 8 11 10 2" xfId="35145"/>
    <cellStyle name="Normal 3 8 11 11" xfId="17723"/>
    <cellStyle name="Normal 3 8 11 11 2" xfId="35146"/>
    <cellStyle name="Normal 3 8 11 12" xfId="17724"/>
    <cellStyle name="Normal 3 8 11 12 2" xfId="35147"/>
    <cellStyle name="Normal 3 8 11 13" xfId="17725"/>
    <cellStyle name="Normal 3 8 11 13 2" xfId="35148"/>
    <cellStyle name="Normal 3 8 11 14" xfId="17726"/>
    <cellStyle name="Normal 3 8 11 14 2" xfId="35149"/>
    <cellStyle name="Normal 3 8 11 15" xfId="17727"/>
    <cellStyle name="Normal 3 8 11 15 2" xfId="35150"/>
    <cellStyle name="Normal 3 8 11 16" xfId="17728"/>
    <cellStyle name="Normal 3 8 11 16 2" xfId="35151"/>
    <cellStyle name="Normal 3 8 11 17" xfId="17729"/>
    <cellStyle name="Normal 3 8 11 17 2" xfId="35152"/>
    <cellStyle name="Normal 3 8 11 18" xfId="35144"/>
    <cellStyle name="Normal 3 8 11 2" xfId="17730"/>
    <cellStyle name="Normal 3 8 11 3" xfId="17731"/>
    <cellStyle name="Normal 3 8 11 4" xfId="17732"/>
    <cellStyle name="Normal 3 8 11 5" xfId="17733"/>
    <cellStyle name="Normal 3 8 11 5 2" xfId="35153"/>
    <cellStyle name="Normal 3 8 11 6" xfId="17734"/>
    <cellStyle name="Normal 3 8 11 6 2" xfId="35154"/>
    <cellStyle name="Normal 3 8 11 7" xfId="17735"/>
    <cellStyle name="Normal 3 8 11 7 2" xfId="35155"/>
    <cellStyle name="Normal 3 8 11 8" xfId="17736"/>
    <cellStyle name="Normal 3 8 11 8 2" xfId="35156"/>
    <cellStyle name="Normal 3 8 11 9" xfId="17737"/>
    <cellStyle name="Normal 3 8 11 9 2" xfId="35157"/>
    <cellStyle name="Normal 3 8 12" xfId="17738"/>
    <cellStyle name="Normal 3 8 13" xfId="17739"/>
    <cellStyle name="Normal 3 8 14" xfId="17740"/>
    <cellStyle name="Normal 3 8 14 10" xfId="17741"/>
    <cellStyle name="Normal 3 8 14 10 2" xfId="35159"/>
    <cellStyle name="Normal 3 8 14 11" xfId="17742"/>
    <cellStyle name="Normal 3 8 14 11 2" xfId="35160"/>
    <cellStyle name="Normal 3 8 14 12" xfId="17743"/>
    <cellStyle name="Normal 3 8 14 12 2" xfId="35161"/>
    <cellStyle name="Normal 3 8 14 13" xfId="17744"/>
    <cellStyle name="Normal 3 8 14 13 2" xfId="35162"/>
    <cellStyle name="Normal 3 8 14 14" xfId="17745"/>
    <cellStyle name="Normal 3 8 14 14 2" xfId="35163"/>
    <cellStyle name="Normal 3 8 14 15" xfId="17746"/>
    <cellStyle name="Normal 3 8 14 15 2" xfId="35164"/>
    <cellStyle name="Normal 3 8 14 16" xfId="35158"/>
    <cellStyle name="Normal 3 8 14 2" xfId="17747"/>
    <cellStyle name="Normal 3 8 14 2 10" xfId="17748"/>
    <cellStyle name="Normal 3 8 14 2 10 2" xfId="35166"/>
    <cellStyle name="Normal 3 8 14 2 11" xfId="17749"/>
    <cellStyle name="Normal 3 8 14 2 11 2" xfId="35167"/>
    <cellStyle name="Normal 3 8 14 2 12" xfId="17750"/>
    <cellStyle name="Normal 3 8 14 2 12 2" xfId="35168"/>
    <cellStyle name="Normal 3 8 14 2 13" xfId="17751"/>
    <cellStyle name="Normal 3 8 14 2 13 2" xfId="35169"/>
    <cellStyle name="Normal 3 8 14 2 14" xfId="17752"/>
    <cellStyle name="Normal 3 8 14 2 14 2" xfId="35170"/>
    <cellStyle name="Normal 3 8 14 2 15" xfId="35165"/>
    <cellStyle name="Normal 3 8 14 2 2" xfId="17753"/>
    <cellStyle name="Normal 3 8 14 2 2 2" xfId="35171"/>
    <cellStyle name="Normal 3 8 14 2 3" xfId="17754"/>
    <cellStyle name="Normal 3 8 14 2 3 2" xfId="35172"/>
    <cellStyle name="Normal 3 8 14 2 4" xfId="17755"/>
    <cellStyle name="Normal 3 8 14 2 4 2" xfId="35173"/>
    <cellStyle name="Normal 3 8 14 2 5" xfId="17756"/>
    <cellStyle name="Normal 3 8 14 2 5 2" xfId="35174"/>
    <cellStyle name="Normal 3 8 14 2 6" xfId="17757"/>
    <cellStyle name="Normal 3 8 14 2 6 2" xfId="35175"/>
    <cellStyle name="Normal 3 8 14 2 7" xfId="17758"/>
    <cellStyle name="Normal 3 8 14 2 7 2" xfId="35176"/>
    <cellStyle name="Normal 3 8 14 2 8" xfId="17759"/>
    <cellStyle name="Normal 3 8 14 2 8 2" xfId="35177"/>
    <cellStyle name="Normal 3 8 14 2 9" xfId="17760"/>
    <cellStyle name="Normal 3 8 14 2 9 2" xfId="35178"/>
    <cellStyle name="Normal 3 8 14 3" xfId="17761"/>
    <cellStyle name="Normal 3 8 14 3 2" xfId="35179"/>
    <cellStyle name="Normal 3 8 14 4" xfId="17762"/>
    <cellStyle name="Normal 3 8 14 4 2" xfId="35180"/>
    <cellStyle name="Normal 3 8 14 5" xfId="17763"/>
    <cellStyle name="Normal 3 8 14 5 2" xfId="35181"/>
    <cellStyle name="Normal 3 8 14 6" xfId="17764"/>
    <cellStyle name="Normal 3 8 14 6 2" xfId="35182"/>
    <cellStyle name="Normal 3 8 14 7" xfId="17765"/>
    <cellStyle name="Normal 3 8 14 7 2" xfId="35183"/>
    <cellStyle name="Normal 3 8 14 8" xfId="17766"/>
    <cellStyle name="Normal 3 8 14 8 2" xfId="35184"/>
    <cellStyle name="Normal 3 8 14 9" xfId="17767"/>
    <cellStyle name="Normal 3 8 14 9 2" xfId="35185"/>
    <cellStyle name="Normal 3 8 15" xfId="17768"/>
    <cellStyle name="Normal 3 8 15 10" xfId="17769"/>
    <cellStyle name="Normal 3 8 15 10 2" xfId="35187"/>
    <cellStyle name="Normal 3 8 15 11" xfId="17770"/>
    <cellStyle name="Normal 3 8 15 11 2" xfId="35188"/>
    <cellStyle name="Normal 3 8 15 12" xfId="17771"/>
    <cellStyle name="Normal 3 8 15 12 2" xfId="35189"/>
    <cellStyle name="Normal 3 8 15 13" xfId="17772"/>
    <cellStyle name="Normal 3 8 15 13 2" xfId="35190"/>
    <cellStyle name="Normal 3 8 15 14" xfId="17773"/>
    <cellStyle name="Normal 3 8 15 14 2" xfId="35191"/>
    <cellStyle name="Normal 3 8 15 15" xfId="17774"/>
    <cellStyle name="Normal 3 8 15 15 2" xfId="35192"/>
    <cellStyle name="Normal 3 8 15 16" xfId="35186"/>
    <cellStyle name="Normal 3 8 15 2" xfId="17775"/>
    <cellStyle name="Normal 3 8 15 2 10" xfId="17776"/>
    <cellStyle name="Normal 3 8 15 2 10 2" xfId="35194"/>
    <cellStyle name="Normal 3 8 15 2 11" xfId="17777"/>
    <cellStyle name="Normal 3 8 15 2 11 2" xfId="35195"/>
    <cellStyle name="Normal 3 8 15 2 12" xfId="17778"/>
    <cellStyle name="Normal 3 8 15 2 12 2" xfId="35196"/>
    <cellStyle name="Normal 3 8 15 2 13" xfId="17779"/>
    <cellStyle name="Normal 3 8 15 2 13 2" xfId="35197"/>
    <cellStyle name="Normal 3 8 15 2 14" xfId="17780"/>
    <cellStyle name="Normal 3 8 15 2 14 2" xfId="35198"/>
    <cellStyle name="Normal 3 8 15 2 15" xfId="35193"/>
    <cellStyle name="Normal 3 8 15 2 2" xfId="17781"/>
    <cellStyle name="Normal 3 8 15 2 2 2" xfId="35199"/>
    <cellStyle name="Normal 3 8 15 2 3" xfId="17782"/>
    <cellStyle name="Normal 3 8 15 2 3 2" xfId="35200"/>
    <cellStyle name="Normal 3 8 15 2 4" xfId="17783"/>
    <cellStyle name="Normal 3 8 15 2 4 2" xfId="35201"/>
    <cellStyle name="Normal 3 8 15 2 5" xfId="17784"/>
    <cellStyle name="Normal 3 8 15 2 5 2" xfId="35202"/>
    <cellStyle name="Normal 3 8 15 2 6" xfId="17785"/>
    <cellStyle name="Normal 3 8 15 2 6 2" xfId="35203"/>
    <cellStyle name="Normal 3 8 15 2 7" xfId="17786"/>
    <cellStyle name="Normal 3 8 15 2 7 2" xfId="35204"/>
    <cellStyle name="Normal 3 8 15 2 8" xfId="17787"/>
    <cellStyle name="Normal 3 8 15 2 8 2" xfId="35205"/>
    <cellStyle name="Normal 3 8 15 2 9" xfId="17788"/>
    <cellStyle name="Normal 3 8 15 2 9 2" xfId="35206"/>
    <cellStyle name="Normal 3 8 15 3" xfId="17789"/>
    <cellStyle name="Normal 3 8 15 3 2" xfId="35207"/>
    <cellStyle name="Normal 3 8 15 4" xfId="17790"/>
    <cellStyle name="Normal 3 8 15 4 2" xfId="35208"/>
    <cellStyle name="Normal 3 8 15 5" xfId="17791"/>
    <cellStyle name="Normal 3 8 15 5 2" xfId="35209"/>
    <cellStyle name="Normal 3 8 15 6" xfId="17792"/>
    <cellStyle name="Normal 3 8 15 6 2" xfId="35210"/>
    <cellStyle name="Normal 3 8 15 7" xfId="17793"/>
    <cellStyle name="Normal 3 8 15 7 2" xfId="35211"/>
    <cellStyle name="Normal 3 8 15 8" xfId="17794"/>
    <cellStyle name="Normal 3 8 15 8 2" xfId="35212"/>
    <cellStyle name="Normal 3 8 15 9" xfId="17795"/>
    <cellStyle name="Normal 3 8 15 9 2" xfId="35213"/>
    <cellStyle name="Normal 3 8 16" xfId="17796"/>
    <cellStyle name="Normal 3 8 16 10" xfId="17797"/>
    <cellStyle name="Normal 3 8 16 10 2" xfId="35215"/>
    <cellStyle name="Normal 3 8 16 11" xfId="17798"/>
    <cellStyle name="Normal 3 8 16 11 2" xfId="35216"/>
    <cellStyle name="Normal 3 8 16 12" xfId="17799"/>
    <cellStyle name="Normal 3 8 16 12 2" xfId="35217"/>
    <cellStyle name="Normal 3 8 16 13" xfId="17800"/>
    <cellStyle name="Normal 3 8 16 13 2" xfId="35218"/>
    <cellStyle name="Normal 3 8 16 14" xfId="17801"/>
    <cellStyle name="Normal 3 8 16 14 2" xfId="35219"/>
    <cellStyle name="Normal 3 8 16 15" xfId="17802"/>
    <cellStyle name="Normal 3 8 16 15 2" xfId="35220"/>
    <cellStyle name="Normal 3 8 16 16" xfId="35214"/>
    <cellStyle name="Normal 3 8 16 2" xfId="17803"/>
    <cellStyle name="Normal 3 8 16 2 10" xfId="17804"/>
    <cellStyle name="Normal 3 8 16 2 10 2" xfId="35222"/>
    <cellStyle name="Normal 3 8 16 2 11" xfId="17805"/>
    <cellStyle name="Normal 3 8 16 2 11 2" xfId="35223"/>
    <cellStyle name="Normal 3 8 16 2 12" xfId="17806"/>
    <cellStyle name="Normal 3 8 16 2 12 2" xfId="35224"/>
    <cellStyle name="Normal 3 8 16 2 13" xfId="17807"/>
    <cellStyle name="Normal 3 8 16 2 13 2" xfId="35225"/>
    <cellStyle name="Normal 3 8 16 2 14" xfId="17808"/>
    <cellStyle name="Normal 3 8 16 2 14 2" xfId="35226"/>
    <cellStyle name="Normal 3 8 16 2 15" xfId="35221"/>
    <cellStyle name="Normal 3 8 16 2 2" xfId="17809"/>
    <cellStyle name="Normal 3 8 16 2 2 2" xfId="35227"/>
    <cellStyle name="Normal 3 8 16 2 3" xfId="17810"/>
    <cellStyle name="Normal 3 8 16 2 3 2" xfId="35228"/>
    <cellStyle name="Normal 3 8 16 2 4" xfId="17811"/>
    <cellStyle name="Normal 3 8 16 2 4 2" xfId="35229"/>
    <cellStyle name="Normal 3 8 16 2 5" xfId="17812"/>
    <cellStyle name="Normal 3 8 16 2 5 2" xfId="35230"/>
    <cellStyle name="Normal 3 8 16 2 6" xfId="17813"/>
    <cellStyle name="Normal 3 8 16 2 6 2" xfId="35231"/>
    <cellStyle name="Normal 3 8 16 2 7" xfId="17814"/>
    <cellStyle name="Normal 3 8 16 2 7 2" xfId="35232"/>
    <cellStyle name="Normal 3 8 16 2 8" xfId="17815"/>
    <cellStyle name="Normal 3 8 16 2 8 2" xfId="35233"/>
    <cellStyle name="Normal 3 8 16 2 9" xfId="17816"/>
    <cellStyle name="Normal 3 8 16 2 9 2" xfId="35234"/>
    <cellStyle name="Normal 3 8 16 3" xfId="17817"/>
    <cellStyle name="Normal 3 8 16 3 2" xfId="35235"/>
    <cellStyle name="Normal 3 8 16 4" xfId="17818"/>
    <cellStyle name="Normal 3 8 16 4 2" xfId="35236"/>
    <cellStyle name="Normal 3 8 16 5" xfId="17819"/>
    <cellStyle name="Normal 3 8 16 5 2" xfId="35237"/>
    <cellStyle name="Normal 3 8 16 6" xfId="17820"/>
    <cellStyle name="Normal 3 8 16 6 2" xfId="35238"/>
    <cellStyle name="Normal 3 8 16 7" xfId="17821"/>
    <cellStyle name="Normal 3 8 16 7 2" xfId="35239"/>
    <cellStyle name="Normal 3 8 16 8" xfId="17822"/>
    <cellStyle name="Normal 3 8 16 8 2" xfId="35240"/>
    <cellStyle name="Normal 3 8 16 9" xfId="17823"/>
    <cellStyle name="Normal 3 8 16 9 2" xfId="35241"/>
    <cellStyle name="Normal 3 8 17" xfId="17824"/>
    <cellStyle name="Normal 3 8 17 10" xfId="17825"/>
    <cellStyle name="Normal 3 8 17 10 2" xfId="35243"/>
    <cellStyle name="Normal 3 8 17 11" xfId="17826"/>
    <cellStyle name="Normal 3 8 17 11 2" xfId="35244"/>
    <cellStyle name="Normal 3 8 17 12" xfId="17827"/>
    <cellStyle name="Normal 3 8 17 12 2" xfId="35245"/>
    <cellStyle name="Normal 3 8 17 13" xfId="17828"/>
    <cellStyle name="Normal 3 8 17 13 2" xfId="35246"/>
    <cellStyle name="Normal 3 8 17 14" xfId="17829"/>
    <cellStyle name="Normal 3 8 17 14 2" xfId="35247"/>
    <cellStyle name="Normal 3 8 17 15" xfId="35242"/>
    <cellStyle name="Normal 3 8 17 2" xfId="17830"/>
    <cellStyle name="Normal 3 8 17 2 2" xfId="35248"/>
    <cellStyle name="Normal 3 8 17 3" xfId="17831"/>
    <cellStyle name="Normal 3 8 17 3 2" xfId="35249"/>
    <cellStyle name="Normal 3 8 17 4" xfId="17832"/>
    <cellStyle name="Normal 3 8 17 4 2" xfId="35250"/>
    <cellStyle name="Normal 3 8 17 5" xfId="17833"/>
    <cellStyle name="Normal 3 8 17 5 2" xfId="35251"/>
    <cellStyle name="Normal 3 8 17 6" xfId="17834"/>
    <cellStyle name="Normal 3 8 17 6 2" xfId="35252"/>
    <cellStyle name="Normal 3 8 17 7" xfId="17835"/>
    <cellStyle name="Normal 3 8 17 7 2" xfId="35253"/>
    <cellStyle name="Normal 3 8 17 8" xfId="17836"/>
    <cellStyle name="Normal 3 8 17 8 2" xfId="35254"/>
    <cellStyle name="Normal 3 8 17 9" xfId="17837"/>
    <cellStyle name="Normal 3 8 17 9 2" xfId="35255"/>
    <cellStyle name="Normal 3 8 18" xfId="17838"/>
    <cellStyle name="Normal 3 8 18 10" xfId="17839"/>
    <cellStyle name="Normal 3 8 18 10 2" xfId="35257"/>
    <cellStyle name="Normal 3 8 18 11" xfId="17840"/>
    <cellStyle name="Normal 3 8 18 11 2" xfId="35258"/>
    <cellStyle name="Normal 3 8 18 12" xfId="17841"/>
    <cellStyle name="Normal 3 8 18 12 2" xfId="35259"/>
    <cellStyle name="Normal 3 8 18 13" xfId="17842"/>
    <cellStyle name="Normal 3 8 18 13 2" xfId="35260"/>
    <cellStyle name="Normal 3 8 18 14" xfId="17843"/>
    <cellStyle name="Normal 3 8 18 14 2" xfId="35261"/>
    <cellStyle name="Normal 3 8 18 15" xfId="35256"/>
    <cellStyle name="Normal 3 8 18 2" xfId="17844"/>
    <cellStyle name="Normal 3 8 18 2 2" xfId="35262"/>
    <cellStyle name="Normal 3 8 18 3" xfId="17845"/>
    <cellStyle name="Normal 3 8 18 3 2" xfId="35263"/>
    <cellStyle name="Normal 3 8 18 4" xfId="17846"/>
    <cellStyle name="Normal 3 8 18 4 2" xfId="35264"/>
    <cellStyle name="Normal 3 8 18 5" xfId="17847"/>
    <cellStyle name="Normal 3 8 18 5 2" xfId="35265"/>
    <cellStyle name="Normal 3 8 18 6" xfId="17848"/>
    <cellStyle name="Normal 3 8 18 6 2" xfId="35266"/>
    <cellStyle name="Normal 3 8 18 7" xfId="17849"/>
    <cellStyle name="Normal 3 8 18 7 2" xfId="35267"/>
    <cellStyle name="Normal 3 8 18 8" xfId="17850"/>
    <cellStyle name="Normal 3 8 18 8 2" xfId="35268"/>
    <cellStyle name="Normal 3 8 18 9" xfId="17851"/>
    <cellStyle name="Normal 3 8 18 9 2" xfId="35269"/>
    <cellStyle name="Normal 3 8 19" xfId="17852"/>
    <cellStyle name="Normal 3 8 19 10" xfId="17853"/>
    <cellStyle name="Normal 3 8 19 10 2" xfId="35271"/>
    <cellStyle name="Normal 3 8 19 11" xfId="17854"/>
    <cellStyle name="Normal 3 8 19 11 2" xfId="35272"/>
    <cellStyle name="Normal 3 8 19 12" xfId="17855"/>
    <cellStyle name="Normal 3 8 19 12 2" xfId="35273"/>
    <cellStyle name="Normal 3 8 19 13" xfId="17856"/>
    <cellStyle name="Normal 3 8 19 13 2" xfId="35274"/>
    <cellStyle name="Normal 3 8 19 14" xfId="17857"/>
    <cellStyle name="Normal 3 8 19 14 2" xfId="35275"/>
    <cellStyle name="Normal 3 8 19 15" xfId="35270"/>
    <cellStyle name="Normal 3 8 19 2" xfId="17858"/>
    <cellStyle name="Normal 3 8 19 2 2" xfId="35276"/>
    <cellStyle name="Normal 3 8 19 3" xfId="17859"/>
    <cellStyle name="Normal 3 8 19 3 2" xfId="35277"/>
    <cellStyle name="Normal 3 8 19 4" xfId="17860"/>
    <cellStyle name="Normal 3 8 19 4 2" xfId="35278"/>
    <cellStyle name="Normal 3 8 19 5" xfId="17861"/>
    <cellStyle name="Normal 3 8 19 5 2" xfId="35279"/>
    <cellStyle name="Normal 3 8 19 6" xfId="17862"/>
    <cellStyle name="Normal 3 8 19 6 2" xfId="35280"/>
    <cellStyle name="Normal 3 8 19 7" xfId="17863"/>
    <cellStyle name="Normal 3 8 19 7 2" xfId="35281"/>
    <cellStyle name="Normal 3 8 19 8" xfId="17864"/>
    <cellStyle name="Normal 3 8 19 8 2" xfId="35282"/>
    <cellStyle name="Normal 3 8 19 9" xfId="17865"/>
    <cellStyle name="Normal 3 8 19 9 2" xfId="35283"/>
    <cellStyle name="Normal 3 8 2" xfId="17866"/>
    <cellStyle name="Normal 3 8 20" xfId="17867"/>
    <cellStyle name="Normal 3 8 20 10" xfId="17868"/>
    <cellStyle name="Normal 3 8 20 10 2" xfId="35285"/>
    <cellStyle name="Normal 3 8 20 11" xfId="17869"/>
    <cellStyle name="Normal 3 8 20 11 2" xfId="35286"/>
    <cellStyle name="Normal 3 8 20 12" xfId="17870"/>
    <cellStyle name="Normal 3 8 20 12 2" xfId="35287"/>
    <cellStyle name="Normal 3 8 20 13" xfId="17871"/>
    <cellStyle name="Normal 3 8 20 13 2" xfId="35288"/>
    <cellStyle name="Normal 3 8 20 14" xfId="17872"/>
    <cellStyle name="Normal 3 8 20 14 2" xfId="35289"/>
    <cellStyle name="Normal 3 8 20 15" xfId="35284"/>
    <cellStyle name="Normal 3 8 20 2" xfId="17873"/>
    <cellStyle name="Normal 3 8 20 2 2" xfId="35290"/>
    <cellStyle name="Normal 3 8 20 3" xfId="17874"/>
    <cellStyle name="Normal 3 8 20 3 2" xfId="35291"/>
    <cellStyle name="Normal 3 8 20 4" xfId="17875"/>
    <cellStyle name="Normal 3 8 20 4 2" xfId="35292"/>
    <cellStyle name="Normal 3 8 20 5" xfId="17876"/>
    <cellStyle name="Normal 3 8 20 5 2" xfId="35293"/>
    <cellStyle name="Normal 3 8 20 6" xfId="17877"/>
    <cellStyle name="Normal 3 8 20 6 2" xfId="35294"/>
    <cellStyle name="Normal 3 8 20 7" xfId="17878"/>
    <cellStyle name="Normal 3 8 20 7 2" xfId="35295"/>
    <cellStyle name="Normal 3 8 20 8" xfId="17879"/>
    <cellStyle name="Normal 3 8 20 8 2" xfId="35296"/>
    <cellStyle name="Normal 3 8 20 9" xfId="17880"/>
    <cellStyle name="Normal 3 8 20 9 2" xfId="35297"/>
    <cellStyle name="Normal 3 8 21" xfId="17881"/>
    <cellStyle name="Normal 3 8 21 10" xfId="17882"/>
    <cellStyle name="Normal 3 8 21 10 2" xfId="35299"/>
    <cellStyle name="Normal 3 8 21 11" xfId="17883"/>
    <cellStyle name="Normal 3 8 21 11 2" xfId="35300"/>
    <cellStyle name="Normal 3 8 21 12" xfId="17884"/>
    <cellStyle name="Normal 3 8 21 12 2" xfId="35301"/>
    <cellStyle name="Normal 3 8 21 13" xfId="17885"/>
    <cellStyle name="Normal 3 8 21 13 2" xfId="35302"/>
    <cellStyle name="Normal 3 8 21 14" xfId="17886"/>
    <cellStyle name="Normal 3 8 21 14 2" xfId="35303"/>
    <cellStyle name="Normal 3 8 21 15" xfId="35298"/>
    <cellStyle name="Normal 3 8 21 2" xfId="17887"/>
    <cellStyle name="Normal 3 8 21 2 2" xfId="35304"/>
    <cellStyle name="Normal 3 8 21 3" xfId="17888"/>
    <cellStyle name="Normal 3 8 21 3 2" xfId="35305"/>
    <cellStyle name="Normal 3 8 21 4" xfId="17889"/>
    <cellStyle name="Normal 3 8 21 4 2" xfId="35306"/>
    <cellStyle name="Normal 3 8 21 5" xfId="17890"/>
    <cellStyle name="Normal 3 8 21 5 2" xfId="35307"/>
    <cellStyle name="Normal 3 8 21 6" xfId="17891"/>
    <cellStyle name="Normal 3 8 21 6 2" xfId="35308"/>
    <cellStyle name="Normal 3 8 21 7" xfId="17892"/>
    <cellStyle name="Normal 3 8 21 7 2" xfId="35309"/>
    <cellStyle name="Normal 3 8 21 8" xfId="17893"/>
    <cellStyle name="Normal 3 8 21 8 2" xfId="35310"/>
    <cellStyle name="Normal 3 8 21 9" xfId="17894"/>
    <cellStyle name="Normal 3 8 21 9 2" xfId="35311"/>
    <cellStyle name="Normal 3 8 22" xfId="17895"/>
    <cellStyle name="Normal 3 8 22 10" xfId="17896"/>
    <cellStyle name="Normal 3 8 22 10 2" xfId="35313"/>
    <cellStyle name="Normal 3 8 22 11" xfId="17897"/>
    <cellStyle name="Normal 3 8 22 11 2" xfId="35314"/>
    <cellStyle name="Normal 3 8 22 12" xfId="17898"/>
    <cellStyle name="Normal 3 8 22 12 2" xfId="35315"/>
    <cellStyle name="Normal 3 8 22 13" xfId="17899"/>
    <cellStyle name="Normal 3 8 22 13 2" xfId="35316"/>
    <cellStyle name="Normal 3 8 22 14" xfId="17900"/>
    <cellStyle name="Normal 3 8 22 14 2" xfId="35317"/>
    <cellStyle name="Normal 3 8 22 15" xfId="35312"/>
    <cellStyle name="Normal 3 8 22 2" xfId="17901"/>
    <cellStyle name="Normal 3 8 22 2 2" xfId="35318"/>
    <cellStyle name="Normal 3 8 22 3" xfId="17902"/>
    <cellStyle name="Normal 3 8 22 3 2" xfId="35319"/>
    <cellStyle name="Normal 3 8 22 4" xfId="17903"/>
    <cellStyle name="Normal 3 8 22 4 2" xfId="35320"/>
    <cellStyle name="Normal 3 8 22 5" xfId="17904"/>
    <cellStyle name="Normal 3 8 22 5 2" xfId="35321"/>
    <cellStyle name="Normal 3 8 22 6" xfId="17905"/>
    <cellStyle name="Normal 3 8 22 6 2" xfId="35322"/>
    <cellStyle name="Normal 3 8 22 7" xfId="17906"/>
    <cellStyle name="Normal 3 8 22 7 2" xfId="35323"/>
    <cellStyle name="Normal 3 8 22 8" xfId="17907"/>
    <cellStyle name="Normal 3 8 22 8 2" xfId="35324"/>
    <cellStyle name="Normal 3 8 22 9" xfId="17908"/>
    <cellStyle name="Normal 3 8 22 9 2" xfId="35325"/>
    <cellStyle name="Normal 3 8 23" xfId="17909"/>
    <cellStyle name="Normal 3 8 24" xfId="17910"/>
    <cellStyle name="Normal 3 8 25" xfId="17911"/>
    <cellStyle name="Normal 3 8 25 10" xfId="17912"/>
    <cellStyle name="Normal 3 8 25 10 2" xfId="35327"/>
    <cellStyle name="Normal 3 8 25 11" xfId="17913"/>
    <cellStyle name="Normal 3 8 25 11 2" xfId="35328"/>
    <cellStyle name="Normal 3 8 25 12" xfId="17914"/>
    <cellStyle name="Normal 3 8 25 12 2" xfId="35329"/>
    <cellStyle name="Normal 3 8 25 13" xfId="17915"/>
    <cellStyle name="Normal 3 8 25 13 2" xfId="35330"/>
    <cellStyle name="Normal 3 8 25 14" xfId="17916"/>
    <cellStyle name="Normal 3 8 25 14 2" xfId="35331"/>
    <cellStyle name="Normal 3 8 25 15" xfId="35326"/>
    <cellStyle name="Normal 3 8 25 2" xfId="17917"/>
    <cellStyle name="Normal 3 8 25 2 2" xfId="35332"/>
    <cellStyle name="Normal 3 8 25 3" xfId="17918"/>
    <cellStyle name="Normal 3 8 25 3 2" xfId="35333"/>
    <cellStyle name="Normal 3 8 25 4" xfId="17919"/>
    <cellStyle name="Normal 3 8 25 4 2" xfId="35334"/>
    <cellStyle name="Normal 3 8 25 5" xfId="17920"/>
    <cellStyle name="Normal 3 8 25 5 2" xfId="35335"/>
    <cellStyle name="Normal 3 8 25 6" xfId="17921"/>
    <cellStyle name="Normal 3 8 25 6 2" xfId="35336"/>
    <cellStyle name="Normal 3 8 25 7" xfId="17922"/>
    <cellStyle name="Normal 3 8 25 7 2" xfId="35337"/>
    <cellStyle name="Normal 3 8 25 8" xfId="17923"/>
    <cellStyle name="Normal 3 8 25 8 2" xfId="35338"/>
    <cellStyle name="Normal 3 8 25 9" xfId="17924"/>
    <cellStyle name="Normal 3 8 25 9 2" xfId="35339"/>
    <cellStyle name="Normal 3 8 26" xfId="17925"/>
    <cellStyle name="Normal 3 8 26 10" xfId="17926"/>
    <cellStyle name="Normal 3 8 26 10 2" xfId="35341"/>
    <cellStyle name="Normal 3 8 26 11" xfId="17927"/>
    <cellStyle name="Normal 3 8 26 11 2" xfId="35342"/>
    <cellStyle name="Normal 3 8 26 12" xfId="17928"/>
    <cellStyle name="Normal 3 8 26 12 2" xfId="35343"/>
    <cellStyle name="Normal 3 8 26 13" xfId="17929"/>
    <cellStyle name="Normal 3 8 26 13 2" xfId="35344"/>
    <cellStyle name="Normal 3 8 26 14" xfId="17930"/>
    <cellStyle name="Normal 3 8 26 14 2" xfId="35345"/>
    <cellStyle name="Normal 3 8 26 15" xfId="35340"/>
    <cellStyle name="Normal 3 8 26 2" xfId="17931"/>
    <cellStyle name="Normal 3 8 26 2 2" xfId="35346"/>
    <cellStyle name="Normal 3 8 26 3" xfId="17932"/>
    <cellStyle name="Normal 3 8 26 3 2" xfId="35347"/>
    <cellStyle name="Normal 3 8 26 4" xfId="17933"/>
    <cellStyle name="Normal 3 8 26 4 2" xfId="35348"/>
    <cellStyle name="Normal 3 8 26 5" xfId="17934"/>
    <cellStyle name="Normal 3 8 26 5 2" xfId="35349"/>
    <cellStyle name="Normal 3 8 26 6" xfId="17935"/>
    <cellStyle name="Normal 3 8 26 6 2" xfId="35350"/>
    <cellStyle name="Normal 3 8 26 7" xfId="17936"/>
    <cellStyle name="Normal 3 8 26 7 2" xfId="35351"/>
    <cellStyle name="Normal 3 8 26 8" xfId="17937"/>
    <cellStyle name="Normal 3 8 26 8 2" xfId="35352"/>
    <cellStyle name="Normal 3 8 26 9" xfId="17938"/>
    <cellStyle name="Normal 3 8 26 9 2" xfId="35353"/>
    <cellStyle name="Normal 3 8 3" xfId="17939"/>
    <cellStyle name="Normal 3 8 4" xfId="17940"/>
    <cellStyle name="Normal 3 8 5" xfId="17941"/>
    <cellStyle name="Normal 3 8 6" xfId="17942"/>
    <cellStyle name="Normal 3 8 7" xfId="17943"/>
    <cellStyle name="Normal 3 8 8" xfId="17944"/>
    <cellStyle name="Normal 3 8 9" xfId="17945"/>
    <cellStyle name="Normal 3 9" xfId="17946"/>
    <cellStyle name="Normal 3 9 10" xfId="17947"/>
    <cellStyle name="Normal 3 9 11" xfId="17948"/>
    <cellStyle name="Normal 3 9 11 10" xfId="17949"/>
    <cellStyle name="Normal 3 9 11 10 2" xfId="35355"/>
    <cellStyle name="Normal 3 9 11 11" xfId="17950"/>
    <cellStyle name="Normal 3 9 11 11 2" xfId="35356"/>
    <cellStyle name="Normal 3 9 11 12" xfId="17951"/>
    <cellStyle name="Normal 3 9 11 12 2" xfId="35357"/>
    <cellStyle name="Normal 3 9 11 13" xfId="17952"/>
    <cellStyle name="Normal 3 9 11 13 2" xfId="35358"/>
    <cellStyle name="Normal 3 9 11 14" xfId="17953"/>
    <cellStyle name="Normal 3 9 11 14 2" xfId="35359"/>
    <cellStyle name="Normal 3 9 11 15" xfId="17954"/>
    <cellStyle name="Normal 3 9 11 15 2" xfId="35360"/>
    <cellStyle name="Normal 3 9 11 16" xfId="17955"/>
    <cellStyle name="Normal 3 9 11 16 2" xfId="35361"/>
    <cellStyle name="Normal 3 9 11 17" xfId="17956"/>
    <cellStyle name="Normal 3 9 11 17 2" xfId="35362"/>
    <cellStyle name="Normal 3 9 11 18" xfId="35354"/>
    <cellStyle name="Normal 3 9 11 2" xfId="17957"/>
    <cellStyle name="Normal 3 9 11 3" xfId="17958"/>
    <cellStyle name="Normal 3 9 11 4" xfId="17959"/>
    <cellStyle name="Normal 3 9 11 5" xfId="17960"/>
    <cellStyle name="Normal 3 9 11 5 2" xfId="35363"/>
    <cellStyle name="Normal 3 9 11 6" xfId="17961"/>
    <cellStyle name="Normal 3 9 11 6 2" xfId="35364"/>
    <cellStyle name="Normal 3 9 11 7" xfId="17962"/>
    <cellStyle name="Normal 3 9 11 7 2" xfId="35365"/>
    <cellStyle name="Normal 3 9 11 8" xfId="17963"/>
    <cellStyle name="Normal 3 9 11 8 2" xfId="35366"/>
    <cellStyle name="Normal 3 9 11 9" xfId="17964"/>
    <cellStyle name="Normal 3 9 11 9 2" xfId="35367"/>
    <cellStyle name="Normal 3 9 12" xfId="17965"/>
    <cellStyle name="Normal 3 9 13" xfId="17966"/>
    <cellStyle name="Normal 3 9 14" xfId="17967"/>
    <cellStyle name="Normal 3 9 14 10" xfId="17968"/>
    <cellStyle name="Normal 3 9 14 10 2" xfId="35369"/>
    <cellStyle name="Normal 3 9 14 11" xfId="17969"/>
    <cellStyle name="Normal 3 9 14 11 2" xfId="35370"/>
    <cellStyle name="Normal 3 9 14 12" xfId="17970"/>
    <cellStyle name="Normal 3 9 14 12 2" xfId="35371"/>
    <cellStyle name="Normal 3 9 14 13" xfId="17971"/>
    <cellStyle name="Normal 3 9 14 13 2" xfId="35372"/>
    <cellStyle name="Normal 3 9 14 14" xfId="17972"/>
    <cellStyle name="Normal 3 9 14 14 2" xfId="35373"/>
    <cellStyle name="Normal 3 9 14 15" xfId="17973"/>
    <cellStyle name="Normal 3 9 14 15 2" xfId="35374"/>
    <cellStyle name="Normal 3 9 14 16" xfId="35368"/>
    <cellStyle name="Normal 3 9 14 2" xfId="17974"/>
    <cellStyle name="Normal 3 9 14 2 10" xfId="17975"/>
    <cellStyle name="Normal 3 9 14 2 10 2" xfId="35376"/>
    <cellStyle name="Normal 3 9 14 2 11" xfId="17976"/>
    <cellStyle name="Normal 3 9 14 2 11 2" xfId="35377"/>
    <cellStyle name="Normal 3 9 14 2 12" xfId="17977"/>
    <cellStyle name="Normal 3 9 14 2 12 2" xfId="35378"/>
    <cellStyle name="Normal 3 9 14 2 13" xfId="17978"/>
    <cellStyle name="Normal 3 9 14 2 13 2" xfId="35379"/>
    <cellStyle name="Normal 3 9 14 2 14" xfId="17979"/>
    <cellStyle name="Normal 3 9 14 2 14 2" xfId="35380"/>
    <cellStyle name="Normal 3 9 14 2 15" xfId="35375"/>
    <cellStyle name="Normal 3 9 14 2 2" xfId="17980"/>
    <cellStyle name="Normal 3 9 14 2 2 2" xfId="35381"/>
    <cellStyle name="Normal 3 9 14 2 3" xfId="17981"/>
    <cellStyle name="Normal 3 9 14 2 3 2" xfId="35382"/>
    <cellStyle name="Normal 3 9 14 2 4" xfId="17982"/>
    <cellStyle name="Normal 3 9 14 2 4 2" xfId="35383"/>
    <cellStyle name="Normal 3 9 14 2 5" xfId="17983"/>
    <cellStyle name="Normal 3 9 14 2 5 2" xfId="35384"/>
    <cellStyle name="Normal 3 9 14 2 6" xfId="17984"/>
    <cellStyle name="Normal 3 9 14 2 6 2" xfId="35385"/>
    <cellStyle name="Normal 3 9 14 2 7" xfId="17985"/>
    <cellStyle name="Normal 3 9 14 2 7 2" xfId="35386"/>
    <cellStyle name="Normal 3 9 14 2 8" xfId="17986"/>
    <cellStyle name="Normal 3 9 14 2 8 2" xfId="35387"/>
    <cellStyle name="Normal 3 9 14 2 9" xfId="17987"/>
    <cellStyle name="Normal 3 9 14 2 9 2" xfId="35388"/>
    <cellStyle name="Normal 3 9 14 3" xfId="17988"/>
    <cellStyle name="Normal 3 9 14 3 2" xfId="35389"/>
    <cellStyle name="Normal 3 9 14 4" xfId="17989"/>
    <cellStyle name="Normal 3 9 14 4 2" xfId="35390"/>
    <cellStyle name="Normal 3 9 14 5" xfId="17990"/>
    <cellStyle name="Normal 3 9 14 5 2" xfId="35391"/>
    <cellStyle name="Normal 3 9 14 6" xfId="17991"/>
    <cellStyle name="Normal 3 9 14 6 2" xfId="35392"/>
    <cellStyle name="Normal 3 9 14 7" xfId="17992"/>
    <cellStyle name="Normal 3 9 14 7 2" xfId="35393"/>
    <cellStyle name="Normal 3 9 14 8" xfId="17993"/>
    <cellStyle name="Normal 3 9 14 8 2" xfId="35394"/>
    <cellStyle name="Normal 3 9 14 9" xfId="17994"/>
    <cellStyle name="Normal 3 9 14 9 2" xfId="35395"/>
    <cellStyle name="Normal 3 9 15" xfId="17995"/>
    <cellStyle name="Normal 3 9 15 10" xfId="17996"/>
    <cellStyle name="Normal 3 9 15 10 2" xfId="35397"/>
    <cellStyle name="Normal 3 9 15 11" xfId="17997"/>
    <cellStyle name="Normal 3 9 15 11 2" xfId="35398"/>
    <cellStyle name="Normal 3 9 15 12" xfId="17998"/>
    <cellStyle name="Normal 3 9 15 12 2" xfId="35399"/>
    <cellStyle name="Normal 3 9 15 13" xfId="17999"/>
    <cellStyle name="Normal 3 9 15 13 2" xfId="35400"/>
    <cellStyle name="Normal 3 9 15 14" xfId="18000"/>
    <cellStyle name="Normal 3 9 15 14 2" xfId="35401"/>
    <cellStyle name="Normal 3 9 15 15" xfId="18001"/>
    <cellStyle name="Normal 3 9 15 15 2" xfId="35402"/>
    <cellStyle name="Normal 3 9 15 16" xfId="35396"/>
    <cellStyle name="Normal 3 9 15 2" xfId="18002"/>
    <cellStyle name="Normal 3 9 15 2 10" xfId="18003"/>
    <cellStyle name="Normal 3 9 15 2 10 2" xfId="35404"/>
    <cellStyle name="Normal 3 9 15 2 11" xfId="18004"/>
    <cellStyle name="Normal 3 9 15 2 11 2" xfId="35405"/>
    <cellStyle name="Normal 3 9 15 2 12" xfId="18005"/>
    <cellStyle name="Normal 3 9 15 2 12 2" xfId="35406"/>
    <cellStyle name="Normal 3 9 15 2 13" xfId="18006"/>
    <cellStyle name="Normal 3 9 15 2 13 2" xfId="35407"/>
    <cellStyle name="Normal 3 9 15 2 14" xfId="18007"/>
    <cellStyle name="Normal 3 9 15 2 14 2" xfId="35408"/>
    <cellStyle name="Normal 3 9 15 2 15" xfId="35403"/>
    <cellStyle name="Normal 3 9 15 2 2" xfId="18008"/>
    <cellStyle name="Normal 3 9 15 2 2 2" xfId="35409"/>
    <cellStyle name="Normal 3 9 15 2 3" xfId="18009"/>
    <cellStyle name="Normal 3 9 15 2 3 2" xfId="35410"/>
    <cellStyle name="Normal 3 9 15 2 4" xfId="18010"/>
    <cellStyle name="Normal 3 9 15 2 4 2" xfId="35411"/>
    <cellStyle name="Normal 3 9 15 2 5" xfId="18011"/>
    <cellStyle name="Normal 3 9 15 2 5 2" xfId="35412"/>
    <cellStyle name="Normal 3 9 15 2 6" xfId="18012"/>
    <cellStyle name="Normal 3 9 15 2 6 2" xfId="35413"/>
    <cellStyle name="Normal 3 9 15 2 7" xfId="18013"/>
    <cellStyle name="Normal 3 9 15 2 7 2" xfId="35414"/>
    <cellStyle name="Normal 3 9 15 2 8" xfId="18014"/>
    <cellStyle name="Normal 3 9 15 2 8 2" xfId="35415"/>
    <cellStyle name="Normal 3 9 15 2 9" xfId="18015"/>
    <cellStyle name="Normal 3 9 15 2 9 2" xfId="35416"/>
    <cellStyle name="Normal 3 9 15 3" xfId="18016"/>
    <cellStyle name="Normal 3 9 15 3 2" xfId="35417"/>
    <cellStyle name="Normal 3 9 15 4" xfId="18017"/>
    <cellStyle name="Normal 3 9 15 4 2" xfId="35418"/>
    <cellStyle name="Normal 3 9 15 5" xfId="18018"/>
    <cellStyle name="Normal 3 9 15 5 2" xfId="35419"/>
    <cellStyle name="Normal 3 9 15 6" xfId="18019"/>
    <cellStyle name="Normal 3 9 15 6 2" xfId="35420"/>
    <cellStyle name="Normal 3 9 15 7" xfId="18020"/>
    <cellStyle name="Normal 3 9 15 7 2" xfId="35421"/>
    <cellStyle name="Normal 3 9 15 8" xfId="18021"/>
    <cellStyle name="Normal 3 9 15 8 2" xfId="35422"/>
    <cellStyle name="Normal 3 9 15 9" xfId="18022"/>
    <cellStyle name="Normal 3 9 15 9 2" xfId="35423"/>
    <cellStyle name="Normal 3 9 16" xfId="18023"/>
    <cellStyle name="Normal 3 9 16 10" xfId="18024"/>
    <cellStyle name="Normal 3 9 16 10 2" xfId="35425"/>
    <cellStyle name="Normal 3 9 16 11" xfId="18025"/>
    <cellStyle name="Normal 3 9 16 11 2" xfId="35426"/>
    <cellStyle name="Normal 3 9 16 12" xfId="18026"/>
    <cellStyle name="Normal 3 9 16 12 2" xfId="35427"/>
    <cellStyle name="Normal 3 9 16 13" xfId="18027"/>
    <cellStyle name="Normal 3 9 16 13 2" xfId="35428"/>
    <cellStyle name="Normal 3 9 16 14" xfId="18028"/>
    <cellStyle name="Normal 3 9 16 14 2" xfId="35429"/>
    <cellStyle name="Normal 3 9 16 15" xfId="18029"/>
    <cellStyle name="Normal 3 9 16 15 2" xfId="35430"/>
    <cellStyle name="Normal 3 9 16 16" xfId="35424"/>
    <cellStyle name="Normal 3 9 16 2" xfId="18030"/>
    <cellStyle name="Normal 3 9 16 2 10" xfId="18031"/>
    <cellStyle name="Normal 3 9 16 2 10 2" xfId="35432"/>
    <cellStyle name="Normal 3 9 16 2 11" xfId="18032"/>
    <cellStyle name="Normal 3 9 16 2 11 2" xfId="35433"/>
    <cellStyle name="Normal 3 9 16 2 12" xfId="18033"/>
    <cellStyle name="Normal 3 9 16 2 12 2" xfId="35434"/>
    <cellStyle name="Normal 3 9 16 2 13" xfId="18034"/>
    <cellStyle name="Normal 3 9 16 2 13 2" xfId="35435"/>
    <cellStyle name="Normal 3 9 16 2 14" xfId="18035"/>
    <cellStyle name="Normal 3 9 16 2 14 2" xfId="35436"/>
    <cellStyle name="Normal 3 9 16 2 15" xfId="35431"/>
    <cellStyle name="Normal 3 9 16 2 2" xfId="18036"/>
    <cellStyle name="Normal 3 9 16 2 2 2" xfId="35437"/>
    <cellStyle name="Normal 3 9 16 2 3" xfId="18037"/>
    <cellStyle name="Normal 3 9 16 2 3 2" xfId="35438"/>
    <cellStyle name="Normal 3 9 16 2 4" xfId="18038"/>
    <cellStyle name="Normal 3 9 16 2 4 2" xfId="35439"/>
    <cellStyle name="Normal 3 9 16 2 5" xfId="18039"/>
    <cellStyle name="Normal 3 9 16 2 5 2" xfId="35440"/>
    <cellStyle name="Normal 3 9 16 2 6" xfId="18040"/>
    <cellStyle name="Normal 3 9 16 2 6 2" xfId="35441"/>
    <cellStyle name="Normal 3 9 16 2 7" xfId="18041"/>
    <cellStyle name="Normal 3 9 16 2 7 2" xfId="35442"/>
    <cellStyle name="Normal 3 9 16 2 8" xfId="18042"/>
    <cellStyle name="Normal 3 9 16 2 8 2" xfId="35443"/>
    <cellStyle name="Normal 3 9 16 2 9" xfId="18043"/>
    <cellStyle name="Normal 3 9 16 2 9 2" xfId="35444"/>
    <cellStyle name="Normal 3 9 16 3" xfId="18044"/>
    <cellStyle name="Normal 3 9 16 3 2" xfId="35445"/>
    <cellStyle name="Normal 3 9 16 4" xfId="18045"/>
    <cellStyle name="Normal 3 9 16 4 2" xfId="35446"/>
    <cellStyle name="Normal 3 9 16 5" xfId="18046"/>
    <cellStyle name="Normal 3 9 16 5 2" xfId="35447"/>
    <cellStyle name="Normal 3 9 16 6" xfId="18047"/>
    <cellStyle name="Normal 3 9 16 6 2" xfId="35448"/>
    <cellStyle name="Normal 3 9 16 7" xfId="18048"/>
    <cellStyle name="Normal 3 9 16 7 2" xfId="35449"/>
    <cellStyle name="Normal 3 9 16 8" xfId="18049"/>
    <cellStyle name="Normal 3 9 16 8 2" xfId="35450"/>
    <cellStyle name="Normal 3 9 16 9" xfId="18050"/>
    <cellStyle name="Normal 3 9 16 9 2" xfId="35451"/>
    <cellStyle name="Normal 3 9 17" xfId="18051"/>
    <cellStyle name="Normal 3 9 17 10" xfId="18052"/>
    <cellStyle name="Normal 3 9 17 10 2" xfId="35453"/>
    <cellStyle name="Normal 3 9 17 11" xfId="18053"/>
    <cellStyle name="Normal 3 9 17 11 2" xfId="35454"/>
    <cellStyle name="Normal 3 9 17 12" xfId="18054"/>
    <cellStyle name="Normal 3 9 17 12 2" xfId="35455"/>
    <cellStyle name="Normal 3 9 17 13" xfId="18055"/>
    <cellStyle name="Normal 3 9 17 13 2" xfId="35456"/>
    <cellStyle name="Normal 3 9 17 14" xfId="18056"/>
    <cellStyle name="Normal 3 9 17 14 2" xfId="35457"/>
    <cellStyle name="Normal 3 9 17 15" xfId="35452"/>
    <cellStyle name="Normal 3 9 17 2" xfId="18057"/>
    <cellStyle name="Normal 3 9 17 2 2" xfId="35458"/>
    <cellStyle name="Normal 3 9 17 3" xfId="18058"/>
    <cellStyle name="Normal 3 9 17 3 2" xfId="35459"/>
    <cellStyle name="Normal 3 9 17 4" xfId="18059"/>
    <cellStyle name="Normal 3 9 17 4 2" xfId="35460"/>
    <cellStyle name="Normal 3 9 17 5" xfId="18060"/>
    <cellStyle name="Normal 3 9 17 5 2" xfId="35461"/>
    <cellStyle name="Normal 3 9 17 6" xfId="18061"/>
    <cellStyle name="Normal 3 9 17 6 2" xfId="35462"/>
    <cellStyle name="Normal 3 9 17 7" xfId="18062"/>
    <cellStyle name="Normal 3 9 17 7 2" xfId="35463"/>
    <cellStyle name="Normal 3 9 17 8" xfId="18063"/>
    <cellStyle name="Normal 3 9 17 8 2" xfId="35464"/>
    <cellStyle name="Normal 3 9 17 9" xfId="18064"/>
    <cellStyle name="Normal 3 9 17 9 2" xfId="35465"/>
    <cellStyle name="Normal 3 9 18" xfId="18065"/>
    <cellStyle name="Normal 3 9 18 10" xfId="18066"/>
    <cellStyle name="Normal 3 9 18 10 2" xfId="35467"/>
    <cellStyle name="Normal 3 9 18 11" xfId="18067"/>
    <cellStyle name="Normal 3 9 18 11 2" xfId="35468"/>
    <cellStyle name="Normal 3 9 18 12" xfId="18068"/>
    <cellStyle name="Normal 3 9 18 12 2" xfId="35469"/>
    <cellStyle name="Normal 3 9 18 13" xfId="18069"/>
    <cellStyle name="Normal 3 9 18 13 2" xfId="35470"/>
    <cellStyle name="Normal 3 9 18 14" xfId="18070"/>
    <cellStyle name="Normal 3 9 18 14 2" xfId="35471"/>
    <cellStyle name="Normal 3 9 18 15" xfId="35466"/>
    <cellStyle name="Normal 3 9 18 2" xfId="18071"/>
    <cellStyle name="Normal 3 9 18 2 2" xfId="35472"/>
    <cellStyle name="Normal 3 9 18 3" xfId="18072"/>
    <cellStyle name="Normal 3 9 18 3 2" xfId="35473"/>
    <cellStyle name="Normal 3 9 18 4" xfId="18073"/>
    <cellStyle name="Normal 3 9 18 4 2" xfId="35474"/>
    <cellStyle name="Normal 3 9 18 5" xfId="18074"/>
    <cellStyle name="Normal 3 9 18 5 2" xfId="35475"/>
    <cellStyle name="Normal 3 9 18 6" xfId="18075"/>
    <cellStyle name="Normal 3 9 18 6 2" xfId="35476"/>
    <cellStyle name="Normal 3 9 18 7" xfId="18076"/>
    <cellStyle name="Normal 3 9 18 7 2" xfId="35477"/>
    <cellStyle name="Normal 3 9 18 8" xfId="18077"/>
    <cellStyle name="Normal 3 9 18 8 2" xfId="35478"/>
    <cellStyle name="Normal 3 9 18 9" xfId="18078"/>
    <cellStyle name="Normal 3 9 18 9 2" xfId="35479"/>
    <cellStyle name="Normal 3 9 19" xfId="18079"/>
    <cellStyle name="Normal 3 9 19 10" xfId="18080"/>
    <cellStyle name="Normal 3 9 19 10 2" xfId="35481"/>
    <cellStyle name="Normal 3 9 19 11" xfId="18081"/>
    <cellStyle name="Normal 3 9 19 11 2" xfId="35482"/>
    <cellStyle name="Normal 3 9 19 12" xfId="18082"/>
    <cellStyle name="Normal 3 9 19 12 2" xfId="35483"/>
    <cellStyle name="Normal 3 9 19 13" xfId="18083"/>
    <cellStyle name="Normal 3 9 19 13 2" xfId="35484"/>
    <cellStyle name="Normal 3 9 19 14" xfId="18084"/>
    <cellStyle name="Normal 3 9 19 14 2" xfId="35485"/>
    <cellStyle name="Normal 3 9 19 15" xfId="35480"/>
    <cellStyle name="Normal 3 9 19 2" xfId="18085"/>
    <cellStyle name="Normal 3 9 19 2 2" xfId="35486"/>
    <cellStyle name="Normal 3 9 19 3" xfId="18086"/>
    <cellStyle name="Normal 3 9 19 3 2" xfId="35487"/>
    <cellStyle name="Normal 3 9 19 4" xfId="18087"/>
    <cellStyle name="Normal 3 9 19 4 2" xfId="35488"/>
    <cellStyle name="Normal 3 9 19 5" xfId="18088"/>
    <cellStyle name="Normal 3 9 19 5 2" xfId="35489"/>
    <cellStyle name="Normal 3 9 19 6" xfId="18089"/>
    <cellStyle name="Normal 3 9 19 6 2" xfId="35490"/>
    <cellStyle name="Normal 3 9 19 7" xfId="18090"/>
    <cellStyle name="Normal 3 9 19 7 2" xfId="35491"/>
    <cellStyle name="Normal 3 9 19 8" xfId="18091"/>
    <cellStyle name="Normal 3 9 19 8 2" xfId="35492"/>
    <cellStyle name="Normal 3 9 19 9" xfId="18092"/>
    <cellStyle name="Normal 3 9 19 9 2" xfId="35493"/>
    <cellStyle name="Normal 3 9 2" xfId="18093"/>
    <cellStyle name="Normal 3 9 20" xfId="18094"/>
    <cellStyle name="Normal 3 9 20 10" xfId="18095"/>
    <cellStyle name="Normal 3 9 20 10 2" xfId="35495"/>
    <cellStyle name="Normal 3 9 20 11" xfId="18096"/>
    <cellStyle name="Normal 3 9 20 11 2" xfId="35496"/>
    <cellStyle name="Normal 3 9 20 12" xfId="18097"/>
    <cellStyle name="Normal 3 9 20 12 2" xfId="35497"/>
    <cellStyle name="Normal 3 9 20 13" xfId="18098"/>
    <cellStyle name="Normal 3 9 20 13 2" xfId="35498"/>
    <cellStyle name="Normal 3 9 20 14" xfId="18099"/>
    <cellStyle name="Normal 3 9 20 14 2" xfId="35499"/>
    <cellStyle name="Normal 3 9 20 15" xfId="35494"/>
    <cellStyle name="Normal 3 9 20 2" xfId="18100"/>
    <cellStyle name="Normal 3 9 20 2 2" xfId="35500"/>
    <cellStyle name="Normal 3 9 20 3" xfId="18101"/>
    <cellStyle name="Normal 3 9 20 3 2" xfId="35501"/>
    <cellStyle name="Normal 3 9 20 4" xfId="18102"/>
    <cellStyle name="Normal 3 9 20 4 2" xfId="35502"/>
    <cellStyle name="Normal 3 9 20 5" xfId="18103"/>
    <cellStyle name="Normal 3 9 20 5 2" xfId="35503"/>
    <cellStyle name="Normal 3 9 20 6" xfId="18104"/>
    <cellStyle name="Normal 3 9 20 6 2" xfId="35504"/>
    <cellStyle name="Normal 3 9 20 7" xfId="18105"/>
    <cellStyle name="Normal 3 9 20 7 2" xfId="35505"/>
    <cellStyle name="Normal 3 9 20 8" xfId="18106"/>
    <cellStyle name="Normal 3 9 20 8 2" xfId="35506"/>
    <cellStyle name="Normal 3 9 20 9" xfId="18107"/>
    <cellStyle name="Normal 3 9 20 9 2" xfId="35507"/>
    <cellStyle name="Normal 3 9 21" xfId="18108"/>
    <cellStyle name="Normal 3 9 21 10" xfId="18109"/>
    <cellStyle name="Normal 3 9 21 10 2" xfId="35509"/>
    <cellStyle name="Normal 3 9 21 11" xfId="18110"/>
    <cellStyle name="Normal 3 9 21 11 2" xfId="35510"/>
    <cellStyle name="Normal 3 9 21 12" xfId="18111"/>
    <cellStyle name="Normal 3 9 21 12 2" xfId="35511"/>
    <cellStyle name="Normal 3 9 21 13" xfId="18112"/>
    <cellStyle name="Normal 3 9 21 13 2" xfId="35512"/>
    <cellStyle name="Normal 3 9 21 14" xfId="18113"/>
    <cellStyle name="Normal 3 9 21 14 2" xfId="35513"/>
    <cellStyle name="Normal 3 9 21 15" xfId="35508"/>
    <cellStyle name="Normal 3 9 21 2" xfId="18114"/>
    <cellStyle name="Normal 3 9 21 2 2" xfId="35514"/>
    <cellStyle name="Normal 3 9 21 3" xfId="18115"/>
    <cellStyle name="Normal 3 9 21 3 2" xfId="35515"/>
    <cellStyle name="Normal 3 9 21 4" xfId="18116"/>
    <cellStyle name="Normal 3 9 21 4 2" xfId="35516"/>
    <cellStyle name="Normal 3 9 21 5" xfId="18117"/>
    <cellStyle name="Normal 3 9 21 5 2" xfId="35517"/>
    <cellStyle name="Normal 3 9 21 6" xfId="18118"/>
    <cellStyle name="Normal 3 9 21 6 2" xfId="35518"/>
    <cellStyle name="Normal 3 9 21 7" xfId="18119"/>
    <cellStyle name="Normal 3 9 21 7 2" xfId="35519"/>
    <cellStyle name="Normal 3 9 21 8" xfId="18120"/>
    <cellStyle name="Normal 3 9 21 8 2" xfId="35520"/>
    <cellStyle name="Normal 3 9 21 9" xfId="18121"/>
    <cellStyle name="Normal 3 9 21 9 2" xfId="35521"/>
    <cellStyle name="Normal 3 9 22" xfId="18122"/>
    <cellStyle name="Normal 3 9 22 10" xfId="18123"/>
    <cellStyle name="Normal 3 9 22 10 2" xfId="35523"/>
    <cellStyle name="Normal 3 9 22 11" xfId="18124"/>
    <cellStyle name="Normal 3 9 22 11 2" xfId="35524"/>
    <cellStyle name="Normal 3 9 22 12" xfId="18125"/>
    <cellStyle name="Normal 3 9 22 12 2" xfId="35525"/>
    <cellStyle name="Normal 3 9 22 13" xfId="18126"/>
    <cellStyle name="Normal 3 9 22 13 2" xfId="35526"/>
    <cellStyle name="Normal 3 9 22 14" xfId="18127"/>
    <cellStyle name="Normal 3 9 22 14 2" xfId="35527"/>
    <cellStyle name="Normal 3 9 22 15" xfId="35522"/>
    <cellStyle name="Normal 3 9 22 2" xfId="18128"/>
    <cellStyle name="Normal 3 9 22 2 2" xfId="35528"/>
    <cellStyle name="Normal 3 9 22 3" xfId="18129"/>
    <cellStyle name="Normal 3 9 22 3 2" xfId="35529"/>
    <cellStyle name="Normal 3 9 22 4" xfId="18130"/>
    <cellStyle name="Normal 3 9 22 4 2" xfId="35530"/>
    <cellStyle name="Normal 3 9 22 5" xfId="18131"/>
    <cellStyle name="Normal 3 9 22 5 2" xfId="35531"/>
    <cellStyle name="Normal 3 9 22 6" xfId="18132"/>
    <cellStyle name="Normal 3 9 22 6 2" xfId="35532"/>
    <cellStyle name="Normal 3 9 22 7" xfId="18133"/>
    <cellStyle name="Normal 3 9 22 7 2" xfId="35533"/>
    <cellStyle name="Normal 3 9 22 8" xfId="18134"/>
    <cellStyle name="Normal 3 9 22 8 2" xfId="35534"/>
    <cellStyle name="Normal 3 9 22 9" xfId="18135"/>
    <cellStyle name="Normal 3 9 22 9 2" xfId="35535"/>
    <cellStyle name="Normal 3 9 23" xfId="18136"/>
    <cellStyle name="Normal 3 9 24" xfId="18137"/>
    <cellStyle name="Normal 3 9 25" xfId="18138"/>
    <cellStyle name="Normal 3 9 25 10" xfId="18139"/>
    <cellStyle name="Normal 3 9 25 10 2" xfId="35537"/>
    <cellStyle name="Normal 3 9 25 11" xfId="18140"/>
    <cellStyle name="Normal 3 9 25 11 2" xfId="35538"/>
    <cellStyle name="Normal 3 9 25 12" xfId="18141"/>
    <cellStyle name="Normal 3 9 25 12 2" xfId="35539"/>
    <cellStyle name="Normal 3 9 25 13" xfId="18142"/>
    <cellStyle name="Normal 3 9 25 13 2" xfId="35540"/>
    <cellStyle name="Normal 3 9 25 14" xfId="18143"/>
    <cellStyle name="Normal 3 9 25 14 2" xfId="35541"/>
    <cellStyle name="Normal 3 9 25 15" xfId="35536"/>
    <cellStyle name="Normal 3 9 25 2" xfId="18144"/>
    <cellStyle name="Normal 3 9 25 2 2" xfId="35542"/>
    <cellStyle name="Normal 3 9 25 3" xfId="18145"/>
    <cellStyle name="Normal 3 9 25 3 2" xfId="35543"/>
    <cellStyle name="Normal 3 9 25 4" xfId="18146"/>
    <cellStyle name="Normal 3 9 25 4 2" xfId="35544"/>
    <cellStyle name="Normal 3 9 25 5" xfId="18147"/>
    <cellStyle name="Normal 3 9 25 5 2" xfId="35545"/>
    <cellStyle name="Normal 3 9 25 6" xfId="18148"/>
    <cellStyle name="Normal 3 9 25 6 2" xfId="35546"/>
    <cellStyle name="Normal 3 9 25 7" xfId="18149"/>
    <cellStyle name="Normal 3 9 25 7 2" xfId="35547"/>
    <cellStyle name="Normal 3 9 25 8" xfId="18150"/>
    <cellStyle name="Normal 3 9 25 8 2" xfId="35548"/>
    <cellStyle name="Normal 3 9 25 9" xfId="18151"/>
    <cellStyle name="Normal 3 9 25 9 2" xfId="35549"/>
    <cellStyle name="Normal 3 9 26" xfId="18152"/>
    <cellStyle name="Normal 3 9 26 10" xfId="18153"/>
    <cellStyle name="Normal 3 9 26 10 2" xfId="35551"/>
    <cellStyle name="Normal 3 9 26 11" xfId="18154"/>
    <cellStyle name="Normal 3 9 26 11 2" xfId="35552"/>
    <cellStyle name="Normal 3 9 26 12" xfId="18155"/>
    <cellStyle name="Normal 3 9 26 12 2" xfId="35553"/>
    <cellStyle name="Normal 3 9 26 13" xfId="18156"/>
    <cellStyle name="Normal 3 9 26 13 2" xfId="35554"/>
    <cellStyle name="Normal 3 9 26 14" xfId="18157"/>
    <cellStyle name="Normal 3 9 26 14 2" xfId="35555"/>
    <cellStyle name="Normal 3 9 26 15" xfId="35550"/>
    <cellStyle name="Normal 3 9 26 2" xfId="18158"/>
    <cellStyle name="Normal 3 9 26 2 2" xfId="35556"/>
    <cellStyle name="Normal 3 9 26 3" xfId="18159"/>
    <cellStyle name="Normal 3 9 26 3 2" xfId="35557"/>
    <cellStyle name="Normal 3 9 26 4" xfId="18160"/>
    <cellStyle name="Normal 3 9 26 4 2" xfId="35558"/>
    <cellStyle name="Normal 3 9 26 5" xfId="18161"/>
    <cellStyle name="Normal 3 9 26 5 2" xfId="35559"/>
    <cellStyle name="Normal 3 9 26 6" xfId="18162"/>
    <cellStyle name="Normal 3 9 26 6 2" xfId="35560"/>
    <cellStyle name="Normal 3 9 26 7" xfId="18163"/>
    <cellStyle name="Normal 3 9 26 7 2" xfId="35561"/>
    <cellStyle name="Normal 3 9 26 8" xfId="18164"/>
    <cellStyle name="Normal 3 9 26 8 2" xfId="35562"/>
    <cellStyle name="Normal 3 9 26 9" xfId="18165"/>
    <cellStyle name="Normal 3 9 26 9 2" xfId="35563"/>
    <cellStyle name="Normal 3 9 3" xfId="18166"/>
    <cellStyle name="Normal 3 9 4" xfId="18167"/>
    <cellStyle name="Normal 3 9 5" xfId="18168"/>
    <cellStyle name="Normal 3 9 6" xfId="18169"/>
    <cellStyle name="Normal 3 9 7" xfId="18170"/>
    <cellStyle name="Normal 3 9 8" xfId="18171"/>
    <cellStyle name="Normal 3 9 9" xfId="18172"/>
    <cellStyle name="Normal 3_01_ResLighting" xfId="499"/>
    <cellStyle name="Normal 30" xfId="438"/>
    <cellStyle name="Normal 30 2" xfId="18174"/>
    <cellStyle name="Normal 30 2 10" xfId="18175"/>
    <cellStyle name="Normal 30 2 10 10" xfId="18176"/>
    <cellStyle name="Normal 30 2 10 10 2" xfId="35566"/>
    <cellStyle name="Normal 30 2 10 11" xfId="18177"/>
    <cellStyle name="Normal 30 2 10 11 2" xfId="35567"/>
    <cellStyle name="Normal 30 2 10 12" xfId="18178"/>
    <cellStyle name="Normal 30 2 10 12 2" xfId="35568"/>
    <cellStyle name="Normal 30 2 10 13" xfId="18179"/>
    <cellStyle name="Normal 30 2 10 13 2" xfId="35569"/>
    <cellStyle name="Normal 30 2 10 14" xfId="18180"/>
    <cellStyle name="Normal 30 2 10 14 2" xfId="35570"/>
    <cellStyle name="Normal 30 2 10 15" xfId="35565"/>
    <cellStyle name="Normal 30 2 10 2" xfId="18181"/>
    <cellStyle name="Normal 30 2 10 2 2" xfId="35571"/>
    <cellStyle name="Normal 30 2 10 3" xfId="18182"/>
    <cellStyle name="Normal 30 2 10 3 2" xfId="35572"/>
    <cellStyle name="Normal 30 2 10 4" xfId="18183"/>
    <cellStyle name="Normal 30 2 10 4 2" xfId="35573"/>
    <cellStyle name="Normal 30 2 10 5" xfId="18184"/>
    <cellStyle name="Normal 30 2 10 5 2" xfId="35574"/>
    <cellStyle name="Normal 30 2 10 6" xfId="18185"/>
    <cellStyle name="Normal 30 2 10 6 2" xfId="35575"/>
    <cellStyle name="Normal 30 2 10 7" xfId="18186"/>
    <cellStyle name="Normal 30 2 10 7 2" xfId="35576"/>
    <cellStyle name="Normal 30 2 10 8" xfId="18187"/>
    <cellStyle name="Normal 30 2 10 8 2" xfId="35577"/>
    <cellStyle name="Normal 30 2 10 9" xfId="18188"/>
    <cellStyle name="Normal 30 2 10 9 2" xfId="35578"/>
    <cellStyle name="Normal 30 2 11" xfId="18189"/>
    <cellStyle name="Normal 30 2 11 10" xfId="18190"/>
    <cellStyle name="Normal 30 2 11 10 2" xfId="35580"/>
    <cellStyle name="Normal 30 2 11 11" xfId="18191"/>
    <cellStyle name="Normal 30 2 11 11 2" xfId="35581"/>
    <cellStyle name="Normal 30 2 11 12" xfId="18192"/>
    <cellStyle name="Normal 30 2 11 12 2" xfId="35582"/>
    <cellStyle name="Normal 30 2 11 13" xfId="18193"/>
    <cellStyle name="Normal 30 2 11 13 2" xfId="35583"/>
    <cellStyle name="Normal 30 2 11 14" xfId="18194"/>
    <cellStyle name="Normal 30 2 11 14 2" xfId="35584"/>
    <cellStyle name="Normal 30 2 11 15" xfId="35579"/>
    <cellStyle name="Normal 30 2 11 2" xfId="18195"/>
    <cellStyle name="Normal 30 2 11 2 2" xfId="35585"/>
    <cellStyle name="Normal 30 2 11 3" xfId="18196"/>
    <cellStyle name="Normal 30 2 11 3 2" xfId="35586"/>
    <cellStyle name="Normal 30 2 11 4" xfId="18197"/>
    <cellStyle name="Normal 30 2 11 4 2" xfId="35587"/>
    <cellStyle name="Normal 30 2 11 5" xfId="18198"/>
    <cellStyle name="Normal 30 2 11 5 2" xfId="35588"/>
    <cellStyle name="Normal 30 2 11 6" xfId="18199"/>
    <cellStyle name="Normal 30 2 11 6 2" xfId="35589"/>
    <cellStyle name="Normal 30 2 11 7" xfId="18200"/>
    <cellStyle name="Normal 30 2 11 7 2" xfId="35590"/>
    <cellStyle name="Normal 30 2 11 8" xfId="18201"/>
    <cellStyle name="Normal 30 2 11 8 2" xfId="35591"/>
    <cellStyle name="Normal 30 2 11 9" xfId="18202"/>
    <cellStyle name="Normal 30 2 11 9 2" xfId="35592"/>
    <cellStyle name="Normal 30 2 12" xfId="18203"/>
    <cellStyle name="Normal 30 2 12 10" xfId="18204"/>
    <cellStyle name="Normal 30 2 12 10 2" xfId="35594"/>
    <cellStyle name="Normal 30 2 12 11" xfId="18205"/>
    <cellStyle name="Normal 30 2 12 11 2" xfId="35595"/>
    <cellStyle name="Normal 30 2 12 12" xfId="18206"/>
    <cellStyle name="Normal 30 2 12 12 2" xfId="35596"/>
    <cellStyle name="Normal 30 2 12 13" xfId="18207"/>
    <cellStyle name="Normal 30 2 12 13 2" xfId="35597"/>
    <cellStyle name="Normal 30 2 12 14" xfId="18208"/>
    <cellStyle name="Normal 30 2 12 14 2" xfId="35598"/>
    <cellStyle name="Normal 30 2 12 15" xfId="35593"/>
    <cellStyle name="Normal 30 2 12 2" xfId="18209"/>
    <cellStyle name="Normal 30 2 12 2 2" xfId="35599"/>
    <cellStyle name="Normal 30 2 12 3" xfId="18210"/>
    <cellStyle name="Normal 30 2 12 3 2" xfId="35600"/>
    <cellStyle name="Normal 30 2 12 4" xfId="18211"/>
    <cellStyle name="Normal 30 2 12 4 2" xfId="35601"/>
    <cellStyle name="Normal 30 2 12 5" xfId="18212"/>
    <cellStyle name="Normal 30 2 12 5 2" xfId="35602"/>
    <cellStyle name="Normal 30 2 12 6" xfId="18213"/>
    <cellStyle name="Normal 30 2 12 6 2" xfId="35603"/>
    <cellStyle name="Normal 30 2 12 7" xfId="18214"/>
    <cellStyle name="Normal 30 2 12 7 2" xfId="35604"/>
    <cellStyle name="Normal 30 2 12 8" xfId="18215"/>
    <cellStyle name="Normal 30 2 12 8 2" xfId="35605"/>
    <cellStyle name="Normal 30 2 12 9" xfId="18216"/>
    <cellStyle name="Normal 30 2 12 9 2" xfId="35606"/>
    <cellStyle name="Normal 30 2 13" xfId="18217"/>
    <cellStyle name="Normal 30 2 13 10" xfId="18218"/>
    <cellStyle name="Normal 30 2 13 10 2" xfId="35608"/>
    <cellStyle name="Normal 30 2 13 11" xfId="18219"/>
    <cellStyle name="Normal 30 2 13 11 2" xfId="35609"/>
    <cellStyle name="Normal 30 2 13 12" xfId="18220"/>
    <cellStyle name="Normal 30 2 13 12 2" xfId="35610"/>
    <cellStyle name="Normal 30 2 13 13" xfId="18221"/>
    <cellStyle name="Normal 30 2 13 13 2" xfId="35611"/>
    <cellStyle name="Normal 30 2 13 14" xfId="18222"/>
    <cellStyle name="Normal 30 2 13 14 2" xfId="35612"/>
    <cellStyle name="Normal 30 2 13 15" xfId="35607"/>
    <cellStyle name="Normal 30 2 13 2" xfId="18223"/>
    <cellStyle name="Normal 30 2 13 2 2" xfId="35613"/>
    <cellStyle name="Normal 30 2 13 3" xfId="18224"/>
    <cellStyle name="Normal 30 2 13 3 2" xfId="35614"/>
    <cellStyle name="Normal 30 2 13 4" xfId="18225"/>
    <cellStyle name="Normal 30 2 13 4 2" xfId="35615"/>
    <cellStyle name="Normal 30 2 13 5" xfId="18226"/>
    <cellStyle name="Normal 30 2 13 5 2" xfId="35616"/>
    <cellStyle name="Normal 30 2 13 6" xfId="18227"/>
    <cellStyle name="Normal 30 2 13 6 2" xfId="35617"/>
    <cellStyle name="Normal 30 2 13 7" xfId="18228"/>
    <cellStyle name="Normal 30 2 13 7 2" xfId="35618"/>
    <cellStyle name="Normal 30 2 13 8" xfId="18229"/>
    <cellStyle name="Normal 30 2 13 8 2" xfId="35619"/>
    <cellStyle name="Normal 30 2 13 9" xfId="18230"/>
    <cellStyle name="Normal 30 2 13 9 2" xfId="35620"/>
    <cellStyle name="Normal 30 2 14" xfId="18231"/>
    <cellStyle name="Normal 30 2 14 10" xfId="18232"/>
    <cellStyle name="Normal 30 2 14 10 2" xfId="35622"/>
    <cellStyle name="Normal 30 2 14 11" xfId="18233"/>
    <cellStyle name="Normal 30 2 14 11 2" xfId="35623"/>
    <cellStyle name="Normal 30 2 14 12" xfId="18234"/>
    <cellStyle name="Normal 30 2 14 12 2" xfId="35624"/>
    <cellStyle name="Normal 30 2 14 13" xfId="18235"/>
    <cellStyle name="Normal 30 2 14 13 2" xfId="35625"/>
    <cellStyle name="Normal 30 2 14 14" xfId="18236"/>
    <cellStyle name="Normal 30 2 14 14 2" xfId="35626"/>
    <cellStyle name="Normal 30 2 14 15" xfId="35621"/>
    <cellStyle name="Normal 30 2 14 2" xfId="18237"/>
    <cellStyle name="Normal 30 2 14 2 2" xfId="35627"/>
    <cellStyle name="Normal 30 2 14 3" xfId="18238"/>
    <cellStyle name="Normal 30 2 14 3 2" xfId="35628"/>
    <cellStyle name="Normal 30 2 14 4" xfId="18239"/>
    <cellStyle name="Normal 30 2 14 4 2" xfId="35629"/>
    <cellStyle name="Normal 30 2 14 5" xfId="18240"/>
    <cellStyle name="Normal 30 2 14 5 2" xfId="35630"/>
    <cellStyle name="Normal 30 2 14 6" xfId="18241"/>
    <cellStyle name="Normal 30 2 14 6 2" xfId="35631"/>
    <cellStyle name="Normal 30 2 14 7" xfId="18242"/>
    <cellStyle name="Normal 30 2 14 7 2" xfId="35632"/>
    <cellStyle name="Normal 30 2 14 8" xfId="18243"/>
    <cellStyle name="Normal 30 2 14 8 2" xfId="35633"/>
    <cellStyle name="Normal 30 2 14 9" xfId="18244"/>
    <cellStyle name="Normal 30 2 14 9 2" xfId="35634"/>
    <cellStyle name="Normal 30 2 15" xfId="18245"/>
    <cellStyle name="Normal 30 2 15 10" xfId="18246"/>
    <cellStyle name="Normal 30 2 15 10 2" xfId="35636"/>
    <cellStyle name="Normal 30 2 15 11" xfId="18247"/>
    <cellStyle name="Normal 30 2 15 11 2" xfId="35637"/>
    <cellStyle name="Normal 30 2 15 12" xfId="18248"/>
    <cellStyle name="Normal 30 2 15 12 2" xfId="35638"/>
    <cellStyle name="Normal 30 2 15 13" xfId="18249"/>
    <cellStyle name="Normal 30 2 15 13 2" xfId="35639"/>
    <cellStyle name="Normal 30 2 15 14" xfId="18250"/>
    <cellStyle name="Normal 30 2 15 14 2" xfId="35640"/>
    <cellStyle name="Normal 30 2 15 15" xfId="35635"/>
    <cellStyle name="Normal 30 2 15 2" xfId="18251"/>
    <cellStyle name="Normal 30 2 15 2 2" xfId="35641"/>
    <cellStyle name="Normal 30 2 15 3" xfId="18252"/>
    <cellStyle name="Normal 30 2 15 3 2" xfId="35642"/>
    <cellStyle name="Normal 30 2 15 4" xfId="18253"/>
    <cellStyle name="Normal 30 2 15 4 2" xfId="35643"/>
    <cellStyle name="Normal 30 2 15 5" xfId="18254"/>
    <cellStyle name="Normal 30 2 15 5 2" xfId="35644"/>
    <cellStyle name="Normal 30 2 15 6" xfId="18255"/>
    <cellStyle name="Normal 30 2 15 6 2" xfId="35645"/>
    <cellStyle name="Normal 30 2 15 7" xfId="18256"/>
    <cellStyle name="Normal 30 2 15 7 2" xfId="35646"/>
    <cellStyle name="Normal 30 2 15 8" xfId="18257"/>
    <cellStyle name="Normal 30 2 15 8 2" xfId="35647"/>
    <cellStyle name="Normal 30 2 15 9" xfId="18258"/>
    <cellStyle name="Normal 30 2 15 9 2" xfId="35648"/>
    <cellStyle name="Normal 30 2 16" xfId="18259"/>
    <cellStyle name="Normal 30 2 16 2" xfId="35649"/>
    <cellStyle name="Normal 30 2 17" xfId="18260"/>
    <cellStyle name="Normal 30 2 17 2" xfId="35650"/>
    <cellStyle name="Normal 30 2 18" xfId="18261"/>
    <cellStyle name="Normal 30 2 18 2" xfId="35651"/>
    <cellStyle name="Normal 30 2 19" xfId="18262"/>
    <cellStyle name="Normal 30 2 19 2" xfId="35652"/>
    <cellStyle name="Normal 30 2 2" xfId="18263"/>
    <cellStyle name="Normal 30 2 2 10" xfId="18264"/>
    <cellStyle name="Normal 30 2 2 10 2" xfId="35654"/>
    <cellStyle name="Normal 30 2 2 11" xfId="18265"/>
    <cellStyle name="Normal 30 2 2 11 2" xfId="35655"/>
    <cellStyle name="Normal 30 2 2 12" xfId="18266"/>
    <cellStyle name="Normal 30 2 2 12 2" xfId="35656"/>
    <cellStyle name="Normal 30 2 2 13" xfId="18267"/>
    <cellStyle name="Normal 30 2 2 13 2" xfId="35657"/>
    <cellStyle name="Normal 30 2 2 14" xfId="18268"/>
    <cellStyle name="Normal 30 2 2 14 2" xfId="35658"/>
    <cellStyle name="Normal 30 2 2 15" xfId="18269"/>
    <cellStyle name="Normal 30 2 2 15 2" xfId="35659"/>
    <cellStyle name="Normal 30 2 2 16" xfId="35653"/>
    <cellStyle name="Normal 30 2 2 2" xfId="18270"/>
    <cellStyle name="Normal 30 2 2 2 10" xfId="18271"/>
    <cellStyle name="Normal 30 2 2 2 10 2" xfId="35661"/>
    <cellStyle name="Normal 30 2 2 2 11" xfId="18272"/>
    <cellStyle name="Normal 30 2 2 2 11 2" xfId="35662"/>
    <cellStyle name="Normal 30 2 2 2 12" xfId="18273"/>
    <cellStyle name="Normal 30 2 2 2 12 2" xfId="35663"/>
    <cellStyle name="Normal 30 2 2 2 13" xfId="18274"/>
    <cellStyle name="Normal 30 2 2 2 13 2" xfId="35664"/>
    <cellStyle name="Normal 30 2 2 2 14" xfId="18275"/>
    <cellStyle name="Normal 30 2 2 2 14 2" xfId="35665"/>
    <cellStyle name="Normal 30 2 2 2 15" xfId="35660"/>
    <cellStyle name="Normal 30 2 2 2 2" xfId="18276"/>
    <cellStyle name="Normal 30 2 2 2 2 2" xfId="35666"/>
    <cellStyle name="Normal 30 2 2 2 3" xfId="18277"/>
    <cellStyle name="Normal 30 2 2 2 3 2" xfId="35667"/>
    <cellStyle name="Normal 30 2 2 2 4" xfId="18278"/>
    <cellStyle name="Normal 30 2 2 2 4 2" xfId="35668"/>
    <cellStyle name="Normal 30 2 2 2 5" xfId="18279"/>
    <cellStyle name="Normal 30 2 2 2 5 2" xfId="35669"/>
    <cellStyle name="Normal 30 2 2 2 6" xfId="18280"/>
    <cellStyle name="Normal 30 2 2 2 6 2" xfId="35670"/>
    <cellStyle name="Normal 30 2 2 2 7" xfId="18281"/>
    <cellStyle name="Normal 30 2 2 2 7 2" xfId="35671"/>
    <cellStyle name="Normal 30 2 2 2 8" xfId="18282"/>
    <cellStyle name="Normal 30 2 2 2 8 2" xfId="35672"/>
    <cellStyle name="Normal 30 2 2 2 9" xfId="18283"/>
    <cellStyle name="Normal 30 2 2 2 9 2" xfId="35673"/>
    <cellStyle name="Normal 30 2 2 3" xfId="18284"/>
    <cellStyle name="Normal 30 2 2 3 2" xfId="35674"/>
    <cellStyle name="Normal 30 2 2 4" xfId="18285"/>
    <cellStyle name="Normal 30 2 2 4 2" xfId="35675"/>
    <cellStyle name="Normal 30 2 2 5" xfId="18286"/>
    <cellStyle name="Normal 30 2 2 5 2" xfId="35676"/>
    <cellStyle name="Normal 30 2 2 6" xfId="18287"/>
    <cellStyle name="Normal 30 2 2 6 2" xfId="35677"/>
    <cellStyle name="Normal 30 2 2 7" xfId="18288"/>
    <cellStyle name="Normal 30 2 2 7 2" xfId="35678"/>
    <cellStyle name="Normal 30 2 2 8" xfId="18289"/>
    <cellStyle name="Normal 30 2 2 8 2" xfId="35679"/>
    <cellStyle name="Normal 30 2 2 9" xfId="18290"/>
    <cellStyle name="Normal 30 2 2 9 2" xfId="35680"/>
    <cellStyle name="Normal 30 2 20" xfId="18291"/>
    <cellStyle name="Normal 30 2 20 2" xfId="35681"/>
    <cellStyle name="Normal 30 2 21" xfId="18292"/>
    <cellStyle name="Normal 30 2 21 2" xfId="35682"/>
    <cellStyle name="Normal 30 2 22" xfId="18293"/>
    <cellStyle name="Normal 30 2 22 2" xfId="35683"/>
    <cellStyle name="Normal 30 2 23" xfId="18294"/>
    <cellStyle name="Normal 30 2 23 2" xfId="35684"/>
    <cellStyle name="Normal 30 2 24" xfId="18295"/>
    <cellStyle name="Normal 30 2 24 2" xfId="35685"/>
    <cellStyle name="Normal 30 2 25" xfId="18296"/>
    <cellStyle name="Normal 30 2 25 2" xfId="35686"/>
    <cellStyle name="Normal 30 2 26" xfId="18297"/>
    <cellStyle name="Normal 30 2 26 2" xfId="35687"/>
    <cellStyle name="Normal 30 2 27" xfId="18298"/>
    <cellStyle name="Normal 30 2 27 2" xfId="35688"/>
    <cellStyle name="Normal 30 2 28" xfId="18299"/>
    <cellStyle name="Normal 30 2 28 2" xfId="35689"/>
    <cellStyle name="Normal 30 2 29" xfId="35564"/>
    <cellStyle name="Normal 30 2 3" xfId="18300"/>
    <cellStyle name="Normal 30 2 3 10" xfId="18301"/>
    <cellStyle name="Normal 30 2 3 10 2" xfId="35691"/>
    <cellStyle name="Normal 30 2 3 11" xfId="18302"/>
    <cellStyle name="Normal 30 2 3 11 2" xfId="35692"/>
    <cellStyle name="Normal 30 2 3 12" xfId="18303"/>
    <cellStyle name="Normal 30 2 3 12 2" xfId="35693"/>
    <cellStyle name="Normal 30 2 3 13" xfId="18304"/>
    <cellStyle name="Normal 30 2 3 13 2" xfId="35694"/>
    <cellStyle name="Normal 30 2 3 14" xfId="18305"/>
    <cellStyle name="Normal 30 2 3 14 2" xfId="35695"/>
    <cellStyle name="Normal 30 2 3 15" xfId="18306"/>
    <cellStyle name="Normal 30 2 3 15 2" xfId="35696"/>
    <cellStyle name="Normal 30 2 3 16" xfId="35690"/>
    <cellStyle name="Normal 30 2 3 2" xfId="18307"/>
    <cellStyle name="Normal 30 2 3 2 10" xfId="18308"/>
    <cellStyle name="Normal 30 2 3 2 10 2" xfId="35698"/>
    <cellStyle name="Normal 30 2 3 2 11" xfId="18309"/>
    <cellStyle name="Normal 30 2 3 2 11 2" xfId="35699"/>
    <cellStyle name="Normal 30 2 3 2 12" xfId="18310"/>
    <cellStyle name="Normal 30 2 3 2 12 2" xfId="35700"/>
    <cellStyle name="Normal 30 2 3 2 13" xfId="18311"/>
    <cellStyle name="Normal 30 2 3 2 13 2" xfId="35701"/>
    <cellStyle name="Normal 30 2 3 2 14" xfId="18312"/>
    <cellStyle name="Normal 30 2 3 2 14 2" xfId="35702"/>
    <cellStyle name="Normal 30 2 3 2 15" xfId="35697"/>
    <cellStyle name="Normal 30 2 3 2 2" xfId="18313"/>
    <cellStyle name="Normal 30 2 3 2 2 2" xfId="35703"/>
    <cellStyle name="Normal 30 2 3 2 3" xfId="18314"/>
    <cellStyle name="Normal 30 2 3 2 3 2" xfId="35704"/>
    <cellStyle name="Normal 30 2 3 2 4" xfId="18315"/>
    <cellStyle name="Normal 30 2 3 2 4 2" xfId="35705"/>
    <cellStyle name="Normal 30 2 3 2 5" xfId="18316"/>
    <cellStyle name="Normal 30 2 3 2 5 2" xfId="35706"/>
    <cellStyle name="Normal 30 2 3 2 6" xfId="18317"/>
    <cellStyle name="Normal 30 2 3 2 6 2" xfId="35707"/>
    <cellStyle name="Normal 30 2 3 2 7" xfId="18318"/>
    <cellStyle name="Normal 30 2 3 2 7 2" xfId="35708"/>
    <cellStyle name="Normal 30 2 3 2 8" xfId="18319"/>
    <cellStyle name="Normal 30 2 3 2 8 2" xfId="35709"/>
    <cellStyle name="Normal 30 2 3 2 9" xfId="18320"/>
    <cellStyle name="Normal 30 2 3 2 9 2" xfId="35710"/>
    <cellStyle name="Normal 30 2 3 3" xfId="18321"/>
    <cellStyle name="Normal 30 2 3 3 2" xfId="35711"/>
    <cellStyle name="Normal 30 2 3 4" xfId="18322"/>
    <cellStyle name="Normal 30 2 3 4 2" xfId="35712"/>
    <cellStyle name="Normal 30 2 3 5" xfId="18323"/>
    <cellStyle name="Normal 30 2 3 5 2" xfId="35713"/>
    <cellStyle name="Normal 30 2 3 6" xfId="18324"/>
    <cellStyle name="Normal 30 2 3 6 2" xfId="35714"/>
    <cellStyle name="Normal 30 2 3 7" xfId="18325"/>
    <cellStyle name="Normal 30 2 3 7 2" xfId="35715"/>
    <cellStyle name="Normal 30 2 3 8" xfId="18326"/>
    <cellStyle name="Normal 30 2 3 8 2" xfId="35716"/>
    <cellStyle name="Normal 30 2 3 9" xfId="18327"/>
    <cellStyle name="Normal 30 2 3 9 2" xfId="35717"/>
    <cellStyle name="Normal 30 2 4" xfId="18328"/>
    <cellStyle name="Normal 30 2 4 10" xfId="18329"/>
    <cellStyle name="Normal 30 2 4 10 2" xfId="35719"/>
    <cellStyle name="Normal 30 2 4 11" xfId="18330"/>
    <cellStyle name="Normal 30 2 4 11 2" xfId="35720"/>
    <cellStyle name="Normal 30 2 4 12" xfId="18331"/>
    <cellStyle name="Normal 30 2 4 12 2" xfId="35721"/>
    <cellStyle name="Normal 30 2 4 13" xfId="18332"/>
    <cellStyle name="Normal 30 2 4 13 2" xfId="35722"/>
    <cellStyle name="Normal 30 2 4 14" xfId="18333"/>
    <cellStyle name="Normal 30 2 4 14 2" xfId="35723"/>
    <cellStyle name="Normal 30 2 4 15" xfId="18334"/>
    <cellStyle name="Normal 30 2 4 15 2" xfId="35724"/>
    <cellStyle name="Normal 30 2 4 16" xfId="35718"/>
    <cellStyle name="Normal 30 2 4 2" xfId="18335"/>
    <cellStyle name="Normal 30 2 4 2 10" xfId="18336"/>
    <cellStyle name="Normal 30 2 4 2 10 2" xfId="35726"/>
    <cellStyle name="Normal 30 2 4 2 11" xfId="18337"/>
    <cellStyle name="Normal 30 2 4 2 11 2" xfId="35727"/>
    <cellStyle name="Normal 30 2 4 2 12" xfId="18338"/>
    <cellStyle name="Normal 30 2 4 2 12 2" xfId="35728"/>
    <cellStyle name="Normal 30 2 4 2 13" xfId="18339"/>
    <cellStyle name="Normal 30 2 4 2 13 2" xfId="35729"/>
    <cellStyle name="Normal 30 2 4 2 14" xfId="18340"/>
    <cellStyle name="Normal 30 2 4 2 14 2" xfId="35730"/>
    <cellStyle name="Normal 30 2 4 2 15" xfId="35725"/>
    <cellStyle name="Normal 30 2 4 2 2" xfId="18341"/>
    <cellStyle name="Normal 30 2 4 2 2 2" xfId="35731"/>
    <cellStyle name="Normal 30 2 4 2 3" xfId="18342"/>
    <cellStyle name="Normal 30 2 4 2 3 2" xfId="35732"/>
    <cellStyle name="Normal 30 2 4 2 4" xfId="18343"/>
    <cellStyle name="Normal 30 2 4 2 4 2" xfId="35733"/>
    <cellStyle name="Normal 30 2 4 2 5" xfId="18344"/>
    <cellStyle name="Normal 30 2 4 2 5 2" xfId="35734"/>
    <cellStyle name="Normal 30 2 4 2 6" xfId="18345"/>
    <cellStyle name="Normal 30 2 4 2 6 2" xfId="35735"/>
    <cellStyle name="Normal 30 2 4 2 7" xfId="18346"/>
    <cellStyle name="Normal 30 2 4 2 7 2" xfId="35736"/>
    <cellStyle name="Normal 30 2 4 2 8" xfId="18347"/>
    <cellStyle name="Normal 30 2 4 2 8 2" xfId="35737"/>
    <cellStyle name="Normal 30 2 4 2 9" xfId="18348"/>
    <cellStyle name="Normal 30 2 4 2 9 2" xfId="35738"/>
    <cellStyle name="Normal 30 2 4 3" xfId="18349"/>
    <cellStyle name="Normal 30 2 4 3 2" xfId="35739"/>
    <cellStyle name="Normal 30 2 4 4" xfId="18350"/>
    <cellStyle name="Normal 30 2 4 4 2" xfId="35740"/>
    <cellStyle name="Normal 30 2 4 5" xfId="18351"/>
    <cellStyle name="Normal 30 2 4 5 2" xfId="35741"/>
    <cellStyle name="Normal 30 2 4 6" xfId="18352"/>
    <cellStyle name="Normal 30 2 4 6 2" xfId="35742"/>
    <cellStyle name="Normal 30 2 4 7" xfId="18353"/>
    <cellStyle name="Normal 30 2 4 7 2" xfId="35743"/>
    <cellStyle name="Normal 30 2 4 8" xfId="18354"/>
    <cellStyle name="Normal 30 2 4 8 2" xfId="35744"/>
    <cellStyle name="Normal 30 2 4 9" xfId="18355"/>
    <cellStyle name="Normal 30 2 4 9 2" xfId="35745"/>
    <cellStyle name="Normal 30 2 5" xfId="18356"/>
    <cellStyle name="Normal 30 2 5 10" xfId="18357"/>
    <cellStyle name="Normal 30 2 5 10 2" xfId="35747"/>
    <cellStyle name="Normal 30 2 5 11" xfId="18358"/>
    <cellStyle name="Normal 30 2 5 11 2" xfId="35748"/>
    <cellStyle name="Normal 30 2 5 12" xfId="18359"/>
    <cellStyle name="Normal 30 2 5 12 2" xfId="35749"/>
    <cellStyle name="Normal 30 2 5 13" xfId="18360"/>
    <cellStyle name="Normal 30 2 5 13 2" xfId="35750"/>
    <cellStyle name="Normal 30 2 5 14" xfId="18361"/>
    <cellStyle name="Normal 30 2 5 14 2" xfId="35751"/>
    <cellStyle name="Normal 30 2 5 15" xfId="35746"/>
    <cellStyle name="Normal 30 2 5 2" xfId="18362"/>
    <cellStyle name="Normal 30 2 5 2 2" xfId="35752"/>
    <cellStyle name="Normal 30 2 5 3" xfId="18363"/>
    <cellStyle name="Normal 30 2 5 3 2" xfId="35753"/>
    <cellStyle name="Normal 30 2 5 4" xfId="18364"/>
    <cellStyle name="Normal 30 2 5 4 2" xfId="35754"/>
    <cellStyle name="Normal 30 2 5 5" xfId="18365"/>
    <cellStyle name="Normal 30 2 5 5 2" xfId="35755"/>
    <cellStyle name="Normal 30 2 5 6" xfId="18366"/>
    <cellStyle name="Normal 30 2 5 6 2" xfId="35756"/>
    <cellStyle name="Normal 30 2 5 7" xfId="18367"/>
    <cellStyle name="Normal 30 2 5 7 2" xfId="35757"/>
    <cellStyle name="Normal 30 2 5 8" xfId="18368"/>
    <cellStyle name="Normal 30 2 5 8 2" xfId="35758"/>
    <cellStyle name="Normal 30 2 5 9" xfId="18369"/>
    <cellStyle name="Normal 30 2 5 9 2" xfId="35759"/>
    <cellStyle name="Normal 30 2 6" xfId="18370"/>
    <cellStyle name="Normal 30 2 6 10" xfId="18371"/>
    <cellStyle name="Normal 30 2 6 10 2" xfId="35761"/>
    <cellStyle name="Normal 30 2 6 11" xfId="18372"/>
    <cellStyle name="Normal 30 2 6 11 2" xfId="35762"/>
    <cellStyle name="Normal 30 2 6 12" xfId="18373"/>
    <cellStyle name="Normal 30 2 6 12 2" xfId="35763"/>
    <cellStyle name="Normal 30 2 6 13" xfId="18374"/>
    <cellStyle name="Normal 30 2 6 13 2" xfId="35764"/>
    <cellStyle name="Normal 30 2 6 14" xfId="18375"/>
    <cellStyle name="Normal 30 2 6 14 2" xfId="35765"/>
    <cellStyle name="Normal 30 2 6 15" xfId="35760"/>
    <cellStyle name="Normal 30 2 6 2" xfId="18376"/>
    <cellStyle name="Normal 30 2 6 2 2" xfId="35766"/>
    <cellStyle name="Normal 30 2 6 3" xfId="18377"/>
    <cellStyle name="Normal 30 2 6 3 2" xfId="35767"/>
    <cellStyle name="Normal 30 2 6 4" xfId="18378"/>
    <cellStyle name="Normal 30 2 6 4 2" xfId="35768"/>
    <cellStyle name="Normal 30 2 6 5" xfId="18379"/>
    <cellStyle name="Normal 30 2 6 5 2" xfId="35769"/>
    <cellStyle name="Normal 30 2 6 6" xfId="18380"/>
    <cellStyle name="Normal 30 2 6 6 2" xfId="35770"/>
    <cellStyle name="Normal 30 2 6 7" xfId="18381"/>
    <cellStyle name="Normal 30 2 6 7 2" xfId="35771"/>
    <cellStyle name="Normal 30 2 6 8" xfId="18382"/>
    <cellStyle name="Normal 30 2 6 8 2" xfId="35772"/>
    <cellStyle name="Normal 30 2 6 9" xfId="18383"/>
    <cellStyle name="Normal 30 2 6 9 2" xfId="35773"/>
    <cellStyle name="Normal 30 2 7" xfId="18384"/>
    <cellStyle name="Normal 30 2 7 10" xfId="18385"/>
    <cellStyle name="Normal 30 2 7 10 2" xfId="35775"/>
    <cellStyle name="Normal 30 2 7 11" xfId="18386"/>
    <cellStyle name="Normal 30 2 7 11 2" xfId="35776"/>
    <cellStyle name="Normal 30 2 7 12" xfId="18387"/>
    <cellStyle name="Normal 30 2 7 12 2" xfId="35777"/>
    <cellStyle name="Normal 30 2 7 13" xfId="18388"/>
    <cellStyle name="Normal 30 2 7 13 2" xfId="35778"/>
    <cellStyle name="Normal 30 2 7 14" xfId="18389"/>
    <cellStyle name="Normal 30 2 7 14 2" xfId="35779"/>
    <cellStyle name="Normal 30 2 7 15" xfId="35774"/>
    <cellStyle name="Normal 30 2 7 2" xfId="18390"/>
    <cellStyle name="Normal 30 2 7 2 2" xfId="35780"/>
    <cellStyle name="Normal 30 2 7 3" xfId="18391"/>
    <cellStyle name="Normal 30 2 7 3 2" xfId="35781"/>
    <cellStyle name="Normal 30 2 7 4" xfId="18392"/>
    <cellStyle name="Normal 30 2 7 4 2" xfId="35782"/>
    <cellStyle name="Normal 30 2 7 5" xfId="18393"/>
    <cellStyle name="Normal 30 2 7 5 2" xfId="35783"/>
    <cellStyle name="Normal 30 2 7 6" xfId="18394"/>
    <cellStyle name="Normal 30 2 7 6 2" xfId="35784"/>
    <cellStyle name="Normal 30 2 7 7" xfId="18395"/>
    <cellStyle name="Normal 30 2 7 7 2" xfId="35785"/>
    <cellStyle name="Normal 30 2 7 8" xfId="18396"/>
    <cellStyle name="Normal 30 2 7 8 2" xfId="35786"/>
    <cellStyle name="Normal 30 2 7 9" xfId="18397"/>
    <cellStyle name="Normal 30 2 7 9 2" xfId="35787"/>
    <cellStyle name="Normal 30 2 8" xfId="18398"/>
    <cellStyle name="Normal 30 2 8 10" xfId="18399"/>
    <cellStyle name="Normal 30 2 8 10 2" xfId="35789"/>
    <cellStyle name="Normal 30 2 8 11" xfId="18400"/>
    <cellStyle name="Normal 30 2 8 11 2" xfId="35790"/>
    <cellStyle name="Normal 30 2 8 12" xfId="18401"/>
    <cellStyle name="Normal 30 2 8 12 2" xfId="35791"/>
    <cellStyle name="Normal 30 2 8 13" xfId="18402"/>
    <cellStyle name="Normal 30 2 8 13 2" xfId="35792"/>
    <cellStyle name="Normal 30 2 8 14" xfId="18403"/>
    <cellStyle name="Normal 30 2 8 14 2" xfId="35793"/>
    <cellStyle name="Normal 30 2 8 15" xfId="35788"/>
    <cellStyle name="Normal 30 2 8 2" xfId="18404"/>
    <cellStyle name="Normal 30 2 8 2 2" xfId="35794"/>
    <cellStyle name="Normal 30 2 8 3" xfId="18405"/>
    <cellStyle name="Normal 30 2 8 3 2" xfId="35795"/>
    <cellStyle name="Normal 30 2 8 4" xfId="18406"/>
    <cellStyle name="Normal 30 2 8 4 2" xfId="35796"/>
    <cellStyle name="Normal 30 2 8 5" xfId="18407"/>
    <cellStyle name="Normal 30 2 8 5 2" xfId="35797"/>
    <cellStyle name="Normal 30 2 8 6" xfId="18408"/>
    <cellStyle name="Normal 30 2 8 6 2" xfId="35798"/>
    <cellStyle name="Normal 30 2 8 7" xfId="18409"/>
    <cellStyle name="Normal 30 2 8 7 2" xfId="35799"/>
    <cellStyle name="Normal 30 2 8 8" xfId="18410"/>
    <cellStyle name="Normal 30 2 8 8 2" xfId="35800"/>
    <cellStyle name="Normal 30 2 8 9" xfId="18411"/>
    <cellStyle name="Normal 30 2 8 9 2" xfId="35801"/>
    <cellStyle name="Normal 30 2 9" xfId="18412"/>
    <cellStyle name="Normal 30 2 9 10" xfId="18413"/>
    <cellStyle name="Normal 30 2 9 10 2" xfId="35803"/>
    <cellStyle name="Normal 30 2 9 11" xfId="18414"/>
    <cellStyle name="Normal 30 2 9 11 2" xfId="35804"/>
    <cellStyle name="Normal 30 2 9 12" xfId="18415"/>
    <cellStyle name="Normal 30 2 9 12 2" xfId="35805"/>
    <cellStyle name="Normal 30 2 9 13" xfId="18416"/>
    <cellStyle name="Normal 30 2 9 13 2" xfId="35806"/>
    <cellStyle name="Normal 30 2 9 14" xfId="18417"/>
    <cellStyle name="Normal 30 2 9 14 2" xfId="35807"/>
    <cellStyle name="Normal 30 2 9 15" xfId="35802"/>
    <cellStyle name="Normal 30 2 9 2" xfId="18418"/>
    <cellStyle name="Normal 30 2 9 2 2" xfId="35808"/>
    <cellStyle name="Normal 30 2 9 3" xfId="18419"/>
    <cellStyle name="Normal 30 2 9 3 2" xfId="35809"/>
    <cellStyle name="Normal 30 2 9 4" xfId="18420"/>
    <cellStyle name="Normal 30 2 9 4 2" xfId="35810"/>
    <cellStyle name="Normal 30 2 9 5" xfId="18421"/>
    <cellStyle name="Normal 30 2 9 5 2" xfId="35811"/>
    <cellStyle name="Normal 30 2 9 6" xfId="18422"/>
    <cellStyle name="Normal 30 2 9 6 2" xfId="35812"/>
    <cellStyle name="Normal 30 2 9 7" xfId="18423"/>
    <cellStyle name="Normal 30 2 9 7 2" xfId="35813"/>
    <cellStyle name="Normal 30 2 9 8" xfId="18424"/>
    <cellStyle name="Normal 30 2 9 8 2" xfId="35814"/>
    <cellStyle name="Normal 30 2 9 9" xfId="18425"/>
    <cellStyle name="Normal 30 2 9 9 2" xfId="35815"/>
    <cellStyle name="Normal 30 3" xfId="18426"/>
    <cellStyle name="Normal 30 3 10" xfId="18427"/>
    <cellStyle name="Normal 30 3 10 10" xfId="18428"/>
    <cellStyle name="Normal 30 3 10 10 2" xfId="35818"/>
    <cellStyle name="Normal 30 3 10 11" xfId="18429"/>
    <cellStyle name="Normal 30 3 10 11 2" xfId="35819"/>
    <cellStyle name="Normal 30 3 10 12" xfId="18430"/>
    <cellStyle name="Normal 30 3 10 12 2" xfId="35820"/>
    <cellStyle name="Normal 30 3 10 13" xfId="18431"/>
    <cellStyle name="Normal 30 3 10 13 2" xfId="35821"/>
    <cellStyle name="Normal 30 3 10 14" xfId="18432"/>
    <cellStyle name="Normal 30 3 10 14 2" xfId="35822"/>
    <cellStyle name="Normal 30 3 10 15" xfId="35817"/>
    <cellStyle name="Normal 30 3 10 2" xfId="18433"/>
    <cellStyle name="Normal 30 3 10 2 2" xfId="35823"/>
    <cellStyle name="Normal 30 3 10 3" xfId="18434"/>
    <cellStyle name="Normal 30 3 10 3 2" xfId="35824"/>
    <cellStyle name="Normal 30 3 10 4" xfId="18435"/>
    <cellStyle name="Normal 30 3 10 4 2" xfId="35825"/>
    <cellStyle name="Normal 30 3 10 5" xfId="18436"/>
    <cellStyle name="Normal 30 3 10 5 2" xfId="35826"/>
    <cellStyle name="Normal 30 3 10 6" xfId="18437"/>
    <cellStyle name="Normal 30 3 10 6 2" xfId="35827"/>
    <cellStyle name="Normal 30 3 10 7" xfId="18438"/>
    <cellStyle name="Normal 30 3 10 7 2" xfId="35828"/>
    <cellStyle name="Normal 30 3 10 8" xfId="18439"/>
    <cellStyle name="Normal 30 3 10 8 2" xfId="35829"/>
    <cellStyle name="Normal 30 3 10 9" xfId="18440"/>
    <cellStyle name="Normal 30 3 10 9 2" xfId="35830"/>
    <cellStyle name="Normal 30 3 11" xfId="18441"/>
    <cellStyle name="Normal 30 3 11 10" xfId="18442"/>
    <cellStyle name="Normal 30 3 11 10 2" xfId="35832"/>
    <cellStyle name="Normal 30 3 11 11" xfId="18443"/>
    <cellStyle name="Normal 30 3 11 11 2" xfId="35833"/>
    <cellStyle name="Normal 30 3 11 12" xfId="18444"/>
    <cellStyle name="Normal 30 3 11 12 2" xfId="35834"/>
    <cellStyle name="Normal 30 3 11 13" xfId="18445"/>
    <cellStyle name="Normal 30 3 11 13 2" xfId="35835"/>
    <cellStyle name="Normal 30 3 11 14" xfId="18446"/>
    <cellStyle name="Normal 30 3 11 14 2" xfId="35836"/>
    <cellStyle name="Normal 30 3 11 15" xfId="35831"/>
    <cellStyle name="Normal 30 3 11 2" xfId="18447"/>
    <cellStyle name="Normal 30 3 11 2 2" xfId="35837"/>
    <cellStyle name="Normal 30 3 11 3" xfId="18448"/>
    <cellStyle name="Normal 30 3 11 3 2" xfId="35838"/>
    <cellStyle name="Normal 30 3 11 4" xfId="18449"/>
    <cellStyle name="Normal 30 3 11 4 2" xfId="35839"/>
    <cellStyle name="Normal 30 3 11 5" xfId="18450"/>
    <cellStyle name="Normal 30 3 11 5 2" xfId="35840"/>
    <cellStyle name="Normal 30 3 11 6" xfId="18451"/>
    <cellStyle name="Normal 30 3 11 6 2" xfId="35841"/>
    <cellStyle name="Normal 30 3 11 7" xfId="18452"/>
    <cellStyle name="Normal 30 3 11 7 2" xfId="35842"/>
    <cellStyle name="Normal 30 3 11 8" xfId="18453"/>
    <cellStyle name="Normal 30 3 11 8 2" xfId="35843"/>
    <cellStyle name="Normal 30 3 11 9" xfId="18454"/>
    <cellStyle name="Normal 30 3 11 9 2" xfId="35844"/>
    <cellStyle name="Normal 30 3 12" xfId="18455"/>
    <cellStyle name="Normal 30 3 12 10" xfId="18456"/>
    <cellStyle name="Normal 30 3 12 10 2" xfId="35846"/>
    <cellStyle name="Normal 30 3 12 11" xfId="18457"/>
    <cellStyle name="Normal 30 3 12 11 2" xfId="35847"/>
    <cellStyle name="Normal 30 3 12 12" xfId="18458"/>
    <cellStyle name="Normal 30 3 12 12 2" xfId="35848"/>
    <cellStyle name="Normal 30 3 12 13" xfId="18459"/>
    <cellStyle name="Normal 30 3 12 13 2" xfId="35849"/>
    <cellStyle name="Normal 30 3 12 14" xfId="18460"/>
    <cellStyle name="Normal 30 3 12 14 2" xfId="35850"/>
    <cellStyle name="Normal 30 3 12 15" xfId="35845"/>
    <cellStyle name="Normal 30 3 12 2" xfId="18461"/>
    <cellStyle name="Normal 30 3 12 2 2" xfId="35851"/>
    <cellStyle name="Normal 30 3 12 3" xfId="18462"/>
    <cellStyle name="Normal 30 3 12 3 2" xfId="35852"/>
    <cellStyle name="Normal 30 3 12 4" xfId="18463"/>
    <cellStyle name="Normal 30 3 12 4 2" xfId="35853"/>
    <cellStyle name="Normal 30 3 12 5" xfId="18464"/>
    <cellStyle name="Normal 30 3 12 5 2" xfId="35854"/>
    <cellStyle name="Normal 30 3 12 6" xfId="18465"/>
    <cellStyle name="Normal 30 3 12 6 2" xfId="35855"/>
    <cellStyle name="Normal 30 3 12 7" xfId="18466"/>
    <cellStyle name="Normal 30 3 12 7 2" xfId="35856"/>
    <cellStyle name="Normal 30 3 12 8" xfId="18467"/>
    <cellStyle name="Normal 30 3 12 8 2" xfId="35857"/>
    <cellStyle name="Normal 30 3 12 9" xfId="18468"/>
    <cellStyle name="Normal 30 3 12 9 2" xfId="35858"/>
    <cellStyle name="Normal 30 3 13" xfId="18469"/>
    <cellStyle name="Normal 30 3 13 10" xfId="18470"/>
    <cellStyle name="Normal 30 3 13 10 2" xfId="35860"/>
    <cellStyle name="Normal 30 3 13 11" xfId="18471"/>
    <cellStyle name="Normal 30 3 13 11 2" xfId="35861"/>
    <cellStyle name="Normal 30 3 13 12" xfId="18472"/>
    <cellStyle name="Normal 30 3 13 12 2" xfId="35862"/>
    <cellStyle name="Normal 30 3 13 13" xfId="18473"/>
    <cellStyle name="Normal 30 3 13 13 2" xfId="35863"/>
    <cellStyle name="Normal 30 3 13 14" xfId="18474"/>
    <cellStyle name="Normal 30 3 13 14 2" xfId="35864"/>
    <cellStyle name="Normal 30 3 13 15" xfId="35859"/>
    <cellStyle name="Normal 30 3 13 2" xfId="18475"/>
    <cellStyle name="Normal 30 3 13 2 2" xfId="35865"/>
    <cellStyle name="Normal 30 3 13 3" xfId="18476"/>
    <cellStyle name="Normal 30 3 13 3 2" xfId="35866"/>
    <cellStyle name="Normal 30 3 13 4" xfId="18477"/>
    <cellStyle name="Normal 30 3 13 4 2" xfId="35867"/>
    <cellStyle name="Normal 30 3 13 5" xfId="18478"/>
    <cellStyle name="Normal 30 3 13 5 2" xfId="35868"/>
    <cellStyle name="Normal 30 3 13 6" xfId="18479"/>
    <cellStyle name="Normal 30 3 13 6 2" xfId="35869"/>
    <cellStyle name="Normal 30 3 13 7" xfId="18480"/>
    <cellStyle name="Normal 30 3 13 7 2" xfId="35870"/>
    <cellStyle name="Normal 30 3 13 8" xfId="18481"/>
    <cellStyle name="Normal 30 3 13 8 2" xfId="35871"/>
    <cellStyle name="Normal 30 3 13 9" xfId="18482"/>
    <cellStyle name="Normal 30 3 13 9 2" xfId="35872"/>
    <cellStyle name="Normal 30 3 14" xfId="18483"/>
    <cellStyle name="Normal 30 3 14 10" xfId="18484"/>
    <cellStyle name="Normal 30 3 14 10 2" xfId="35874"/>
    <cellStyle name="Normal 30 3 14 11" xfId="18485"/>
    <cellStyle name="Normal 30 3 14 11 2" xfId="35875"/>
    <cellStyle name="Normal 30 3 14 12" xfId="18486"/>
    <cellStyle name="Normal 30 3 14 12 2" xfId="35876"/>
    <cellStyle name="Normal 30 3 14 13" xfId="18487"/>
    <cellStyle name="Normal 30 3 14 13 2" xfId="35877"/>
    <cellStyle name="Normal 30 3 14 14" xfId="18488"/>
    <cellStyle name="Normal 30 3 14 14 2" xfId="35878"/>
    <cellStyle name="Normal 30 3 14 15" xfId="35873"/>
    <cellStyle name="Normal 30 3 14 2" xfId="18489"/>
    <cellStyle name="Normal 30 3 14 2 2" xfId="35879"/>
    <cellStyle name="Normal 30 3 14 3" xfId="18490"/>
    <cellStyle name="Normal 30 3 14 3 2" xfId="35880"/>
    <cellStyle name="Normal 30 3 14 4" xfId="18491"/>
    <cellStyle name="Normal 30 3 14 4 2" xfId="35881"/>
    <cellStyle name="Normal 30 3 14 5" xfId="18492"/>
    <cellStyle name="Normal 30 3 14 5 2" xfId="35882"/>
    <cellStyle name="Normal 30 3 14 6" xfId="18493"/>
    <cellStyle name="Normal 30 3 14 6 2" xfId="35883"/>
    <cellStyle name="Normal 30 3 14 7" xfId="18494"/>
    <cellStyle name="Normal 30 3 14 7 2" xfId="35884"/>
    <cellStyle name="Normal 30 3 14 8" xfId="18495"/>
    <cellStyle name="Normal 30 3 14 8 2" xfId="35885"/>
    <cellStyle name="Normal 30 3 14 9" xfId="18496"/>
    <cellStyle name="Normal 30 3 14 9 2" xfId="35886"/>
    <cellStyle name="Normal 30 3 15" xfId="18497"/>
    <cellStyle name="Normal 30 3 15 10" xfId="18498"/>
    <cellStyle name="Normal 30 3 15 10 2" xfId="35888"/>
    <cellStyle name="Normal 30 3 15 11" xfId="18499"/>
    <cellStyle name="Normal 30 3 15 11 2" xfId="35889"/>
    <cellStyle name="Normal 30 3 15 12" xfId="18500"/>
    <cellStyle name="Normal 30 3 15 12 2" xfId="35890"/>
    <cellStyle name="Normal 30 3 15 13" xfId="18501"/>
    <cellStyle name="Normal 30 3 15 13 2" xfId="35891"/>
    <cellStyle name="Normal 30 3 15 14" xfId="18502"/>
    <cellStyle name="Normal 30 3 15 14 2" xfId="35892"/>
    <cellStyle name="Normal 30 3 15 15" xfId="35887"/>
    <cellStyle name="Normal 30 3 15 2" xfId="18503"/>
    <cellStyle name="Normal 30 3 15 2 2" xfId="35893"/>
    <cellStyle name="Normal 30 3 15 3" xfId="18504"/>
    <cellStyle name="Normal 30 3 15 3 2" xfId="35894"/>
    <cellStyle name="Normal 30 3 15 4" xfId="18505"/>
    <cellStyle name="Normal 30 3 15 4 2" xfId="35895"/>
    <cellStyle name="Normal 30 3 15 5" xfId="18506"/>
    <cellStyle name="Normal 30 3 15 5 2" xfId="35896"/>
    <cellStyle name="Normal 30 3 15 6" xfId="18507"/>
    <cellStyle name="Normal 30 3 15 6 2" xfId="35897"/>
    <cellStyle name="Normal 30 3 15 7" xfId="18508"/>
    <cellStyle name="Normal 30 3 15 7 2" xfId="35898"/>
    <cellStyle name="Normal 30 3 15 8" xfId="18509"/>
    <cellStyle name="Normal 30 3 15 8 2" xfId="35899"/>
    <cellStyle name="Normal 30 3 15 9" xfId="18510"/>
    <cellStyle name="Normal 30 3 15 9 2" xfId="35900"/>
    <cellStyle name="Normal 30 3 16" xfId="18511"/>
    <cellStyle name="Normal 30 3 16 2" xfId="35901"/>
    <cellStyle name="Normal 30 3 17" xfId="18512"/>
    <cellStyle name="Normal 30 3 17 2" xfId="35902"/>
    <cellStyle name="Normal 30 3 18" xfId="18513"/>
    <cellStyle name="Normal 30 3 18 2" xfId="35903"/>
    <cellStyle name="Normal 30 3 19" xfId="18514"/>
    <cellStyle name="Normal 30 3 19 2" xfId="35904"/>
    <cellStyle name="Normal 30 3 2" xfId="18515"/>
    <cellStyle name="Normal 30 3 2 10" xfId="18516"/>
    <cellStyle name="Normal 30 3 2 10 2" xfId="35906"/>
    <cellStyle name="Normal 30 3 2 11" xfId="18517"/>
    <cellStyle name="Normal 30 3 2 11 2" xfId="35907"/>
    <cellStyle name="Normal 30 3 2 12" xfId="18518"/>
    <cellStyle name="Normal 30 3 2 12 2" xfId="35908"/>
    <cellStyle name="Normal 30 3 2 13" xfId="18519"/>
    <cellStyle name="Normal 30 3 2 13 2" xfId="35909"/>
    <cellStyle name="Normal 30 3 2 14" xfId="18520"/>
    <cellStyle name="Normal 30 3 2 14 2" xfId="35910"/>
    <cellStyle name="Normal 30 3 2 15" xfId="18521"/>
    <cellStyle name="Normal 30 3 2 15 2" xfId="35911"/>
    <cellStyle name="Normal 30 3 2 16" xfId="35905"/>
    <cellStyle name="Normal 30 3 2 2" xfId="18522"/>
    <cellStyle name="Normal 30 3 2 2 10" xfId="18523"/>
    <cellStyle name="Normal 30 3 2 2 10 2" xfId="35913"/>
    <cellStyle name="Normal 30 3 2 2 11" xfId="18524"/>
    <cellStyle name="Normal 30 3 2 2 11 2" xfId="35914"/>
    <cellStyle name="Normal 30 3 2 2 12" xfId="18525"/>
    <cellStyle name="Normal 30 3 2 2 12 2" xfId="35915"/>
    <cellStyle name="Normal 30 3 2 2 13" xfId="18526"/>
    <cellStyle name="Normal 30 3 2 2 13 2" xfId="35916"/>
    <cellStyle name="Normal 30 3 2 2 14" xfId="18527"/>
    <cellStyle name="Normal 30 3 2 2 14 2" xfId="35917"/>
    <cellStyle name="Normal 30 3 2 2 15" xfId="35912"/>
    <cellStyle name="Normal 30 3 2 2 2" xfId="18528"/>
    <cellStyle name="Normal 30 3 2 2 2 2" xfId="35918"/>
    <cellStyle name="Normal 30 3 2 2 3" xfId="18529"/>
    <cellStyle name="Normal 30 3 2 2 3 2" xfId="35919"/>
    <cellStyle name="Normal 30 3 2 2 4" xfId="18530"/>
    <cellStyle name="Normal 30 3 2 2 4 2" xfId="35920"/>
    <cellStyle name="Normal 30 3 2 2 5" xfId="18531"/>
    <cellStyle name="Normal 30 3 2 2 5 2" xfId="35921"/>
    <cellStyle name="Normal 30 3 2 2 6" xfId="18532"/>
    <cellStyle name="Normal 30 3 2 2 6 2" xfId="35922"/>
    <cellStyle name="Normal 30 3 2 2 7" xfId="18533"/>
    <cellStyle name="Normal 30 3 2 2 7 2" xfId="35923"/>
    <cellStyle name="Normal 30 3 2 2 8" xfId="18534"/>
    <cellStyle name="Normal 30 3 2 2 8 2" xfId="35924"/>
    <cellStyle name="Normal 30 3 2 2 9" xfId="18535"/>
    <cellStyle name="Normal 30 3 2 2 9 2" xfId="35925"/>
    <cellStyle name="Normal 30 3 2 3" xfId="18536"/>
    <cellStyle name="Normal 30 3 2 3 2" xfId="35926"/>
    <cellStyle name="Normal 30 3 2 4" xfId="18537"/>
    <cellStyle name="Normal 30 3 2 4 2" xfId="35927"/>
    <cellStyle name="Normal 30 3 2 5" xfId="18538"/>
    <cellStyle name="Normal 30 3 2 5 2" xfId="35928"/>
    <cellStyle name="Normal 30 3 2 6" xfId="18539"/>
    <cellStyle name="Normal 30 3 2 6 2" xfId="35929"/>
    <cellStyle name="Normal 30 3 2 7" xfId="18540"/>
    <cellStyle name="Normal 30 3 2 7 2" xfId="35930"/>
    <cellStyle name="Normal 30 3 2 8" xfId="18541"/>
    <cellStyle name="Normal 30 3 2 8 2" xfId="35931"/>
    <cellStyle name="Normal 30 3 2 9" xfId="18542"/>
    <cellStyle name="Normal 30 3 2 9 2" xfId="35932"/>
    <cellStyle name="Normal 30 3 20" xfId="18543"/>
    <cellStyle name="Normal 30 3 20 2" xfId="35933"/>
    <cellStyle name="Normal 30 3 21" xfId="18544"/>
    <cellStyle name="Normal 30 3 21 2" xfId="35934"/>
    <cellStyle name="Normal 30 3 22" xfId="18545"/>
    <cellStyle name="Normal 30 3 22 2" xfId="35935"/>
    <cellStyle name="Normal 30 3 23" xfId="18546"/>
    <cellStyle name="Normal 30 3 23 2" xfId="35936"/>
    <cellStyle name="Normal 30 3 24" xfId="18547"/>
    <cellStyle name="Normal 30 3 24 2" xfId="35937"/>
    <cellStyle name="Normal 30 3 25" xfId="18548"/>
    <cellStyle name="Normal 30 3 25 2" xfId="35938"/>
    <cellStyle name="Normal 30 3 26" xfId="18549"/>
    <cellStyle name="Normal 30 3 26 2" xfId="35939"/>
    <cellStyle name="Normal 30 3 27" xfId="18550"/>
    <cellStyle name="Normal 30 3 27 2" xfId="35940"/>
    <cellStyle name="Normal 30 3 28" xfId="18551"/>
    <cellStyle name="Normal 30 3 28 2" xfId="35941"/>
    <cellStyle name="Normal 30 3 29" xfId="35816"/>
    <cellStyle name="Normal 30 3 3" xfId="18552"/>
    <cellStyle name="Normal 30 3 3 10" xfId="18553"/>
    <cellStyle name="Normal 30 3 3 10 2" xfId="35943"/>
    <cellStyle name="Normal 30 3 3 11" xfId="18554"/>
    <cellStyle name="Normal 30 3 3 11 2" xfId="35944"/>
    <cellStyle name="Normal 30 3 3 12" xfId="18555"/>
    <cellStyle name="Normal 30 3 3 12 2" xfId="35945"/>
    <cellStyle name="Normal 30 3 3 13" xfId="18556"/>
    <cellStyle name="Normal 30 3 3 13 2" xfId="35946"/>
    <cellStyle name="Normal 30 3 3 14" xfId="18557"/>
    <cellStyle name="Normal 30 3 3 14 2" xfId="35947"/>
    <cellStyle name="Normal 30 3 3 15" xfId="18558"/>
    <cellStyle name="Normal 30 3 3 15 2" xfId="35948"/>
    <cellStyle name="Normal 30 3 3 16" xfId="35942"/>
    <cellStyle name="Normal 30 3 3 2" xfId="18559"/>
    <cellStyle name="Normal 30 3 3 2 10" xfId="18560"/>
    <cellStyle name="Normal 30 3 3 2 10 2" xfId="35950"/>
    <cellStyle name="Normal 30 3 3 2 11" xfId="18561"/>
    <cellStyle name="Normal 30 3 3 2 11 2" xfId="35951"/>
    <cellStyle name="Normal 30 3 3 2 12" xfId="18562"/>
    <cellStyle name="Normal 30 3 3 2 12 2" xfId="35952"/>
    <cellStyle name="Normal 30 3 3 2 13" xfId="18563"/>
    <cellStyle name="Normal 30 3 3 2 13 2" xfId="35953"/>
    <cellStyle name="Normal 30 3 3 2 14" xfId="18564"/>
    <cellStyle name="Normal 30 3 3 2 14 2" xfId="35954"/>
    <cellStyle name="Normal 30 3 3 2 15" xfId="35949"/>
    <cellStyle name="Normal 30 3 3 2 2" xfId="18565"/>
    <cellStyle name="Normal 30 3 3 2 2 2" xfId="35955"/>
    <cellStyle name="Normal 30 3 3 2 3" xfId="18566"/>
    <cellStyle name="Normal 30 3 3 2 3 2" xfId="35956"/>
    <cellStyle name="Normal 30 3 3 2 4" xfId="18567"/>
    <cellStyle name="Normal 30 3 3 2 4 2" xfId="35957"/>
    <cellStyle name="Normal 30 3 3 2 5" xfId="18568"/>
    <cellStyle name="Normal 30 3 3 2 5 2" xfId="35958"/>
    <cellStyle name="Normal 30 3 3 2 6" xfId="18569"/>
    <cellStyle name="Normal 30 3 3 2 6 2" xfId="35959"/>
    <cellStyle name="Normal 30 3 3 2 7" xfId="18570"/>
    <cellStyle name="Normal 30 3 3 2 7 2" xfId="35960"/>
    <cellStyle name="Normal 30 3 3 2 8" xfId="18571"/>
    <cellStyle name="Normal 30 3 3 2 8 2" xfId="35961"/>
    <cellStyle name="Normal 30 3 3 2 9" xfId="18572"/>
    <cellStyle name="Normal 30 3 3 2 9 2" xfId="35962"/>
    <cellStyle name="Normal 30 3 3 3" xfId="18573"/>
    <cellStyle name="Normal 30 3 3 3 2" xfId="35963"/>
    <cellStyle name="Normal 30 3 3 4" xfId="18574"/>
    <cellStyle name="Normal 30 3 3 4 2" xfId="35964"/>
    <cellStyle name="Normal 30 3 3 5" xfId="18575"/>
    <cellStyle name="Normal 30 3 3 5 2" xfId="35965"/>
    <cellStyle name="Normal 30 3 3 6" xfId="18576"/>
    <cellStyle name="Normal 30 3 3 6 2" xfId="35966"/>
    <cellStyle name="Normal 30 3 3 7" xfId="18577"/>
    <cellStyle name="Normal 30 3 3 7 2" xfId="35967"/>
    <cellStyle name="Normal 30 3 3 8" xfId="18578"/>
    <cellStyle name="Normal 30 3 3 8 2" xfId="35968"/>
    <cellStyle name="Normal 30 3 3 9" xfId="18579"/>
    <cellStyle name="Normal 30 3 3 9 2" xfId="35969"/>
    <cellStyle name="Normal 30 3 4" xfId="18580"/>
    <cellStyle name="Normal 30 3 4 10" xfId="18581"/>
    <cellStyle name="Normal 30 3 4 10 2" xfId="35971"/>
    <cellStyle name="Normal 30 3 4 11" xfId="18582"/>
    <cellStyle name="Normal 30 3 4 11 2" xfId="35972"/>
    <cellStyle name="Normal 30 3 4 12" xfId="18583"/>
    <cellStyle name="Normal 30 3 4 12 2" xfId="35973"/>
    <cellStyle name="Normal 30 3 4 13" xfId="18584"/>
    <cellStyle name="Normal 30 3 4 13 2" xfId="35974"/>
    <cellStyle name="Normal 30 3 4 14" xfId="18585"/>
    <cellStyle name="Normal 30 3 4 14 2" xfId="35975"/>
    <cellStyle name="Normal 30 3 4 15" xfId="18586"/>
    <cellStyle name="Normal 30 3 4 15 2" xfId="35976"/>
    <cellStyle name="Normal 30 3 4 16" xfId="35970"/>
    <cellStyle name="Normal 30 3 4 2" xfId="18587"/>
    <cellStyle name="Normal 30 3 4 2 10" xfId="18588"/>
    <cellStyle name="Normal 30 3 4 2 10 2" xfId="35978"/>
    <cellStyle name="Normal 30 3 4 2 11" xfId="18589"/>
    <cellStyle name="Normal 30 3 4 2 11 2" xfId="35979"/>
    <cellStyle name="Normal 30 3 4 2 12" xfId="18590"/>
    <cellStyle name="Normal 30 3 4 2 12 2" xfId="35980"/>
    <cellStyle name="Normal 30 3 4 2 13" xfId="18591"/>
    <cellStyle name="Normal 30 3 4 2 13 2" xfId="35981"/>
    <cellStyle name="Normal 30 3 4 2 14" xfId="18592"/>
    <cellStyle name="Normal 30 3 4 2 14 2" xfId="35982"/>
    <cellStyle name="Normal 30 3 4 2 15" xfId="35977"/>
    <cellStyle name="Normal 30 3 4 2 2" xfId="18593"/>
    <cellStyle name="Normal 30 3 4 2 2 2" xfId="35983"/>
    <cellStyle name="Normal 30 3 4 2 3" xfId="18594"/>
    <cellStyle name="Normal 30 3 4 2 3 2" xfId="35984"/>
    <cellStyle name="Normal 30 3 4 2 4" xfId="18595"/>
    <cellStyle name="Normal 30 3 4 2 4 2" xfId="35985"/>
    <cellStyle name="Normal 30 3 4 2 5" xfId="18596"/>
    <cellStyle name="Normal 30 3 4 2 5 2" xfId="35986"/>
    <cellStyle name="Normal 30 3 4 2 6" xfId="18597"/>
    <cellStyle name="Normal 30 3 4 2 6 2" xfId="35987"/>
    <cellStyle name="Normal 30 3 4 2 7" xfId="18598"/>
    <cellStyle name="Normal 30 3 4 2 7 2" xfId="35988"/>
    <cellStyle name="Normal 30 3 4 2 8" xfId="18599"/>
    <cellStyle name="Normal 30 3 4 2 8 2" xfId="35989"/>
    <cellStyle name="Normal 30 3 4 2 9" xfId="18600"/>
    <cellStyle name="Normal 30 3 4 2 9 2" xfId="35990"/>
    <cellStyle name="Normal 30 3 4 3" xfId="18601"/>
    <cellStyle name="Normal 30 3 4 3 2" xfId="35991"/>
    <cellStyle name="Normal 30 3 4 4" xfId="18602"/>
    <cellStyle name="Normal 30 3 4 4 2" xfId="35992"/>
    <cellStyle name="Normal 30 3 4 5" xfId="18603"/>
    <cellStyle name="Normal 30 3 4 5 2" xfId="35993"/>
    <cellStyle name="Normal 30 3 4 6" xfId="18604"/>
    <cellStyle name="Normal 30 3 4 6 2" xfId="35994"/>
    <cellStyle name="Normal 30 3 4 7" xfId="18605"/>
    <cellStyle name="Normal 30 3 4 7 2" xfId="35995"/>
    <cellStyle name="Normal 30 3 4 8" xfId="18606"/>
    <cellStyle name="Normal 30 3 4 8 2" xfId="35996"/>
    <cellStyle name="Normal 30 3 4 9" xfId="18607"/>
    <cellStyle name="Normal 30 3 4 9 2" xfId="35997"/>
    <cellStyle name="Normal 30 3 5" xfId="18608"/>
    <cellStyle name="Normal 30 3 5 10" xfId="18609"/>
    <cellStyle name="Normal 30 3 5 10 2" xfId="35999"/>
    <cellStyle name="Normal 30 3 5 11" xfId="18610"/>
    <cellStyle name="Normal 30 3 5 11 2" xfId="36000"/>
    <cellStyle name="Normal 30 3 5 12" xfId="18611"/>
    <cellStyle name="Normal 30 3 5 12 2" xfId="36001"/>
    <cellStyle name="Normal 30 3 5 13" xfId="18612"/>
    <cellStyle name="Normal 30 3 5 13 2" xfId="36002"/>
    <cellStyle name="Normal 30 3 5 14" xfId="18613"/>
    <cellStyle name="Normal 30 3 5 14 2" xfId="36003"/>
    <cellStyle name="Normal 30 3 5 15" xfId="35998"/>
    <cellStyle name="Normal 30 3 5 2" xfId="18614"/>
    <cellStyle name="Normal 30 3 5 2 2" xfId="36004"/>
    <cellStyle name="Normal 30 3 5 3" xfId="18615"/>
    <cellStyle name="Normal 30 3 5 3 2" xfId="36005"/>
    <cellStyle name="Normal 30 3 5 4" xfId="18616"/>
    <cellStyle name="Normal 30 3 5 4 2" xfId="36006"/>
    <cellStyle name="Normal 30 3 5 5" xfId="18617"/>
    <cellStyle name="Normal 30 3 5 5 2" xfId="36007"/>
    <cellStyle name="Normal 30 3 5 6" xfId="18618"/>
    <cellStyle name="Normal 30 3 5 6 2" xfId="36008"/>
    <cellStyle name="Normal 30 3 5 7" xfId="18619"/>
    <cellStyle name="Normal 30 3 5 7 2" xfId="36009"/>
    <cellStyle name="Normal 30 3 5 8" xfId="18620"/>
    <cellStyle name="Normal 30 3 5 8 2" xfId="36010"/>
    <cellStyle name="Normal 30 3 5 9" xfId="18621"/>
    <cellStyle name="Normal 30 3 5 9 2" xfId="36011"/>
    <cellStyle name="Normal 30 3 6" xfId="18622"/>
    <cellStyle name="Normal 30 3 6 10" xfId="18623"/>
    <cellStyle name="Normal 30 3 6 10 2" xfId="36013"/>
    <cellStyle name="Normal 30 3 6 11" xfId="18624"/>
    <cellStyle name="Normal 30 3 6 11 2" xfId="36014"/>
    <cellStyle name="Normal 30 3 6 12" xfId="18625"/>
    <cellStyle name="Normal 30 3 6 12 2" xfId="36015"/>
    <cellStyle name="Normal 30 3 6 13" xfId="18626"/>
    <cellStyle name="Normal 30 3 6 13 2" xfId="36016"/>
    <cellStyle name="Normal 30 3 6 14" xfId="18627"/>
    <cellStyle name="Normal 30 3 6 14 2" xfId="36017"/>
    <cellStyle name="Normal 30 3 6 15" xfId="36012"/>
    <cellStyle name="Normal 30 3 6 2" xfId="18628"/>
    <cellStyle name="Normal 30 3 6 2 2" xfId="36018"/>
    <cellStyle name="Normal 30 3 6 3" xfId="18629"/>
    <cellStyle name="Normal 30 3 6 3 2" xfId="36019"/>
    <cellStyle name="Normal 30 3 6 4" xfId="18630"/>
    <cellStyle name="Normal 30 3 6 4 2" xfId="36020"/>
    <cellStyle name="Normal 30 3 6 5" xfId="18631"/>
    <cellStyle name="Normal 30 3 6 5 2" xfId="36021"/>
    <cellStyle name="Normal 30 3 6 6" xfId="18632"/>
    <cellStyle name="Normal 30 3 6 6 2" xfId="36022"/>
    <cellStyle name="Normal 30 3 6 7" xfId="18633"/>
    <cellStyle name="Normal 30 3 6 7 2" xfId="36023"/>
    <cellStyle name="Normal 30 3 6 8" xfId="18634"/>
    <cellStyle name="Normal 30 3 6 8 2" xfId="36024"/>
    <cellStyle name="Normal 30 3 6 9" xfId="18635"/>
    <cellStyle name="Normal 30 3 6 9 2" xfId="36025"/>
    <cellStyle name="Normal 30 3 7" xfId="18636"/>
    <cellStyle name="Normal 30 3 7 10" xfId="18637"/>
    <cellStyle name="Normal 30 3 7 10 2" xfId="36027"/>
    <cellStyle name="Normal 30 3 7 11" xfId="18638"/>
    <cellStyle name="Normal 30 3 7 11 2" xfId="36028"/>
    <cellStyle name="Normal 30 3 7 12" xfId="18639"/>
    <cellStyle name="Normal 30 3 7 12 2" xfId="36029"/>
    <cellStyle name="Normal 30 3 7 13" xfId="18640"/>
    <cellStyle name="Normal 30 3 7 13 2" xfId="36030"/>
    <cellStyle name="Normal 30 3 7 14" xfId="18641"/>
    <cellStyle name="Normal 30 3 7 14 2" xfId="36031"/>
    <cellStyle name="Normal 30 3 7 15" xfId="36026"/>
    <cellStyle name="Normal 30 3 7 2" xfId="18642"/>
    <cellStyle name="Normal 30 3 7 2 2" xfId="36032"/>
    <cellStyle name="Normal 30 3 7 3" xfId="18643"/>
    <cellStyle name="Normal 30 3 7 3 2" xfId="36033"/>
    <cellStyle name="Normal 30 3 7 4" xfId="18644"/>
    <cellStyle name="Normal 30 3 7 4 2" xfId="36034"/>
    <cellStyle name="Normal 30 3 7 5" xfId="18645"/>
    <cellStyle name="Normal 30 3 7 5 2" xfId="36035"/>
    <cellStyle name="Normal 30 3 7 6" xfId="18646"/>
    <cellStyle name="Normal 30 3 7 6 2" xfId="36036"/>
    <cellStyle name="Normal 30 3 7 7" xfId="18647"/>
    <cellStyle name="Normal 30 3 7 7 2" xfId="36037"/>
    <cellStyle name="Normal 30 3 7 8" xfId="18648"/>
    <cellStyle name="Normal 30 3 7 8 2" xfId="36038"/>
    <cellStyle name="Normal 30 3 7 9" xfId="18649"/>
    <cellStyle name="Normal 30 3 7 9 2" xfId="36039"/>
    <cellStyle name="Normal 30 3 8" xfId="18650"/>
    <cellStyle name="Normal 30 3 8 10" xfId="18651"/>
    <cellStyle name="Normal 30 3 8 10 2" xfId="36041"/>
    <cellStyle name="Normal 30 3 8 11" xfId="18652"/>
    <cellStyle name="Normal 30 3 8 11 2" xfId="36042"/>
    <cellStyle name="Normal 30 3 8 12" xfId="18653"/>
    <cellStyle name="Normal 30 3 8 12 2" xfId="36043"/>
    <cellStyle name="Normal 30 3 8 13" xfId="18654"/>
    <cellStyle name="Normal 30 3 8 13 2" xfId="36044"/>
    <cellStyle name="Normal 30 3 8 14" xfId="18655"/>
    <cellStyle name="Normal 30 3 8 14 2" xfId="36045"/>
    <cellStyle name="Normal 30 3 8 15" xfId="36040"/>
    <cellStyle name="Normal 30 3 8 2" xfId="18656"/>
    <cellStyle name="Normal 30 3 8 2 2" xfId="36046"/>
    <cellStyle name="Normal 30 3 8 3" xfId="18657"/>
    <cellStyle name="Normal 30 3 8 3 2" xfId="36047"/>
    <cellStyle name="Normal 30 3 8 4" xfId="18658"/>
    <cellStyle name="Normal 30 3 8 4 2" xfId="36048"/>
    <cellStyle name="Normal 30 3 8 5" xfId="18659"/>
    <cellStyle name="Normal 30 3 8 5 2" xfId="36049"/>
    <cellStyle name="Normal 30 3 8 6" xfId="18660"/>
    <cellStyle name="Normal 30 3 8 6 2" xfId="36050"/>
    <cellStyle name="Normal 30 3 8 7" xfId="18661"/>
    <cellStyle name="Normal 30 3 8 7 2" xfId="36051"/>
    <cellStyle name="Normal 30 3 8 8" xfId="18662"/>
    <cellStyle name="Normal 30 3 8 8 2" xfId="36052"/>
    <cellStyle name="Normal 30 3 8 9" xfId="18663"/>
    <cellStyle name="Normal 30 3 8 9 2" xfId="36053"/>
    <cellStyle name="Normal 30 3 9" xfId="18664"/>
    <cellStyle name="Normal 30 3 9 10" xfId="18665"/>
    <cellStyle name="Normal 30 3 9 10 2" xfId="36055"/>
    <cellStyle name="Normal 30 3 9 11" xfId="18666"/>
    <cellStyle name="Normal 30 3 9 11 2" xfId="36056"/>
    <cellStyle name="Normal 30 3 9 12" xfId="18667"/>
    <cellStyle name="Normal 30 3 9 12 2" xfId="36057"/>
    <cellStyle name="Normal 30 3 9 13" xfId="18668"/>
    <cellStyle name="Normal 30 3 9 13 2" xfId="36058"/>
    <cellStyle name="Normal 30 3 9 14" xfId="18669"/>
    <cellStyle name="Normal 30 3 9 14 2" xfId="36059"/>
    <cellStyle name="Normal 30 3 9 15" xfId="36054"/>
    <cellStyle name="Normal 30 3 9 2" xfId="18670"/>
    <cellStyle name="Normal 30 3 9 2 2" xfId="36060"/>
    <cellStyle name="Normal 30 3 9 3" xfId="18671"/>
    <cellStyle name="Normal 30 3 9 3 2" xfId="36061"/>
    <cellStyle name="Normal 30 3 9 4" xfId="18672"/>
    <cellStyle name="Normal 30 3 9 4 2" xfId="36062"/>
    <cellStyle name="Normal 30 3 9 5" xfId="18673"/>
    <cellStyle name="Normal 30 3 9 5 2" xfId="36063"/>
    <cellStyle name="Normal 30 3 9 6" xfId="18674"/>
    <cellStyle name="Normal 30 3 9 6 2" xfId="36064"/>
    <cellStyle name="Normal 30 3 9 7" xfId="18675"/>
    <cellStyle name="Normal 30 3 9 7 2" xfId="36065"/>
    <cellStyle name="Normal 30 3 9 8" xfId="18676"/>
    <cellStyle name="Normal 30 3 9 8 2" xfId="36066"/>
    <cellStyle name="Normal 30 3 9 9" xfId="18677"/>
    <cellStyle name="Normal 30 3 9 9 2" xfId="36067"/>
    <cellStyle name="Normal 30 4" xfId="18678"/>
    <cellStyle name="Normal 30 5" xfId="18679"/>
    <cellStyle name="Normal 30 6" xfId="18680"/>
    <cellStyle name="Normal 30 7" xfId="18681"/>
    <cellStyle name="Normal 30 8" xfId="18682"/>
    <cellStyle name="Normal 30 8 10" xfId="18683"/>
    <cellStyle name="Normal 30 8 10 10" xfId="18684"/>
    <cellStyle name="Normal 30 8 10 10 2" xfId="36070"/>
    <cellStyle name="Normal 30 8 10 11" xfId="18685"/>
    <cellStyle name="Normal 30 8 10 11 2" xfId="36071"/>
    <cellStyle name="Normal 30 8 10 12" xfId="18686"/>
    <cellStyle name="Normal 30 8 10 12 2" xfId="36072"/>
    <cellStyle name="Normal 30 8 10 13" xfId="18687"/>
    <cellStyle name="Normal 30 8 10 13 2" xfId="36073"/>
    <cellStyle name="Normal 30 8 10 14" xfId="18688"/>
    <cellStyle name="Normal 30 8 10 14 2" xfId="36074"/>
    <cellStyle name="Normal 30 8 10 15" xfId="36069"/>
    <cellStyle name="Normal 30 8 10 2" xfId="18689"/>
    <cellStyle name="Normal 30 8 10 2 2" xfId="36075"/>
    <cellStyle name="Normal 30 8 10 3" xfId="18690"/>
    <cellStyle name="Normal 30 8 10 3 2" xfId="36076"/>
    <cellStyle name="Normal 30 8 10 4" xfId="18691"/>
    <cellStyle name="Normal 30 8 10 4 2" xfId="36077"/>
    <cellStyle name="Normal 30 8 10 5" xfId="18692"/>
    <cellStyle name="Normal 30 8 10 5 2" xfId="36078"/>
    <cellStyle name="Normal 30 8 10 6" xfId="18693"/>
    <cellStyle name="Normal 30 8 10 6 2" xfId="36079"/>
    <cellStyle name="Normal 30 8 10 7" xfId="18694"/>
    <cellStyle name="Normal 30 8 10 7 2" xfId="36080"/>
    <cellStyle name="Normal 30 8 10 8" xfId="18695"/>
    <cellStyle name="Normal 30 8 10 8 2" xfId="36081"/>
    <cellStyle name="Normal 30 8 10 9" xfId="18696"/>
    <cellStyle name="Normal 30 8 10 9 2" xfId="36082"/>
    <cellStyle name="Normal 30 8 11" xfId="18697"/>
    <cellStyle name="Normal 30 8 11 10" xfId="18698"/>
    <cellStyle name="Normal 30 8 11 10 2" xfId="36084"/>
    <cellStyle name="Normal 30 8 11 11" xfId="18699"/>
    <cellStyle name="Normal 30 8 11 11 2" xfId="36085"/>
    <cellStyle name="Normal 30 8 11 12" xfId="18700"/>
    <cellStyle name="Normal 30 8 11 12 2" xfId="36086"/>
    <cellStyle name="Normal 30 8 11 13" xfId="18701"/>
    <cellStyle name="Normal 30 8 11 13 2" xfId="36087"/>
    <cellStyle name="Normal 30 8 11 14" xfId="18702"/>
    <cellStyle name="Normal 30 8 11 14 2" xfId="36088"/>
    <cellStyle name="Normal 30 8 11 15" xfId="36083"/>
    <cellStyle name="Normal 30 8 11 2" xfId="18703"/>
    <cellStyle name="Normal 30 8 11 2 2" xfId="36089"/>
    <cellStyle name="Normal 30 8 11 3" xfId="18704"/>
    <cellStyle name="Normal 30 8 11 3 2" xfId="36090"/>
    <cellStyle name="Normal 30 8 11 4" xfId="18705"/>
    <cellStyle name="Normal 30 8 11 4 2" xfId="36091"/>
    <cellStyle name="Normal 30 8 11 5" xfId="18706"/>
    <cellStyle name="Normal 30 8 11 5 2" xfId="36092"/>
    <cellStyle name="Normal 30 8 11 6" xfId="18707"/>
    <cellStyle name="Normal 30 8 11 6 2" xfId="36093"/>
    <cellStyle name="Normal 30 8 11 7" xfId="18708"/>
    <cellStyle name="Normal 30 8 11 7 2" xfId="36094"/>
    <cellStyle name="Normal 30 8 11 8" xfId="18709"/>
    <cellStyle name="Normal 30 8 11 8 2" xfId="36095"/>
    <cellStyle name="Normal 30 8 11 9" xfId="18710"/>
    <cellStyle name="Normal 30 8 11 9 2" xfId="36096"/>
    <cellStyle name="Normal 30 8 12" xfId="18711"/>
    <cellStyle name="Normal 30 8 12 10" xfId="18712"/>
    <cellStyle name="Normal 30 8 12 10 2" xfId="36098"/>
    <cellStyle name="Normal 30 8 12 11" xfId="18713"/>
    <cellStyle name="Normal 30 8 12 11 2" xfId="36099"/>
    <cellStyle name="Normal 30 8 12 12" xfId="18714"/>
    <cellStyle name="Normal 30 8 12 12 2" xfId="36100"/>
    <cellStyle name="Normal 30 8 12 13" xfId="18715"/>
    <cellStyle name="Normal 30 8 12 13 2" xfId="36101"/>
    <cellStyle name="Normal 30 8 12 14" xfId="18716"/>
    <cellStyle name="Normal 30 8 12 14 2" xfId="36102"/>
    <cellStyle name="Normal 30 8 12 15" xfId="36097"/>
    <cellStyle name="Normal 30 8 12 2" xfId="18717"/>
    <cellStyle name="Normal 30 8 12 2 2" xfId="36103"/>
    <cellStyle name="Normal 30 8 12 3" xfId="18718"/>
    <cellStyle name="Normal 30 8 12 3 2" xfId="36104"/>
    <cellStyle name="Normal 30 8 12 4" xfId="18719"/>
    <cellStyle name="Normal 30 8 12 4 2" xfId="36105"/>
    <cellStyle name="Normal 30 8 12 5" xfId="18720"/>
    <cellStyle name="Normal 30 8 12 5 2" xfId="36106"/>
    <cellStyle name="Normal 30 8 12 6" xfId="18721"/>
    <cellStyle name="Normal 30 8 12 6 2" xfId="36107"/>
    <cellStyle name="Normal 30 8 12 7" xfId="18722"/>
    <cellStyle name="Normal 30 8 12 7 2" xfId="36108"/>
    <cellStyle name="Normal 30 8 12 8" xfId="18723"/>
    <cellStyle name="Normal 30 8 12 8 2" xfId="36109"/>
    <cellStyle name="Normal 30 8 12 9" xfId="18724"/>
    <cellStyle name="Normal 30 8 12 9 2" xfId="36110"/>
    <cellStyle name="Normal 30 8 13" xfId="18725"/>
    <cellStyle name="Normal 30 8 13 10" xfId="18726"/>
    <cellStyle name="Normal 30 8 13 10 2" xfId="36112"/>
    <cellStyle name="Normal 30 8 13 11" xfId="18727"/>
    <cellStyle name="Normal 30 8 13 11 2" xfId="36113"/>
    <cellStyle name="Normal 30 8 13 12" xfId="18728"/>
    <cellStyle name="Normal 30 8 13 12 2" xfId="36114"/>
    <cellStyle name="Normal 30 8 13 13" xfId="18729"/>
    <cellStyle name="Normal 30 8 13 13 2" xfId="36115"/>
    <cellStyle name="Normal 30 8 13 14" xfId="18730"/>
    <cellStyle name="Normal 30 8 13 14 2" xfId="36116"/>
    <cellStyle name="Normal 30 8 13 15" xfId="36111"/>
    <cellStyle name="Normal 30 8 13 2" xfId="18731"/>
    <cellStyle name="Normal 30 8 13 2 2" xfId="36117"/>
    <cellStyle name="Normal 30 8 13 3" xfId="18732"/>
    <cellStyle name="Normal 30 8 13 3 2" xfId="36118"/>
    <cellStyle name="Normal 30 8 13 4" xfId="18733"/>
    <cellStyle name="Normal 30 8 13 4 2" xfId="36119"/>
    <cellStyle name="Normal 30 8 13 5" xfId="18734"/>
    <cellStyle name="Normal 30 8 13 5 2" xfId="36120"/>
    <cellStyle name="Normal 30 8 13 6" xfId="18735"/>
    <cellStyle name="Normal 30 8 13 6 2" xfId="36121"/>
    <cellStyle name="Normal 30 8 13 7" xfId="18736"/>
    <cellStyle name="Normal 30 8 13 7 2" xfId="36122"/>
    <cellStyle name="Normal 30 8 13 8" xfId="18737"/>
    <cellStyle name="Normal 30 8 13 8 2" xfId="36123"/>
    <cellStyle name="Normal 30 8 13 9" xfId="18738"/>
    <cellStyle name="Normal 30 8 13 9 2" xfId="36124"/>
    <cellStyle name="Normal 30 8 14" xfId="18739"/>
    <cellStyle name="Normal 30 8 14 10" xfId="18740"/>
    <cellStyle name="Normal 30 8 14 10 2" xfId="36126"/>
    <cellStyle name="Normal 30 8 14 11" xfId="18741"/>
    <cellStyle name="Normal 30 8 14 11 2" xfId="36127"/>
    <cellStyle name="Normal 30 8 14 12" xfId="18742"/>
    <cellStyle name="Normal 30 8 14 12 2" xfId="36128"/>
    <cellStyle name="Normal 30 8 14 13" xfId="18743"/>
    <cellStyle name="Normal 30 8 14 13 2" xfId="36129"/>
    <cellStyle name="Normal 30 8 14 14" xfId="18744"/>
    <cellStyle name="Normal 30 8 14 14 2" xfId="36130"/>
    <cellStyle name="Normal 30 8 14 15" xfId="36125"/>
    <cellStyle name="Normal 30 8 14 2" xfId="18745"/>
    <cellStyle name="Normal 30 8 14 2 2" xfId="36131"/>
    <cellStyle name="Normal 30 8 14 3" xfId="18746"/>
    <cellStyle name="Normal 30 8 14 3 2" xfId="36132"/>
    <cellStyle name="Normal 30 8 14 4" xfId="18747"/>
    <cellStyle name="Normal 30 8 14 4 2" xfId="36133"/>
    <cellStyle name="Normal 30 8 14 5" xfId="18748"/>
    <cellStyle name="Normal 30 8 14 5 2" xfId="36134"/>
    <cellStyle name="Normal 30 8 14 6" xfId="18749"/>
    <cellStyle name="Normal 30 8 14 6 2" xfId="36135"/>
    <cellStyle name="Normal 30 8 14 7" xfId="18750"/>
    <cellStyle name="Normal 30 8 14 7 2" xfId="36136"/>
    <cellStyle name="Normal 30 8 14 8" xfId="18751"/>
    <cellStyle name="Normal 30 8 14 8 2" xfId="36137"/>
    <cellStyle name="Normal 30 8 14 9" xfId="18752"/>
    <cellStyle name="Normal 30 8 14 9 2" xfId="36138"/>
    <cellStyle name="Normal 30 8 15" xfId="18753"/>
    <cellStyle name="Normal 30 8 15 10" xfId="18754"/>
    <cellStyle name="Normal 30 8 15 10 2" xfId="36140"/>
    <cellStyle name="Normal 30 8 15 11" xfId="18755"/>
    <cellStyle name="Normal 30 8 15 11 2" xfId="36141"/>
    <cellStyle name="Normal 30 8 15 12" xfId="18756"/>
    <cellStyle name="Normal 30 8 15 12 2" xfId="36142"/>
    <cellStyle name="Normal 30 8 15 13" xfId="18757"/>
    <cellStyle name="Normal 30 8 15 13 2" xfId="36143"/>
    <cellStyle name="Normal 30 8 15 14" xfId="18758"/>
    <cellStyle name="Normal 30 8 15 14 2" xfId="36144"/>
    <cellStyle name="Normal 30 8 15 15" xfId="36139"/>
    <cellStyle name="Normal 30 8 15 2" xfId="18759"/>
    <cellStyle name="Normal 30 8 15 2 2" xfId="36145"/>
    <cellStyle name="Normal 30 8 15 3" xfId="18760"/>
    <cellStyle name="Normal 30 8 15 3 2" xfId="36146"/>
    <cellStyle name="Normal 30 8 15 4" xfId="18761"/>
    <cellStyle name="Normal 30 8 15 4 2" xfId="36147"/>
    <cellStyle name="Normal 30 8 15 5" xfId="18762"/>
    <cellStyle name="Normal 30 8 15 5 2" xfId="36148"/>
    <cellStyle name="Normal 30 8 15 6" xfId="18763"/>
    <cellStyle name="Normal 30 8 15 6 2" xfId="36149"/>
    <cellStyle name="Normal 30 8 15 7" xfId="18764"/>
    <cellStyle name="Normal 30 8 15 7 2" xfId="36150"/>
    <cellStyle name="Normal 30 8 15 8" xfId="18765"/>
    <cellStyle name="Normal 30 8 15 8 2" xfId="36151"/>
    <cellStyle name="Normal 30 8 15 9" xfId="18766"/>
    <cellStyle name="Normal 30 8 15 9 2" xfId="36152"/>
    <cellStyle name="Normal 30 8 16" xfId="18767"/>
    <cellStyle name="Normal 30 8 16 2" xfId="36153"/>
    <cellStyle name="Normal 30 8 17" xfId="18768"/>
    <cellStyle name="Normal 30 8 17 2" xfId="36154"/>
    <cellStyle name="Normal 30 8 18" xfId="18769"/>
    <cellStyle name="Normal 30 8 18 2" xfId="36155"/>
    <cellStyle name="Normal 30 8 19" xfId="18770"/>
    <cellStyle name="Normal 30 8 19 2" xfId="36156"/>
    <cellStyle name="Normal 30 8 2" xfId="18771"/>
    <cellStyle name="Normal 30 8 2 10" xfId="18772"/>
    <cellStyle name="Normal 30 8 2 10 2" xfId="36158"/>
    <cellStyle name="Normal 30 8 2 11" xfId="18773"/>
    <cellStyle name="Normal 30 8 2 11 2" xfId="36159"/>
    <cellStyle name="Normal 30 8 2 12" xfId="18774"/>
    <cellStyle name="Normal 30 8 2 12 2" xfId="36160"/>
    <cellStyle name="Normal 30 8 2 13" xfId="18775"/>
    <cellStyle name="Normal 30 8 2 13 2" xfId="36161"/>
    <cellStyle name="Normal 30 8 2 14" xfId="18776"/>
    <cellStyle name="Normal 30 8 2 14 2" xfId="36162"/>
    <cellStyle name="Normal 30 8 2 15" xfId="18777"/>
    <cellStyle name="Normal 30 8 2 15 2" xfId="36163"/>
    <cellStyle name="Normal 30 8 2 16" xfId="36157"/>
    <cellStyle name="Normal 30 8 2 2" xfId="18778"/>
    <cellStyle name="Normal 30 8 2 2 10" xfId="18779"/>
    <cellStyle name="Normal 30 8 2 2 10 2" xfId="36165"/>
    <cellStyle name="Normal 30 8 2 2 11" xfId="18780"/>
    <cellStyle name="Normal 30 8 2 2 11 2" xfId="36166"/>
    <cellStyle name="Normal 30 8 2 2 12" xfId="18781"/>
    <cellStyle name="Normal 30 8 2 2 12 2" xfId="36167"/>
    <cellStyle name="Normal 30 8 2 2 13" xfId="18782"/>
    <cellStyle name="Normal 30 8 2 2 13 2" xfId="36168"/>
    <cellStyle name="Normal 30 8 2 2 14" xfId="18783"/>
    <cellStyle name="Normal 30 8 2 2 14 2" xfId="36169"/>
    <cellStyle name="Normal 30 8 2 2 15" xfId="36164"/>
    <cellStyle name="Normal 30 8 2 2 2" xfId="18784"/>
    <cellStyle name="Normal 30 8 2 2 2 2" xfId="36170"/>
    <cellStyle name="Normal 30 8 2 2 3" xfId="18785"/>
    <cellStyle name="Normal 30 8 2 2 3 2" xfId="36171"/>
    <cellStyle name="Normal 30 8 2 2 4" xfId="18786"/>
    <cellStyle name="Normal 30 8 2 2 4 2" xfId="36172"/>
    <cellStyle name="Normal 30 8 2 2 5" xfId="18787"/>
    <cellStyle name="Normal 30 8 2 2 5 2" xfId="36173"/>
    <cellStyle name="Normal 30 8 2 2 6" xfId="18788"/>
    <cellStyle name="Normal 30 8 2 2 6 2" xfId="36174"/>
    <cellStyle name="Normal 30 8 2 2 7" xfId="18789"/>
    <cellStyle name="Normal 30 8 2 2 7 2" xfId="36175"/>
    <cellStyle name="Normal 30 8 2 2 8" xfId="18790"/>
    <cellStyle name="Normal 30 8 2 2 8 2" xfId="36176"/>
    <cellStyle name="Normal 30 8 2 2 9" xfId="18791"/>
    <cellStyle name="Normal 30 8 2 2 9 2" xfId="36177"/>
    <cellStyle name="Normal 30 8 2 3" xfId="18792"/>
    <cellStyle name="Normal 30 8 2 3 2" xfId="36178"/>
    <cellStyle name="Normal 30 8 2 4" xfId="18793"/>
    <cellStyle name="Normal 30 8 2 4 2" xfId="36179"/>
    <cellStyle name="Normal 30 8 2 5" xfId="18794"/>
    <cellStyle name="Normal 30 8 2 5 2" xfId="36180"/>
    <cellStyle name="Normal 30 8 2 6" xfId="18795"/>
    <cellStyle name="Normal 30 8 2 6 2" xfId="36181"/>
    <cellStyle name="Normal 30 8 2 7" xfId="18796"/>
    <cellStyle name="Normal 30 8 2 7 2" xfId="36182"/>
    <cellStyle name="Normal 30 8 2 8" xfId="18797"/>
    <cellStyle name="Normal 30 8 2 8 2" xfId="36183"/>
    <cellStyle name="Normal 30 8 2 9" xfId="18798"/>
    <cellStyle name="Normal 30 8 2 9 2" xfId="36184"/>
    <cellStyle name="Normal 30 8 20" xfId="18799"/>
    <cellStyle name="Normal 30 8 20 2" xfId="36185"/>
    <cellStyle name="Normal 30 8 21" xfId="18800"/>
    <cellStyle name="Normal 30 8 21 2" xfId="36186"/>
    <cellStyle name="Normal 30 8 22" xfId="18801"/>
    <cellStyle name="Normal 30 8 22 2" xfId="36187"/>
    <cellStyle name="Normal 30 8 23" xfId="18802"/>
    <cellStyle name="Normal 30 8 23 2" xfId="36188"/>
    <cellStyle name="Normal 30 8 24" xfId="18803"/>
    <cellStyle name="Normal 30 8 24 2" xfId="36189"/>
    <cellStyle name="Normal 30 8 25" xfId="18804"/>
    <cellStyle name="Normal 30 8 25 2" xfId="36190"/>
    <cellStyle name="Normal 30 8 26" xfId="18805"/>
    <cellStyle name="Normal 30 8 26 2" xfId="36191"/>
    <cellStyle name="Normal 30 8 27" xfId="18806"/>
    <cellStyle name="Normal 30 8 27 2" xfId="36192"/>
    <cellStyle name="Normal 30 8 28" xfId="18807"/>
    <cellStyle name="Normal 30 8 28 2" xfId="36193"/>
    <cellStyle name="Normal 30 8 29" xfId="36068"/>
    <cellStyle name="Normal 30 8 3" xfId="18808"/>
    <cellStyle name="Normal 30 8 3 10" xfId="18809"/>
    <cellStyle name="Normal 30 8 3 10 2" xfId="36195"/>
    <cellStyle name="Normal 30 8 3 11" xfId="18810"/>
    <cellStyle name="Normal 30 8 3 11 2" xfId="36196"/>
    <cellStyle name="Normal 30 8 3 12" xfId="18811"/>
    <cellStyle name="Normal 30 8 3 12 2" xfId="36197"/>
    <cellStyle name="Normal 30 8 3 13" xfId="18812"/>
    <cellStyle name="Normal 30 8 3 13 2" xfId="36198"/>
    <cellStyle name="Normal 30 8 3 14" xfId="18813"/>
    <cellStyle name="Normal 30 8 3 14 2" xfId="36199"/>
    <cellStyle name="Normal 30 8 3 15" xfId="18814"/>
    <cellStyle name="Normal 30 8 3 15 2" xfId="36200"/>
    <cellStyle name="Normal 30 8 3 16" xfId="36194"/>
    <cellStyle name="Normal 30 8 3 2" xfId="18815"/>
    <cellStyle name="Normal 30 8 3 2 10" xfId="18816"/>
    <cellStyle name="Normal 30 8 3 2 10 2" xfId="36202"/>
    <cellStyle name="Normal 30 8 3 2 11" xfId="18817"/>
    <cellStyle name="Normal 30 8 3 2 11 2" xfId="36203"/>
    <cellStyle name="Normal 30 8 3 2 12" xfId="18818"/>
    <cellStyle name="Normal 30 8 3 2 12 2" xfId="36204"/>
    <cellStyle name="Normal 30 8 3 2 13" xfId="18819"/>
    <cellStyle name="Normal 30 8 3 2 13 2" xfId="36205"/>
    <cellStyle name="Normal 30 8 3 2 14" xfId="18820"/>
    <cellStyle name="Normal 30 8 3 2 14 2" xfId="36206"/>
    <cellStyle name="Normal 30 8 3 2 15" xfId="36201"/>
    <cellStyle name="Normal 30 8 3 2 2" xfId="18821"/>
    <cellStyle name="Normal 30 8 3 2 2 2" xfId="36207"/>
    <cellStyle name="Normal 30 8 3 2 3" xfId="18822"/>
    <cellStyle name="Normal 30 8 3 2 3 2" xfId="36208"/>
    <cellStyle name="Normal 30 8 3 2 4" xfId="18823"/>
    <cellStyle name="Normal 30 8 3 2 4 2" xfId="36209"/>
    <cellStyle name="Normal 30 8 3 2 5" xfId="18824"/>
    <cellStyle name="Normal 30 8 3 2 5 2" xfId="36210"/>
    <cellStyle name="Normal 30 8 3 2 6" xfId="18825"/>
    <cellStyle name="Normal 30 8 3 2 6 2" xfId="36211"/>
    <cellStyle name="Normal 30 8 3 2 7" xfId="18826"/>
    <cellStyle name="Normal 30 8 3 2 7 2" xfId="36212"/>
    <cellStyle name="Normal 30 8 3 2 8" xfId="18827"/>
    <cellStyle name="Normal 30 8 3 2 8 2" xfId="36213"/>
    <cellStyle name="Normal 30 8 3 2 9" xfId="18828"/>
    <cellStyle name="Normal 30 8 3 2 9 2" xfId="36214"/>
    <cellStyle name="Normal 30 8 3 3" xfId="18829"/>
    <cellStyle name="Normal 30 8 3 3 2" xfId="36215"/>
    <cellStyle name="Normal 30 8 3 4" xfId="18830"/>
    <cellStyle name="Normal 30 8 3 4 2" xfId="36216"/>
    <cellStyle name="Normal 30 8 3 5" xfId="18831"/>
    <cellStyle name="Normal 30 8 3 5 2" xfId="36217"/>
    <cellStyle name="Normal 30 8 3 6" xfId="18832"/>
    <cellStyle name="Normal 30 8 3 6 2" xfId="36218"/>
    <cellStyle name="Normal 30 8 3 7" xfId="18833"/>
    <cellStyle name="Normal 30 8 3 7 2" xfId="36219"/>
    <cellStyle name="Normal 30 8 3 8" xfId="18834"/>
    <cellStyle name="Normal 30 8 3 8 2" xfId="36220"/>
    <cellStyle name="Normal 30 8 3 9" xfId="18835"/>
    <cellStyle name="Normal 30 8 3 9 2" xfId="36221"/>
    <cellStyle name="Normal 30 8 4" xfId="18836"/>
    <cellStyle name="Normal 30 8 4 10" xfId="18837"/>
    <cellStyle name="Normal 30 8 4 10 2" xfId="36223"/>
    <cellStyle name="Normal 30 8 4 11" xfId="18838"/>
    <cellStyle name="Normal 30 8 4 11 2" xfId="36224"/>
    <cellStyle name="Normal 30 8 4 12" xfId="18839"/>
    <cellStyle name="Normal 30 8 4 12 2" xfId="36225"/>
    <cellStyle name="Normal 30 8 4 13" xfId="18840"/>
    <cellStyle name="Normal 30 8 4 13 2" xfId="36226"/>
    <cellStyle name="Normal 30 8 4 14" xfId="18841"/>
    <cellStyle name="Normal 30 8 4 14 2" xfId="36227"/>
    <cellStyle name="Normal 30 8 4 15" xfId="18842"/>
    <cellStyle name="Normal 30 8 4 15 2" xfId="36228"/>
    <cellStyle name="Normal 30 8 4 16" xfId="36222"/>
    <cellStyle name="Normal 30 8 4 2" xfId="18843"/>
    <cellStyle name="Normal 30 8 4 2 10" xfId="18844"/>
    <cellStyle name="Normal 30 8 4 2 10 2" xfId="36230"/>
    <cellStyle name="Normal 30 8 4 2 11" xfId="18845"/>
    <cellStyle name="Normal 30 8 4 2 11 2" xfId="36231"/>
    <cellStyle name="Normal 30 8 4 2 12" xfId="18846"/>
    <cellStyle name="Normal 30 8 4 2 12 2" xfId="36232"/>
    <cellStyle name="Normal 30 8 4 2 13" xfId="18847"/>
    <cellStyle name="Normal 30 8 4 2 13 2" xfId="36233"/>
    <cellStyle name="Normal 30 8 4 2 14" xfId="18848"/>
    <cellStyle name="Normal 30 8 4 2 14 2" xfId="36234"/>
    <cellStyle name="Normal 30 8 4 2 15" xfId="36229"/>
    <cellStyle name="Normal 30 8 4 2 2" xfId="18849"/>
    <cellStyle name="Normal 30 8 4 2 2 2" xfId="36235"/>
    <cellStyle name="Normal 30 8 4 2 3" xfId="18850"/>
    <cellStyle name="Normal 30 8 4 2 3 2" xfId="36236"/>
    <cellStyle name="Normal 30 8 4 2 4" xfId="18851"/>
    <cellStyle name="Normal 30 8 4 2 4 2" xfId="36237"/>
    <cellStyle name="Normal 30 8 4 2 5" xfId="18852"/>
    <cellStyle name="Normal 30 8 4 2 5 2" xfId="36238"/>
    <cellStyle name="Normal 30 8 4 2 6" xfId="18853"/>
    <cellStyle name="Normal 30 8 4 2 6 2" xfId="36239"/>
    <cellStyle name="Normal 30 8 4 2 7" xfId="18854"/>
    <cellStyle name="Normal 30 8 4 2 7 2" xfId="36240"/>
    <cellStyle name="Normal 30 8 4 2 8" xfId="18855"/>
    <cellStyle name="Normal 30 8 4 2 8 2" xfId="36241"/>
    <cellStyle name="Normal 30 8 4 2 9" xfId="18856"/>
    <cellStyle name="Normal 30 8 4 2 9 2" xfId="36242"/>
    <cellStyle name="Normal 30 8 4 3" xfId="18857"/>
    <cellStyle name="Normal 30 8 4 3 2" xfId="36243"/>
    <cellStyle name="Normal 30 8 4 4" xfId="18858"/>
    <cellStyle name="Normal 30 8 4 4 2" xfId="36244"/>
    <cellStyle name="Normal 30 8 4 5" xfId="18859"/>
    <cellStyle name="Normal 30 8 4 5 2" xfId="36245"/>
    <cellStyle name="Normal 30 8 4 6" xfId="18860"/>
    <cellStyle name="Normal 30 8 4 6 2" xfId="36246"/>
    <cellStyle name="Normal 30 8 4 7" xfId="18861"/>
    <cellStyle name="Normal 30 8 4 7 2" xfId="36247"/>
    <cellStyle name="Normal 30 8 4 8" xfId="18862"/>
    <cellStyle name="Normal 30 8 4 8 2" xfId="36248"/>
    <cellStyle name="Normal 30 8 4 9" xfId="18863"/>
    <cellStyle name="Normal 30 8 4 9 2" xfId="36249"/>
    <cellStyle name="Normal 30 8 5" xfId="18864"/>
    <cellStyle name="Normal 30 8 5 10" xfId="18865"/>
    <cellStyle name="Normal 30 8 5 10 2" xfId="36251"/>
    <cellStyle name="Normal 30 8 5 11" xfId="18866"/>
    <cellStyle name="Normal 30 8 5 11 2" xfId="36252"/>
    <cellStyle name="Normal 30 8 5 12" xfId="18867"/>
    <cellStyle name="Normal 30 8 5 12 2" xfId="36253"/>
    <cellStyle name="Normal 30 8 5 13" xfId="18868"/>
    <cellStyle name="Normal 30 8 5 13 2" xfId="36254"/>
    <cellStyle name="Normal 30 8 5 14" xfId="18869"/>
    <cellStyle name="Normal 30 8 5 14 2" xfId="36255"/>
    <cellStyle name="Normal 30 8 5 15" xfId="36250"/>
    <cellStyle name="Normal 30 8 5 2" xfId="18870"/>
    <cellStyle name="Normal 30 8 5 2 2" xfId="36256"/>
    <cellStyle name="Normal 30 8 5 3" xfId="18871"/>
    <cellStyle name="Normal 30 8 5 3 2" xfId="36257"/>
    <cellStyle name="Normal 30 8 5 4" xfId="18872"/>
    <cellStyle name="Normal 30 8 5 4 2" xfId="36258"/>
    <cellStyle name="Normal 30 8 5 5" xfId="18873"/>
    <cellStyle name="Normal 30 8 5 5 2" xfId="36259"/>
    <cellStyle name="Normal 30 8 5 6" xfId="18874"/>
    <cellStyle name="Normal 30 8 5 6 2" xfId="36260"/>
    <cellStyle name="Normal 30 8 5 7" xfId="18875"/>
    <cellStyle name="Normal 30 8 5 7 2" xfId="36261"/>
    <cellStyle name="Normal 30 8 5 8" xfId="18876"/>
    <cellStyle name="Normal 30 8 5 8 2" xfId="36262"/>
    <cellStyle name="Normal 30 8 5 9" xfId="18877"/>
    <cellStyle name="Normal 30 8 5 9 2" xfId="36263"/>
    <cellStyle name="Normal 30 8 6" xfId="18878"/>
    <cellStyle name="Normal 30 8 6 10" xfId="18879"/>
    <cellStyle name="Normal 30 8 6 10 2" xfId="36265"/>
    <cellStyle name="Normal 30 8 6 11" xfId="18880"/>
    <cellStyle name="Normal 30 8 6 11 2" xfId="36266"/>
    <cellStyle name="Normal 30 8 6 12" xfId="18881"/>
    <cellStyle name="Normal 30 8 6 12 2" xfId="36267"/>
    <cellStyle name="Normal 30 8 6 13" xfId="18882"/>
    <cellStyle name="Normal 30 8 6 13 2" xfId="36268"/>
    <cellStyle name="Normal 30 8 6 14" xfId="18883"/>
    <cellStyle name="Normal 30 8 6 14 2" xfId="36269"/>
    <cellStyle name="Normal 30 8 6 15" xfId="36264"/>
    <cellStyle name="Normal 30 8 6 2" xfId="18884"/>
    <cellStyle name="Normal 30 8 6 2 2" xfId="36270"/>
    <cellStyle name="Normal 30 8 6 3" xfId="18885"/>
    <cellStyle name="Normal 30 8 6 3 2" xfId="36271"/>
    <cellStyle name="Normal 30 8 6 4" xfId="18886"/>
    <cellStyle name="Normal 30 8 6 4 2" xfId="36272"/>
    <cellStyle name="Normal 30 8 6 5" xfId="18887"/>
    <cellStyle name="Normal 30 8 6 5 2" xfId="36273"/>
    <cellStyle name="Normal 30 8 6 6" xfId="18888"/>
    <cellStyle name="Normal 30 8 6 6 2" xfId="36274"/>
    <cellStyle name="Normal 30 8 6 7" xfId="18889"/>
    <cellStyle name="Normal 30 8 6 7 2" xfId="36275"/>
    <cellStyle name="Normal 30 8 6 8" xfId="18890"/>
    <cellStyle name="Normal 30 8 6 8 2" xfId="36276"/>
    <cellStyle name="Normal 30 8 6 9" xfId="18891"/>
    <cellStyle name="Normal 30 8 6 9 2" xfId="36277"/>
    <cellStyle name="Normal 30 8 7" xfId="18892"/>
    <cellStyle name="Normal 30 8 7 10" xfId="18893"/>
    <cellStyle name="Normal 30 8 7 10 2" xfId="36279"/>
    <cellStyle name="Normal 30 8 7 11" xfId="18894"/>
    <cellStyle name="Normal 30 8 7 11 2" xfId="36280"/>
    <cellStyle name="Normal 30 8 7 12" xfId="18895"/>
    <cellStyle name="Normal 30 8 7 12 2" xfId="36281"/>
    <cellStyle name="Normal 30 8 7 13" xfId="18896"/>
    <cellStyle name="Normal 30 8 7 13 2" xfId="36282"/>
    <cellStyle name="Normal 30 8 7 14" xfId="18897"/>
    <cellStyle name="Normal 30 8 7 14 2" xfId="36283"/>
    <cellStyle name="Normal 30 8 7 15" xfId="36278"/>
    <cellStyle name="Normal 30 8 7 2" xfId="18898"/>
    <cellStyle name="Normal 30 8 7 2 2" xfId="36284"/>
    <cellStyle name="Normal 30 8 7 3" xfId="18899"/>
    <cellStyle name="Normal 30 8 7 3 2" xfId="36285"/>
    <cellStyle name="Normal 30 8 7 4" xfId="18900"/>
    <cellStyle name="Normal 30 8 7 4 2" xfId="36286"/>
    <cellStyle name="Normal 30 8 7 5" xfId="18901"/>
    <cellStyle name="Normal 30 8 7 5 2" xfId="36287"/>
    <cellStyle name="Normal 30 8 7 6" xfId="18902"/>
    <cellStyle name="Normal 30 8 7 6 2" xfId="36288"/>
    <cellStyle name="Normal 30 8 7 7" xfId="18903"/>
    <cellStyle name="Normal 30 8 7 7 2" xfId="36289"/>
    <cellStyle name="Normal 30 8 7 8" xfId="18904"/>
    <cellStyle name="Normal 30 8 7 8 2" xfId="36290"/>
    <cellStyle name="Normal 30 8 7 9" xfId="18905"/>
    <cellStyle name="Normal 30 8 7 9 2" xfId="36291"/>
    <cellStyle name="Normal 30 8 8" xfId="18906"/>
    <cellStyle name="Normal 30 8 8 10" xfId="18907"/>
    <cellStyle name="Normal 30 8 8 10 2" xfId="36293"/>
    <cellStyle name="Normal 30 8 8 11" xfId="18908"/>
    <cellStyle name="Normal 30 8 8 11 2" xfId="36294"/>
    <cellStyle name="Normal 30 8 8 12" xfId="18909"/>
    <cellStyle name="Normal 30 8 8 12 2" xfId="36295"/>
    <cellStyle name="Normal 30 8 8 13" xfId="18910"/>
    <cellStyle name="Normal 30 8 8 13 2" xfId="36296"/>
    <cellStyle name="Normal 30 8 8 14" xfId="18911"/>
    <cellStyle name="Normal 30 8 8 14 2" xfId="36297"/>
    <cellStyle name="Normal 30 8 8 15" xfId="36292"/>
    <cellStyle name="Normal 30 8 8 2" xfId="18912"/>
    <cellStyle name="Normal 30 8 8 2 2" xfId="36298"/>
    <cellStyle name="Normal 30 8 8 3" xfId="18913"/>
    <cellStyle name="Normal 30 8 8 3 2" xfId="36299"/>
    <cellStyle name="Normal 30 8 8 4" xfId="18914"/>
    <cellStyle name="Normal 30 8 8 4 2" xfId="36300"/>
    <cellStyle name="Normal 30 8 8 5" xfId="18915"/>
    <cellStyle name="Normal 30 8 8 5 2" xfId="36301"/>
    <cellStyle name="Normal 30 8 8 6" xfId="18916"/>
    <cellStyle name="Normal 30 8 8 6 2" xfId="36302"/>
    <cellStyle name="Normal 30 8 8 7" xfId="18917"/>
    <cellStyle name="Normal 30 8 8 7 2" xfId="36303"/>
    <cellStyle name="Normal 30 8 8 8" xfId="18918"/>
    <cellStyle name="Normal 30 8 8 8 2" xfId="36304"/>
    <cellStyle name="Normal 30 8 8 9" xfId="18919"/>
    <cellStyle name="Normal 30 8 8 9 2" xfId="36305"/>
    <cellStyle name="Normal 30 8 9" xfId="18920"/>
    <cellStyle name="Normal 30 8 9 10" xfId="18921"/>
    <cellStyle name="Normal 30 8 9 10 2" xfId="36307"/>
    <cellStyle name="Normal 30 8 9 11" xfId="18922"/>
    <cellStyle name="Normal 30 8 9 11 2" xfId="36308"/>
    <cellStyle name="Normal 30 8 9 12" xfId="18923"/>
    <cellStyle name="Normal 30 8 9 12 2" xfId="36309"/>
    <cellStyle name="Normal 30 8 9 13" xfId="18924"/>
    <cellStyle name="Normal 30 8 9 13 2" xfId="36310"/>
    <cellStyle name="Normal 30 8 9 14" xfId="18925"/>
    <cellStyle name="Normal 30 8 9 14 2" xfId="36311"/>
    <cellStyle name="Normal 30 8 9 15" xfId="36306"/>
    <cellStyle name="Normal 30 8 9 2" xfId="18926"/>
    <cellStyle name="Normal 30 8 9 2 2" xfId="36312"/>
    <cellStyle name="Normal 30 8 9 3" xfId="18927"/>
    <cellStyle name="Normal 30 8 9 3 2" xfId="36313"/>
    <cellStyle name="Normal 30 8 9 4" xfId="18928"/>
    <cellStyle name="Normal 30 8 9 4 2" xfId="36314"/>
    <cellStyle name="Normal 30 8 9 5" xfId="18929"/>
    <cellStyle name="Normal 30 8 9 5 2" xfId="36315"/>
    <cellStyle name="Normal 30 8 9 6" xfId="18930"/>
    <cellStyle name="Normal 30 8 9 6 2" xfId="36316"/>
    <cellStyle name="Normal 30 8 9 7" xfId="18931"/>
    <cellStyle name="Normal 30 8 9 7 2" xfId="36317"/>
    <cellStyle name="Normal 30 8 9 8" xfId="18932"/>
    <cellStyle name="Normal 30 8 9 8 2" xfId="36318"/>
    <cellStyle name="Normal 30 8 9 9" xfId="18933"/>
    <cellStyle name="Normal 30 8 9 9 2" xfId="36319"/>
    <cellStyle name="Normal 30 9" xfId="18173"/>
    <cellStyle name="Normal 31" xfId="439"/>
    <cellStyle name="Normal 31 2" xfId="18935"/>
    <cellStyle name="Normal 31 3" xfId="18936"/>
    <cellStyle name="Normal 31 4" xfId="18937"/>
    <cellStyle name="Normal 31 5" xfId="18938"/>
    <cellStyle name="Normal 31 6" xfId="18939"/>
    <cellStyle name="Normal 31 7" xfId="18934"/>
    <cellStyle name="Normal 32" xfId="441"/>
    <cellStyle name="Normal 32 2" xfId="18941"/>
    <cellStyle name="Normal 32 3" xfId="18942"/>
    <cellStyle name="Normal 32 4" xfId="18940"/>
    <cellStyle name="Normal 33" xfId="281"/>
    <cellStyle name="Normal 33 2" xfId="18943"/>
    <cellStyle name="Normal 33 3" xfId="18944"/>
    <cellStyle name="Normal 33 4" xfId="18945"/>
    <cellStyle name="Normal 34" xfId="609"/>
    <cellStyle name="Normal 34 2" xfId="18947"/>
    <cellStyle name="Normal 34 3" xfId="18948"/>
    <cellStyle name="Normal 34 4" xfId="18949"/>
    <cellStyle name="Normal 34 5" xfId="18950"/>
    <cellStyle name="Normal 34 6" xfId="18951"/>
    <cellStyle name="Normal 34 7" xfId="18946"/>
    <cellStyle name="Normal 35" xfId="305"/>
    <cellStyle name="Normal 35 2" xfId="388"/>
    <cellStyle name="Normal 35 2 2" xfId="580"/>
    <cellStyle name="Normal 35 2 3" xfId="18953"/>
    <cellStyle name="Normal 35 3" xfId="521"/>
    <cellStyle name="Normal 35 3 2" xfId="18954"/>
    <cellStyle name="Normal 35 4" xfId="18955"/>
    <cellStyle name="Normal 35 5" xfId="21149"/>
    <cellStyle name="Normal 35 5 2" xfId="37602"/>
    <cellStyle name="Normal 35 6" xfId="18952"/>
    <cellStyle name="Normal 36" xfId="64"/>
    <cellStyle name="Normal 36 2" xfId="224"/>
    <cellStyle name="Normal 36 3" xfId="18956"/>
    <cellStyle name="Normal 36 4" xfId="37605"/>
    <cellStyle name="Normal 37" xfId="65"/>
    <cellStyle name="Normal 37 2" xfId="225"/>
    <cellStyle name="Normal 37 2 10" xfId="18958"/>
    <cellStyle name="Normal 37 2 10 10" xfId="18959"/>
    <cellStyle name="Normal 37 2 10 10 2" xfId="36322"/>
    <cellStyle name="Normal 37 2 10 11" xfId="18960"/>
    <cellStyle name="Normal 37 2 10 11 2" xfId="36323"/>
    <cellStyle name="Normal 37 2 10 12" xfId="18961"/>
    <cellStyle name="Normal 37 2 10 12 2" xfId="36324"/>
    <cellStyle name="Normal 37 2 10 13" xfId="18962"/>
    <cellStyle name="Normal 37 2 10 13 2" xfId="36325"/>
    <cellStyle name="Normal 37 2 10 14" xfId="18963"/>
    <cellStyle name="Normal 37 2 10 14 2" xfId="36326"/>
    <cellStyle name="Normal 37 2 10 15" xfId="36321"/>
    <cellStyle name="Normal 37 2 10 2" xfId="18964"/>
    <cellStyle name="Normal 37 2 10 2 2" xfId="36327"/>
    <cellStyle name="Normal 37 2 10 3" xfId="18965"/>
    <cellStyle name="Normal 37 2 10 3 2" xfId="36328"/>
    <cellStyle name="Normal 37 2 10 4" xfId="18966"/>
    <cellStyle name="Normal 37 2 10 4 2" xfId="36329"/>
    <cellStyle name="Normal 37 2 10 5" xfId="18967"/>
    <cellStyle name="Normal 37 2 10 5 2" xfId="36330"/>
    <cellStyle name="Normal 37 2 10 6" xfId="18968"/>
    <cellStyle name="Normal 37 2 10 6 2" xfId="36331"/>
    <cellStyle name="Normal 37 2 10 7" xfId="18969"/>
    <cellStyle name="Normal 37 2 10 7 2" xfId="36332"/>
    <cellStyle name="Normal 37 2 10 8" xfId="18970"/>
    <cellStyle name="Normal 37 2 10 8 2" xfId="36333"/>
    <cellStyle name="Normal 37 2 10 9" xfId="18971"/>
    <cellStyle name="Normal 37 2 10 9 2" xfId="36334"/>
    <cellStyle name="Normal 37 2 11" xfId="18972"/>
    <cellStyle name="Normal 37 2 11 10" xfId="18973"/>
    <cellStyle name="Normal 37 2 11 10 2" xfId="36336"/>
    <cellStyle name="Normal 37 2 11 11" xfId="18974"/>
    <cellStyle name="Normal 37 2 11 11 2" xfId="36337"/>
    <cellStyle name="Normal 37 2 11 12" xfId="18975"/>
    <cellStyle name="Normal 37 2 11 12 2" xfId="36338"/>
    <cellStyle name="Normal 37 2 11 13" xfId="18976"/>
    <cellStyle name="Normal 37 2 11 13 2" xfId="36339"/>
    <cellStyle name="Normal 37 2 11 14" xfId="18977"/>
    <cellStyle name="Normal 37 2 11 14 2" xfId="36340"/>
    <cellStyle name="Normal 37 2 11 15" xfId="36335"/>
    <cellStyle name="Normal 37 2 11 2" xfId="18978"/>
    <cellStyle name="Normal 37 2 11 2 2" xfId="36341"/>
    <cellStyle name="Normal 37 2 11 3" xfId="18979"/>
    <cellStyle name="Normal 37 2 11 3 2" xfId="36342"/>
    <cellStyle name="Normal 37 2 11 4" xfId="18980"/>
    <cellStyle name="Normal 37 2 11 4 2" xfId="36343"/>
    <cellStyle name="Normal 37 2 11 5" xfId="18981"/>
    <cellStyle name="Normal 37 2 11 5 2" xfId="36344"/>
    <cellStyle name="Normal 37 2 11 6" xfId="18982"/>
    <cellStyle name="Normal 37 2 11 6 2" xfId="36345"/>
    <cellStyle name="Normal 37 2 11 7" xfId="18983"/>
    <cellStyle name="Normal 37 2 11 7 2" xfId="36346"/>
    <cellStyle name="Normal 37 2 11 8" xfId="18984"/>
    <cellStyle name="Normal 37 2 11 8 2" xfId="36347"/>
    <cellStyle name="Normal 37 2 11 9" xfId="18985"/>
    <cellStyle name="Normal 37 2 11 9 2" xfId="36348"/>
    <cellStyle name="Normal 37 2 12" xfId="18986"/>
    <cellStyle name="Normal 37 2 12 10" xfId="18987"/>
    <cellStyle name="Normal 37 2 12 10 2" xfId="36350"/>
    <cellStyle name="Normal 37 2 12 11" xfId="18988"/>
    <cellStyle name="Normal 37 2 12 11 2" xfId="36351"/>
    <cellStyle name="Normal 37 2 12 12" xfId="18989"/>
    <cellStyle name="Normal 37 2 12 12 2" xfId="36352"/>
    <cellStyle name="Normal 37 2 12 13" xfId="18990"/>
    <cellStyle name="Normal 37 2 12 13 2" xfId="36353"/>
    <cellStyle name="Normal 37 2 12 14" xfId="18991"/>
    <cellStyle name="Normal 37 2 12 14 2" xfId="36354"/>
    <cellStyle name="Normal 37 2 12 15" xfId="36349"/>
    <cellStyle name="Normal 37 2 12 2" xfId="18992"/>
    <cellStyle name="Normal 37 2 12 2 2" xfId="36355"/>
    <cellStyle name="Normal 37 2 12 3" xfId="18993"/>
    <cellStyle name="Normal 37 2 12 3 2" xfId="36356"/>
    <cellStyle name="Normal 37 2 12 4" xfId="18994"/>
    <cellStyle name="Normal 37 2 12 4 2" xfId="36357"/>
    <cellStyle name="Normal 37 2 12 5" xfId="18995"/>
    <cellStyle name="Normal 37 2 12 5 2" xfId="36358"/>
    <cellStyle name="Normal 37 2 12 6" xfId="18996"/>
    <cellStyle name="Normal 37 2 12 6 2" xfId="36359"/>
    <cellStyle name="Normal 37 2 12 7" xfId="18997"/>
    <cellStyle name="Normal 37 2 12 7 2" xfId="36360"/>
    <cellStyle name="Normal 37 2 12 8" xfId="18998"/>
    <cellStyle name="Normal 37 2 12 8 2" xfId="36361"/>
    <cellStyle name="Normal 37 2 12 9" xfId="18999"/>
    <cellStyle name="Normal 37 2 12 9 2" xfId="36362"/>
    <cellStyle name="Normal 37 2 13" xfId="19000"/>
    <cellStyle name="Normal 37 2 13 10" xfId="19001"/>
    <cellStyle name="Normal 37 2 13 10 2" xfId="36364"/>
    <cellStyle name="Normal 37 2 13 11" xfId="19002"/>
    <cellStyle name="Normal 37 2 13 11 2" xfId="36365"/>
    <cellStyle name="Normal 37 2 13 12" xfId="19003"/>
    <cellStyle name="Normal 37 2 13 12 2" xfId="36366"/>
    <cellStyle name="Normal 37 2 13 13" xfId="19004"/>
    <cellStyle name="Normal 37 2 13 13 2" xfId="36367"/>
    <cellStyle name="Normal 37 2 13 14" xfId="19005"/>
    <cellStyle name="Normal 37 2 13 14 2" xfId="36368"/>
    <cellStyle name="Normal 37 2 13 15" xfId="36363"/>
    <cellStyle name="Normal 37 2 13 2" xfId="19006"/>
    <cellStyle name="Normal 37 2 13 2 2" xfId="36369"/>
    <cellStyle name="Normal 37 2 13 3" xfId="19007"/>
    <cellStyle name="Normal 37 2 13 3 2" xfId="36370"/>
    <cellStyle name="Normal 37 2 13 4" xfId="19008"/>
    <cellStyle name="Normal 37 2 13 4 2" xfId="36371"/>
    <cellStyle name="Normal 37 2 13 5" xfId="19009"/>
    <cellStyle name="Normal 37 2 13 5 2" xfId="36372"/>
    <cellStyle name="Normal 37 2 13 6" xfId="19010"/>
    <cellStyle name="Normal 37 2 13 6 2" xfId="36373"/>
    <cellStyle name="Normal 37 2 13 7" xfId="19011"/>
    <cellStyle name="Normal 37 2 13 7 2" xfId="36374"/>
    <cellStyle name="Normal 37 2 13 8" xfId="19012"/>
    <cellStyle name="Normal 37 2 13 8 2" xfId="36375"/>
    <cellStyle name="Normal 37 2 13 9" xfId="19013"/>
    <cellStyle name="Normal 37 2 13 9 2" xfId="36376"/>
    <cellStyle name="Normal 37 2 14" xfId="19014"/>
    <cellStyle name="Normal 37 2 14 10" xfId="19015"/>
    <cellStyle name="Normal 37 2 14 10 2" xfId="36378"/>
    <cellStyle name="Normal 37 2 14 11" xfId="19016"/>
    <cellStyle name="Normal 37 2 14 11 2" xfId="36379"/>
    <cellStyle name="Normal 37 2 14 12" xfId="19017"/>
    <cellStyle name="Normal 37 2 14 12 2" xfId="36380"/>
    <cellStyle name="Normal 37 2 14 13" xfId="19018"/>
    <cellStyle name="Normal 37 2 14 13 2" xfId="36381"/>
    <cellStyle name="Normal 37 2 14 14" xfId="19019"/>
    <cellStyle name="Normal 37 2 14 14 2" xfId="36382"/>
    <cellStyle name="Normal 37 2 14 15" xfId="36377"/>
    <cellStyle name="Normal 37 2 14 2" xfId="19020"/>
    <cellStyle name="Normal 37 2 14 2 2" xfId="36383"/>
    <cellStyle name="Normal 37 2 14 3" xfId="19021"/>
    <cellStyle name="Normal 37 2 14 3 2" xfId="36384"/>
    <cellStyle name="Normal 37 2 14 4" xfId="19022"/>
    <cellStyle name="Normal 37 2 14 4 2" xfId="36385"/>
    <cellStyle name="Normal 37 2 14 5" xfId="19023"/>
    <cellStyle name="Normal 37 2 14 5 2" xfId="36386"/>
    <cellStyle name="Normal 37 2 14 6" xfId="19024"/>
    <cellStyle name="Normal 37 2 14 6 2" xfId="36387"/>
    <cellStyle name="Normal 37 2 14 7" xfId="19025"/>
    <cellStyle name="Normal 37 2 14 7 2" xfId="36388"/>
    <cellStyle name="Normal 37 2 14 8" xfId="19026"/>
    <cellStyle name="Normal 37 2 14 8 2" xfId="36389"/>
    <cellStyle name="Normal 37 2 14 9" xfId="19027"/>
    <cellStyle name="Normal 37 2 14 9 2" xfId="36390"/>
    <cellStyle name="Normal 37 2 15" xfId="19028"/>
    <cellStyle name="Normal 37 2 15 10" xfId="19029"/>
    <cellStyle name="Normal 37 2 15 10 2" xfId="36392"/>
    <cellStyle name="Normal 37 2 15 11" xfId="19030"/>
    <cellStyle name="Normal 37 2 15 11 2" xfId="36393"/>
    <cellStyle name="Normal 37 2 15 12" xfId="19031"/>
    <cellStyle name="Normal 37 2 15 12 2" xfId="36394"/>
    <cellStyle name="Normal 37 2 15 13" xfId="19032"/>
    <cellStyle name="Normal 37 2 15 13 2" xfId="36395"/>
    <cellStyle name="Normal 37 2 15 14" xfId="19033"/>
    <cellStyle name="Normal 37 2 15 14 2" xfId="36396"/>
    <cellStyle name="Normal 37 2 15 15" xfId="36391"/>
    <cellStyle name="Normal 37 2 15 2" xfId="19034"/>
    <cellStyle name="Normal 37 2 15 2 2" xfId="36397"/>
    <cellStyle name="Normal 37 2 15 3" xfId="19035"/>
    <cellStyle name="Normal 37 2 15 3 2" xfId="36398"/>
    <cellStyle name="Normal 37 2 15 4" xfId="19036"/>
    <cellStyle name="Normal 37 2 15 4 2" xfId="36399"/>
    <cellStyle name="Normal 37 2 15 5" xfId="19037"/>
    <cellStyle name="Normal 37 2 15 5 2" xfId="36400"/>
    <cellStyle name="Normal 37 2 15 6" xfId="19038"/>
    <cellStyle name="Normal 37 2 15 6 2" xfId="36401"/>
    <cellStyle name="Normal 37 2 15 7" xfId="19039"/>
    <cellStyle name="Normal 37 2 15 7 2" xfId="36402"/>
    <cellStyle name="Normal 37 2 15 8" xfId="19040"/>
    <cellStyle name="Normal 37 2 15 8 2" xfId="36403"/>
    <cellStyle name="Normal 37 2 15 9" xfId="19041"/>
    <cellStyle name="Normal 37 2 15 9 2" xfId="36404"/>
    <cellStyle name="Normal 37 2 16" xfId="19042"/>
    <cellStyle name="Normal 37 2 16 10" xfId="19043"/>
    <cellStyle name="Normal 37 2 16 10 2" xfId="36406"/>
    <cellStyle name="Normal 37 2 16 11" xfId="19044"/>
    <cellStyle name="Normal 37 2 16 11 2" xfId="36407"/>
    <cellStyle name="Normal 37 2 16 12" xfId="19045"/>
    <cellStyle name="Normal 37 2 16 12 2" xfId="36408"/>
    <cellStyle name="Normal 37 2 16 13" xfId="19046"/>
    <cellStyle name="Normal 37 2 16 13 2" xfId="36409"/>
    <cellStyle name="Normal 37 2 16 14" xfId="19047"/>
    <cellStyle name="Normal 37 2 16 14 2" xfId="36410"/>
    <cellStyle name="Normal 37 2 16 15" xfId="36405"/>
    <cellStyle name="Normal 37 2 16 2" xfId="19048"/>
    <cellStyle name="Normal 37 2 16 2 2" xfId="36411"/>
    <cellStyle name="Normal 37 2 16 3" xfId="19049"/>
    <cellStyle name="Normal 37 2 16 3 2" xfId="36412"/>
    <cellStyle name="Normal 37 2 16 4" xfId="19050"/>
    <cellStyle name="Normal 37 2 16 4 2" xfId="36413"/>
    <cellStyle name="Normal 37 2 16 5" xfId="19051"/>
    <cellStyle name="Normal 37 2 16 5 2" xfId="36414"/>
    <cellStyle name="Normal 37 2 16 6" xfId="19052"/>
    <cellStyle name="Normal 37 2 16 6 2" xfId="36415"/>
    <cellStyle name="Normal 37 2 16 7" xfId="19053"/>
    <cellStyle name="Normal 37 2 16 7 2" xfId="36416"/>
    <cellStyle name="Normal 37 2 16 8" xfId="19054"/>
    <cellStyle name="Normal 37 2 16 8 2" xfId="36417"/>
    <cellStyle name="Normal 37 2 16 9" xfId="19055"/>
    <cellStyle name="Normal 37 2 16 9 2" xfId="36418"/>
    <cellStyle name="Normal 37 2 17" xfId="19056"/>
    <cellStyle name="Normal 37 2 17 10" xfId="19057"/>
    <cellStyle name="Normal 37 2 17 10 2" xfId="36420"/>
    <cellStyle name="Normal 37 2 17 11" xfId="19058"/>
    <cellStyle name="Normal 37 2 17 11 2" xfId="36421"/>
    <cellStyle name="Normal 37 2 17 12" xfId="19059"/>
    <cellStyle name="Normal 37 2 17 12 2" xfId="36422"/>
    <cellStyle name="Normal 37 2 17 13" xfId="19060"/>
    <cellStyle name="Normal 37 2 17 13 2" xfId="36423"/>
    <cellStyle name="Normal 37 2 17 14" xfId="19061"/>
    <cellStyle name="Normal 37 2 17 14 2" xfId="36424"/>
    <cellStyle name="Normal 37 2 17 15" xfId="36419"/>
    <cellStyle name="Normal 37 2 17 2" xfId="19062"/>
    <cellStyle name="Normal 37 2 17 2 2" xfId="36425"/>
    <cellStyle name="Normal 37 2 17 3" xfId="19063"/>
    <cellStyle name="Normal 37 2 17 3 2" xfId="36426"/>
    <cellStyle name="Normal 37 2 17 4" xfId="19064"/>
    <cellStyle name="Normal 37 2 17 4 2" xfId="36427"/>
    <cellStyle name="Normal 37 2 17 5" xfId="19065"/>
    <cellStyle name="Normal 37 2 17 5 2" xfId="36428"/>
    <cellStyle name="Normal 37 2 17 6" xfId="19066"/>
    <cellStyle name="Normal 37 2 17 6 2" xfId="36429"/>
    <cellStyle name="Normal 37 2 17 7" xfId="19067"/>
    <cellStyle name="Normal 37 2 17 7 2" xfId="36430"/>
    <cellStyle name="Normal 37 2 17 8" xfId="19068"/>
    <cellStyle name="Normal 37 2 17 8 2" xfId="36431"/>
    <cellStyle name="Normal 37 2 17 9" xfId="19069"/>
    <cellStyle name="Normal 37 2 17 9 2" xfId="36432"/>
    <cellStyle name="Normal 37 2 18" xfId="19070"/>
    <cellStyle name="Normal 37 2 18 2" xfId="36433"/>
    <cellStyle name="Normal 37 2 19" xfId="19071"/>
    <cellStyle name="Normal 37 2 19 2" xfId="36434"/>
    <cellStyle name="Normal 37 2 2" xfId="19072"/>
    <cellStyle name="Normal 37 2 20" xfId="19073"/>
    <cellStyle name="Normal 37 2 20 2" xfId="36435"/>
    <cellStyle name="Normal 37 2 21" xfId="19074"/>
    <cellStyle name="Normal 37 2 21 2" xfId="36436"/>
    <cellStyle name="Normal 37 2 22" xfId="19075"/>
    <cellStyle name="Normal 37 2 22 2" xfId="36437"/>
    <cellStyle name="Normal 37 2 23" xfId="19076"/>
    <cellStyle name="Normal 37 2 23 2" xfId="36438"/>
    <cellStyle name="Normal 37 2 24" xfId="19077"/>
    <cellStyle name="Normal 37 2 24 2" xfId="36439"/>
    <cellStyle name="Normal 37 2 25" xfId="19078"/>
    <cellStyle name="Normal 37 2 25 2" xfId="36440"/>
    <cellStyle name="Normal 37 2 26" xfId="19079"/>
    <cellStyle name="Normal 37 2 26 2" xfId="36441"/>
    <cellStyle name="Normal 37 2 27" xfId="19080"/>
    <cellStyle name="Normal 37 2 27 2" xfId="36442"/>
    <cellStyle name="Normal 37 2 28" xfId="19081"/>
    <cellStyle name="Normal 37 2 28 2" xfId="36443"/>
    <cellStyle name="Normal 37 2 29" xfId="19082"/>
    <cellStyle name="Normal 37 2 29 2" xfId="36444"/>
    <cellStyle name="Normal 37 2 3" xfId="19083"/>
    <cellStyle name="Normal 37 2 30" xfId="19084"/>
    <cellStyle name="Normal 37 2 30 2" xfId="36445"/>
    <cellStyle name="Normal 37 2 31" xfId="18957"/>
    <cellStyle name="Normal 37 2 32" xfId="36320"/>
    <cellStyle name="Normal 37 2 4" xfId="19085"/>
    <cellStyle name="Normal 37 2 4 10" xfId="19086"/>
    <cellStyle name="Normal 37 2 4 10 2" xfId="36447"/>
    <cellStyle name="Normal 37 2 4 11" xfId="19087"/>
    <cellStyle name="Normal 37 2 4 11 2" xfId="36448"/>
    <cellStyle name="Normal 37 2 4 12" xfId="19088"/>
    <cellStyle name="Normal 37 2 4 12 2" xfId="36449"/>
    <cellStyle name="Normal 37 2 4 13" xfId="19089"/>
    <cellStyle name="Normal 37 2 4 13 2" xfId="36450"/>
    <cellStyle name="Normal 37 2 4 14" xfId="19090"/>
    <cellStyle name="Normal 37 2 4 14 2" xfId="36451"/>
    <cellStyle name="Normal 37 2 4 15" xfId="19091"/>
    <cellStyle name="Normal 37 2 4 15 2" xfId="36452"/>
    <cellStyle name="Normal 37 2 4 16" xfId="36446"/>
    <cellStyle name="Normal 37 2 4 2" xfId="19092"/>
    <cellStyle name="Normal 37 2 4 2 10" xfId="19093"/>
    <cellStyle name="Normal 37 2 4 2 10 2" xfId="36454"/>
    <cellStyle name="Normal 37 2 4 2 11" xfId="19094"/>
    <cellStyle name="Normal 37 2 4 2 11 2" xfId="36455"/>
    <cellStyle name="Normal 37 2 4 2 12" xfId="19095"/>
    <cellStyle name="Normal 37 2 4 2 12 2" xfId="36456"/>
    <cellStyle name="Normal 37 2 4 2 13" xfId="19096"/>
    <cellStyle name="Normal 37 2 4 2 13 2" xfId="36457"/>
    <cellStyle name="Normal 37 2 4 2 14" xfId="19097"/>
    <cellStyle name="Normal 37 2 4 2 14 2" xfId="36458"/>
    <cellStyle name="Normal 37 2 4 2 15" xfId="36453"/>
    <cellStyle name="Normal 37 2 4 2 2" xfId="19098"/>
    <cellStyle name="Normal 37 2 4 2 2 2" xfId="36459"/>
    <cellStyle name="Normal 37 2 4 2 3" xfId="19099"/>
    <cellStyle name="Normal 37 2 4 2 3 2" xfId="36460"/>
    <cellStyle name="Normal 37 2 4 2 4" xfId="19100"/>
    <cellStyle name="Normal 37 2 4 2 4 2" xfId="36461"/>
    <cellStyle name="Normal 37 2 4 2 5" xfId="19101"/>
    <cellStyle name="Normal 37 2 4 2 5 2" xfId="36462"/>
    <cellStyle name="Normal 37 2 4 2 6" xfId="19102"/>
    <cellStyle name="Normal 37 2 4 2 6 2" xfId="36463"/>
    <cellStyle name="Normal 37 2 4 2 7" xfId="19103"/>
    <cellStyle name="Normal 37 2 4 2 7 2" xfId="36464"/>
    <cellStyle name="Normal 37 2 4 2 8" xfId="19104"/>
    <cellStyle name="Normal 37 2 4 2 8 2" xfId="36465"/>
    <cellStyle name="Normal 37 2 4 2 9" xfId="19105"/>
    <cellStyle name="Normal 37 2 4 2 9 2" xfId="36466"/>
    <cellStyle name="Normal 37 2 4 3" xfId="19106"/>
    <cellStyle name="Normal 37 2 4 3 2" xfId="36467"/>
    <cellStyle name="Normal 37 2 4 4" xfId="19107"/>
    <cellStyle name="Normal 37 2 4 4 2" xfId="36468"/>
    <cellStyle name="Normal 37 2 4 5" xfId="19108"/>
    <cellStyle name="Normal 37 2 4 5 2" xfId="36469"/>
    <cellStyle name="Normal 37 2 4 6" xfId="19109"/>
    <cellStyle name="Normal 37 2 4 6 2" xfId="36470"/>
    <cellStyle name="Normal 37 2 4 7" xfId="19110"/>
    <cellStyle name="Normal 37 2 4 7 2" xfId="36471"/>
    <cellStyle name="Normal 37 2 4 8" xfId="19111"/>
    <cellStyle name="Normal 37 2 4 8 2" xfId="36472"/>
    <cellStyle name="Normal 37 2 4 9" xfId="19112"/>
    <cellStyle name="Normal 37 2 4 9 2" xfId="36473"/>
    <cellStyle name="Normal 37 2 5" xfId="19113"/>
    <cellStyle name="Normal 37 2 5 10" xfId="19114"/>
    <cellStyle name="Normal 37 2 5 10 2" xfId="36475"/>
    <cellStyle name="Normal 37 2 5 11" xfId="19115"/>
    <cellStyle name="Normal 37 2 5 11 2" xfId="36476"/>
    <cellStyle name="Normal 37 2 5 12" xfId="19116"/>
    <cellStyle name="Normal 37 2 5 12 2" xfId="36477"/>
    <cellStyle name="Normal 37 2 5 13" xfId="19117"/>
    <cellStyle name="Normal 37 2 5 13 2" xfId="36478"/>
    <cellStyle name="Normal 37 2 5 14" xfId="19118"/>
    <cellStyle name="Normal 37 2 5 14 2" xfId="36479"/>
    <cellStyle name="Normal 37 2 5 15" xfId="19119"/>
    <cellStyle name="Normal 37 2 5 15 2" xfId="36480"/>
    <cellStyle name="Normal 37 2 5 16" xfId="36474"/>
    <cellStyle name="Normal 37 2 5 2" xfId="19120"/>
    <cellStyle name="Normal 37 2 5 2 10" xfId="19121"/>
    <cellStyle name="Normal 37 2 5 2 10 2" xfId="36482"/>
    <cellStyle name="Normal 37 2 5 2 11" xfId="19122"/>
    <cellStyle name="Normal 37 2 5 2 11 2" xfId="36483"/>
    <cellStyle name="Normal 37 2 5 2 12" xfId="19123"/>
    <cellStyle name="Normal 37 2 5 2 12 2" xfId="36484"/>
    <cellStyle name="Normal 37 2 5 2 13" xfId="19124"/>
    <cellStyle name="Normal 37 2 5 2 13 2" xfId="36485"/>
    <cellStyle name="Normal 37 2 5 2 14" xfId="19125"/>
    <cellStyle name="Normal 37 2 5 2 14 2" xfId="36486"/>
    <cellStyle name="Normal 37 2 5 2 15" xfId="36481"/>
    <cellStyle name="Normal 37 2 5 2 2" xfId="19126"/>
    <cellStyle name="Normal 37 2 5 2 2 2" xfId="36487"/>
    <cellStyle name="Normal 37 2 5 2 3" xfId="19127"/>
    <cellStyle name="Normal 37 2 5 2 3 2" xfId="36488"/>
    <cellStyle name="Normal 37 2 5 2 4" xfId="19128"/>
    <cellStyle name="Normal 37 2 5 2 4 2" xfId="36489"/>
    <cellStyle name="Normal 37 2 5 2 5" xfId="19129"/>
    <cellStyle name="Normal 37 2 5 2 5 2" xfId="36490"/>
    <cellStyle name="Normal 37 2 5 2 6" xfId="19130"/>
    <cellStyle name="Normal 37 2 5 2 6 2" xfId="36491"/>
    <cellStyle name="Normal 37 2 5 2 7" xfId="19131"/>
    <cellStyle name="Normal 37 2 5 2 7 2" xfId="36492"/>
    <cellStyle name="Normal 37 2 5 2 8" xfId="19132"/>
    <cellStyle name="Normal 37 2 5 2 8 2" xfId="36493"/>
    <cellStyle name="Normal 37 2 5 2 9" xfId="19133"/>
    <cellStyle name="Normal 37 2 5 2 9 2" xfId="36494"/>
    <cellStyle name="Normal 37 2 5 3" xfId="19134"/>
    <cellStyle name="Normal 37 2 5 3 2" xfId="36495"/>
    <cellStyle name="Normal 37 2 5 4" xfId="19135"/>
    <cellStyle name="Normal 37 2 5 4 2" xfId="36496"/>
    <cellStyle name="Normal 37 2 5 5" xfId="19136"/>
    <cellStyle name="Normal 37 2 5 5 2" xfId="36497"/>
    <cellStyle name="Normal 37 2 5 6" xfId="19137"/>
    <cellStyle name="Normal 37 2 5 6 2" xfId="36498"/>
    <cellStyle name="Normal 37 2 5 7" xfId="19138"/>
    <cellStyle name="Normal 37 2 5 7 2" xfId="36499"/>
    <cellStyle name="Normal 37 2 5 8" xfId="19139"/>
    <cellStyle name="Normal 37 2 5 8 2" xfId="36500"/>
    <cellStyle name="Normal 37 2 5 9" xfId="19140"/>
    <cellStyle name="Normal 37 2 5 9 2" xfId="36501"/>
    <cellStyle name="Normal 37 2 6" xfId="19141"/>
    <cellStyle name="Normal 37 2 6 10" xfId="19142"/>
    <cellStyle name="Normal 37 2 6 10 2" xfId="36503"/>
    <cellStyle name="Normal 37 2 6 11" xfId="19143"/>
    <cellStyle name="Normal 37 2 6 11 2" xfId="36504"/>
    <cellStyle name="Normal 37 2 6 12" xfId="19144"/>
    <cellStyle name="Normal 37 2 6 12 2" xfId="36505"/>
    <cellStyle name="Normal 37 2 6 13" xfId="19145"/>
    <cellStyle name="Normal 37 2 6 13 2" xfId="36506"/>
    <cellStyle name="Normal 37 2 6 14" xfId="19146"/>
    <cellStyle name="Normal 37 2 6 14 2" xfId="36507"/>
    <cellStyle name="Normal 37 2 6 15" xfId="19147"/>
    <cellStyle name="Normal 37 2 6 15 2" xfId="36508"/>
    <cellStyle name="Normal 37 2 6 16" xfId="36502"/>
    <cellStyle name="Normal 37 2 6 2" xfId="19148"/>
    <cellStyle name="Normal 37 2 6 2 10" xfId="19149"/>
    <cellStyle name="Normal 37 2 6 2 10 2" xfId="36510"/>
    <cellStyle name="Normal 37 2 6 2 11" xfId="19150"/>
    <cellStyle name="Normal 37 2 6 2 11 2" xfId="36511"/>
    <cellStyle name="Normal 37 2 6 2 12" xfId="19151"/>
    <cellStyle name="Normal 37 2 6 2 12 2" xfId="36512"/>
    <cellStyle name="Normal 37 2 6 2 13" xfId="19152"/>
    <cellStyle name="Normal 37 2 6 2 13 2" xfId="36513"/>
    <cellStyle name="Normal 37 2 6 2 14" xfId="19153"/>
    <cellStyle name="Normal 37 2 6 2 14 2" xfId="36514"/>
    <cellStyle name="Normal 37 2 6 2 15" xfId="36509"/>
    <cellStyle name="Normal 37 2 6 2 2" xfId="19154"/>
    <cellStyle name="Normal 37 2 6 2 2 2" xfId="36515"/>
    <cellStyle name="Normal 37 2 6 2 3" xfId="19155"/>
    <cellStyle name="Normal 37 2 6 2 3 2" xfId="36516"/>
    <cellStyle name="Normal 37 2 6 2 4" xfId="19156"/>
    <cellStyle name="Normal 37 2 6 2 4 2" xfId="36517"/>
    <cellStyle name="Normal 37 2 6 2 5" xfId="19157"/>
    <cellStyle name="Normal 37 2 6 2 5 2" xfId="36518"/>
    <cellStyle name="Normal 37 2 6 2 6" xfId="19158"/>
    <cellStyle name="Normal 37 2 6 2 6 2" xfId="36519"/>
    <cellStyle name="Normal 37 2 6 2 7" xfId="19159"/>
    <cellStyle name="Normal 37 2 6 2 7 2" xfId="36520"/>
    <cellStyle name="Normal 37 2 6 2 8" xfId="19160"/>
    <cellStyle name="Normal 37 2 6 2 8 2" xfId="36521"/>
    <cellStyle name="Normal 37 2 6 2 9" xfId="19161"/>
    <cellStyle name="Normal 37 2 6 2 9 2" xfId="36522"/>
    <cellStyle name="Normal 37 2 6 3" xfId="19162"/>
    <cellStyle name="Normal 37 2 6 3 2" xfId="36523"/>
    <cellStyle name="Normal 37 2 6 4" xfId="19163"/>
    <cellStyle name="Normal 37 2 6 4 2" xfId="36524"/>
    <cellStyle name="Normal 37 2 6 5" xfId="19164"/>
    <cellStyle name="Normal 37 2 6 5 2" xfId="36525"/>
    <cellStyle name="Normal 37 2 6 6" xfId="19165"/>
    <cellStyle name="Normal 37 2 6 6 2" xfId="36526"/>
    <cellStyle name="Normal 37 2 6 7" xfId="19166"/>
    <cellStyle name="Normal 37 2 6 7 2" xfId="36527"/>
    <cellStyle name="Normal 37 2 6 8" xfId="19167"/>
    <cellStyle name="Normal 37 2 6 8 2" xfId="36528"/>
    <cellStyle name="Normal 37 2 6 9" xfId="19168"/>
    <cellStyle name="Normal 37 2 6 9 2" xfId="36529"/>
    <cellStyle name="Normal 37 2 7" xfId="19169"/>
    <cellStyle name="Normal 37 2 7 10" xfId="19170"/>
    <cellStyle name="Normal 37 2 7 10 2" xfId="36531"/>
    <cellStyle name="Normal 37 2 7 11" xfId="19171"/>
    <cellStyle name="Normal 37 2 7 11 2" xfId="36532"/>
    <cellStyle name="Normal 37 2 7 12" xfId="19172"/>
    <cellStyle name="Normal 37 2 7 12 2" xfId="36533"/>
    <cellStyle name="Normal 37 2 7 13" xfId="19173"/>
    <cellStyle name="Normal 37 2 7 13 2" xfId="36534"/>
    <cellStyle name="Normal 37 2 7 14" xfId="19174"/>
    <cellStyle name="Normal 37 2 7 14 2" xfId="36535"/>
    <cellStyle name="Normal 37 2 7 15" xfId="36530"/>
    <cellStyle name="Normal 37 2 7 2" xfId="19175"/>
    <cellStyle name="Normal 37 2 7 2 2" xfId="36536"/>
    <cellStyle name="Normal 37 2 7 3" xfId="19176"/>
    <cellStyle name="Normal 37 2 7 3 2" xfId="36537"/>
    <cellStyle name="Normal 37 2 7 4" xfId="19177"/>
    <cellStyle name="Normal 37 2 7 4 2" xfId="36538"/>
    <cellStyle name="Normal 37 2 7 5" xfId="19178"/>
    <cellStyle name="Normal 37 2 7 5 2" xfId="36539"/>
    <cellStyle name="Normal 37 2 7 6" xfId="19179"/>
    <cellStyle name="Normal 37 2 7 6 2" xfId="36540"/>
    <cellStyle name="Normal 37 2 7 7" xfId="19180"/>
    <cellStyle name="Normal 37 2 7 7 2" xfId="36541"/>
    <cellStyle name="Normal 37 2 7 8" xfId="19181"/>
    <cellStyle name="Normal 37 2 7 8 2" xfId="36542"/>
    <cellStyle name="Normal 37 2 7 9" xfId="19182"/>
    <cellStyle name="Normal 37 2 7 9 2" xfId="36543"/>
    <cellStyle name="Normal 37 2 8" xfId="19183"/>
    <cellStyle name="Normal 37 2 8 10" xfId="19184"/>
    <cellStyle name="Normal 37 2 8 10 2" xfId="36545"/>
    <cellStyle name="Normal 37 2 8 11" xfId="19185"/>
    <cellStyle name="Normal 37 2 8 11 2" xfId="36546"/>
    <cellStyle name="Normal 37 2 8 12" xfId="19186"/>
    <cellStyle name="Normal 37 2 8 12 2" xfId="36547"/>
    <cellStyle name="Normal 37 2 8 13" xfId="19187"/>
    <cellStyle name="Normal 37 2 8 13 2" xfId="36548"/>
    <cellStyle name="Normal 37 2 8 14" xfId="19188"/>
    <cellStyle name="Normal 37 2 8 14 2" xfId="36549"/>
    <cellStyle name="Normal 37 2 8 15" xfId="36544"/>
    <cellStyle name="Normal 37 2 8 2" xfId="19189"/>
    <cellStyle name="Normal 37 2 8 2 2" xfId="36550"/>
    <cellStyle name="Normal 37 2 8 3" xfId="19190"/>
    <cellStyle name="Normal 37 2 8 3 2" xfId="36551"/>
    <cellStyle name="Normal 37 2 8 4" xfId="19191"/>
    <cellStyle name="Normal 37 2 8 4 2" xfId="36552"/>
    <cellStyle name="Normal 37 2 8 5" xfId="19192"/>
    <cellStyle name="Normal 37 2 8 5 2" xfId="36553"/>
    <cellStyle name="Normal 37 2 8 6" xfId="19193"/>
    <cellStyle name="Normal 37 2 8 6 2" xfId="36554"/>
    <cellStyle name="Normal 37 2 8 7" xfId="19194"/>
    <cellStyle name="Normal 37 2 8 7 2" xfId="36555"/>
    <cellStyle name="Normal 37 2 8 8" xfId="19195"/>
    <cellStyle name="Normal 37 2 8 8 2" xfId="36556"/>
    <cellStyle name="Normal 37 2 8 9" xfId="19196"/>
    <cellStyle name="Normal 37 2 8 9 2" xfId="36557"/>
    <cellStyle name="Normal 37 2 9" xfId="19197"/>
    <cellStyle name="Normal 37 2 9 10" xfId="19198"/>
    <cellStyle name="Normal 37 2 9 10 2" xfId="36559"/>
    <cellStyle name="Normal 37 2 9 11" xfId="19199"/>
    <cellStyle name="Normal 37 2 9 11 2" xfId="36560"/>
    <cellStyle name="Normal 37 2 9 12" xfId="19200"/>
    <cellStyle name="Normal 37 2 9 12 2" xfId="36561"/>
    <cellStyle name="Normal 37 2 9 13" xfId="19201"/>
    <cellStyle name="Normal 37 2 9 13 2" xfId="36562"/>
    <cellStyle name="Normal 37 2 9 14" xfId="19202"/>
    <cellStyle name="Normal 37 2 9 14 2" xfId="36563"/>
    <cellStyle name="Normal 37 2 9 15" xfId="36558"/>
    <cellStyle name="Normal 37 2 9 2" xfId="19203"/>
    <cellStyle name="Normal 37 2 9 2 2" xfId="36564"/>
    <cellStyle name="Normal 37 2 9 3" xfId="19204"/>
    <cellStyle name="Normal 37 2 9 3 2" xfId="36565"/>
    <cellStyle name="Normal 37 2 9 4" xfId="19205"/>
    <cellStyle name="Normal 37 2 9 4 2" xfId="36566"/>
    <cellStyle name="Normal 37 2 9 5" xfId="19206"/>
    <cellStyle name="Normal 37 2 9 5 2" xfId="36567"/>
    <cellStyle name="Normal 37 2 9 6" xfId="19207"/>
    <cellStyle name="Normal 37 2 9 6 2" xfId="36568"/>
    <cellStyle name="Normal 37 2 9 7" xfId="19208"/>
    <cellStyle name="Normal 37 2 9 7 2" xfId="36569"/>
    <cellStyle name="Normal 37 2 9 8" xfId="19209"/>
    <cellStyle name="Normal 37 2 9 8 2" xfId="36570"/>
    <cellStyle name="Normal 37 2 9 9" xfId="19210"/>
    <cellStyle name="Normal 37 2 9 9 2" xfId="36571"/>
    <cellStyle name="Normal 37 3" xfId="19211"/>
    <cellStyle name="Normal 37 4" xfId="19212"/>
    <cellStyle name="Normal 37 4 10" xfId="19213"/>
    <cellStyle name="Normal 37 4 10 10" xfId="19214"/>
    <cellStyle name="Normal 37 4 10 10 2" xfId="36574"/>
    <cellStyle name="Normal 37 4 10 11" xfId="19215"/>
    <cellStyle name="Normal 37 4 10 11 2" xfId="36575"/>
    <cellStyle name="Normal 37 4 10 12" xfId="19216"/>
    <cellStyle name="Normal 37 4 10 12 2" xfId="36576"/>
    <cellStyle name="Normal 37 4 10 13" xfId="19217"/>
    <cellStyle name="Normal 37 4 10 13 2" xfId="36577"/>
    <cellStyle name="Normal 37 4 10 14" xfId="19218"/>
    <cellStyle name="Normal 37 4 10 14 2" xfId="36578"/>
    <cellStyle name="Normal 37 4 10 15" xfId="36573"/>
    <cellStyle name="Normal 37 4 10 2" xfId="19219"/>
    <cellStyle name="Normal 37 4 10 2 2" xfId="36579"/>
    <cellStyle name="Normal 37 4 10 3" xfId="19220"/>
    <cellStyle name="Normal 37 4 10 3 2" xfId="36580"/>
    <cellStyle name="Normal 37 4 10 4" xfId="19221"/>
    <cellStyle name="Normal 37 4 10 4 2" xfId="36581"/>
    <cellStyle name="Normal 37 4 10 5" xfId="19222"/>
    <cellStyle name="Normal 37 4 10 5 2" xfId="36582"/>
    <cellStyle name="Normal 37 4 10 6" xfId="19223"/>
    <cellStyle name="Normal 37 4 10 6 2" xfId="36583"/>
    <cellStyle name="Normal 37 4 10 7" xfId="19224"/>
    <cellStyle name="Normal 37 4 10 7 2" xfId="36584"/>
    <cellStyle name="Normal 37 4 10 8" xfId="19225"/>
    <cellStyle name="Normal 37 4 10 8 2" xfId="36585"/>
    <cellStyle name="Normal 37 4 10 9" xfId="19226"/>
    <cellStyle name="Normal 37 4 10 9 2" xfId="36586"/>
    <cellStyle name="Normal 37 4 11" xfId="19227"/>
    <cellStyle name="Normal 37 4 11 10" xfId="19228"/>
    <cellStyle name="Normal 37 4 11 10 2" xfId="36588"/>
    <cellStyle name="Normal 37 4 11 11" xfId="19229"/>
    <cellStyle name="Normal 37 4 11 11 2" xfId="36589"/>
    <cellStyle name="Normal 37 4 11 12" xfId="19230"/>
    <cellStyle name="Normal 37 4 11 12 2" xfId="36590"/>
    <cellStyle name="Normal 37 4 11 13" xfId="19231"/>
    <cellStyle name="Normal 37 4 11 13 2" xfId="36591"/>
    <cellStyle name="Normal 37 4 11 14" xfId="19232"/>
    <cellStyle name="Normal 37 4 11 14 2" xfId="36592"/>
    <cellStyle name="Normal 37 4 11 15" xfId="36587"/>
    <cellStyle name="Normal 37 4 11 2" xfId="19233"/>
    <cellStyle name="Normal 37 4 11 2 2" xfId="36593"/>
    <cellStyle name="Normal 37 4 11 3" xfId="19234"/>
    <cellStyle name="Normal 37 4 11 3 2" xfId="36594"/>
    <cellStyle name="Normal 37 4 11 4" xfId="19235"/>
    <cellStyle name="Normal 37 4 11 4 2" xfId="36595"/>
    <cellStyle name="Normal 37 4 11 5" xfId="19236"/>
    <cellStyle name="Normal 37 4 11 5 2" xfId="36596"/>
    <cellStyle name="Normal 37 4 11 6" xfId="19237"/>
    <cellStyle name="Normal 37 4 11 6 2" xfId="36597"/>
    <cellStyle name="Normal 37 4 11 7" xfId="19238"/>
    <cellStyle name="Normal 37 4 11 7 2" xfId="36598"/>
    <cellStyle name="Normal 37 4 11 8" xfId="19239"/>
    <cellStyle name="Normal 37 4 11 8 2" xfId="36599"/>
    <cellStyle name="Normal 37 4 11 9" xfId="19240"/>
    <cellStyle name="Normal 37 4 11 9 2" xfId="36600"/>
    <cellStyle name="Normal 37 4 12" xfId="19241"/>
    <cellStyle name="Normal 37 4 12 10" xfId="19242"/>
    <cellStyle name="Normal 37 4 12 10 2" xfId="36602"/>
    <cellStyle name="Normal 37 4 12 11" xfId="19243"/>
    <cellStyle name="Normal 37 4 12 11 2" xfId="36603"/>
    <cellStyle name="Normal 37 4 12 12" xfId="19244"/>
    <cellStyle name="Normal 37 4 12 12 2" xfId="36604"/>
    <cellStyle name="Normal 37 4 12 13" xfId="19245"/>
    <cellStyle name="Normal 37 4 12 13 2" xfId="36605"/>
    <cellStyle name="Normal 37 4 12 14" xfId="19246"/>
    <cellStyle name="Normal 37 4 12 14 2" xfId="36606"/>
    <cellStyle name="Normal 37 4 12 15" xfId="36601"/>
    <cellStyle name="Normal 37 4 12 2" xfId="19247"/>
    <cellStyle name="Normal 37 4 12 2 2" xfId="36607"/>
    <cellStyle name="Normal 37 4 12 3" xfId="19248"/>
    <cellStyle name="Normal 37 4 12 3 2" xfId="36608"/>
    <cellStyle name="Normal 37 4 12 4" xfId="19249"/>
    <cellStyle name="Normal 37 4 12 4 2" xfId="36609"/>
    <cellStyle name="Normal 37 4 12 5" xfId="19250"/>
    <cellStyle name="Normal 37 4 12 5 2" xfId="36610"/>
    <cellStyle name="Normal 37 4 12 6" xfId="19251"/>
    <cellStyle name="Normal 37 4 12 6 2" xfId="36611"/>
    <cellStyle name="Normal 37 4 12 7" xfId="19252"/>
    <cellStyle name="Normal 37 4 12 7 2" xfId="36612"/>
    <cellStyle name="Normal 37 4 12 8" xfId="19253"/>
    <cellStyle name="Normal 37 4 12 8 2" xfId="36613"/>
    <cellStyle name="Normal 37 4 12 9" xfId="19254"/>
    <cellStyle name="Normal 37 4 12 9 2" xfId="36614"/>
    <cellStyle name="Normal 37 4 13" xfId="19255"/>
    <cellStyle name="Normal 37 4 13 10" xfId="19256"/>
    <cellStyle name="Normal 37 4 13 10 2" xfId="36616"/>
    <cellStyle name="Normal 37 4 13 11" xfId="19257"/>
    <cellStyle name="Normal 37 4 13 11 2" xfId="36617"/>
    <cellStyle name="Normal 37 4 13 12" xfId="19258"/>
    <cellStyle name="Normal 37 4 13 12 2" xfId="36618"/>
    <cellStyle name="Normal 37 4 13 13" xfId="19259"/>
    <cellStyle name="Normal 37 4 13 13 2" xfId="36619"/>
    <cellStyle name="Normal 37 4 13 14" xfId="19260"/>
    <cellStyle name="Normal 37 4 13 14 2" xfId="36620"/>
    <cellStyle name="Normal 37 4 13 15" xfId="36615"/>
    <cellStyle name="Normal 37 4 13 2" xfId="19261"/>
    <cellStyle name="Normal 37 4 13 2 2" xfId="36621"/>
    <cellStyle name="Normal 37 4 13 3" xfId="19262"/>
    <cellStyle name="Normal 37 4 13 3 2" xfId="36622"/>
    <cellStyle name="Normal 37 4 13 4" xfId="19263"/>
    <cellStyle name="Normal 37 4 13 4 2" xfId="36623"/>
    <cellStyle name="Normal 37 4 13 5" xfId="19264"/>
    <cellStyle name="Normal 37 4 13 5 2" xfId="36624"/>
    <cellStyle name="Normal 37 4 13 6" xfId="19265"/>
    <cellStyle name="Normal 37 4 13 6 2" xfId="36625"/>
    <cellStyle name="Normal 37 4 13 7" xfId="19266"/>
    <cellStyle name="Normal 37 4 13 7 2" xfId="36626"/>
    <cellStyle name="Normal 37 4 13 8" xfId="19267"/>
    <cellStyle name="Normal 37 4 13 8 2" xfId="36627"/>
    <cellStyle name="Normal 37 4 13 9" xfId="19268"/>
    <cellStyle name="Normal 37 4 13 9 2" xfId="36628"/>
    <cellStyle name="Normal 37 4 14" xfId="19269"/>
    <cellStyle name="Normal 37 4 14 10" xfId="19270"/>
    <cellStyle name="Normal 37 4 14 10 2" xfId="36630"/>
    <cellStyle name="Normal 37 4 14 11" xfId="19271"/>
    <cellStyle name="Normal 37 4 14 11 2" xfId="36631"/>
    <cellStyle name="Normal 37 4 14 12" xfId="19272"/>
    <cellStyle name="Normal 37 4 14 12 2" xfId="36632"/>
    <cellStyle name="Normal 37 4 14 13" xfId="19273"/>
    <cellStyle name="Normal 37 4 14 13 2" xfId="36633"/>
    <cellStyle name="Normal 37 4 14 14" xfId="19274"/>
    <cellStyle name="Normal 37 4 14 14 2" xfId="36634"/>
    <cellStyle name="Normal 37 4 14 15" xfId="36629"/>
    <cellStyle name="Normal 37 4 14 2" xfId="19275"/>
    <cellStyle name="Normal 37 4 14 2 2" xfId="36635"/>
    <cellStyle name="Normal 37 4 14 3" xfId="19276"/>
    <cellStyle name="Normal 37 4 14 3 2" xfId="36636"/>
    <cellStyle name="Normal 37 4 14 4" xfId="19277"/>
    <cellStyle name="Normal 37 4 14 4 2" xfId="36637"/>
    <cellStyle name="Normal 37 4 14 5" xfId="19278"/>
    <cellStyle name="Normal 37 4 14 5 2" xfId="36638"/>
    <cellStyle name="Normal 37 4 14 6" xfId="19279"/>
    <cellStyle name="Normal 37 4 14 6 2" xfId="36639"/>
    <cellStyle name="Normal 37 4 14 7" xfId="19280"/>
    <cellStyle name="Normal 37 4 14 7 2" xfId="36640"/>
    <cellStyle name="Normal 37 4 14 8" xfId="19281"/>
    <cellStyle name="Normal 37 4 14 8 2" xfId="36641"/>
    <cellStyle name="Normal 37 4 14 9" xfId="19282"/>
    <cellStyle name="Normal 37 4 14 9 2" xfId="36642"/>
    <cellStyle name="Normal 37 4 15" xfId="19283"/>
    <cellStyle name="Normal 37 4 15 10" xfId="19284"/>
    <cellStyle name="Normal 37 4 15 10 2" xfId="36644"/>
    <cellStyle name="Normal 37 4 15 11" xfId="19285"/>
    <cellStyle name="Normal 37 4 15 11 2" xfId="36645"/>
    <cellStyle name="Normal 37 4 15 12" xfId="19286"/>
    <cellStyle name="Normal 37 4 15 12 2" xfId="36646"/>
    <cellStyle name="Normal 37 4 15 13" xfId="19287"/>
    <cellStyle name="Normal 37 4 15 13 2" xfId="36647"/>
    <cellStyle name="Normal 37 4 15 14" xfId="19288"/>
    <cellStyle name="Normal 37 4 15 14 2" xfId="36648"/>
    <cellStyle name="Normal 37 4 15 15" xfId="36643"/>
    <cellStyle name="Normal 37 4 15 2" xfId="19289"/>
    <cellStyle name="Normal 37 4 15 2 2" xfId="36649"/>
    <cellStyle name="Normal 37 4 15 3" xfId="19290"/>
    <cellStyle name="Normal 37 4 15 3 2" xfId="36650"/>
    <cellStyle name="Normal 37 4 15 4" xfId="19291"/>
    <cellStyle name="Normal 37 4 15 4 2" xfId="36651"/>
    <cellStyle name="Normal 37 4 15 5" xfId="19292"/>
    <cellStyle name="Normal 37 4 15 5 2" xfId="36652"/>
    <cellStyle name="Normal 37 4 15 6" xfId="19293"/>
    <cellStyle name="Normal 37 4 15 6 2" xfId="36653"/>
    <cellStyle name="Normal 37 4 15 7" xfId="19294"/>
    <cellStyle name="Normal 37 4 15 7 2" xfId="36654"/>
    <cellStyle name="Normal 37 4 15 8" xfId="19295"/>
    <cellStyle name="Normal 37 4 15 8 2" xfId="36655"/>
    <cellStyle name="Normal 37 4 15 9" xfId="19296"/>
    <cellStyle name="Normal 37 4 15 9 2" xfId="36656"/>
    <cellStyle name="Normal 37 4 16" xfId="19297"/>
    <cellStyle name="Normal 37 4 16 2" xfId="36657"/>
    <cellStyle name="Normal 37 4 17" xfId="19298"/>
    <cellStyle name="Normal 37 4 17 2" xfId="36658"/>
    <cellStyle name="Normal 37 4 18" xfId="19299"/>
    <cellStyle name="Normal 37 4 18 2" xfId="36659"/>
    <cellStyle name="Normal 37 4 19" xfId="19300"/>
    <cellStyle name="Normal 37 4 19 2" xfId="36660"/>
    <cellStyle name="Normal 37 4 2" xfId="19301"/>
    <cellStyle name="Normal 37 4 2 10" xfId="19302"/>
    <cellStyle name="Normal 37 4 2 10 2" xfId="36662"/>
    <cellStyle name="Normal 37 4 2 11" xfId="19303"/>
    <cellStyle name="Normal 37 4 2 11 2" xfId="36663"/>
    <cellStyle name="Normal 37 4 2 12" xfId="19304"/>
    <cellStyle name="Normal 37 4 2 12 2" xfId="36664"/>
    <cellStyle name="Normal 37 4 2 13" xfId="19305"/>
    <cellStyle name="Normal 37 4 2 13 2" xfId="36665"/>
    <cellStyle name="Normal 37 4 2 14" xfId="19306"/>
    <cellStyle name="Normal 37 4 2 14 2" xfId="36666"/>
    <cellStyle name="Normal 37 4 2 15" xfId="19307"/>
    <cellStyle name="Normal 37 4 2 15 2" xfId="36667"/>
    <cellStyle name="Normal 37 4 2 16" xfId="36661"/>
    <cellStyle name="Normal 37 4 2 2" xfId="19308"/>
    <cellStyle name="Normal 37 4 2 2 10" xfId="19309"/>
    <cellStyle name="Normal 37 4 2 2 10 2" xfId="36669"/>
    <cellStyle name="Normal 37 4 2 2 11" xfId="19310"/>
    <cellStyle name="Normal 37 4 2 2 11 2" xfId="36670"/>
    <cellStyle name="Normal 37 4 2 2 12" xfId="19311"/>
    <cellStyle name="Normal 37 4 2 2 12 2" xfId="36671"/>
    <cellStyle name="Normal 37 4 2 2 13" xfId="19312"/>
    <cellStyle name="Normal 37 4 2 2 13 2" xfId="36672"/>
    <cellStyle name="Normal 37 4 2 2 14" xfId="19313"/>
    <cellStyle name="Normal 37 4 2 2 14 2" xfId="36673"/>
    <cellStyle name="Normal 37 4 2 2 15" xfId="36668"/>
    <cellStyle name="Normal 37 4 2 2 2" xfId="19314"/>
    <cellStyle name="Normal 37 4 2 2 2 2" xfId="36674"/>
    <cellStyle name="Normal 37 4 2 2 3" xfId="19315"/>
    <cellStyle name="Normal 37 4 2 2 3 2" xfId="36675"/>
    <cellStyle name="Normal 37 4 2 2 4" xfId="19316"/>
    <cellStyle name="Normal 37 4 2 2 4 2" xfId="36676"/>
    <cellStyle name="Normal 37 4 2 2 5" xfId="19317"/>
    <cellStyle name="Normal 37 4 2 2 5 2" xfId="36677"/>
    <cellStyle name="Normal 37 4 2 2 6" xfId="19318"/>
    <cellStyle name="Normal 37 4 2 2 6 2" xfId="36678"/>
    <cellStyle name="Normal 37 4 2 2 7" xfId="19319"/>
    <cellStyle name="Normal 37 4 2 2 7 2" xfId="36679"/>
    <cellStyle name="Normal 37 4 2 2 8" xfId="19320"/>
    <cellStyle name="Normal 37 4 2 2 8 2" xfId="36680"/>
    <cellStyle name="Normal 37 4 2 2 9" xfId="19321"/>
    <cellStyle name="Normal 37 4 2 2 9 2" xfId="36681"/>
    <cellStyle name="Normal 37 4 2 3" xfId="19322"/>
    <cellStyle name="Normal 37 4 2 3 2" xfId="36682"/>
    <cellStyle name="Normal 37 4 2 4" xfId="19323"/>
    <cellStyle name="Normal 37 4 2 4 2" xfId="36683"/>
    <cellStyle name="Normal 37 4 2 5" xfId="19324"/>
    <cellStyle name="Normal 37 4 2 5 2" xfId="36684"/>
    <cellStyle name="Normal 37 4 2 6" xfId="19325"/>
    <cellStyle name="Normal 37 4 2 6 2" xfId="36685"/>
    <cellStyle name="Normal 37 4 2 7" xfId="19326"/>
    <cellStyle name="Normal 37 4 2 7 2" xfId="36686"/>
    <cellStyle name="Normal 37 4 2 8" xfId="19327"/>
    <cellStyle name="Normal 37 4 2 8 2" xfId="36687"/>
    <cellStyle name="Normal 37 4 2 9" xfId="19328"/>
    <cellStyle name="Normal 37 4 2 9 2" xfId="36688"/>
    <cellStyle name="Normal 37 4 20" xfId="19329"/>
    <cellStyle name="Normal 37 4 20 2" xfId="36689"/>
    <cellStyle name="Normal 37 4 21" xfId="19330"/>
    <cellStyle name="Normal 37 4 21 2" xfId="36690"/>
    <cellStyle name="Normal 37 4 22" xfId="19331"/>
    <cellStyle name="Normal 37 4 22 2" xfId="36691"/>
    <cellStyle name="Normal 37 4 23" xfId="19332"/>
    <cellStyle name="Normal 37 4 23 2" xfId="36692"/>
    <cellStyle name="Normal 37 4 24" xfId="19333"/>
    <cellStyle name="Normal 37 4 24 2" xfId="36693"/>
    <cellStyle name="Normal 37 4 25" xfId="19334"/>
    <cellStyle name="Normal 37 4 25 2" xfId="36694"/>
    <cellStyle name="Normal 37 4 26" xfId="19335"/>
    <cellStyle name="Normal 37 4 26 2" xfId="36695"/>
    <cellStyle name="Normal 37 4 27" xfId="19336"/>
    <cellStyle name="Normal 37 4 27 2" xfId="36696"/>
    <cellStyle name="Normal 37 4 28" xfId="19337"/>
    <cellStyle name="Normal 37 4 28 2" xfId="36697"/>
    <cellStyle name="Normal 37 4 29" xfId="36572"/>
    <cellStyle name="Normal 37 4 3" xfId="19338"/>
    <cellStyle name="Normal 37 4 3 10" xfId="19339"/>
    <cellStyle name="Normal 37 4 3 10 2" xfId="36699"/>
    <cellStyle name="Normal 37 4 3 11" xfId="19340"/>
    <cellStyle name="Normal 37 4 3 11 2" xfId="36700"/>
    <cellStyle name="Normal 37 4 3 12" xfId="19341"/>
    <cellStyle name="Normal 37 4 3 12 2" xfId="36701"/>
    <cellStyle name="Normal 37 4 3 13" xfId="19342"/>
    <cellStyle name="Normal 37 4 3 13 2" xfId="36702"/>
    <cellStyle name="Normal 37 4 3 14" xfId="19343"/>
    <cellStyle name="Normal 37 4 3 14 2" xfId="36703"/>
    <cellStyle name="Normal 37 4 3 15" xfId="19344"/>
    <cellStyle name="Normal 37 4 3 15 2" xfId="36704"/>
    <cellStyle name="Normal 37 4 3 16" xfId="36698"/>
    <cellStyle name="Normal 37 4 3 2" xfId="19345"/>
    <cellStyle name="Normal 37 4 3 2 10" xfId="19346"/>
    <cellStyle name="Normal 37 4 3 2 10 2" xfId="36706"/>
    <cellStyle name="Normal 37 4 3 2 11" xfId="19347"/>
    <cellStyle name="Normal 37 4 3 2 11 2" xfId="36707"/>
    <cellStyle name="Normal 37 4 3 2 12" xfId="19348"/>
    <cellStyle name="Normal 37 4 3 2 12 2" xfId="36708"/>
    <cellStyle name="Normal 37 4 3 2 13" xfId="19349"/>
    <cellStyle name="Normal 37 4 3 2 13 2" xfId="36709"/>
    <cellStyle name="Normal 37 4 3 2 14" xfId="19350"/>
    <cellStyle name="Normal 37 4 3 2 14 2" xfId="36710"/>
    <cellStyle name="Normal 37 4 3 2 15" xfId="36705"/>
    <cellStyle name="Normal 37 4 3 2 2" xfId="19351"/>
    <cellStyle name="Normal 37 4 3 2 2 2" xfId="36711"/>
    <cellStyle name="Normal 37 4 3 2 3" xfId="19352"/>
    <cellStyle name="Normal 37 4 3 2 3 2" xfId="36712"/>
    <cellStyle name="Normal 37 4 3 2 4" xfId="19353"/>
    <cellStyle name="Normal 37 4 3 2 4 2" xfId="36713"/>
    <cellStyle name="Normal 37 4 3 2 5" xfId="19354"/>
    <cellStyle name="Normal 37 4 3 2 5 2" xfId="36714"/>
    <cellStyle name="Normal 37 4 3 2 6" xfId="19355"/>
    <cellStyle name="Normal 37 4 3 2 6 2" xfId="36715"/>
    <cellStyle name="Normal 37 4 3 2 7" xfId="19356"/>
    <cellStyle name="Normal 37 4 3 2 7 2" xfId="36716"/>
    <cellStyle name="Normal 37 4 3 2 8" xfId="19357"/>
    <cellStyle name="Normal 37 4 3 2 8 2" xfId="36717"/>
    <cellStyle name="Normal 37 4 3 2 9" xfId="19358"/>
    <cellStyle name="Normal 37 4 3 2 9 2" xfId="36718"/>
    <cellStyle name="Normal 37 4 3 3" xfId="19359"/>
    <cellStyle name="Normal 37 4 3 3 2" xfId="36719"/>
    <cellStyle name="Normal 37 4 3 4" xfId="19360"/>
    <cellStyle name="Normal 37 4 3 4 2" xfId="36720"/>
    <cellStyle name="Normal 37 4 3 5" xfId="19361"/>
    <cellStyle name="Normal 37 4 3 5 2" xfId="36721"/>
    <cellStyle name="Normal 37 4 3 6" xfId="19362"/>
    <cellStyle name="Normal 37 4 3 6 2" xfId="36722"/>
    <cellStyle name="Normal 37 4 3 7" xfId="19363"/>
    <cellStyle name="Normal 37 4 3 7 2" xfId="36723"/>
    <cellStyle name="Normal 37 4 3 8" xfId="19364"/>
    <cellStyle name="Normal 37 4 3 8 2" xfId="36724"/>
    <cellStyle name="Normal 37 4 3 9" xfId="19365"/>
    <cellStyle name="Normal 37 4 3 9 2" xfId="36725"/>
    <cellStyle name="Normal 37 4 4" xfId="19366"/>
    <cellStyle name="Normal 37 4 4 10" xfId="19367"/>
    <cellStyle name="Normal 37 4 4 10 2" xfId="36727"/>
    <cellStyle name="Normal 37 4 4 11" xfId="19368"/>
    <cellStyle name="Normal 37 4 4 11 2" xfId="36728"/>
    <cellStyle name="Normal 37 4 4 12" xfId="19369"/>
    <cellStyle name="Normal 37 4 4 12 2" xfId="36729"/>
    <cellStyle name="Normal 37 4 4 13" xfId="19370"/>
    <cellStyle name="Normal 37 4 4 13 2" xfId="36730"/>
    <cellStyle name="Normal 37 4 4 14" xfId="19371"/>
    <cellStyle name="Normal 37 4 4 14 2" xfId="36731"/>
    <cellStyle name="Normal 37 4 4 15" xfId="19372"/>
    <cellStyle name="Normal 37 4 4 15 2" xfId="36732"/>
    <cellStyle name="Normal 37 4 4 16" xfId="36726"/>
    <cellStyle name="Normal 37 4 4 2" xfId="19373"/>
    <cellStyle name="Normal 37 4 4 2 10" xfId="19374"/>
    <cellStyle name="Normal 37 4 4 2 10 2" xfId="36734"/>
    <cellStyle name="Normal 37 4 4 2 11" xfId="19375"/>
    <cellStyle name="Normal 37 4 4 2 11 2" xfId="36735"/>
    <cellStyle name="Normal 37 4 4 2 12" xfId="19376"/>
    <cellStyle name="Normal 37 4 4 2 12 2" xfId="36736"/>
    <cellStyle name="Normal 37 4 4 2 13" xfId="19377"/>
    <cellStyle name="Normal 37 4 4 2 13 2" xfId="36737"/>
    <cellStyle name="Normal 37 4 4 2 14" xfId="19378"/>
    <cellStyle name="Normal 37 4 4 2 14 2" xfId="36738"/>
    <cellStyle name="Normal 37 4 4 2 15" xfId="36733"/>
    <cellStyle name="Normal 37 4 4 2 2" xfId="19379"/>
    <cellStyle name="Normal 37 4 4 2 2 2" xfId="36739"/>
    <cellStyle name="Normal 37 4 4 2 3" xfId="19380"/>
    <cellStyle name="Normal 37 4 4 2 3 2" xfId="36740"/>
    <cellStyle name="Normal 37 4 4 2 4" xfId="19381"/>
    <cellStyle name="Normal 37 4 4 2 4 2" xfId="36741"/>
    <cellStyle name="Normal 37 4 4 2 5" xfId="19382"/>
    <cellStyle name="Normal 37 4 4 2 5 2" xfId="36742"/>
    <cellStyle name="Normal 37 4 4 2 6" xfId="19383"/>
    <cellStyle name="Normal 37 4 4 2 6 2" xfId="36743"/>
    <cellStyle name="Normal 37 4 4 2 7" xfId="19384"/>
    <cellStyle name="Normal 37 4 4 2 7 2" xfId="36744"/>
    <cellStyle name="Normal 37 4 4 2 8" xfId="19385"/>
    <cellStyle name="Normal 37 4 4 2 8 2" xfId="36745"/>
    <cellStyle name="Normal 37 4 4 2 9" xfId="19386"/>
    <cellStyle name="Normal 37 4 4 2 9 2" xfId="36746"/>
    <cellStyle name="Normal 37 4 4 3" xfId="19387"/>
    <cellStyle name="Normal 37 4 4 3 2" xfId="36747"/>
    <cellStyle name="Normal 37 4 4 4" xfId="19388"/>
    <cellStyle name="Normal 37 4 4 4 2" xfId="36748"/>
    <cellStyle name="Normal 37 4 4 5" xfId="19389"/>
    <cellStyle name="Normal 37 4 4 5 2" xfId="36749"/>
    <cellStyle name="Normal 37 4 4 6" xfId="19390"/>
    <cellStyle name="Normal 37 4 4 6 2" xfId="36750"/>
    <cellStyle name="Normal 37 4 4 7" xfId="19391"/>
    <cellStyle name="Normal 37 4 4 7 2" xfId="36751"/>
    <cellStyle name="Normal 37 4 4 8" xfId="19392"/>
    <cellStyle name="Normal 37 4 4 8 2" xfId="36752"/>
    <cellStyle name="Normal 37 4 4 9" xfId="19393"/>
    <cellStyle name="Normal 37 4 4 9 2" xfId="36753"/>
    <cellStyle name="Normal 37 4 5" xfId="19394"/>
    <cellStyle name="Normal 37 4 5 10" xfId="19395"/>
    <cellStyle name="Normal 37 4 5 10 2" xfId="36755"/>
    <cellStyle name="Normal 37 4 5 11" xfId="19396"/>
    <cellStyle name="Normal 37 4 5 11 2" xfId="36756"/>
    <cellStyle name="Normal 37 4 5 12" xfId="19397"/>
    <cellStyle name="Normal 37 4 5 12 2" xfId="36757"/>
    <cellStyle name="Normal 37 4 5 13" xfId="19398"/>
    <cellStyle name="Normal 37 4 5 13 2" xfId="36758"/>
    <cellStyle name="Normal 37 4 5 14" xfId="19399"/>
    <cellStyle name="Normal 37 4 5 14 2" xfId="36759"/>
    <cellStyle name="Normal 37 4 5 15" xfId="36754"/>
    <cellStyle name="Normal 37 4 5 2" xfId="19400"/>
    <cellStyle name="Normal 37 4 5 2 2" xfId="36760"/>
    <cellStyle name="Normal 37 4 5 3" xfId="19401"/>
    <cellStyle name="Normal 37 4 5 3 2" xfId="36761"/>
    <cellStyle name="Normal 37 4 5 4" xfId="19402"/>
    <cellStyle name="Normal 37 4 5 4 2" xfId="36762"/>
    <cellStyle name="Normal 37 4 5 5" xfId="19403"/>
    <cellStyle name="Normal 37 4 5 5 2" xfId="36763"/>
    <cellStyle name="Normal 37 4 5 6" xfId="19404"/>
    <cellStyle name="Normal 37 4 5 6 2" xfId="36764"/>
    <cellStyle name="Normal 37 4 5 7" xfId="19405"/>
    <cellStyle name="Normal 37 4 5 7 2" xfId="36765"/>
    <cellStyle name="Normal 37 4 5 8" xfId="19406"/>
    <cellStyle name="Normal 37 4 5 8 2" xfId="36766"/>
    <cellStyle name="Normal 37 4 5 9" xfId="19407"/>
    <cellStyle name="Normal 37 4 5 9 2" xfId="36767"/>
    <cellStyle name="Normal 37 4 6" xfId="19408"/>
    <cellStyle name="Normal 37 4 6 10" xfId="19409"/>
    <cellStyle name="Normal 37 4 6 10 2" xfId="36769"/>
    <cellStyle name="Normal 37 4 6 11" xfId="19410"/>
    <cellStyle name="Normal 37 4 6 11 2" xfId="36770"/>
    <cellStyle name="Normal 37 4 6 12" xfId="19411"/>
    <cellStyle name="Normal 37 4 6 12 2" xfId="36771"/>
    <cellStyle name="Normal 37 4 6 13" xfId="19412"/>
    <cellStyle name="Normal 37 4 6 13 2" xfId="36772"/>
    <cellStyle name="Normal 37 4 6 14" xfId="19413"/>
    <cellStyle name="Normal 37 4 6 14 2" xfId="36773"/>
    <cellStyle name="Normal 37 4 6 15" xfId="36768"/>
    <cellStyle name="Normal 37 4 6 2" xfId="19414"/>
    <cellStyle name="Normal 37 4 6 2 2" xfId="36774"/>
    <cellStyle name="Normal 37 4 6 3" xfId="19415"/>
    <cellStyle name="Normal 37 4 6 3 2" xfId="36775"/>
    <cellStyle name="Normal 37 4 6 4" xfId="19416"/>
    <cellStyle name="Normal 37 4 6 4 2" xfId="36776"/>
    <cellStyle name="Normal 37 4 6 5" xfId="19417"/>
    <cellStyle name="Normal 37 4 6 5 2" xfId="36777"/>
    <cellStyle name="Normal 37 4 6 6" xfId="19418"/>
    <cellStyle name="Normal 37 4 6 6 2" xfId="36778"/>
    <cellStyle name="Normal 37 4 6 7" xfId="19419"/>
    <cellStyle name="Normal 37 4 6 7 2" xfId="36779"/>
    <cellStyle name="Normal 37 4 6 8" xfId="19420"/>
    <cellStyle name="Normal 37 4 6 8 2" xfId="36780"/>
    <cellStyle name="Normal 37 4 6 9" xfId="19421"/>
    <cellStyle name="Normal 37 4 6 9 2" xfId="36781"/>
    <cellStyle name="Normal 37 4 7" xfId="19422"/>
    <cellStyle name="Normal 37 4 7 10" xfId="19423"/>
    <cellStyle name="Normal 37 4 7 10 2" xfId="36783"/>
    <cellStyle name="Normal 37 4 7 11" xfId="19424"/>
    <cellStyle name="Normal 37 4 7 11 2" xfId="36784"/>
    <cellStyle name="Normal 37 4 7 12" xfId="19425"/>
    <cellStyle name="Normal 37 4 7 12 2" xfId="36785"/>
    <cellStyle name="Normal 37 4 7 13" xfId="19426"/>
    <cellStyle name="Normal 37 4 7 13 2" xfId="36786"/>
    <cellStyle name="Normal 37 4 7 14" xfId="19427"/>
    <cellStyle name="Normal 37 4 7 14 2" xfId="36787"/>
    <cellStyle name="Normal 37 4 7 15" xfId="36782"/>
    <cellStyle name="Normal 37 4 7 2" xfId="19428"/>
    <cellStyle name="Normal 37 4 7 2 2" xfId="36788"/>
    <cellStyle name="Normal 37 4 7 3" xfId="19429"/>
    <cellStyle name="Normal 37 4 7 3 2" xfId="36789"/>
    <cellStyle name="Normal 37 4 7 4" xfId="19430"/>
    <cellStyle name="Normal 37 4 7 4 2" xfId="36790"/>
    <cellStyle name="Normal 37 4 7 5" xfId="19431"/>
    <cellStyle name="Normal 37 4 7 5 2" xfId="36791"/>
    <cellStyle name="Normal 37 4 7 6" xfId="19432"/>
    <cellStyle name="Normal 37 4 7 6 2" xfId="36792"/>
    <cellStyle name="Normal 37 4 7 7" xfId="19433"/>
    <cellStyle name="Normal 37 4 7 7 2" xfId="36793"/>
    <cellStyle name="Normal 37 4 7 8" xfId="19434"/>
    <cellStyle name="Normal 37 4 7 8 2" xfId="36794"/>
    <cellStyle name="Normal 37 4 7 9" xfId="19435"/>
    <cellStyle name="Normal 37 4 7 9 2" xfId="36795"/>
    <cellStyle name="Normal 37 4 8" xfId="19436"/>
    <cellStyle name="Normal 37 4 8 10" xfId="19437"/>
    <cellStyle name="Normal 37 4 8 10 2" xfId="36797"/>
    <cellStyle name="Normal 37 4 8 11" xfId="19438"/>
    <cellStyle name="Normal 37 4 8 11 2" xfId="36798"/>
    <cellStyle name="Normal 37 4 8 12" xfId="19439"/>
    <cellStyle name="Normal 37 4 8 12 2" xfId="36799"/>
    <cellStyle name="Normal 37 4 8 13" xfId="19440"/>
    <cellStyle name="Normal 37 4 8 13 2" xfId="36800"/>
    <cellStyle name="Normal 37 4 8 14" xfId="19441"/>
    <cellStyle name="Normal 37 4 8 14 2" xfId="36801"/>
    <cellStyle name="Normal 37 4 8 15" xfId="36796"/>
    <cellStyle name="Normal 37 4 8 2" xfId="19442"/>
    <cellStyle name="Normal 37 4 8 2 2" xfId="36802"/>
    <cellStyle name="Normal 37 4 8 3" xfId="19443"/>
    <cellStyle name="Normal 37 4 8 3 2" xfId="36803"/>
    <cellStyle name="Normal 37 4 8 4" xfId="19444"/>
    <cellStyle name="Normal 37 4 8 4 2" xfId="36804"/>
    <cellStyle name="Normal 37 4 8 5" xfId="19445"/>
    <cellStyle name="Normal 37 4 8 5 2" xfId="36805"/>
    <cellStyle name="Normal 37 4 8 6" xfId="19446"/>
    <cellStyle name="Normal 37 4 8 6 2" xfId="36806"/>
    <cellStyle name="Normal 37 4 8 7" xfId="19447"/>
    <cellStyle name="Normal 37 4 8 7 2" xfId="36807"/>
    <cellStyle name="Normal 37 4 8 8" xfId="19448"/>
    <cellStyle name="Normal 37 4 8 8 2" xfId="36808"/>
    <cellStyle name="Normal 37 4 8 9" xfId="19449"/>
    <cellStyle name="Normal 37 4 8 9 2" xfId="36809"/>
    <cellStyle name="Normal 37 4 9" xfId="19450"/>
    <cellStyle name="Normal 37 4 9 10" xfId="19451"/>
    <cellStyle name="Normal 37 4 9 10 2" xfId="36811"/>
    <cellStyle name="Normal 37 4 9 11" xfId="19452"/>
    <cellStyle name="Normal 37 4 9 11 2" xfId="36812"/>
    <cellStyle name="Normal 37 4 9 12" xfId="19453"/>
    <cellStyle name="Normal 37 4 9 12 2" xfId="36813"/>
    <cellStyle name="Normal 37 4 9 13" xfId="19454"/>
    <cellStyle name="Normal 37 4 9 13 2" xfId="36814"/>
    <cellStyle name="Normal 37 4 9 14" xfId="19455"/>
    <cellStyle name="Normal 37 4 9 14 2" xfId="36815"/>
    <cellStyle name="Normal 37 4 9 15" xfId="36810"/>
    <cellStyle name="Normal 37 4 9 2" xfId="19456"/>
    <cellStyle name="Normal 37 4 9 2 2" xfId="36816"/>
    <cellStyle name="Normal 37 4 9 3" xfId="19457"/>
    <cellStyle name="Normal 37 4 9 3 2" xfId="36817"/>
    <cellStyle name="Normal 37 4 9 4" xfId="19458"/>
    <cellStyle name="Normal 37 4 9 4 2" xfId="36818"/>
    <cellStyle name="Normal 37 4 9 5" xfId="19459"/>
    <cellStyle name="Normal 37 4 9 5 2" xfId="36819"/>
    <cellStyle name="Normal 37 4 9 6" xfId="19460"/>
    <cellStyle name="Normal 37 4 9 6 2" xfId="36820"/>
    <cellStyle name="Normal 37 4 9 7" xfId="19461"/>
    <cellStyle name="Normal 37 4 9 7 2" xfId="36821"/>
    <cellStyle name="Normal 37 4 9 8" xfId="19462"/>
    <cellStyle name="Normal 37 4 9 8 2" xfId="36822"/>
    <cellStyle name="Normal 37 4 9 9" xfId="19463"/>
    <cellStyle name="Normal 37 4 9 9 2" xfId="36823"/>
    <cellStyle name="Normal 38" xfId="66"/>
    <cellStyle name="Normal 38 10" xfId="19464"/>
    <cellStyle name="Normal 38 10 10" xfId="19465"/>
    <cellStyle name="Normal 38 10 10 2" xfId="36826"/>
    <cellStyle name="Normal 38 10 11" xfId="19466"/>
    <cellStyle name="Normal 38 10 11 2" xfId="36827"/>
    <cellStyle name="Normal 38 10 12" xfId="19467"/>
    <cellStyle name="Normal 38 10 12 2" xfId="36828"/>
    <cellStyle name="Normal 38 10 13" xfId="19468"/>
    <cellStyle name="Normal 38 10 13 2" xfId="36829"/>
    <cellStyle name="Normal 38 10 14" xfId="19469"/>
    <cellStyle name="Normal 38 10 14 2" xfId="36830"/>
    <cellStyle name="Normal 38 10 15" xfId="36825"/>
    <cellStyle name="Normal 38 10 2" xfId="19470"/>
    <cellStyle name="Normal 38 10 2 2" xfId="36831"/>
    <cellStyle name="Normal 38 10 3" xfId="19471"/>
    <cellStyle name="Normal 38 10 3 2" xfId="36832"/>
    <cellStyle name="Normal 38 10 4" xfId="19472"/>
    <cellStyle name="Normal 38 10 4 2" xfId="36833"/>
    <cellStyle name="Normal 38 10 5" xfId="19473"/>
    <cellStyle name="Normal 38 10 5 2" xfId="36834"/>
    <cellStyle name="Normal 38 10 6" xfId="19474"/>
    <cellStyle name="Normal 38 10 6 2" xfId="36835"/>
    <cellStyle name="Normal 38 10 7" xfId="19475"/>
    <cellStyle name="Normal 38 10 7 2" xfId="36836"/>
    <cellStyle name="Normal 38 10 8" xfId="19476"/>
    <cellStyle name="Normal 38 10 8 2" xfId="36837"/>
    <cellStyle name="Normal 38 10 9" xfId="19477"/>
    <cellStyle name="Normal 38 10 9 2" xfId="36838"/>
    <cellStyle name="Normal 38 11" xfId="19478"/>
    <cellStyle name="Normal 38 11 10" xfId="19479"/>
    <cellStyle name="Normal 38 11 10 2" xfId="36840"/>
    <cellStyle name="Normal 38 11 11" xfId="19480"/>
    <cellStyle name="Normal 38 11 11 2" xfId="36841"/>
    <cellStyle name="Normal 38 11 12" xfId="19481"/>
    <cellStyle name="Normal 38 11 12 2" xfId="36842"/>
    <cellStyle name="Normal 38 11 13" xfId="19482"/>
    <cellStyle name="Normal 38 11 13 2" xfId="36843"/>
    <cellStyle name="Normal 38 11 14" xfId="19483"/>
    <cellStyle name="Normal 38 11 14 2" xfId="36844"/>
    <cellStyle name="Normal 38 11 15" xfId="36839"/>
    <cellStyle name="Normal 38 11 2" xfId="19484"/>
    <cellStyle name="Normal 38 11 2 2" xfId="36845"/>
    <cellStyle name="Normal 38 11 3" xfId="19485"/>
    <cellStyle name="Normal 38 11 3 2" xfId="36846"/>
    <cellStyle name="Normal 38 11 4" xfId="19486"/>
    <cellStyle name="Normal 38 11 4 2" xfId="36847"/>
    <cellStyle name="Normal 38 11 5" xfId="19487"/>
    <cellStyle name="Normal 38 11 5 2" xfId="36848"/>
    <cellStyle name="Normal 38 11 6" xfId="19488"/>
    <cellStyle name="Normal 38 11 6 2" xfId="36849"/>
    <cellStyle name="Normal 38 11 7" xfId="19489"/>
    <cellStyle name="Normal 38 11 7 2" xfId="36850"/>
    <cellStyle name="Normal 38 11 8" xfId="19490"/>
    <cellStyle name="Normal 38 11 8 2" xfId="36851"/>
    <cellStyle name="Normal 38 11 9" xfId="19491"/>
    <cellStyle name="Normal 38 11 9 2" xfId="36852"/>
    <cellStyle name="Normal 38 12" xfId="19492"/>
    <cellStyle name="Normal 38 12 10" xfId="19493"/>
    <cellStyle name="Normal 38 12 10 2" xfId="36854"/>
    <cellStyle name="Normal 38 12 11" xfId="19494"/>
    <cellStyle name="Normal 38 12 11 2" xfId="36855"/>
    <cellStyle name="Normal 38 12 12" xfId="19495"/>
    <cellStyle name="Normal 38 12 12 2" xfId="36856"/>
    <cellStyle name="Normal 38 12 13" xfId="19496"/>
    <cellStyle name="Normal 38 12 13 2" xfId="36857"/>
    <cellStyle name="Normal 38 12 14" xfId="19497"/>
    <cellStyle name="Normal 38 12 14 2" xfId="36858"/>
    <cellStyle name="Normal 38 12 15" xfId="36853"/>
    <cellStyle name="Normal 38 12 2" xfId="19498"/>
    <cellStyle name="Normal 38 12 2 2" xfId="36859"/>
    <cellStyle name="Normal 38 12 3" xfId="19499"/>
    <cellStyle name="Normal 38 12 3 2" xfId="36860"/>
    <cellStyle name="Normal 38 12 4" xfId="19500"/>
    <cellStyle name="Normal 38 12 4 2" xfId="36861"/>
    <cellStyle name="Normal 38 12 5" xfId="19501"/>
    <cellStyle name="Normal 38 12 5 2" xfId="36862"/>
    <cellStyle name="Normal 38 12 6" xfId="19502"/>
    <cellStyle name="Normal 38 12 6 2" xfId="36863"/>
    <cellStyle name="Normal 38 12 7" xfId="19503"/>
    <cellStyle name="Normal 38 12 7 2" xfId="36864"/>
    <cellStyle name="Normal 38 12 8" xfId="19504"/>
    <cellStyle name="Normal 38 12 8 2" xfId="36865"/>
    <cellStyle name="Normal 38 12 9" xfId="19505"/>
    <cellStyle name="Normal 38 12 9 2" xfId="36866"/>
    <cellStyle name="Normal 38 13" xfId="19506"/>
    <cellStyle name="Normal 38 13 10" xfId="19507"/>
    <cellStyle name="Normal 38 13 10 2" xfId="36868"/>
    <cellStyle name="Normal 38 13 11" xfId="19508"/>
    <cellStyle name="Normal 38 13 11 2" xfId="36869"/>
    <cellStyle name="Normal 38 13 12" xfId="19509"/>
    <cellStyle name="Normal 38 13 12 2" xfId="36870"/>
    <cellStyle name="Normal 38 13 13" xfId="19510"/>
    <cellStyle name="Normal 38 13 13 2" xfId="36871"/>
    <cellStyle name="Normal 38 13 14" xfId="19511"/>
    <cellStyle name="Normal 38 13 14 2" xfId="36872"/>
    <cellStyle name="Normal 38 13 15" xfId="36867"/>
    <cellStyle name="Normal 38 13 2" xfId="19512"/>
    <cellStyle name="Normal 38 13 2 2" xfId="36873"/>
    <cellStyle name="Normal 38 13 3" xfId="19513"/>
    <cellStyle name="Normal 38 13 3 2" xfId="36874"/>
    <cellStyle name="Normal 38 13 4" xfId="19514"/>
    <cellStyle name="Normal 38 13 4 2" xfId="36875"/>
    <cellStyle name="Normal 38 13 5" xfId="19515"/>
    <cellStyle name="Normal 38 13 5 2" xfId="36876"/>
    <cellStyle name="Normal 38 13 6" xfId="19516"/>
    <cellStyle name="Normal 38 13 6 2" xfId="36877"/>
    <cellStyle name="Normal 38 13 7" xfId="19517"/>
    <cellStyle name="Normal 38 13 7 2" xfId="36878"/>
    <cellStyle name="Normal 38 13 8" xfId="19518"/>
    <cellStyle name="Normal 38 13 8 2" xfId="36879"/>
    <cellStyle name="Normal 38 13 9" xfId="19519"/>
    <cellStyle name="Normal 38 13 9 2" xfId="36880"/>
    <cellStyle name="Normal 38 14" xfId="19520"/>
    <cellStyle name="Normal 38 14 10" xfId="19521"/>
    <cellStyle name="Normal 38 14 10 2" xfId="36882"/>
    <cellStyle name="Normal 38 14 11" xfId="19522"/>
    <cellStyle name="Normal 38 14 11 2" xfId="36883"/>
    <cellStyle name="Normal 38 14 12" xfId="19523"/>
    <cellStyle name="Normal 38 14 12 2" xfId="36884"/>
    <cellStyle name="Normal 38 14 13" xfId="19524"/>
    <cellStyle name="Normal 38 14 13 2" xfId="36885"/>
    <cellStyle name="Normal 38 14 14" xfId="19525"/>
    <cellStyle name="Normal 38 14 14 2" xfId="36886"/>
    <cellStyle name="Normal 38 14 15" xfId="36881"/>
    <cellStyle name="Normal 38 14 2" xfId="19526"/>
    <cellStyle name="Normal 38 14 2 2" xfId="36887"/>
    <cellStyle name="Normal 38 14 3" xfId="19527"/>
    <cellStyle name="Normal 38 14 3 2" xfId="36888"/>
    <cellStyle name="Normal 38 14 4" xfId="19528"/>
    <cellStyle name="Normal 38 14 4 2" xfId="36889"/>
    <cellStyle name="Normal 38 14 5" xfId="19529"/>
    <cellStyle name="Normal 38 14 5 2" xfId="36890"/>
    <cellStyle name="Normal 38 14 6" xfId="19530"/>
    <cellStyle name="Normal 38 14 6 2" xfId="36891"/>
    <cellStyle name="Normal 38 14 7" xfId="19531"/>
    <cellStyle name="Normal 38 14 7 2" xfId="36892"/>
    <cellStyle name="Normal 38 14 8" xfId="19532"/>
    <cellStyle name="Normal 38 14 8 2" xfId="36893"/>
    <cellStyle name="Normal 38 14 9" xfId="19533"/>
    <cellStyle name="Normal 38 14 9 2" xfId="36894"/>
    <cellStyle name="Normal 38 15" xfId="19534"/>
    <cellStyle name="Normal 38 15 10" xfId="19535"/>
    <cellStyle name="Normal 38 15 10 2" xfId="36896"/>
    <cellStyle name="Normal 38 15 11" xfId="19536"/>
    <cellStyle name="Normal 38 15 11 2" xfId="36897"/>
    <cellStyle name="Normal 38 15 12" xfId="19537"/>
    <cellStyle name="Normal 38 15 12 2" xfId="36898"/>
    <cellStyle name="Normal 38 15 13" xfId="19538"/>
    <cellStyle name="Normal 38 15 13 2" xfId="36899"/>
    <cellStyle name="Normal 38 15 14" xfId="19539"/>
    <cellStyle name="Normal 38 15 14 2" xfId="36900"/>
    <cellStyle name="Normal 38 15 15" xfId="36895"/>
    <cellStyle name="Normal 38 15 2" xfId="19540"/>
    <cellStyle name="Normal 38 15 2 2" xfId="36901"/>
    <cellStyle name="Normal 38 15 3" xfId="19541"/>
    <cellStyle name="Normal 38 15 3 2" xfId="36902"/>
    <cellStyle name="Normal 38 15 4" xfId="19542"/>
    <cellStyle name="Normal 38 15 4 2" xfId="36903"/>
    <cellStyle name="Normal 38 15 5" xfId="19543"/>
    <cellStyle name="Normal 38 15 5 2" xfId="36904"/>
    <cellStyle name="Normal 38 15 6" xfId="19544"/>
    <cellStyle name="Normal 38 15 6 2" xfId="36905"/>
    <cellStyle name="Normal 38 15 7" xfId="19545"/>
    <cellStyle name="Normal 38 15 7 2" xfId="36906"/>
    <cellStyle name="Normal 38 15 8" xfId="19546"/>
    <cellStyle name="Normal 38 15 8 2" xfId="36907"/>
    <cellStyle name="Normal 38 15 9" xfId="19547"/>
    <cellStyle name="Normal 38 15 9 2" xfId="36908"/>
    <cellStyle name="Normal 38 16" xfId="19548"/>
    <cellStyle name="Normal 38 16 10" xfId="19549"/>
    <cellStyle name="Normal 38 16 10 2" xfId="36910"/>
    <cellStyle name="Normal 38 16 11" xfId="19550"/>
    <cellStyle name="Normal 38 16 11 2" xfId="36911"/>
    <cellStyle name="Normal 38 16 12" xfId="19551"/>
    <cellStyle name="Normal 38 16 12 2" xfId="36912"/>
    <cellStyle name="Normal 38 16 13" xfId="19552"/>
    <cellStyle name="Normal 38 16 13 2" xfId="36913"/>
    <cellStyle name="Normal 38 16 14" xfId="19553"/>
    <cellStyle name="Normal 38 16 14 2" xfId="36914"/>
    <cellStyle name="Normal 38 16 15" xfId="36909"/>
    <cellStyle name="Normal 38 16 2" xfId="19554"/>
    <cellStyle name="Normal 38 16 2 2" xfId="36915"/>
    <cellStyle name="Normal 38 16 3" xfId="19555"/>
    <cellStyle name="Normal 38 16 3 2" xfId="36916"/>
    <cellStyle name="Normal 38 16 4" xfId="19556"/>
    <cellStyle name="Normal 38 16 4 2" xfId="36917"/>
    <cellStyle name="Normal 38 16 5" xfId="19557"/>
    <cellStyle name="Normal 38 16 5 2" xfId="36918"/>
    <cellStyle name="Normal 38 16 6" xfId="19558"/>
    <cellStyle name="Normal 38 16 6 2" xfId="36919"/>
    <cellStyle name="Normal 38 16 7" xfId="19559"/>
    <cellStyle name="Normal 38 16 7 2" xfId="36920"/>
    <cellStyle name="Normal 38 16 8" xfId="19560"/>
    <cellStyle name="Normal 38 16 8 2" xfId="36921"/>
    <cellStyle name="Normal 38 16 9" xfId="19561"/>
    <cellStyle name="Normal 38 16 9 2" xfId="36922"/>
    <cellStyle name="Normal 38 17" xfId="19562"/>
    <cellStyle name="Normal 38 17 10" xfId="19563"/>
    <cellStyle name="Normal 38 17 10 2" xfId="36924"/>
    <cellStyle name="Normal 38 17 11" xfId="19564"/>
    <cellStyle name="Normal 38 17 11 2" xfId="36925"/>
    <cellStyle name="Normal 38 17 12" xfId="19565"/>
    <cellStyle name="Normal 38 17 12 2" xfId="36926"/>
    <cellStyle name="Normal 38 17 13" xfId="19566"/>
    <cellStyle name="Normal 38 17 13 2" xfId="36927"/>
    <cellStyle name="Normal 38 17 14" xfId="19567"/>
    <cellStyle name="Normal 38 17 14 2" xfId="36928"/>
    <cellStyle name="Normal 38 17 15" xfId="36923"/>
    <cellStyle name="Normal 38 17 2" xfId="19568"/>
    <cellStyle name="Normal 38 17 2 2" xfId="36929"/>
    <cellStyle name="Normal 38 17 3" xfId="19569"/>
    <cellStyle name="Normal 38 17 3 2" xfId="36930"/>
    <cellStyle name="Normal 38 17 4" xfId="19570"/>
    <cellStyle name="Normal 38 17 4 2" xfId="36931"/>
    <cellStyle name="Normal 38 17 5" xfId="19571"/>
    <cellStyle name="Normal 38 17 5 2" xfId="36932"/>
    <cellStyle name="Normal 38 17 6" xfId="19572"/>
    <cellStyle name="Normal 38 17 6 2" xfId="36933"/>
    <cellStyle name="Normal 38 17 7" xfId="19573"/>
    <cellStyle name="Normal 38 17 7 2" xfId="36934"/>
    <cellStyle name="Normal 38 17 8" xfId="19574"/>
    <cellStyle name="Normal 38 17 8 2" xfId="36935"/>
    <cellStyle name="Normal 38 17 9" xfId="19575"/>
    <cellStyle name="Normal 38 17 9 2" xfId="36936"/>
    <cellStyle name="Normal 38 18" xfId="19576"/>
    <cellStyle name="Normal 38 18 2" xfId="36937"/>
    <cellStyle name="Normal 38 19" xfId="19577"/>
    <cellStyle name="Normal 38 19 2" xfId="36938"/>
    <cellStyle name="Normal 38 2" xfId="226"/>
    <cellStyle name="Normal 38 20" xfId="19578"/>
    <cellStyle name="Normal 38 20 2" xfId="36939"/>
    <cellStyle name="Normal 38 21" xfId="19579"/>
    <cellStyle name="Normal 38 21 2" xfId="36940"/>
    <cellStyle name="Normal 38 22" xfId="19580"/>
    <cellStyle name="Normal 38 22 2" xfId="36941"/>
    <cellStyle name="Normal 38 23" xfId="19581"/>
    <cellStyle name="Normal 38 23 2" xfId="36942"/>
    <cellStyle name="Normal 38 24" xfId="19582"/>
    <cellStyle name="Normal 38 24 2" xfId="36943"/>
    <cellStyle name="Normal 38 25" xfId="19583"/>
    <cellStyle name="Normal 38 25 2" xfId="36944"/>
    <cellStyle name="Normal 38 26" xfId="19584"/>
    <cellStyle name="Normal 38 26 2" xfId="36945"/>
    <cellStyle name="Normal 38 27" xfId="19585"/>
    <cellStyle name="Normal 38 27 2" xfId="36946"/>
    <cellStyle name="Normal 38 28" xfId="19586"/>
    <cellStyle name="Normal 38 28 2" xfId="36947"/>
    <cellStyle name="Normal 38 29" xfId="19587"/>
    <cellStyle name="Normal 38 29 2" xfId="36948"/>
    <cellStyle name="Normal 38 3" xfId="19588"/>
    <cellStyle name="Normal 38 30" xfId="19589"/>
    <cellStyle name="Normal 38 30 2" xfId="36949"/>
    <cellStyle name="Normal 38 31" xfId="36824"/>
    <cellStyle name="Normal 38 4" xfId="19590"/>
    <cellStyle name="Normal 38 4 10" xfId="19591"/>
    <cellStyle name="Normal 38 4 10 2" xfId="36951"/>
    <cellStyle name="Normal 38 4 11" xfId="19592"/>
    <cellStyle name="Normal 38 4 11 2" xfId="36952"/>
    <cellStyle name="Normal 38 4 12" xfId="19593"/>
    <cellStyle name="Normal 38 4 12 2" xfId="36953"/>
    <cellStyle name="Normal 38 4 13" xfId="19594"/>
    <cellStyle name="Normal 38 4 13 2" xfId="36954"/>
    <cellStyle name="Normal 38 4 14" xfId="19595"/>
    <cellStyle name="Normal 38 4 14 2" xfId="36955"/>
    <cellStyle name="Normal 38 4 15" xfId="19596"/>
    <cellStyle name="Normal 38 4 15 2" xfId="36956"/>
    <cellStyle name="Normal 38 4 16" xfId="36950"/>
    <cellStyle name="Normal 38 4 2" xfId="19597"/>
    <cellStyle name="Normal 38 4 2 10" xfId="19598"/>
    <cellStyle name="Normal 38 4 2 10 2" xfId="36958"/>
    <cellStyle name="Normal 38 4 2 11" xfId="19599"/>
    <cellStyle name="Normal 38 4 2 11 2" xfId="36959"/>
    <cellStyle name="Normal 38 4 2 12" xfId="19600"/>
    <cellStyle name="Normal 38 4 2 12 2" xfId="36960"/>
    <cellStyle name="Normal 38 4 2 13" xfId="19601"/>
    <cellStyle name="Normal 38 4 2 13 2" xfId="36961"/>
    <cellStyle name="Normal 38 4 2 14" xfId="19602"/>
    <cellStyle name="Normal 38 4 2 14 2" xfId="36962"/>
    <cellStyle name="Normal 38 4 2 15" xfId="36957"/>
    <cellStyle name="Normal 38 4 2 2" xfId="19603"/>
    <cellStyle name="Normal 38 4 2 2 2" xfId="36963"/>
    <cellStyle name="Normal 38 4 2 3" xfId="19604"/>
    <cellStyle name="Normal 38 4 2 3 2" xfId="36964"/>
    <cellStyle name="Normal 38 4 2 4" xfId="19605"/>
    <cellStyle name="Normal 38 4 2 4 2" xfId="36965"/>
    <cellStyle name="Normal 38 4 2 5" xfId="19606"/>
    <cellStyle name="Normal 38 4 2 5 2" xfId="36966"/>
    <cellStyle name="Normal 38 4 2 6" xfId="19607"/>
    <cellStyle name="Normal 38 4 2 6 2" xfId="36967"/>
    <cellStyle name="Normal 38 4 2 7" xfId="19608"/>
    <cellStyle name="Normal 38 4 2 7 2" xfId="36968"/>
    <cellStyle name="Normal 38 4 2 8" xfId="19609"/>
    <cellStyle name="Normal 38 4 2 8 2" xfId="36969"/>
    <cellStyle name="Normal 38 4 2 9" xfId="19610"/>
    <cellStyle name="Normal 38 4 2 9 2" xfId="36970"/>
    <cellStyle name="Normal 38 4 3" xfId="19611"/>
    <cellStyle name="Normal 38 4 3 2" xfId="36971"/>
    <cellStyle name="Normal 38 4 4" xfId="19612"/>
    <cellStyle name="Normal 38 4 4 2" xfId="36972"/>
    <cellStyle name="Normal 38 4 5" xfId="19613"/>
    <cellStyle name="Normal 38 4 5 2" xfId="36973"/>
    <cellStyle name="Normal 38 4 6" xfId="19614"/>
    <cellStyle name="Normal 38 4 6 2" xfId="36974"/>
    <cellStyle name="Normal 38 4 7" xfId="19615"/>
    <cellStyle name="Normal 38 4 7 2" xfId="36975"/>
    <cellStyle name="Normal 38 4 8" xfId="19616"/>
    <cellStyle name="Normal 38 4 8 2" xfId="36976"/>
    <cellStyle name="Normal 38 4 9" xfId="19617"/>
    <cellStyle name="Normal 38 4 9 2" xfId="36977"/>
    <cellStyle name="Normal 38 5" xfId="19618"/>
    <cellStyle name="Normal 38 5 10" xfId="19619"/>
    <cellStyle name="Normal 38 5 10 2" xfId="36979"/>
    <cellStyle name="Normal 38 5 11" xfId="19620"/>
    <cellStyle name="Normal 38 5 11 2" xfId="36980"/>
    <cellStyle name="Normal 38 5 12" xfId="19621"/>
    <cellStyle name="Normal 38 5 12 2" xfId="36981"/>
    <cellStyle name="Normal 38 5 13" xfId="19622"/>
    <cellStyle name="Normal 38 5 13 2" xfId="36982"/>
    <cellStyle name="Normal 38 5 14" xfId="19623"/>
    <cellStyle name="Normal 38 5 14 2" xfId="36983"/>
    <cellStyle name="Normal 38 5 15" xfId="19624"/>
    <cellStyle name="Normal 38 5 15 2" xfId="36984"/>
    <cellStyle name="Normal 38 5 16" xfId="36978"/>
    <cellStyle name="Normal 38 5 2" xfId="19625"/>
    <cellStyle name="Normal 38 5 2 10" xfId="19626"/>
    <cellStyle name="Normal 38 5 2 10 2" xfId="36986"/>
    <cellStyle name="Normal 38 5 2 11" xfId="19627"/>
    <cellStyle name="Normal 38 5 2 11 2" xfId="36987"/>
    <cellStyle name="Normal 38 5 2 12" xfId="19628"/>
    <cellStyle name="Normal 38 5 2 12 2" xfId="36988"/>
    <cellStyle name="Normal 38 5 2 13" xfId="19629"/>
    <cellStyle name="Normal 38 5 2 13 2" xfId="36989"/>
    <cellStyle name="Normal 38 5 2 14" xfId="19630"/>
    <cellStyle name="Normal 38 5 2 14 2" xfId="36990"/>
    <cellStyle name="Normal 38 5 2 15" xfId="36985"/>
    <cellStyle name="Normal 38 5 2 2" xfId="19631"/>
    <cellStyle name="Normal 38 5 2 2 2" xfId="36991"/>
    <cellStyle name="Normal 38 5 2 3" xfId="19632"/>
    <cellStyle name="Normal 38 5 2 3 2" xfId="36992"/>
    <cellStyle name="Normal 38 5 2 4" xfId="19633"/>
    <cellStyle name="Normal 38 5 2 4 2" xfId="36993"/>
    <cellStyle name="Normal 38 5 2 5" xfId="19634"/>
    <cellStyle name="Normal 38 5 2 5 2" xfId="36994"/>
    <cellStyle name="Normal 38 5 2 6" xfId="19635"/>
    <cellStyle name="Normal 38 5 2 6 2" xfId="36995"/>
    <cellStyle name="Normal 38 5 2 7" xfId="19636"/>
    <cellStyle name="Normal 38 5 2 7 2" xfId="36996"/>
    <cellStyle name="Normal 38 5 2 8" xfId="19637"/>
    <cellStyle name="Normal 38 5 2 8 2" xfId="36997"/>
    <cellStyle name="Normal 38 5 2 9" xfId="19638"/>
    <cellStyle name="Normal 38 5 2 9 2" xfId="36998"/>
    <cellStyle name="Normal 38 5 3" xfId="19639"/>
    <cellStyle name="Normal 38 5 3 2" xfId="36999"/>
    <cellStyle name="Normal 38 5 4" xfId="19640"/>
    <cellStyle name="Normal 38 5 4 2" xfId="37000"/>
    <cellStyle name="Normal 38 5 5" xfId="19641"/>
    <cellStyle name="Normal 38 5 5 2" xfId="37001"/>
    <cellStyle name="Normal 38 5 6" xfId="19642"/>
    <cellStyle name="Normal 38 5 6 2" xfId="37002"/>
    <cellStyle name="Normal 38 5 7" xfId="19643"/>
    <cellStyle name="Normal 38 5 7 2" xfId="37003"/>
    <cellStyle name="Normal 38 5 8" xfId="19644"/>
    <cellStyle name="Normal 38 5 8 2" xfId="37004"/>
    <cellStyle name="Normal 38 5 9" xfId="19645"/>
    <cellStyle name="Normal 38 5 9 2" xfId="37005"/>
    <cellStyle name="Normal 38 6" xfId="19646"/>
    <cellStyle name="Normal 38 6 10" xfId="19647"/>
    <cellStyle name="Normal 38 6 10 2" xfId="37007"/>
    <cellStyle name="Normal 38 6 11" xfId="19648"/>
    <cellStyle name="Normal 38 6 11 2" xfId="37008"/>
    <cellStyle name="Normal 38 6 12" xfId="19649"/>
    <cellStyle name="Normal 38 6 12 2" xfId="37009"/>
    <cellStyle name="Normal 38 6 13" xfId="19650"/>
    <cellStyle name="Normal 38 6 13 2" xfId="37010"/>
    <cellStyle name="Normal 38 6 14" xfId="19651"/>
    <cellStyle name="Normal 38 6 14 2" xfId="37011"/>
    <cellStyle name="Normal 38 6 15" xfId="19652"/>
    <cellStyle name="Normal 38 6 15 2" xfId="37012"/>
    <cellStyle name="Normal 38 6 16" xfId="37006"/>
    <cellStyle name="Normal 38 6 2" xfId="19653"/>
    <cellStyle name="Normal 38 6 2 10" xfId="19654"/>
    <cellStyle name="Normal 38 6 2 10 2" xfId="37014"/>
    <cellStyle name="Normal 38 6 2 11" xfId="19655"/>
    <cellStyle name="Normal 38 6 2 11 2" xfId="37015"/>
    <cellStyle name="Normal 38 6 2 12" xfId="19656"/>
    <cellStyle name="Normal 38 6 2 12 2" xfId="37016"/>
    <cellStyle name="Normal 38 6 2 13" xfId="19657"/>
    <cellStyle name="Normal 38 6 2 13 2" xfId="37017"/>
    <cellStyle name="Normal 38 6 2 14" xfId="19658"/>
    <cellStyle name="Normal 38 6 2 14 2" xfId="37018"/>
    <cellStyle name="Normal 38 6 2 15" xfId="37013"/>
    <cellStyle name="Normal 38 6 2 2" xfId="19659"/>
    <cellStyle name="Normal 38 6 2 2 2" xfId="37019"/>
    <cellStyle name="Normal 38 6 2 3" xfId="19660"/>
    <cellStyle name="Normal 38 6 2 3 2" xfId="37020"/>
    <cellStyle name="Normal 38 6 2 4" xfId="19661"/>
    <cellStyle name="Normal 38 6 2 4 2" xfId="37021"/>
    <cellStyle name="Normal 38 6 2 5" xfId="19662"/>
    <cellStyle name="Normal 38 6 2 5 2" xfId="37022"/>
    <cellStyle name="Normal 38 6 2 6" xfId="19663"/>
    <cellStyle name="Normal 38 6 2 6 2" xfId="37023"/>
    <cellStyle name="Normal 38 6 2 7" xfId="19664"/>
    <cellStyle name="Normal 38 6 2 7 2" xfId="37024"/>
    <cellStyle name="Normal 38 6 2 8" xfId="19665"/>
    <cellStyle name="Normal 38 6 2 8 2" xfId="37025"/>
    <cellStyle name="Normal 38 6 2 9" xfId="19666"/>
    <cellStyle name="Normal 38 6 2 9 2" xfId="37026"/>
    <cellStyle name="Normal 38 6 3" xfId="19667"/>
    <cellStyle name="Normal 38 6 3 2" xfId="37027"/>
    <cellStyle name="Normal 38 6 4" xfId="19668"/>
    <cellStyle name="Normal 38 6 4 2" xfId="37028"/>
    <cellStyle name="Normal 38 6 5" xfId="19669"/>
    <cellStyle name="Normal 38 6 5 2" xfId="37029"/>
    <cellStyle name="Normal 38 6 6" xfId="19670"/>
    <cellStyle name="Normal 38 6 6 2" xfId="37030"/>
    <cellStyle name="Normal 38 6 7" xfId="19671"/>
    <cellStyle name="Normal 38 6 7 2" xfId="37031"/>
    <cellStyle name="Normal 38 6 8" xfId="19672"/>
    <cellStyle name="Normal 38 6 8 2" xfId="37032"/>
    <cellStyle name="Normal 38 6 9" xfId="19673"/>
    <cellStyle name="Normal 38 6 9 2" xfId="37033"/>
    <cellStyle name="Normal 38 7" xfId="19674"/>
    <cellStyle name="Normal 38 7 10" xfId="19675"/>
    <cellStyle name="Normal 38 7 10 2" xfId="37035"/>
    <cellStyle name="Normal 38 7 11" xfId="19676"/>
    <cellStyle name="Normal 38 7 11 2" xfId="37036"/>
    <cellStyle name="Normal 38 7 12" xfId="19677"/>
    <cellStyle name="Normal 38 7 12 2" xfId="37037"/>
    <cellStyle name="Normal 38 7 13" xfId="19678"/>
    <cellStyle name="Normal 38 7 13 2" xfId="37038"/>
    <cellStyle name="Normal 38 7 14" xfId="19679"/>
    <cellStyle name="Normal 38 7 14 2" xfId="37039"/>
    <cellStyle name="Normal 38 7 15" xfId="37034"/>
    <cellStyle name="Normal 38 7 2" xfId="19680"/>
    <cellStyle name="Normal 38 7 2 2" xfId="37040"/>
    <cellStyle name="Normal 38 7 3" xfId="19681"/>
    <cellStyle name="Normal 38 7 3 2" xfId="37041"/>
    <cellStyle name="Normal 38 7 4" xfId="19682"/>
    <cellStyle name="Normal 38 7 4 2" xfId="37042"/>
    <cellStyle name="Normal 38 7 5" xfId="19683"/>
    <cellStyle name="Normal 38 7 5 2" xfId="37043"/>
    <cellStyle name="Normal 38 7 6" xfId="19684"/>
    <cellStyle name="Normal 38 7 6 2" xfId="37044"/>
    <cellStyle name="Normal 38 7 7" xfId="19685"/>
    <cellStyle name="Normal 38 7 7 2" xfId="37045"/>
    <cellStyle name="Normal 38 7 8" xfId="19686"/>
    <cellStyle name="Normal 38 7 8 2" xfId="37046"/>
    <cellStyle name="Normal 38 7 9" xfId="19687"/>
    <cellStyle name="Normal 38 7 9 2" xfId="37047"/>
    <cellStyle name="Normal 38 8" xfId="19688"/>
    <cellStyle name="Normal 38 8 10" xfId="19689"/>
    <cellStyle name="Normal 38 8 10 2" xfId="37049"/>
    <cellStyle name="Normal 38 8 11" xfId="19690"/>
    <cellStyle name="Normal 38 8 11 2" xfId="37050"/>
    <cellStyle name="Normal 38 8 12" xfId="19691"/>
    <cellStyle name="Normal 38 8 12 2" xfId="37051"/>
    <cellStyle name="Normal 38 8 13" xfId="19692"/>
    <cellStyle name="Normal 38 8 13 2" xfId="37052"/>
    <cellStyle name="Normal 38 8 14" xfId="19693"/>
    <cellStyle name="Normal 38 8 14 2" xfId="37053"/>
    <cellStyle name="Normal 38 8 15" xfId="37048"/>
    <cellStyle name="Normal 38 8 2" xfId="19694"/>
    <cellStyle name="Normal 38 8 2 2" xfId="37054"/>
    <cellStyle name="Normal 38 8 3" xfId="19695"/>
    <cellStyle name="Normal 38 8 3 2" xfId="37055"/>
    <cellStyle name="Normal 38 8 4" xfId="19696"/>
    <cellStyle name="Normal 38 8 4 2" xfId="37056"/>
    <cellStyle name="Normal 38 8 5" xfId="19697"/>
    <cellStyle name="Normal 38 8 5 2" xfId="37057"/>
    <cellStyle name="Normal 38 8 6" xfId="19698"/>
    <cellStyle name="Normal 38 8 6 2" xfId="37058"/>
    <cellStyle name="Normal 38 8 7" xfId="19699"/>
    <cellStyle name="Normal 38 8 7 2" xfId="37059"/>
    <cellStyle name="Normal 38 8 8" xfId="19700"/>
    <cellStyle name="Normal 38 8 8 2" xfId="37060"/>
    <cellStyle name="Normal 38 8 9" xfId="19701"/>
    <cellStyle name="Normal 38 8 9 2" xfId="37061"/>
    <cellStyle name="Normal 38 9" xfId="19702"/>
    <cellStyle name="Normal 38 9 10" xfId="19703"/>
    <cellStyle name="Normal 38 9 10 2" xfId="37063"/>
    <cellStyle name="Normal 38 9 11" xfId="19704"/>
    <cellStyle name="Normal 38 9 11 2" xfId="37064"/>
    <cellStyle name="Normal 38 9 12" xfId="19705"/>
    <cellStyle name="Normal 38 9 12 2" xfId="37065"/>
    <cellStyle name="Normal 38 9 13" xfId="19706"/>
    <cellStyle name="Normal 38 9 13 2" xfId="37066"/>
    <cellStyle name="Normal 38 9 14" xfId="19707"/>
    <cellStyle name="Normal 38 9 14 2" xfId="37067"/>
    <cellStyle name="Normal 38 9 15" xfId="37062"/>
    <cellStyle name="Normal 38 9 2" xfId="19708"/>
    <cellStyle name="Normal 38 9 2 2" xfId="37068"/>
    <cellStyle name="Normal 38 9 3" xfId="19709"/>
    <cellStyle name="Normal 38 9 3 2" xfId="37069"/>
    <cellStyle name="Normal 38 9 4" xfId="19710"/>
    <cellStyle name="Normal 38 9 4 2" xfId="37070"/>
    <cellStyle name="Normal 38 9 5" xfId="19711"/>
    <cellStyle name="Normal 38 9 5 2" xfId="37071"/>
    <cellStyle name="Normal 38 9 6" xfId="19712"/>
    <cellStyle name="Normal 38 9 6 2" xfId="37072"/>
    <cellStyle name="Normal 38 9 7" xfId="19713"/>
    <cellStyle name="Normal 38 9 7 2" xfId="37073"/>
    <cellStyle name="Normal 38 9 8" xfId="19714"/>
    <cellStyle name="Normal 38 9 8 2" xfId="37074"/>
    <cellStyle name="Normal 38 9 9" xfId="19715"/>
    <cellStyle name="Normal 38 9 9 2" xfId="37075"/>
    <cellStyle name="Normal 39" xfId="67"/>
    <cellStyle name="Normal 39 10" xfId="19716"/>
    <cellStyle name="Normal 39 10 10" xfId="19717"/>
    <cellStyle name="Normal 39 10 10 2" xfId="37078"/>
    <cellStyle name="Normal 39 10 11" xfId="19718"/>
    <cellStyle name="Normal 39 10 11 2" xfId="37079"/>
    <cellStyle name="Normal 39 10 12" xfId="19719"/>
    <cellStyle name="Normal 39 10 12 2" xfId="37080"/>
    <cellStyle name="Normal 39 10 13" xfId="19720"/>
    <cellStyle name="Normal 39 10 13 2" xfId="37081"/>
    <cellStyle name="Normal 39 10 14" xfId="19721"/>
    <cellStyle name="Normal 39 10 14 2" xfId="37082"/>
    <cellStyle name="Normal 39 10 15" xfId="37077"/>
    <cellStyle name="Normal 39 10 2" xfId="19722"/>
    <cellStyle name="Normal 39 10 2 2" xfId="37083"/>
    <cellStyle name="Normal 39 10 3" xfId="19723"/>
    <cellStyle name="Normal 39 10 3 2" xfId="37084"/>
    <cellStyle name="Normal 39 10 4" xfId="19724"/>
    <cellStyle name="Normal 39 10 4 2" xfId="37085"/>
    <cellStyle name="Normal 39 10 5" xfId="19725"/>
    <cellStyle name="Normal 39 10 5 2" xfId="37086"/>
    <cellStyle name="Normal 39 10 6" xfId="19726"/>
    <cellStyle name="Normal 39 10 6 2" xfId="37087"/>
    <cellStyle name="Normal 39 10 7" xfId="19727"/>
    <cellStyle name="Normal 39 10 7 2" xfId="37088"/>
    <cellStyle name="Normal 39 10 8" xfId="19728"/>
    <cellStyle name="Normal 39 10 8 2" xfId="37089"/>
    <cellStyle name="Normal 39 10 9" xfId="19729"/>
    <cellStyle name="Normal 39 10 9 2" xfId="37090"/>
    <cellStyle name="Normal 39 11" xfId="19730"/>
    <cellStyle name="Normal 39 11 10" xfId="19731"/>
    <cellStyle name="Normal 39 11 10 2" xfId="37092"/>
    <cellStyle name="Normal 39 11 11" xfId="19732"/>
    <cellStyle name="Normal 39 11 11 2" xfId="37093"/>
    <cellStyle name="Normal 39 11 12" xfId="19733"/>
    <cellStyle name="Normal 39 11 12 2" xfId="37094"/>
    <cellStyle name="Normal 39 11 13" xfId="19734"/>
    <cellStyle name="Normal 39 11 13 2" xfId="37095"/>
    <cellStyle name="Normal 39 11 14" xfId="19735"/>
    <cellStyle name="Normal 39 11 14 2" xfId="37096"/>
    <cellStyle name="Normal 39 11 15" xfId="37091"/>
    <cellStyle name="Normal 39 11 2" xfId="19736"/>
    <cellStyle name="Normal 39 11 2 2" xfId="37097"/>
    <cellStyle name="Normal 39 11 3" xfId="19737"/>
    <cellStyle name="Normal 39 11 3 2" xfId="37098"/>
    <cellStyle name="Normal 39 11 4" xfId="19738"/>
    <cellStyle name="Normal 39 11 4 2" xfId="37099"/>
    <cellStyle name="Normal 39 11 5" xfId="19739"/>
    <cellStyle name="Normal 39 11 5 2" xfId="37100"/>
    <cellStyle name="Normal 39 11 6" xfId="19740"/>
    <cellStyle name="Normal 39 11 6 2" xfId="37101"/>
    <cellStyle name="Normal 39 11 7" xfId="19741"/>
    <cellStyle name="Normal 39 11 7 2" xfId="37102"/>
    <cellStyle name="Normal 39 11 8" xfId="19742"/>
    <cellStyle name="Normal 39 11 8 2" xfId="37103"/>
    <cellStyle name="Normal 39 11 9" xfId="19743"/>
    <cellStyle name="Normal 39 11 9 2" xfId="37104"/>
    <cellStyle name="Normal 39 12" xfId="19744"/>
    <cellStyle name="Normal 39 12 10" xfId="19745"/>
    <cellStyle name="Normal 39 12 10 2" xfId="37106"/>
    <cellStyle name="Normal 39 12 11" xfId="19746"/>
    <cellStyle name="Normal 39 12 11 2" xfId="37107"/>
    <cellStyle name="Normal 39 12 12" xfId="19747"/>
    <cellStyle name="Normal 39 12 12 2" xfId="37108"/>
    <cellStyle name="Normal 39 12 13" xfId="19748"/>
    <cellStyle name="Normal 39 12 13 2" xfId="37109"/>
    <cellStyle name="Normal 39 12 14" xfId="19749"/>
    <cellStyle name="Normal 39 12 14 2" xfId="37110"/>
    <cellStyle name="Normal 39 12 15" xfId="37105"/>
    <cellStyle name="Normal 39 12 2" xfId="19750"/>
    <cellStyle name="Normal 39 12 2 2" xfId="37111"/>
    <cellStyle name="Normal 39 12 3" xfId="19751"/>
    <cellStyle name="Normal 39 12 3 2" xfId="37112"/>
    <cellStyle name="Normal 39 12 4" xfId="19752"/>
    <cellStyle name="Normal 39 12 4 2" xfId="37113"/>
    <cellStyle name="Normal 39 12 5" xfId="19753"/>
    <cellStyle name="Normal 39 12 5 2" xfId="37114"/>
    <cellStyle name="Normal 39 12 6" xfId="19754"/>
    <cellStyle name="Normal 39 12 6 2" xfId="37115"/>
    <cellStyle name="Normal 39 12 7" xfId="19755"/>
    <cellStyle name="Normal 39 12 7 2" xfId="37116"/>
    <cellStyle name="Normal 39 12 8" xfId="19756"/>
    <cellStyle name="Normal 39 12 8 2" xfId="37117"/>
    <cellStyle name="Normal 39 12 9" xfId="19757"/>
    <cellStyle name="Normal 39 12 9 2" xfId="37118"/>
    <cellStyle name="Normal 39 13" xfId="19758"/>
    <cellStyle name="Normal 39 13 10" xfId="19759"/>
    <cellStyle name="Normal 39 13 10 2" xfId="37120"/>
    <cellStyle name="Normal 39 13 11" xfId="19760"/>
    <cellStyle name="Normal 39 13 11 2" xfId="37121"/>
    <cellStyle name="Normal 39 13 12" xfId="19761"/>
    <cellStyle name="Normal 39 13 12 2" xfId="37122"/>
    <cellStyle name="Normal 39 13 13" xfId="19762"/>
    <cellStyle name="Normal 39 13 13 2" xfId="37123"/>
    <cellStyle name="Normal 39 13 14" xfId="19763"/>
    <cellStyle name="Normal 39 13 14 2" xfId="37124"/>
    <cellStyle name="Normal 39 13 15" xfId="37119"/>
    <cellStyle name="Normal 39 13 2" xfId="19764"/>
    <cellStyle name="Normal 39 13 2 2" xfId="37125"/>
    <cellStyle name="Normal 39 13 3" xfId="19765"/>
    <cellStyle name="Normal 39 13 3 2" xfId="37126"/>
    <cellStyle name="Normal 39 13 4" xfId="19766"/>
    <cellStyle name="Normal 39 13 4 2" xfId="37127"/>
    <cellStyle name="Normal 39 13 5" xfId="19767"/>
    <cellStyle name="Normal 39 13 5 2" xfId="37128"/>
    <cellStyle name="Normal 39 13 6" xfId="19768"/>
    <cellStyle name="Normal 39 13 6 2" xfId="37129"/>
    <cellStyle name="Normal 39 13 7" xfId="19769"/>
    <cellStyle name="Normal 39 13 7 2" xfId="37130"/>
    <cellStyle name="Normal 39 13 8" xfId="19770"/>
    <cellStyle name="Normal 39 13 8 2" xfId="37131"/>
    <cellStyle name="Normal 39 13 9" xfId="19771"/>
    <cellStyle name="Normal 39 13 9 2" xfId="37132"/>
    <cellStyle name="Normal 39 14" xfId="19772"/>
    <cellStyle name="Normal 39 14 10" xfId="19773"/>
    <cellStyle name="Normal 39 14 10 2" xfId="37134"/>
    <cellStyle name="Normal 39 14 11" xfId="19774"/>
    <cellStyle name="Normal 39 14 11 2" xfId="37135"/>
    <cellStyle name="Normal 39 14 12" xfId="19775"/>
    <cellStyle name="Normal 39 14 12 2" xfId="37136"/>
    <cellStyle name="Normal 39 14 13" xfId="19776"/>
    <cellStyle name="Normal 39 14 13 2" xfId="37137"/>
    <cellStyle name="Normal 39 14 14" xfId="19777"/>
    <cellStyle name="Normal 39 14 14 2" xfId="37138"/>
    <cellStyle name="Normal 39 14 15" xfId="37133"/>
    <cellStyle name="Normal 39 14 2" xfId="19778"/>
    <cellStyle name="Normal 39 14 2 2" xfId="37139"/>
    <cellStyle name="Normal 39 14 3" xfId="19779"/>
    <cellStyle name="Normal 39 14 3 2" xfId="37140"/>
    <cellStyle name="Normal 39 14 4" xfId="19780"/>
    <cellStyle name="Normal 39 14 4 2" xfId="37141"/>
    <cellStyle name="Normal 39 14 5" xfId="19781"/>
    <cellStyle name="Normal 39 14 5 2" xfId="37142"/>
    <cellStyle name="Normal 39 14 6" xfId="19782"/>
    <cellStyle name="Normal 39 14 6 2" xfId="37143"/>
    <cellStyle name="Normal 39 14 7" xfId="19783"/>
    <cellStyle name="Normal 39 14 7 2" xfId="37144"/>
    <cellStyle name="Normal 39 14 8" xfId="19784"/>
    <cellStyle name="Normal 39 14 8 2" xfId="37145"/>
    <cellStyle name="Normal 39 14 9" xfId="19785"/>
    <cellStyle name="Normal 39 14 9 2" xfId="37146"/>
    <cellStyle name="Normal 39 15" xfId="19786"/>
    <cellStyle name="Normal 39 15 10" xfId="19787"/>
    <cellStyle name="Normal 39 15 10 2" xfId="37148"/>
    <cellStyle name="Normal 39 15 11" xfId="19788"/>
    <cellStyle name="Normal 39 15 11 2" xfId="37149"/>
    <cellStyle name="Normal 39 15 12" xfId="19789"/>
    <cellStyle name="Normal 39 15 12 2" xfId="37150"/>
    <cellStyle name="Normal 39 15 13" xfId="19790"/>
    <cellStyle name="Normal 39 15 13 2" xfId="37151"/>
    <cellStyle name="Normal 39 15 14" xfId="19791"/>
    <cellStyle name="Normal 39 15 14 2" xfId="37152"/>
    <cellStyle name="Normal 39 15 15" xfId="37147"/>
    <cellStyle name="Normal 39 15 2" xfId="19792"/>
    <cellStyle name="Normal 39 15 2 2" xfId="37153"/>
    <cellStyle name="Normal 39 15 3" xfId="19793"/>
    <cellStyle name="Normal 39 15 3 2" xfId="37154"/>
    <cellStyle name="Normal 39 15 4" xfId="19794"/>
    <cellStyle name="Normal 39 15 4 2" xfId="37155"/>
    <cellStyle name="Normal 39 15 5" xfId="19795"/>
    <cellStyle name="Normal 39 15 5 2" xfId="37156"/>
    <cellStyle name="Normal 39 15 6" xfId="19796"/>
    <cellStyle name="Normal 39 15 6 2" xfId="37157"/>
    <cellStyle name="Normal 39 15 7" xfId="19797"/>
    <cellStyle name="Normal 39 15 7 2" xfId="37158"/>
    <cellStyle name="Normal 39 15 8" xfId="19798"/>
    <cellStyle name="Normal 39 15 8 2" xfId="37159"/>
    <cellStyle name="Normal 39 15 9" xfId="19799"/>
    <cellStyle name="Normal 39 15 9 2" xfId="37160"/>
    <cellStyle name="Normal 39 16" xfId="19800"/>
    <cellStyle name="Normal 39 16 10" xfId="19801"/>
    <cellStyle name="Normal 39 16 10 2" xfId="37162"/>
    <cellStyle name="Normal 39 16 11" xfId="19802"/>
    <cellStyle name="Normal 39 16 11 2" xfId="37163"/>
    <cellStyle name="Normal 39 16 12" xfId="19803"/>
    <cellStyle name="Normal 39 16 12 2" xfId="37164"/>
    <cellStyle name="Normal 39 16 13" xfId="19804"/>
    <cellStyle name="Normal 39 16 13 2" xfId="37165"/>
    <cellStyle name="Normal 39 16 14" xfId="19805"/>
    <cellStyle name="Normal 39 16 14 2" xfId="37166"/>
    <cellStyle name="Normal 39 16 15" xfId="37161"/>
    <cellStyle name="Normal 39 16 2" xfId="19806"/>
    <cellStyle name="Normal 39 16 2 2" xfId="37167"/>
    <cellStyle name="Normal 39 16 3" xfId="19807"/>
    <cellStyle name="Normal 39 16 3 2" xfId="37168"/>
    <cellStyle name="Normal 39 16 4" xfId="19808"/>
    <cellStyle name="Normal 39 16 4 2" xfId="37169"/>
    <cellStyle name="Normal 39 16 5" xfId="19809"/>
    <cellStyle name="Normal 39 16 5 2" xfId="37170"/>
    <cellStyle name="Normal 39 16 6" xfId="19810"/>
    <cellStyle name="Normal 39 16 6 2" xfId="37171"/>
    <cellStyle name="Normal 39 16 7" xfId="19811"/>
    <cellStyle name="Normal 39 16 7 2" xfId="37172"/>
    <cellStyle name="Normal 39 16 8" xfId="19812"/>
    <cellStyle name="Normal 39 16 8 2" xfId="37173"/>
    <cellStyle name="Normal 39 16 9" xfId="19813"/>
    <cellStyle name="Normal 39 16 9 2" xfId="37174"/>
    <cellStyle name="Normal 39 17" xfId="19814"/>
    <cellStyle name="Normal 39 17 10" xfId="19815"/>
    <cellStyle name="Normal 39 17 10 2" xfId="37176"/>
    <cellStyle name="Normal 39 17 11" xfId="19816"/>
    <cellStyle name="Normal 39 17 11 2" xfId="37177"/>
    <cellStyle name="Normal 39 17 12" xfId="19817"/>
    <cellStyle name="Normal 39 17 12 2" xfId="37178"/>
    <cellStyle name="Normal 39 17 13" xfId="19818"/>
    <cellStyle name="Normal 39 17 13 2" xfId="37179"/>
    <cellStyle name="Normal 39 17 14" xfId="19819"/>
    <cellStyle name="Normal 39 17 14 2" xfId="37180"/>
    <cellStyle name="Normal 39 17 15" xfId="37175"/>
    <cellStyle name="Normal 39 17 2" xfId="19820"/>
    <cellStyle name="Normal 39 17 2 2" xfId="37181"/>
    <cellStyle name="Normal 39 17 3" xfId="19821"/>
    <cellStyle name="Normal 39 17 3 2" xfId="37182"/>
    <cellStyle name="Normal 39 17 4" xfId="19822"/>
    <cellStyle name="Normal 39 17 4 2" xfId="37183"/>
    <cellStyle name="Normal 39 17 5" xfId="19823"/>
    <cellStyle name="Normal 39 17 5 2" xfId="37184"/>
    <cellStyle name="Normal 39 17 6" xfId="19824"/>
    <cellStyle name="Normal 39 17 6 2" xfId="37185"/>
    <cellStyle name="Normal 39 17 7" xfId="19825"/>
    <cellStyle name="Normal 39 17 7 2" xfId="37186"/>
    <cellStyle name="Normal 39 17 8" xfId="19826"/>
    <cellStyle name="Normal 39 17 8 2" xfId="37187"/>
    <cellStyle name="Normal 39 17 9" xfId="19827"/>
    <cellStyle name="Normal 39 17 9 2" xfId="37188"/>
    <cellStyle name="Normal 39 18" xfId="19828"/>
    <cellStyle name="Normal 39 18 2" xfId="37189"/>
    <cellStyle name="Normal 39 19" xfId="19829"/>
    <cellStyle name="Normal 39 19 2" xfId="37190"/>
    <cellStyle name="Normal 39 2" xfId="227"/>
    <cellStyle name="Normal 39 20" xfId="19830"/>
    <cellStyle name="Normal 39 20 2" xfId="37191"/>
    <cellStyle name="Normal 39 21" xfId="19831"/>
    <cellStyle name="Normal 39 21 2" xfId="37192"/>
    <cellStyle name="Normal 39 22" xfId="19832"/>
    <cellStyle name="Normal 39 22 2" xfId="37193"/>
    <cellStyle name="Normal 39 23" xfId="19833"/>
    <cellStyle name="Normal 39 23 2" xfId="37194"/>
    <cellStyle name="Normal 39 24" xfId="19834"/>
    <cellStyle name="Normal 39 24 2" xfId="37195"/>
    <cellStyle name="Normal 39 25" xfId="19835"/>
    <cellStyle name="Normal 39 25 2" xfId="37196"/>
    <cellStyle name="Normal 39 26" xfId="19836"/>
    <cellStyle name="Normal 39 26 2" xfId="37197"/>
    <cellStyle name="Normal 39 27" xfId="19837"/>
    <cellStyle name="Normal 39 27 2" xfId="37198"/>
    <cellStyle name="Normal 39 28" xfId="19838"/>
    <cellStyle name="Normal 39 28 2" xfId="37199"/>
    <cellStyle name="Normal 39 29" xfId="19839"/>
    <cellStyle name="Normal 39 29 2" xfId="37200"/>
    <cellStyle name="Normal 39 3" xfId="19840"/>
    <cellStyle name="Normal 39 30" xfId="19841"/>
    <cellStyle name="Normal 39 30 2" xfId="37201"/>
    <cellStyle name="Normal 39 31" xfId="37076"/>
    <cellStyle name="Normal 39 4" xfId="19842"/>
    <cellStyle name="Normal 39 4 10" xfId="19843"/>
    <cellStyle name="Normal 39 4 10 2" xfId="37203"/>
    <cellStyle name="Normal 39 4 11" xfId="19844"/>
    <cellStyle name="Normal 39 4 11 2" xfId="37204"/>
    <cellStyle name="Normal 39 4 12" xfId="19845"/>
    <cellStyle name="Normal 39 4 12 2" xfId="37205"/>
    <cellStyle name="Normal 39 4 13" xfId="19846"/>
    <cellStyle name="Normal 39 4 13 2" xfId="37206"/>
    <cellStyle name="Normal 39 4 14" xfId="19847"/>
    <cellStyle name="Normal 39 4 14 2" xfId="37207"/>
    <cellStyle name="Normal 39 4 15" xfId="19848"/>
    <cellStyle name="Normal 39 4 15 2" xfId="37208"/>
    <cellStyle name="Normal 39 4 16" xfId="37202"/>
    <cellStyle name="Normal 39 4 2" xfId="19849"/>
    <cellStyle name="Normal 39 4 2 10" xfId="19850"/>
    <cellStyle name="Normal 39 4 2 10 2" xfId="37210"/>
    <cellStyle name="Normal 39 4 2 11" xfId="19851"/>
    <cellStyle name="Normal 39 4 2 11 2" xfId="37211"/>
    <cellStyle name="Normal 39 4 2 12" xfId="19852"/>
    <cellStyle name="Normal 39 4 2 12 2" xfId="37212"/>
    <cellStyle name="Normal 39 4 2 13" xfId="19853"/>
    <cellStyle name="Normal 39 4 2 13 2" xfId="37213"/>
    <cellStyle name="Normal 39 4 2 14" xfId="19854"/>
    <cellStyle name="Normal 39 4 2 14 2" xfId="37214"/>
    <cellStyle name="Normal 39 4 2 15" xfId="37209"/>
    <cellStyle name="Normal 39 4 2 2" xfId="19855"/>
    <cellStyle name="Normal 39 4 2 2 2" xfId="37215"/>
    <cellStyle name="Normal 39 4 2 3" xfId="19856"/>
    <cellStyle name="Normal 39 4 2 3 2" xfId="37216"/>
    <cellStyle name="Normal 39 4 2 4" xfId="19857"/>
    <cellStyle name="Normal 39 4 2 4 2" xfId="37217"/>
    <cellStyle name="Normal 39 4 2 5" xfId="19858"/>
    <cellStyle name="Normal 39 4 2 5 2" xfId="37218"/>
    <cellStyle name="Normal 39 4 2 6" xfId="19859"/>
    <cellStyle name="Normal 39 4 2 6 2" xfId="37219"/>
    <cellStyle name="Normal 39 4 2 7" xfId="19860"/>
    <cellStyle name="Normal 39 4 2 7 2" xfId="37220"/>
    <cellStyle name="Normal 39 4 2 8" xfId="19861"/>
    <cellStyle name="Normal 39 4 2 8 2" xfId="37221"/>
    <cellStyle name="Normal 39 4 2 9" xfId="19862"/>
    <cellStyle name="Normal 39 4 2 9 2" xfId="37222"/>
    <cellStyle name="Normal 39 4 3" xfId="19863"/>
    <cellStyle name="Normal 39 4 3 2" xfId="37223"/>
    <cellStyle name="Normal 39 4 4" xfId="19864"/>
    <cellStyle name="Normal 39 4 4 2" xfId="37224"/>
    <cellStyle name="Normal 39 4 5" xfId="19865"/>
    <cellStyle name="Normal 39 4 5 2" xfId="37225"/>
    <cellStyle name="Normal 39 4 6" xfId="19866"/>
    <cellStyle name="Normal 39 4 6 2" xfId="37226"/>
    <cellStyle name="Normal 39 4 7" xfId="19867"/>
    <cellStyle name="Normal 39 4 7 2" xfId="37227"/>
    <cellStyle name="Normal 39 4 8" xfId="19868"/>
    <cellStyle name="Normal 39 4 8 2" xfId="37228"/>
    <cellStyle name="Normal 39 4 9" xfId="19869"/>
    <cellStyle name="Normal 39 4 9 2" xfId="37229"/>
    <cellStyle name="Normal 39 5" xfId="19870"/>
    <cellStyle name="Normal 39 5 10" xfId="19871"/>
    <cellStyle name="Normal 39 5 10 2" xfId="37231"/>
    <cellStyle name="Normal 39 5 11" xfId="19872"/>
    <cellStyle name="Normal 39 5 11 2" xfId="37232"/>
    <cellStyle name="Normal 39 5 12" xfId="19873"/>
    <cellStyle name="Normal 39 5 12 2" xfId="37233"/>
    <cellStyle name="Normal 39 5 13" xfId="19874"/>
    <cellStyle name="Normal 39 5 13 2" xfId="37234"/>
    <cellStyle name="Normal 39 5 14" xfId="19875"/>
    <cellStyle name="Normal 39 5 14 2" xfId="37235"/>
    <cellStyle name="Normal 39 5 15" xfId="19876"/>
    <cellStyle name="Normal 39 5 15 2" xfId="37236"/>
    <cellStyle name="Normal 39 5 16" xfId="37230"/>
    <cellStyle name="Normal 39 5 2" xfId="19877"/>
    <cellStyle name="Normal 39 5 2 10" xfId="19878"/>
    <cellStyle name="Normal 39 5 2 10 2" xfId="37238"/>
    <cellStyle name="Normal 39 5 2 11" xfId="19879"/>
    <cellStyle name="Normal 39 5 2 11 2" xfId="37239"/>
    <cellStyle name="Normal 39 5 2 12" xfId="19880"/>
    <cellStyle name="Normal 39 5 2 12 2" xfId="37240"/>
    <cellStyle name="Normal 39 5 2 13" xfId="19881"/>
    <cellStyle name="Normal 39 5 2 13 2" xfId="37241"/>
    <cellStyle name="Normal 39 5 2 14" xfId="19882"/>
    <cellStyle name="Normal 39 5 2 14 2" xfId="37242"/>
    <cellStyle name="Normal 39 5 2 15" xfId="37237"/>
    <cellStyle name="Normal 39 5 2 2" xfId="19883"/>
    <cellStyle name="Normal 39 5 2 2 2" xfId="37243"/>
    <cellStyle name="Normal 39 5 2 3" xfId="19884"/>
    <cellStyle name="Normal 39 5 2 3 2" xfId="37244"/>
    <cellStyle name="Normal 39 5 2 4" xfId="19885"/>
    <cellStyle name="Normal 39 5 2 4 2" xfId="37245"/>
    <cellStyle name="Normal 39 5 2 5" xfId="19886"/>
    <cellStyle name="Normal 39 5 2 5 2" xfId="37246"/>
    <cellStyle name="Normal 39 5 2 6" xfId="19887"/>
    <cellStyle name="Normal 39 5 2 6 2" xfId="37247"/>
    <cellStyle name="Normal 39 5 2 7" xfId="19888"/>
    <cellStyle name="Normal 39 5 2 7 2" xfId="37248"/>
    <cellStyle name="Normal 39 5 2 8" xfId="19889"/>
    <cellStyle name="Normal 39 5 2 8 2" xfId="37249"/>
    <cellStyle name="Normal 39 5 2 9" xfId="19890"/>
    <cellStyle name="Normal 39 5 2 9 2" xfId="37250"/>
    <cellStyle name="Normal 39 5 3" xfId="19891"/>
    <cellStyle name="Normal 39 5 3 2" xfId="37251"/>
    <cellStyle name="Normal 39 5 4" xfId="19892"/>
    <cellStyle name="Normal 39 5 4 2" xfId="37252"/>
    <cellStyle name="Normal 39 5 5" xfId="19893"/>
    <cellStyle name="Normal 39 5 5 2" xfId="37253"/>
    <cellStyle name="Normal 39 5 6" xfId="19894"/>
    <cellStyle name="Normal 39 5 6 2" xfId="37254"/>
    <cellStyle name="Normal 39 5 7" xfId="19895"/>
    <cellStyle name="Normal 39 5 7 2" xfId="37255"/>
    <cellStyle name="Normal 39 5 8" xfId="19896"/>
    <cellStyle name="Normal 39 5 8 2" xfId="37256"/>
    <cellStyle name="Normal 39 5 9" xfId="19897"/>
    <cellStyle name="Normal 39 5 9 2" xfId="37257"/>
    <cellStyle name="Normal 39 6" xfId="19898"/>
    <cellStyle name="Normal 39 6 10" xfId="19899"/>
    <cellStyle name="Normal 39 6 10 2" xfId="37259"/>
    <cellStyle name="Normal 39 6 11" xfId="19900"/>
    <cellStyle name="Normal 39 6 11 2" xfId="37260"/>
    <cellStyle name="Normal 39 6 12" xfId="19901"/>
    <cellStyle name="Normal 39 6 12 2" xfId="37261"/>
    <cellStyle name="Normal 39 6 13" xfId="19902"/>
    <cellStyle name="Normal 39 6 13 2" xfId="37262"/>
    <cellStyle name="Normal 39 6 14" xfId="19903"/>
    <cellStyle name="Normal 39 6 14 2" xfId="37263"/>
    <cellStyle name="Normal 39 6 15" xfId="19904"/>
    <cellStyle name="Normal 39 6 15 2" xfId="37264"/>
    <cellStyle name="Normal 39 6 16" xfId="37258"/>
    <cellStyle name="Normal 39 6 2" xfId="19905"/>
    <cellStyle name="Normal 39 6 2 10" xfId="19906"/>
    <cellStyle name="Normal 39 6 2 10 2" xfId="37266"/>
    <cellStyle name="Normal 39 6 2 11" xfId="19907"/>
    <cellStyle name="Normal 39 6 2 11 2" xfId="37267"/>
    <cellStyle name="Normal 39 6 2 12" xfId="19908"/>
    <cellStyle name="Normal 39 6 2 12 2" xfId="37268"/>
    <cellStyle name="Normal 39 6 2 13" xfId="19909"/>
    <cellStyle name="Normal 39 6 2 13 2" xfId="37269"/>
    <cellStyle name="Normal 39 6 2 14" xfId="19910"/>
    <cellStyle name="Normal 39 6 2 14 2" xfId="37270"/>
    <cellStyle name="Normal 39 6 2 15" xfId="37265"/>
    <cellStyle name="Normal 39 6 2 2" xfId="19911"/>
    <cellStyle name="Normal 39 6 2 2 2" xfId="37271"/>
    <cellStyle name="Normal 39 6 2 3" xfId="19912"/>
    <cellStyle name="Normal 39 6 2 3 2" xfId="37272"/>
    <cellStyle name="Normal 39 6 2 4" xfId="19913"/>
    <cellStyle name="Normal 39 6 2 4 2" xfId="37273"/>
    <cellStyle name="Normal 39 6 2 5" xfId="19914"/>
    <cellStyle name="Normal 39 6 2 5 2" xfId="37274"/>
    <cellStyle name="Normal 39 6 2 6" xfId="19915"/>
    <cellStyle name="Normal 39 6 2 6 2" xfId="37275"/>
    <cellStyle name="Normal 39 6 2 7" xfId="19916"/>
    <cellStyle name="Normal 39 6 2 7 2" xfId="37276"/>
    <cellStyle name="Normal 39 6 2 8" xfId="19917"/>
    <cellStyle name="Normal 39 6 2 8 2" xfId="37277"/>
    <cellStyle name="Normal 39 6 2 9" xfId="19918"/>
    <cellStyle name="Normal 39 6 2 9 2" xfId="37278"/>
    <cellStyle name="Normal 39 6 3" xfId="19919"/>
    <cellStyle name="Normal 39 6 3 2" xfId="37279"/>
    <cellStyle name="Normal 39 6 4" xfId="19920"/>
    <cellStyle name="Normal 39 6 4 2" xfId="37280"/>
    <cellStyle name="Normal 39 6 5" xfId="19921"/>
    <cellStyle name="Normal 39 6 5 2" xfId="37281"/>
    <cellStyle name="Normal 39 6 6" xfId="19922"/>
    <cellStyle name="Normal 39 6 6 2" xfId="37282"/>
    <cellStyle name="Normal 39 6 7" xfId="19923"/>
    <cellStyle name="Normal 39 6 7 2" xfId="37283"/>
    <cellStyle name="Normal 39 6 8" xfId="19924"/>
    <cellStyle name="Normal 39 6 8 2" xfId="37284"/>
    <cellStyle name="Normal 39 6 9" xfId="19925"/>
    <cellStyle name="Normal 39 6 9 2" xfId="37285"/>
    <cellStyle name="Normal 39 7" xfId="19926"/>
    <cellStyle name="Normal 39 7 10" xfId="19927"/>
    <cellStyle name="Normal 39 7 10 2" xfId="37287"/>
    <cellStyle name="Normal 39 7 11" xfId="19928"/>
    <cellStyle name="Normal 39 7 11 2" xfId="37288"/>
    <cellStyle name="Normal 39 7 12" xfId="19929"/>
    <cellStyle name="Normal 39 7 12 2" xfId="37289"/>
    <cellStyle name="Normal 39 7 13" xfId="19930"/>
    <cellStyle name="Normal 39 7 13 2" xfId="37290"/>
    <cellStyle name="Normal 39 7 14" xfId="19931"/>
    <cellStyle name="Normal 39 7 14 2" xfId="37291"/>
    <cellStyle name="Normal 39 7 15" xfId="37286"/>
    <cellStyle name="Normal 39 7 2" xfId="19932"/>
    <cellStyle name="Normal 39 7 2 2" xfId="37292"/>
    <cellStyle name="Normal 39 7 3" xfId="19933"/>
    <cellStyle name="Normal 39 7 3 2" xfId="37293"/>
    <cellStyle name="Normal 39 7 4" xfId="19934"/>
    <cellStyle name="Normal 39 7 4 2" xfId="37294"/>
    <cellStyle name="Normal 39 7 5" xfId="19935"/>
    <cellStyle name="Normal 39 7 5 2" xfId="37295"/>
    <cellStyle name="Normal 39 7 6" xfId="19936"/>
    <cellStyle name="Normal 39 7 6 2" xfId="37296"/>
    <cellStyle name="Normal 39 7 7" xfId="19937"/>
    <cellStyle name="Normal 39 7 7 2" xfId="37297"/>
    <cellStyle name="Normal 39 7 8" xfId="19938"/>
    <cellStyle name="Normal 39 7 8 2" xfId="37298"/>
    <cellStyle name="Normal 39 7 9" xfId="19939"/>
    <cellStyle name="Normal 39 7 9 2" xfId="37299"/>
    <cellStyle name="Normal 39 8" xfId="19940"/>
    <cellStyle name="Normal 39 8 10" xfId="19941"/>
    <cellStyle name="Normal 39 8 10 2" xfId="37301"/>
    <cellStyle name="Normal 39 8 11" xfId="19942"/>
    <cellStyle name="Normal 39 8 11 2" xfId="37302"/>
    <cellStyle name="Normal 39 8 12" xfId="19943"/>
    <cellStyle name="Normal 39 8 12 2" xfId="37303"/>
    <cellStyle name="Normal 39 8 13" xfId="19944"/>
    <cellStyle name="Normal 39 8 13 2" xfId="37304"/>
    <cellStyle name="Normal 39 8 14" xfId="19945"/>
    <cellStyle name="Normal 39 8 14 2" xfId="37305"/>
    <cellStyle name="Normal 39 8 15" xfId="37300"/>
    <cellStyle name="Normal 39 8 2" xfId="19946"/>
    <cellStyle name="Normal 39 8 2 2" xfId="37306"/>
    <cellStyle name="Normal 39 8 3" xfId="19947"/>
    <cellStyle name="Normal 39 8 3 2" xfId="37307"/>
    <cellStyle name="Normal 39 8 4" xfId="19948"/>
    <cellStyle name="Normal 39 8 4 2" xfId="37308"/>
    <cellStyle name="Normal 39 8 5" xfId="19949"/>
    <cellStyle name="Normal 39 8 5 2" xfId="37309"/>
    <cellStyle name="Normal 39 8 6" xfId="19950"/>
    <cellStyle name="Normal 39 8 6 2" xfId="37310"/>
    <cellStyle name="Normal 39 8 7" xfId="19951"/>
    <cellStyle name="Normal 39 8 7 2" xfId="37311"/>
    <cellStyle name="Normal 39 8 8" xfId="19952"/>
    <cellStyle name="Normal 39 8 8 2" xfId="37312"/>
    <cellStyle name="Normal 39 8 9" xfId="19953"/>
    <cellStyle name="Normal 39 8 9 2" xfId="37313"/>
    <cellStyle name="Normal 39 9" xfId="19954"/>
    <cellStyle name="Normal 39 9 10" xfId="19955"/>
    <cellStyle name="Normal 39 9 10 2" xfId="37315"/>
    <cellStyle name="Normal 39 9 11" xfId="19956"/>
    <cellStyle name="Normal 39 9 11 2" xfId="37316"/>
    <cellStyle name="Normal 39 9 12" xfId="19957"/>
    <cellStyle name="Normal 39 9 12 2" xfId="37317"/>
    <cellStyle name="Normal 39 9 13" xfId="19958"/>
    <cellStyle name="Normal 39 9 13 2" xfId="37318"/>
    <cellStyle name="Normal 39 9 14" xfId="19959"/>
    <cellStyle name="Normal 39 9 14 2" xfId="37319"/>
    <cellStyle name="Normal 39 9 15" xfId="37314"/>
    <cellStyle name="Normal 39 9 2" xfId="19960"/>
    <cellStyle name="Normal 39 9 2 2" xfId="37320"/>
    <cellStyle name="Normal 39 9 3" xfId="19961"/>
    <cellStyle name="Normal 39 9 3 2" xfId="37321"/>
    <cellStyle name="Normal 39 9 4" xfId="19962"/>
    <cellStyle name="Normal 39 9 4 2" xfId="37322"/>
    <cellStyle name="Normal 39 9 5" xfId="19963"/>
    <cellStyle name="Normal 39 9 5 2" xfId="37323"/>
    <cellStyle name="Normal 39 9 6" xfId="19964"/>
    <cellStyle name="Normal 39 9 6 2" xfId="37324"/>
    <cellStyle name="Normal 39 9 7" xfId="19965"/>
    <cellStyle name="Normal 39 9 7 2" xfId="37325"/>
    <cellStyle name="Normal 39 9 8" xfId="19966"/>
    <cellStyle name="Normal 39 9 8 2" xfId="37326"/>
    <cellStyle name="Normal 39 9 9" xfId="19967"/>
    <cellStyle name="Normal 39 9 9 2" xfId="37327"/>
    <cellStyle name="Normal 4" xfId="5"/>
    <cellStyle name="Normal 4 10" xfId="19969"/>
    <cellStyle name="Normal 4 11" xfId="19970"/>
    <cellStyle name="Normal 4 12" xfId="19968"/>
    <cellStyle name="Normal 4 12 2" xfId="37676"/>
    <cellStyle name="Normal 4 2" xfId="68"/>
    <cellStyle name="Normal 4 2 2" xfId="19971"/>
    <cellStyle name="Normal 4 2 3" xfId="37677"/>
    <cellStyle name="Normal 4 3" xfId="69"/>
    <cellStyle name="Normal 4 3 2" xfId="518"/>
    <cellStyle name="Normal 4 3 3" xfId="516"/>
    <cellStyle name="Normal 4 3 3 2" xfId="500"/>
    <cellStyle name="Normal 4 3 4" xfId="37678"/>
    <cellStyle name="Normal 4 4" xfId="282"/>
    <cellStyle name="Normal 4 4 2" xfId="19972"/>
    <cellStyle name="Normal 4 5" xfId="351"/>
    <cellStyle name="Normal 4 5 2" xfId="541"/>
    <cellStyle name="Normal 4 5 2 2" xfId="19974"/>
    <cellStyle name="Normal 4 5 3" xfId="19973"/>
    <cellStyle name="Normal 4 6" xfId="466"/>
    <cellStyle name="Normal 4 6 2" xfId="19975"/>
    <cellStyle name="Normal 4 7" xfId="19976"/>
    <cellStyle name="Normal 4 8" xfId="19977"/>
    <cellStyle name="Normal 4 9" xfId="19978"/>
    <cellStyle name="Normal 40" xfId="70"/>
    <cellStyle name="Normal 40 10" xfId="19979"/>
    <cellStyle name="Normal 40 10 10" xfId="19980"/>
    <cellStyle name="Normal 40 10 10 2" xfId="37330"/>
    <cellStyle name="Normal 40 10 11" xfId="19981"/>
    <cellStyle name="Normal 40 10 11 2" xfId="37331"/>
    <cellStyle name="Normal 40 10 12" xfId="19982"/>
    <cellStyle name="Normal 40 10 12 2" xfId="37332"/>
    <cellStyle name="Normal 40 10 13" xfId="19983"/>
    <cellStyle name="Normal 40 10 13 2" xfId="37333"/>
    <cellStyle name="Normal 40 10 14" xfId="19984"/>
    <cellStyle name="Normal 40 10 14 2" xfId="37334"/>
    <cellStyle name="Normal 40 10 15" xfId="37329"/>
    <cellStyle name="Normal 40 10 2" xfId="19985"/>
    <cellStyle name="Normal 40 10 2 2" xfId="37335"/>
    <cellStyle name="Normal 40 10 3" xfId="19986"/>
    <cellStyle name="Normal 40 10 3 2" xfId="37336"/>
    <cellStyle name="Normal 40 10 4" xfId="19987"/>
    <cellStyle name="Normal 40 10 4 2" xfId="37337"/>
    <cellStyle name="Normal 40 10 5" xfId="19988"/>
    <cellStyle name="Normal 40 10 5 2" xfId="37338"/>
    <cellStyle name="Normal 40 10 6" xfId="19989"/>
    <cellStyle name="Normal 40 10 6 2" xfId="37339"/>
    <cellStyle name="Normal 40 10 7" xfId="19990"/>
    <cellStyle name="Normal 40 10 7 2" xfId="37340"/>
    <cellStyle name="Normal 40 10 8" xfId="19991"/>
    <cellStyle name="Normal 40 10 8 2" xfId="37341"/>
    <cellStyle name="Normal 40 10 9" xfId="19992"/>
    <cellStyle name="Normal 40 10 9 2" xfId="37342"/>
    <cellStyle name="Normal 40 11" xfId="19993"/>
    <cellStyle name="Normal 40 11 10" xfId="19994"/>
    <cellStyle name="Normal 40 11 10 2" xfId="37344"/>
    <cellStyle name="Normal 40 11 11" xfId="19995"/>
    <cellStyle name="Normal 40 11 11 2" xfId="37345"/>
    <cellStyle name="Normal 40 11 12" xfId="19996"/>
    <cellStyle name="Normal 40 11 12 2" xfId="37346"/>
    <cellStyle name="Normal 40 11 13" xfId="19997"/>
    <cellStyle name="Normal 40 11 13 2" xfId="37347"/>
    <cellStyle name="Normal 40 11 14" xfId="19998"/>
    <cellStyle name="Normal 40 11 14 2" xfId="37348"/>
    <cellStyle name="Normal 40 11 15" xfId="37343"/>
    <cellStyle name="Normal 40 11 2" xfId="19999"/>
    <cellStyle name="Normal 40 11 2 2" xfId="37349"/>
    <cellStyle name="Normal 40 11 3" xfId="20000"/>
    <cellStyle name="Normal 40 11 3 2" xfId="37350"/>
    <cellStyle name="Normal 40 11 4" xfId="20001"/>
    <cellStyle name="Normal 40 11 4 2" xfId="37351"/>
    <cellStyle name="Normal 40 11 5" xfId="20002"/>
    <cellStyle name="Normal 40 11 5 2" xfId="37352"/>
    <cellStyle name="Normal 40 11 6" xfId="20003"/>
    <cellStyle name="Normal 40 11 6 2" xfId="37353"/>
    <cellStyle name="Normal 40 11 7" xfId="20004"/>
    <cellStyle name="Normal 40 11 7 2" xfId="37354"/>
    <cellStyle name="Normal 40 11 8" xfId="20005"/>
    <cellStyle name="Normal 40 11 8 2" xfId="37355"/>
    <cellStyle name="Normal 40 11 9" xfId="20006"/>
    <cellStyle name="Normal 40 11 9 2" xfId="37356"/>
    <cellStyle name="Normal 40 12" xfId="20007"/>
    <cellStyle name="Normal 40 12 10" xfId="20008"/>
    <cellStyle name="Normal 40 12 10 2" xfId="37358"/>
    <cellStyle name="Normal 40 12 11" xfId="20009"/>
    <cellStyle name="Normal 40 12 11 2" xfId="37359"/>
    <cellStyle name="Normal 40 12 12" xfId="20010"/>
    <cellStyle name="Normal 40 12 12 2" xfId="37360"/>
    <cellStyle name="Normal 40 12 13" xfId="20011"/>
    <cellStyle name="Normal 40 12 13 2" xfId="37361"/>
    <cellStyle name="Normal 40 12 14" xfId="20012"/>
    <cellStyle name="Normal 40 12 14 2" xfId="37362"/>
    <cellStyle name="Normal 40 12 15" xfId="37357"/>
    <cellStyle name="Normal 40 12 2" xfId="20013"/>
    <cellStyle name="Normal 40 12 2 2" xfId="37363"/>
    <cellStyle name="Normal 40 12 3" xfId="20014"/>
    <cellStyle name="Normal 40 12 3 2" xfId="37364"/>
    <cellStyle name="Normal 40 12 4" xfId="20015"/>
    <cellStyle name="Normal 40 12 4 2" xfId="37365"/>
    <cellStyle name="Normal 40 12 5" xfId="20016"/>
    <cellStyle name="Normal 40 12 5 2" xfId="37366"/>
    <cellStyle name="Normal 40 12 6" xfId="20017"/>
    <cellStyle name="Normal 40 12 6 2" xfId="37367"/>
    <cellStyle name="Normal 40 12 7" xfId="20018"/>
    <cellStyle name="Normal 40 12 7 2" xfId="37368"/>
    <cellStyle name="Normal 40 12 8" xfId="20019"/>
    <cellStyle name="Normal 40 12 8 2" xfId="37369"/>
    <cellStyle name="Normal 40 12 9" xfId="20020"/>
    <cellStyle name="Normal 40 12 9 2" xfId="37370"/>
    <cellStyle name="Normal 40 13" xfId="20021"/>
    <cellStyle name="Normal 40 13 10" xfId="20022"/>
    <cellStyle name="Normal 40 13 10 2" xfId="37372"/>
    <cellStyle name="Normal 40 13 11" xfId="20023"/>
    <cellStyle name="Normal 40 13 11 2" xfId="37373"/>
    <cellStyle name="Normal 40 13 12" xfId="20024"/>
    <cellStyle name="Normal 40 13 12 2" xfId="37374"/>
    <cellStyle name="Normal 40 13 13" xfId="20025"/>
    <cellStyle name="Normal 40 13 13 2" xfId="37375"/>
    <cellStyle name="Normal 40 13 14" xfId="20026"/>
    <cellStyle name="Normal 40 13 14 2" xfId="37376"/>
    <cellStyle name="Normal 40 13 15" xfId="37371"/>
    <cellStyle name="Normal 40 13 2" xfId="20027"/>
    <cellStyle name="Normal 40 13 2 2" xfId="37377"/>
    <cellStyle name="Normal 40 13 3" xfId="20028"/>
    <cellStyle name="Normal 40 13 3 2" xfId="37378"/>
    <cellStyle name="Normal 40 13 4" xfId="20029"/>
    <cellStyle name="Normal 40 13 4 2" xfId="37379"/>
    <cellStyle name="Normal 40 13 5" xfId="20030"/>
    <cellStyle name="Normal 40 13 5 2" xfId="37380"/>
    <cellStyle name="Normal 40 13 6" xfId="20031"/>
    <cellStyle name="Normal 40 13 6 2" xfId="37381"/>
    <cellStyle name="Normal 40 13 7" xfId="20032"/>
    <cellStyle name="Normal 40 13 7 2" xfId="37382"/>
    <cellStyle name="Normal 40 13 8" xfId="20033"/>
    <cellStyle name="Normal 40 13 8 2" xfId="37383"/>
    <cellStyle name="Normal 40 13 9" xfId="20034"/>
    <cellStyle name="Normal 40 13 9 2" xfId="37384"/>
    <cellStyle name="Normal 40 14" xfId="20035"/>
    <cellStyle name="Normal 40 14 10" xfId="20036"/>
    <cellStyle name="Normal 40 14 10 2" xfId="37386"/>
    <cellStyle name="Normal 40 14 11" xfId="20037"/>
    <cellStyle name="Normal 40 14 11 2" xfId="37387"/>
    <cellStyle name="Normal 40 14 12" xfId="20038"/>
    <cellStyle name="Normal 40 14 12 2" xfId="37388"/>
    <cellStyle name="Normal 40 14 13" xfId="20039"/>
    <cellStyle name="Normal 40 14 13 2" xfId="37389"/>
    <cellStyle name="Normal 40 14 14" xfId="20040"/>
    <cellStyle name="Normal 40 14 14 2" xfId="37390"/>
    <cellStyle name="Normal 40 14 15" xfId="37385"/>
    <cellStyle name="Normal 40 14 2" xfId="20041"/>
    <cellStyle name="Normal 40 14 2 2" xfId="37391"/>
    <cellStyle name="Normal 40 14 3" xfId="20042"/>
    <cellStyle name="Normal 40 14 3 2" xfId="37392"/>
    <cellStyle name="Normal 40 14 4" xfId="20043"/>
    <cellStyle name="Normal 40 14 4 2" xfId="37393"/>
    <cellStyle name="Normal 40 14 5" xfId="20044"/>
    <cellStyle name="Normal 40 14 5 2" xfId="37394"/>
    <cellStyle name="Normal 40 14 6" xfId="20045"/>
    <cellStyle name="Normal 40 14 6 2" xfId="37395"/>
    <cellStyle name="Normal 40 14 7" xfId="20046"/>
    <cellStyle name="Normal 40 14 7 2" xfId="37396"/>
    <cellStyle name="Normal 40 14 8" xfId="20047"/>
    <cellStyle name="Normal 40 14 8 2" xfId="37397"/>
    <cellStyle name="Normal 40 14 9" xfId="20048"/>
    <cellStyle name="Normal 40 14 9 2" xfId="37398"/>
    <cellStyle name="Normal 40 15" xfId="20049"/>
    <cellStyle name="Normal 40 15 10" xfId="20050"/>
    <cellStyle name="Normal 40 15 10 2" xfId="37400"/>
    <cellStyle name="Normal 40 15 11" xfId="20051"/>
    <cellStyle name="Normal 40 15 11 2" xfId="37401"/>
    <cellStyle name="Normal 40 15 12" xfId="20052"/>
    <cellStyle name="Normal 40 15 12 2" xfId="37402"/>
    <cellStyle name="Normal 40 15 13" xfId="20053"/>
    <cellStyle name="Normal 40 15 13 2" xfId="37403"/>
    <cellStyle name="Normal 40 15 14" xfId="20054"/>
    <cellStyle name="Normal 40 15 14 2" xfId="37404"/>
    <cellStyle name="Normal 40 15 15" xfId="37399"/>
    <cellStyle name="Normal 40 15 2" xfId="20055"/>
    <cellStyle name="Normal 40 15 2 2" xfId="37405"/>
    <cellStyle name="Normal 40 15 3" xfId="20056"/>
    <cellStyle name="Normal 40 15 3 2" xfId="37406"/>
    <cellStyle name="Normal 40 15 4" xfId="20057"/>
    <cellStyle name="Normal 40 15 4 2" xfId="37407"/>
    <cellStyle name="Normal 40 15 5" xfId="20058"/>
    <cellStyle name="Normal 40 15 5 2" xfId="37408"/>
    <cellStyle name="Normal 40 15 6" xfId="20059"/>
    <cellStyle name="Normal 40 15 6 2" xfId="37409"/>
    <cellStyle name="Normal 40 15 7" xfId="20060"/>
    <cellStyle name="Normal 40 15 7 2" xfId="37410"/>
    <cellStyle name="Normal 40 15 8" xfId="20061"/>
    <cellStyle name="Normal 40 15 8 2" xfId="37411"/>
    <cellStyle name="Normal 40 15 9" xfId="20062"/>
    <cellStyle name="Normal 40 15 9 2" xfId="37412"/>
    <cellStyle name="Normal 40 16" xfId="20063"/>
    <cellStyle name="Normal 40 16 10" xfId="20064"/>
    <cellStyle name="Normal 40 16 10 2" xfId="37414"/>
    <cellStyle name="Normal 40 16 11" xfId="20065"/>
    <cellStyle name="Normal 40 16 11 2" xfId="37415"/>
    <cellStyle name="Normal 40 16 12" xfId="20066"/>
    <cellStyle name="Normal 40 16 12 2" xfId="37416"/>
    <cellStyle name="Normal 40 16 13" xfId="20067"/>
    <cellStyle name="Normal 40 16 13 2" xfId="37417"/>
    <cellStyle name="Normal 40 16 14" xfId="20068"/>
    <cellStyle name="Normal 40 16 14 2" xfId="37418"/>
    <cellStyle name="Normal 40 16 15" xfId="37413"/>
    <cellStyle name="Normal 40 16 2" xfId="20069"/>
    <cellStyle name="Normal 40 16 2 2" xfId="37419"/>
    <cellStyle name="Normal 40 16 3" xfId="20070"/>
    <cellStyle name="Normal 40 16 3 2" xfId="37420"/>
    <cellStyle name="Normal 40 16 4" xfId="20071"/>
    <cellStyle name="Normal 40 16 4 2" xfId="37421"/>
    <cellStyle name="Normal 40 16 5" xfId="20072"/>
    <cellStyle name="Normal 40 16 5 2" xfId="37422"/>
    <cellStyle name="Normal 40 16 6" xfId="20073"/>
    <cellStyle name="Normal 40 16 6 2" xfId="37423"/>
    <cellStyle name="Normal 40 16 7" xfId="20074"/>
    <cellStyle name="Normal 40 16 7 2" xfId="37424"/>
    <cellStyle name="Normal 40 16 8" xfId="20075"/>
    <cellStyle name="Normal 40 16 8 2" xfId="37425"/>
    <cellStyle name="Normal 40 16 9" xfId="20076"/>
    <cellStyle name="Normal 40 16 9 2" xfId="37426"/>
    <cellStyle name="Normal 40 17" xfId="20077"/>
    <cellStyle name="Normal 40 17 10" xfId="20078"/>
    <cellStyle name="Normal 40 17 10 2" xfId="37428"/>
    <cellStyle name="Normal 40 17 11" xfId="20079"/>
    <cellStyle name="Normal 40 17 11 2" xfId="37429"/>
    <cellStyle name="Normal 40 17 12" xfId="20080"/>
    <cellStyle name="Normal 40 17 12 2" xfId="37430"/>
    <cellStyle name="Normal 40 17 13" xfId="20081"/>
    <cellStyle name="Normal 40 17 13 2" xfId="37431"/>
    <cellStyle name="Normal 40 17 14" xfId="20082"/>
    <cellStyle name="Normal 40 17 14 2" xfId="37432"/>
    <cellStyle name="Normal 40 17 15" xfId="37427"/>
    <cellStyle name="Normal 40 17 2" xfId="20083"/>
    <cellStyle name="Normal 40 17 2 2" xfId="37433"/>
    <cellStyle name="Normal 40 17 3" xfId="20084"/>
    <cellStyle name="Normal 40 17 3 2" xfId="37434"/>
    <cellStyle name="Normal 40 17 4" xfId="20085"/>
    <cellStyle name="Normal 40 17 4 2" xfId="37435"/>
    <cellStyle name="Normal 40 17 5" xfId="20086"/>
    <cellStyle name="Normal 40 17 5 2" xfId="37436"/>
    <cellStyle name="Normal 40 17 6" xfId="20087"/>
    <cellStyle name="Normal 40 17 6 2" xfId="37437"/>
    <cellStyle name="Normal 40 17 7" xfId="20088"/>
    <cellStyle name="Normal 40 17 7 2" xfId="37438"/>
    <cellStyle name="Normal 40 17 8" xfId="20089"/>
    <cellStyle name="Normal 40 17 8 2" xfId="37439"/>
    <cellStyle name="Normal 40 17 9" xfId="20090"/>
    <cellStyle name="Normal 40 17 9 2" xfId="37440"/>
    <cellStyle name="Normal 40 18" xfId="20091"/>
    <cellStyle name="Normal 40 18 2" xfId="37441"/>
    <cellStyle name="Normal 40 19" xfId="20092"/>
    <cellStyle name="Normal 40 19 2" xfId="37442"/>
    <cellStyle name="Normal 40 2" xfId="228"/>
    <cellStyle name="Normal 40 20" xfId="20093"/>
    <cellStyle name="Normal 40 20 2" xfId="37443"/>
    <cellStyle name="Normal 40 21" xfId="20094"/>
    <cellStyle name="Normal 40 21 2" xfId="37444"/>
    <cellStyle name="Normal 40 22" xfId="20095"/>
    <cellStyle name="Normal 40 22 2" xfId="37445"/>
    <cellStyle name="Normal 40 23" xfId="20096"/>
    <cellStyle name="Normal 40 23 2" xfId="37446"/>
    <cellStyle name="Normal 40 24" xfId="20097"/>
    <cellStyle name="Normal 40 24 2" xfId="37447"/>
    <cellStyle name="Normal 40 25" xfId="20098"/>
    <cellStyle name="Normal 40 25 2" xfId="37448"/>
    <cellStyle name="Normal 40 26" xfId="20099"/>
    <cellStyle name="Normal 40 26 2" xfId="37449"/>
    <cellStyle name="Normal 40 27" xfId="20100"/>
    <cellStyle name="Normal 40 27 2" xfId="37450"/>
    <cellStyle name="Normal 40 28" xfId="20101"/>
    <cellStyle name="Normal 40 28 2" xfId="37451"/>
    <cellStyle name="Normal 40 29" xfId="20102"/>
    <cellStyle name="Normal 40 29 2" xfId="37452"/>
    <cellStyle name="Normal 40 3" xfId="20103"/>
    <cellStyle name="Normal 40 30" xfId="20104"/>
    <cellStyle name="Normal 40 30 2" xfId="37453"/>
    <cellStyle name="Normal 40 31" xfId="37328"/>
    <cellStyle name="Normal 40 4" xfId="20105"/>
    <cellStyle name="Normal 40 4 10" xfId="20106"/>
    <cellStyle name="Normal 40 4 10 2" xfId="37455"/>
    <cellStyle name="Normal 40 4 11" xfId="20107"/>
    <cellStyle name="Normal 40 4 11 2" xfId="37456"/>
    <cellStyle name="Normal 40 4 12" xfId="20108"/>
    <cellStyle name="Normal 40 4 12 2" xfId="37457"/>
    <cellStyle name="Normal 40 4 13" xfId="20109"/>
    <cellStyle name="Normal 40 4 13 2" xfId="37458"/>
    <cellStyle name="Normal 40 4 14" xfId="20110"/>
    <cellStyle name="Normal 40 4 14 2" xfId="37459"/>
    <cellStyle name="Normal 40 4 15" xfId="20111"/>
    <cellStyle name="Normal 40 4 15 2" xfId="37460"/>
    <cellStyle name="Normal 40 4 16" xfId="37454"/>
    <cellStyle name="Normal 40 4 2" xfId="20112"/>
    <cellStyle name="Normal 40 4 2 10" xfId="20113"/>
    <cellStyle name="Normal 40 4 2 10 2" xfId="37462"/>
    <cellStyle name="Normal 40 4 2 11" xfId="20114"/>
    <cellStyle name="Normal 40 4 2 11 2" xfId="37463"/>
    <cellStyle name="Normal 40 4 2 12" xfId="20115"/>
    <cellStyle name="Normal 40 4 2 12 2" xfId="37464"/>
    <cellStyle name="Normal 40 4 2 13" xfId="20116"/>
    <cellStyle name="Normal 40 4 2 13 2" xfId="37465"/>
    <cellStyle name="Normal 40 4 2 14" xfId="20117"/>
    <cellStyle name="Normal 40 4 2 14 2" xfId="37466"/>
    <cellStyle name="Normal 40 4 2 15" xfId="37461"/>
    <cellStyle name="Normal 40 4 2 2" xfId="20118"/>
    <cellStyle name="Normal 40 4 2 2 2" xfId="37467"/>
    <cellStyle name="Normal 40 4 2 3" xfId="20119"/>
    <cellStyle name="Normal 40 4 2 3 2" xfId="37468"/>
    <cellStyle name="Normal 40 4 2 4" xfId="20120"/>
    <cellStyle name="Normal 40 4 2 4 2" xfId="37469"/>
    <cellStyle name="Normal 40 4 2 5" xfId="20121"/>
    <cellStyle name="Normal 40 4 2 5 2" xfId="37470"/>
    <cellStyle name="Normal 40 4 2 6" xfId="20122"/>
    <cellStyle name="Normal 40 4 2 6 2" xfId="37471"/>
    <cellStyle name="Normal 40 4 2 7" xfId="20123"/>
    <cellStyle name="Normal 40 4 2 7 2" xfId="37472"/>
    <cellStyle name="Normal 40 4 2 8" xfId="20124"/>
    <cellStyle name="Normal 40 4 2 8 2" xfId="37473"/>
    <cellStyle name="Normal 40 4 2 9" xfId="20125"/>
    <cellStyle name="Normal 40 4 2 9 2" xfId="37474"/>
    <cellStyle name="Normal 40 4 3" xfId="20126"/>
    <cellStyle name="Normal 40 4 3 2" xfId="37475"/>
    <cellStyle name="Normal 40 4 4" xfId="20127"/>
    <cellStyle name="Normal 40 4 4 2" xfId="37476"/>
    <cellStyle name="Normal 40 4 5" xfId="20128"/>
    <cellStyle name="Normal 40 4 5 2" xfId="37477"/>
    <cellStyle name="Normal 40 4 6" xfId="20129"/>
    <cellStyle name="Normal 40 4 6 2" xfId="37478"/>
    <cellStyle name="Normal 40 4 7" xfId="20130"/>
    <cellStyle name="Normal 40 4 7 2" xfId="37479"/>
    <cellStyle name="Normal 40 4 8" xfId="20131"/>
    <cellStyle name="Normal 40 4 8 2" xfId="37480"/>
    <cellStyle name="Normal 40 4 9" xfId="20132"/>
    <cellStyle name="Normal 40 4 9 2" xfId="37481"/>
    <cellStyle name="Normal 40 5" xfId="20133"/>
    <cellStyle name="Normal 40 5 10" xfId="20134"/>
    <cellStyle name="Normal 40 5 10 2" xfId="37483"/>
    <cellStyle name="Normal 40 5 11" xfId="20135"/>
    <cellStyle name="Normal 40 5 11 2" xfId="37484"/>
    <cellStyle name="Normal 40 5 12" xfId="20136"/>
    <cellStyle name="Normal 40 5 12 2" xfId="37485"/>
    <cellStyle name="Normal 40 5 13" xfId="20137"/>
    <cellStyle name="Normal 40 5 13 2" xfId="37486"/>
    <cellStyle name="Normal 40 5 14" xfId="20138"/>
    <cellStyle name="Normal 40 5 14 2" xfId="37487"/>
    <cellStyle name="Normal 40 5 15" xfId="20139"/>
    <cellStyle name="Normal 40 5 15 2" xfId="37488"/>
    <cellStyle name="Normal 40 5 16" xfId="37482"/>
    <cellStyle name="Normal 40 5 2" xfId="20140"/>
    <cellStyle name="Normal 40 5 2 10" xfId="20141"/>
    <cellStyle name="Normal 40 5 2 10 2" xfId="37490"/>
    <cellStyle name="Normal 40 5 2 11" xfId="20142"/>
    <cellStyle name="Normal 40 5 2 11 2" xfId="37491"/>
    <cellStyle name="Normal 40 5 2 12" xfId="20143"/>
    <cellStyle name="Normal 40 5 2 12 2" xfId="37492"/>
    <cellStyle name="Normal 40 5 2 13" xfId="20144"/>
    <cellStyle name="Normal 40 5 2 13 2" xfId="37493"/>
    <cellStyle name="Normal 40 5 2 14" xfId="20145"/>
    <cellStyle name="Normal 40 5 2 14 2" xfId="37494"/>
    <cellStyle name="Normal 40 5 2 15" xfId="37489"/>
    <cellStyle name="Normal 40 5 2 2" xfId="20146"/>
    <cellStyle name="Normal 40 5 2 2 2" xfId="37495"/>
    <cellStyle name="Normal 40 5 2 3" xfId="20147"/>
    <cellStyle name="Normal 40 5 2 3 2" xfId="37496"/>
    <cellStyle name="Normal 40 5 2 4" xfId="20148"/>
    <cellStyle name="Normal 40 5 2 4 2" xfId="37497"/>
    <cellStyle name="Normal 40 5 2 5" xfId="20149"/>
    <cellStyle name="Normal 40 5 2 5 2" xfId="37498"/>
    <cellStyle name="Normal 40 5 2 6" xfId="20150"/>
    <cellStyle name="Normal 40 5 2 6 2" xfId="37499"/>
    <cellStyle name="Normal 40 5 2 7" xfId="20151"/>
    <cellStyle name="Normal 40 5 2 7 2" xfId="37500"/>
    <cellStyle name="Normal 40 5 2 8" xfId="20152"/>
    <cellStyle name="Normal 40 5 2 8 2" xfId="37501"/>
    <cellStyle name="Normal 40 5 2 9" xfId="20153"/>
    <cellStyle name="Normal 40 5 2 9 2" xfId="37502"/>
    <cellStyle name="Normal 40 5 3" xfId="20154"/>
    <cellStyle name="Normal 40 5 3 2" xfId="37503"/>
    <cellStyle name="Normal 40 5 4" xfId="20155"/>
    <cellStyle name="Normal 40 5 4 2" xfId="37504"/>
    <cellStyle name="Normal 40 5 5" xfId="20156"/>
    <cellStyle name="Normal 40 5 5 2" xfId="37505"/>
    <cellStyle name="Normal 40 5 6" xfId="20157"/>
    <cellStyle name="Normal 40 5 6 2" xfId="37506"/>
    <cellStyle name="Normal 40 5 7" xfId="20158"/>
    <cellStyle name="Normal 40 5 7 2" xfId="37507"/>
    <cellStyle name="Normal 40 5 8" xfId="20159"/>
    <cellStyle name="Normal 40 5 8 2" xfId="37508"/>
    <cellStyle name="Normal 40 5 9" xfId="20160"/>
    <cellStyle name="Normal 40 5 9 2" xfId="37509"/>
    <cellStyle name="Normal 40 6" xfId="20161"/>
    <cellStyle name="Normal 40 6 10" xfId="20162"/>
    <cellStyle name="Normal 40 6 10 2" xfId="37511"/>
    <cellStyle name="Normal 40 6 11" xfId="20163"/>
    <cellStyle name="Normal 40 6 11 2" xfId="37512"/>
    <cellStyle name="Normal 40 6 12" xfId="20164"/>
    <cellStyle name="Normal 40 6 12 2" xfId="37513"/>
    <cellStyle name="Normal 40 6 13" xfId="20165"/>
    <cellStyle name="Normal 40 6 13 2" xfId="37514"/>
    <cellStyle name="Normal 40 6 14" xfId="20166"/>
    <cellStyle name="Normal 40 6 14 2" xfId="37515"/>
    <cellStyle name="Normal 40 6 15" xfId="20167"/>
    <cellStyle name="Normal 40 6 15 2" xfId="37516"/>
    <cellStyle name="Normal 40 6 16" xfId="37510"/>
    <cellStyle name="Normal 40 6 2" xfId="20168"/>
    <cellStyle name="Normal 40 6 2 10" xfId="20169"/>
    <cellStyle name="Normal 40 6 2 10 2" xfId="37518"/>
    <cellStyle name="Normal 40 6 2 11" xfId="20170"/>
    <cellStyle name="Normal 40 6 2 11 2" xfId="37519"/>
    <cellStyle name="Normal 40 6 2 12" xfId="20171"/>
    <cellStyle name="Normal 40 6 2 12 2" xfId="37520"/>
    <cellStyle name="Normal 40 6 2 13" xfId="20172"/>
    <cellStyle name="Normal 40 6 2 13 2" xfId="37521"/>
    <cellStyle name="Normal 40 6 2 14" xfId="20173"/>
    <cellStyle name="Normal 40 6 2 14 2" xfId="37522"/>
    <cellStyle name="Normal 40 6 2 15" xfId="37517"/>
    <cellStyle name="Normal 40 6 2 2" xfId="20174"/>
    <cellStyle name="Normal 40 6 2 2 2" xfId="37523"/>
    <cellStyle name="Normal 40 6 2 3" xfId="20175"/>
    <cellStyle name="Normal 40 6 2 3 2" xfId="37524"/>
    <cellStyle name="Normal 40 6 2 4" xfId="20176"/>
    <cellStyle name="Normal 40 6 2 4 2" xfId="37525"/>
    <cellStyle name="Normal 40 6 2 5" xfId="20177"/>
    <cellStyle name="Normal 40 6 2 5 2" xfId="37526"/>
    <cellStyle name="Normal 40 6 2 6" xfId="20178"/>
    <cellStyle name="Normal 40 6 2 6 2" xfId="37527"/>
    <cellStyle name="Normal 40 6 2 7" xfId="20179"/>
    <cellStyle name="Normal 40 6 2 7 2" xfId="37528"/>
    <cellStyle name="Normal 40 6 2 8" xfId="20180"/>
    <cellStyle name="Normal 40 6 2 8 2" xfId="37529"/>
    <cellStyle name="Normal 40 6 2 9" xfId="20181"/>
    <cellStyle name="Normal 40 6 2 9 2" xfId="37530"/>
    <cellStyle name="Normal 40 6 3" xfId="20182"/>
    <cellStyle name="Normal 40 6 3 2" xfId="37531"/>
    <cellStyle name="Normal 40 6 4" xfId="20183"/>
    <cellStyle name="Normal 40 6 4 2" xfId="37532"/>
    <cellStyle name="Normal 40 6 5" xfId="20184"/>
    <cellStyle name="Normal 40 6 5 2" xfId="37533"/>
    <cellStyle name="Normal 40 6 6" xfId="20185"/>
    <cellStyle name="Normal 40 6 6 2" xfId="37534"/>
    <cellStyle name="Normal 40 6 7" xfId="20186"/>
    <cellStyle name="Normal 40 6 7 2" xfId="37535"/>
    <cellStyle name="Normal 40 6 8" xfId="20187"/>
    <cellStyle name="Normal 40 6 8 2" xfId="37536"/>
    <cellStyle name="Normal 40 6 9" xfId="20188"/>
    <cellStyle name="Normal 40 6 9 2" xfId="37537"/>
    <cellStyle name="Normal 40 7" xfId="20189"/>
    <cellStyle name="Normal 40 7 10" xfId="20190"/>
    <cellStyle name="Normal 40 7 10 2" xfId="37539"/>
    <cellStyle name="Normal 40 7 11" xfId="20191"/>
    <cellStyle name="Normal 40 7 11 2" xfId="37540"/>
    <cellStyle name="Normal 40 7 12" xfId="20192"/>
    <cellStyle name="Normal 40 7 12 2" xfId="37541"/>
    <cellStyle name="Normal 40 7 13" xfId="20193"/>
    <cellStyle name="Normal 40 7 13 2" xfId="37542"/>
    <cellStyle name="Normal 40 7 14" xfId="20194"/>
    <cellStyle name="Normal 40 7 14 2" xfId="37543"/>
    <cellStyle name="Normal 40 7 15" xfId="37538"/>
    <cellStyle name="Normal 40 7 2" xfId="20195"/>
    <cellStyle name="Normal 40 7 2 2" xfId="37544"/>
    <cellStyle name="Normal 40 7 3" xfId="20196"/>
    <cellStyle name="Normal 40 7 3 2" xfId="37545"/>
    <cellStyle name="Normal 40 7 4" xfId="20197"/>
    <cellStyle name="Normal 40 7 4 2" xfId="37546"/>
    <cellStyle name="Normal 40 7 5" xfId="20198"/>
    <cellStyle name="Normal 40 7 5 2" xfId="37547"/>
    <cellStyle name="Normal 40 7 6" xfId="20199"/>
    <cellStyle name="Normal 40 7 6 2" xfId="37548"/>
    <cellStyle name="Normal 40 7 7" xfId="20200"/>
    <cellStyle name="Normal 40 7 7 2" xfId="37549"/>
    <cellStyle name="Normal 40 7 8" xfId="20201"/>
    <cellStyle name="Normal 40 7 8 2" xfId="37550"/>
    <cellStyle name="Normal 40 7 9" xfId="20202"/>
    <cellStyle name="Normal 40 7 9 2" xfId="37551"/>
    <cellStyle name="Normal 40 8" xfId="20203"/>
    <cellStyle name="Normal 40 8 10" xfId="20204"/>
    <cellStyle name="Normal 40 8 10 2" xfId="37553"/>
    <cellStyle name="Normal 40 8 11" xfId="20205"/>
    <cellStyle name="Normal 40 8 11 2" xfId="37554"/>
    <cellStyle name="Normal 40 8 12" xfId="20206"/>
    <cellStyle name="Normal 40 8 12 2" xfId="37555"/>
    <cellStyle name="Normal 40 8 13" xfId="20207"/>
    <cellStyle name="Normal 40 8 13 2" xfId="37556"/>
    <cellStyle name="Normal 40 8 14" xfId="20208"/>
    <cellStyle name="Normal 40 8 14 2" xfId="37557"/>
    <cellStyle name="Normal 40 8 15" xfId="37552"/>
    <cellStyle name="Normal 40 8 2" xfId="20209"/>
    <cellStyle name="Normal 40 8 2 2" xfId="37558"/>
    <cellStyle name="Normal 40 8 3" xfId="20210"/>
    <cellStyle name="Normal 40 8 3 2" xfId="37559"/>
    <cellStyle name="Normal 40 8 4" xfId="20211"/>
    <cellStyle name="Normal 40 8 4 2" xfId="37560"/>
    <cellStyle name="Normal 40 8 5" xfId="20212"/>
    <cellStyle name="Normal 40 8 5 2" xfId="37561"/>
    <cellStyle name="Normal 40 8 6" xfId="20213"/>
    <cellStyle name="Normal 40 8 6 2" xfId="37562"/>
    <cellStyle name="Normal 40 8 7" xfId="20214"/>
    <cellStyle name="Normal 40 8 7 2" xfId="37563"/>
    <cellStyle name="Normal 40 8 8" xfId="20215"/>
    <cellStyle name="Normal 40 8 8 2" xfId="37564"/>
    <cellStyle name="Normal 40 8 9" xfId="20216"/>
    <cellStyle name="Normal 40 8 9 2" xfId="37565"/>
    <cellStyle name="Normal 40 9" xfId="20217"/>
    <cellStyle name="Normal 40 9 10" xfId="20218"/>
    <cellStyle name="Normal 40 9 10 2" xfId="37567"/>
    <cellStyle name="Normal 40 9 11" xfId="20219"/>
    <cellStyle name="Normal 40 9 11 2" xfId="37568"/>
    <cellStyle name="Normal 40 9 12" xfId="20220"/>
    <cellStyle name="Normal 40 9 12 2" xfId="37569"/>
    <cellStyle name="Normal 40 9 13" xfId="20221"/>
    <cellStyle name="Normal 40 9 13 2" xfId="37570"/>
    <cellStyle name="Normal 40 9 14" xfId="20222"/>
    <cellStyle name="Normal 40 9 14 2" xfId="37571"/>
    <cellStyle name="Normal 40 9 15" xfId="37566"/>
    <cellStyle name="Normal 40 9 2" xfId="20223"/>
    <cellStyle name="Normal 40 9 2 2" xfId="37572"/>
    <cellStyle name="Normal 40 9 3" xfId="20224"/>
    <cellStyle name="Normal 40 9 3 2" xfId="37573"/>
    <cellStyle name="Normal 40 9 4" xfId="20225"/>
    <cellStyle name="Normal 40 9 4 2" xfId="37574"/>
    <cellStyle name="Normal 40 9 5" xfId="20226"/>
    <cellStyle name="Normal 40 9 5 2" xfId="37575"/>
    <cellStyle name="Normal 40 9 6" xfId="20227"/>
    <cellStyle name="Normal 40 9 6 2" xfId="37576"/>
    <cellStyle name="Normal 40 9 7" xfId="20228"/>
    <cellStyle name="Normal 40 9 7 2" xfId="37577"/>
    <cellStyle name="Normal 40 9 8" xfId="20229"/>
    <cellStyle name="Normal 40 9 8 2" xfId="37578"/>
    <cellStyle name="Normal 40 9 9" xfId="20230"/>
    <cellStyle name="Normal 40 9 9 2" xfId="37579"/>
    <cellStyle name="Normal 41" xfId="71"/>
    <cellStyle name="Normal 41 2" xfId="229"/>
    <cellStyle name="Normal 41 3" xfId="20231"/>
    <cellStyle name="Normal 42" xfId="72"/>
    <cellStyle name="Normal 42 2" xfId="230"/>
    <cellStyle name="Normal 43" xfId="73"/>
    <cellStyle name="Normal 43 2" xfId="231"/>
    <cellStyle name="Normal 44" xfId="74"/>
    <cellStyle name="Normal 44 2" xfId="232"/>
    <cellStyle name="Normal 45" xfId="75"/>
    <cellStyle name="Normal 45 2" xfId="233"/>
    <cellStyle name="Normal 46" xfId="76"/>
    <cellStyle name="Normal 46 2" xfId="234"/>
    <cellStyle name="Normal 47" xfId="77"/>
    <cellStyle name="Normal 47 2" xfId="235"/>
    <cellStyle name="Normal 48" xfId="78"/>
    <cellStyle name="Normal 48 2" xfId="236"/>
    <cellStyle name="Normal 49" xfId="79"/>
    <cellStyle name="Normal 49 2" xfId="237"/>
    <cellStyle name="Normal 5" xfId="80"/>
    <cellStyle name="Normal 5 10" xfId="20232"/>
    <cellStyle name="Normal 5 11" xfId="20233"/>
    <cellStyle name="Normal 5 12" xfId="20234"/>
    <cellStyle name="Normal 5 13" xfId="20235"/>
    <cellStyle name="Normal 5 14" xfId="20236"/>
    <cellStyle name="Normal 5 15" xfId="20237"/>
    <cellStyle name="Normal 5 16" xfId="20238"/>
    <cellStyle name="Normal 5 17" xfId="20239"/>
    <cellStyle name="Normal 5 18" xfId="20240"/>
    <cellStyle name="Normal 5 19" xfId="20241"/>
    <cellStyle name="Normal 5 2" xfId="81"/>
    <cellStyle name="Normal 5 2 10" xfId="20242"/>
    <cellStyle name="Normal 5 2 11" xfId="20243"/>
    <cellStyle name="Normal 5 2 12" xfId="20244"/>
    <cellStyle name="Normal 5 2 13" xfId="20245"/>
    <cellStyle name="Normal 5 2 14" xfId="37680"/>
    <cellStyle name="Normal 5 2 2" xfId="20246"/>
    <cellStyle name="Normal 5 2 2 10" xfId="20247"/>
    <cellStyle name="Normal 5 2 2 2" xfId="20248"/>
    <cellStyle name="Normal 5 2 2 2 2" xfId="20249"/>
    <cellStyle name="Normal 5 2 2 2 3" xfId="20250"/>
    <cellStyle name="Normal 5 2 2 2 4" xfId="20251"/>
    <cellStyle name="Normal 5 2 2 3" xfId="20252"/>
    <cellStyle name="Normal 5 2 2 4" xfId="20253"/>
    <cellStyle name="Normal 5 2 2 5" xfId="20254"/>
    <cellStyle name="Normal 5 2 2 6" xfId="20255"/>
    <cellStyle name="Normal 5 2 2 7" xfId="20256"/>
    <cellStyle name="Normal 5 2 2 8" xfId="20257"/>
    <cellStyle name="Normal 5 2 2 9" xfId="20258"/>
    <cellStyle name="Normal 5 2 3" xfId="20259"/>
    <cellStyle name="Normal 5 2 4" xfId="20260"/>
    <cellStyle name="Normal 5 2 5" xfId="20261"/>
    <cellStyle name="Normal 5 2 6" xfId="20262"/>
    <cellStyle name="Normal 5 2 6 2" xfId="20263"/>
    <cellStyle name="Normal 5 2 6 3" xfId="20264"/>
    <cellStyle name="Normal 5 2 6 4" xfId="20265"/>
    <cellStyle name="Normal 5 2 7" xfId="20266"/>
    <cellStyle name="Normal 5 2 8" xfId="20267"/>
    <cellStyle name="Normal 5 2 9" xfId="20268"/>
    <cellStyle name="Normal 5 20" xfId="20269"/>
    <cellStyle name="Normal 5 20 2" xfId="37581"/>
    <cellStyle name="Normal 5 21" xfId="20270"/>
    <cellStyle name="Normal 5 21 2" xfId="37582"/>
    <cellStyle name="Normal 5 22" xfId="20271"/>
    <cellStyle name="Normal 5 22 2" xfId="37583"/>
    <cellStyle name="Normal 5 23" xfId="20272"/>
    <cellStyle name="Normal 5 23 2" xfId="37584"/>
    <cellStyle name="Normal 5 24" xfId="20273"/>
    <cellStyle name="Normal 5 24 2" xfId="37585"/>
    <cellStyle name="Normal 5 25" xfId="20274"/>
    <cellStyle name="Normal 5 25 2" xfId="37586"/>
    <cellStyle name="Normal 5 26" xfId="20275"/>
    <cellStyle name="Normal 5 26 2" xfId="37587"/>
    <cellStyle name="Normal 5 27" xfId="20276"/>
    <cellStyle name="Normal 5 27 2" xfId="37588"/>
    <cellStyle name="Normal 5 28" xfId="20277"/>
    <cellStyle name="Normal 5 28 2" xfId="37589"/>
    <cellStyle name="Normal 5 29" xfId="20278"/>
    <cellStyle name="Normal 5 29 2" xfId="37590"/>
    <cellStyle name="Normal 5 3" xfId="82"/>
    <cellStyle name="Normal 5 3 2" xfId="585"/>
    <cellStyle name="Normal 5 3 3" xfId="498"/>
    <cellStyle name="Normal 5 3 3 2" xfId="608"/>
    <cellStyle name="Normal 5 3 4" xfId="37681"/>
    <cellStyle name="Normal 5 30" xfId="20279"/>
    <cellStyle name="Normal 5 30 2" xfId="37591"/>
    <cellStyle name="Normal 5 31" xfId="20280"/>
    <cellStyle name="Normal 5 31 2" xfId="37592"/>
    <cellStyle name="Normal 5 32" xfId="20281"/>
    <cellStyle name="Normal 5 32 2" xfId="37593"/>
    <cellStyle name="Normal 5 33" xfId="37679"/>
    <cellStyle name="Normal 5 34" xfId="37580"/>
    <cellStyle name="Normal 5 4" xfId="83"/>
    <cellStyle name="Normal 5 4 2" xfId="20282"/>
    <cellStyle name="Normal 5 4 3" xfId="37682"/>
    <cellStyle name="Normal 5 5" xfId="320"/>
    <cellStyle name="Normal 5 5 2" xfId="20284"/>
    <cellStyle name="Normal 5 5 3" xfId="20283"/>
    <cellStyle name="Normal 5 5 4" xfId="514"/>
    <cellStyle name="Normal 5 6" xfId="20285"/>
    <cellStyle name="Normal 5 7" xfId="20286"/>
    <cellStyle name="Normal 5 8" xfId="20287"/>
    <cellStyle name="Normal 5 9" xfId="20288"/>
    <cellStyle name="Normal 50" xfId="84"/>
    <cellStyle name="Normal 50 2" xfId="238"/>
    <cellStyle name="Normal 51" xfId="85"/>
    <cellStyle name="Normal 51 2" xfId="239"/>
    <cellStyle name="Normal 52" xfId="86"/>
    <cellStyle name="Normal 52 2" xfId="240"/>
    <cellStyle name="Normal 53" xfId="87"/>
    <cellStyle name="Normal 53 2" xfId="241"/>
    <cellStyle name="Normal 54" xfId="88"/>
    <cellStyle name="Normal 54 2" xfId="242"/>
    <cellStyle name="Normal 55" xfId="89"/>
    <cellStyle name="Normal 55 2" xfId="243"/>
    <cellStyle name="Normal 56" xfId="90"/>
    <cellStyle name="Normal 56 2" xfId="244"/>
    <cellStyle name="Normal 57" xfId="91"/>
    <cellStyle name="Normal 57 2" xfId="245"/>
    <cellStyle name="Normal 58" xfId="92"/>
    <cellStyle name="Normal 58 2" xfId="246"/>
    <cellStyle name="Normal 59" xfId="93"/>
    <cellStyle name="Normal 59 2" xfId="247"/>
    <cellStyle name="Normal 6" xfId="94"/>
    <cellStyle name="Normal 6 10" xfId="20289"/>
    <cellStyle name="Normal 6 11" xfId="20290"/>
    <cellStyle name="Normal 6 12" xfId="20291"/>
    <cellStyle name="Normal 6 13" xfId="20292"/>
    <cellStyle name="Normal 6 14" xfId="20293"/>
    <cellStyle name="Normal 6 15" xfId="20294"/>
    <cellStyle name="Normal 6 16" xfId="20295"/>
    <cellStyle name="Normal 6 2" xfId="95"/>
    <cellStyle name="Normal 6 2 10" xfId="20296"/>
    <cellStyle name="Normal 6 2 11" xfId="20297"/>
    <cellStyle name="Normal 6 2 12" xfId="20298"/>
    <cellStyle name="Normal 6 2 13" xfId="20299"/>
    <cellStyle name="Normal 6 2 14" xfId="37683"/>
    <cellStyle name="Normal 6 2 2" xfId="20300"/>
    <cellStyle name="Normal 6 2 2 10" xfId="20301"/>
    <cellStyle name="Normal 6 2 2 2" xfId="20302"/>
    <cellStyle name="Normal 6 2 2 2 2" xfId="20303"/>
    <cellStyle name="Normal 6 2 2 2 3" xfId="20304"/>
    <cellStyle name="Normal 6 2 2 2 4" xfId="20305"/>
    <cellStyle name="Normal 6 2 2 3" xfId="20306"/>
    <cellStyle name="Normal 6 2 2 4" xfId="20307"/>
    <cellStyle name="Normal 6 2 2 5" xfId="20308"/>
    <cellStyle name="Normal 6 2 2 6" xfId="20309"/>
    <cellStyle name="Normal 6 2 2 7" xfId="20310"/>
    <cellStyle name="Normal 6 2 2 8" xfId="20311"/>
    <cellStyle name="Normal 6 2 2 9" xfId="20312"/>
    <cellStyle name="Normal 6 2 3" xfId="20313"/>
    <cellStyle name="Normal 6 2 4" xfId="20314"/>
    <cellStyle name="Normal 6 2 5" xfId="20315"/>
    <cellStyle name="Normal 6 2 6" xfId="20316"/>
    <cellStyle name="Normal 6 2 6 2" xfId="20317"/>
    <cellStyle name="Normal 6 2 6 3" xfId="20318"/>
    <cellStyle name="Normal 6 2 6 4" xfId="20319"/>
    <cellStyle name="Normal 6 2 7" xfId="20320"/>
    <cellStyle name="Normal 6 2 8" xfId="20321"/>
    <cellStyle name="Normal 6 2 9" xfId="20322"/>
    <cellStyle name="Normal 6 3" xfId="96"/>
    <cellStyle name="Normal 6 3 2" xfId="510"/>
    <cellStyle name="Normal 6 3 3" xfId="444"/>
    <cellStyle name="Normal 6 3 3 2" xfId="596"/>
    <cellStyle name="Normal 6 3 4" xfId="37684"/>
    <cellStyle name="Normal 6 4" xfId="311"/>
    <cellStyle name="Normal 6 4 2" xfId="20324"/>
    <cellStyle name="Normal 6 4 3" xfId="20323"/>
    <cellStyle name="Normal 6 5" xfId="20325"/>
    <cellStyle name="Normal 6 5 2" xfId="20326"/>
    <cellStyle name="Normal 6 6" xfId="20327"/>
    <cellStyle name="Normal 6 7" xfId="20328"/>
    <cellStyle name="Normal 6 8" xfId="20329"/>
    <cellStyle name="Normal 6 9" xfId="20330"/>
    <cellStyle name="Normal 60" xfId="97"/>
    <cellStyle name="Normal 60 2" xfId="248"/>
    <cellStyle name="Normal 61" xfId="98"/>
    <cellStyle name="Normal 61 2" xfId="249"/>
    <cellStyle name="Normal 62" xfId="99"/>
    <cellStyle name="Normal 62 2" xfId="250"/>
    <cellStyle name="Normal 63" xfId="100"/>
    <cellStyle name="Normal 63 2" xfId="251"/>
    <cellStyle name="Normal 64" xfId="101"/>
    <cellStyle name="Normal 64 2" xfId="252"/>
    <cellStyle name="Normal 65" xfId="102"/>
    <cellStyle name="Normal 65 2" xfId="253"/>
    <cellStyle name="Normal 66" xfId="103"/>
    <cellStyle name="Normal 66 2" xfId="254"/>
    <cellStyle name="Normal 67" xfId="104"/>
    <cellStyle name="Normal 67 2" xfId="255"/>
    <cellStyle name="Normal 68" xfId="610"/>
    <cellStyle name="Normal 69" xfId="105"/>
    <cellStyle name="Normal 69 2" xfId="256"/>
    <cellStyle name="Normal 7" xfId="106"/>
    <cellStyle name="Normal 7 10" xfId="20331"/>
    <cellStyle name="Normal 7 11" xfId="37685"/>
    <cellStyle name="Normal 7 2" xfId="310"/>
    <cellStyle name="Normal 7 2 2" xfId="20332"/>
    <cellStyle name="Normal 7 2 3" xfId="598"/>
    <cellStyle name="Normal 7 3" xfId="607"/>
    <cellStyle name="Normal 7 3 2" xfId="487"/>
    <cellStyle name="Normal 7 3 3" xfId="606"/>
    <cellStyle name="Normal 7 3 3 2" xfId="443"/>
    <cellStyle name="Normal 7 3 4" xfId="20333"/>
    <cellStyle name="Normal 7 4" xfId="20334"/>
    <cellStyle name="Normal 7 5" xfId="20335"/>
    <cellStyle name="Normal 7 6" xfId="20336"/>
    <cellStyle name="Normal 7 7" xfId="20337"/>
    <cellStyle name="Normal 7 8" xfId="20338"/>
    <cellStyle name="Normal 7 9" xfId="20339"/>
    <cellStyle name="Normal 70" xfId="107"/>
    <cellStyle name="Normal 70 2" xfId="257"/>
    <cellStyle name="Normal 71" xfId="108"/>
    <cellStyle name="Normal 71 2" xfId="258"/>
    <cellStyle name="Normal 72" xfId="109"/>
    <cellStyle name="Normal 72 2" xfId="259"/>
    <cellStyle name="Normal 73" xfId="110"/>
    <cellStyle name="Normal 73 2" xfId="260"/>
    <cellStyle name="Normal 74" xfId="111"/>
    <cellStyle name="Normal 74 2" xfId="261"/>
    <cellStyle name="Normal 75" xfId="112"/>
    <cellStyle name="Normal 75 2" xfId="262"/>
    <cellStyle name="Normal 76" xfId="113"/>
    <cellStyle name="Normal 76 2" xfId="263"/>
    <cellStyle name="Normal 77" xfId="114"/>
    <cellStyle name="Normal 77 2" xfId="264"/>
    <cellStyle name="Normal 78" xfId="115"/>
    <cellStyle name="Normal 78 2" xfId="265"/>
    <cellStyle name="Normal 79" xfId="116"/>
    <cellStyle name="Normal 79 2" xfId="266"/>
    <cellStyle name="Normal 8" xfId="117"/>
    <cellStyle name="Normal 8 10" xfId="20340"/>
    <cellStyle name="Normal 8 11" xfId="20341"/>
    <cellStyle name="Normal 8 12" xfId="20342"/>
    <cellStyle name="Normal 8 13" xfId="20343"/>
    <cellStyle name="Normal 8 14" xfId="20344"/>
    <cellStyle name="Normal 8 15" xfId="20345"/>
    <cellStyle name="Normal 8 16" xfId="20346"/>
    <cellStyle name="Normal 8 17" xfId="37686"/>
    <cellStyle name="Normal 8 2" xfId="442"/>
    <cellStyle name="Normal 8 2 2" xfId="20348"/>
    <cellStyle name="Normal 8 2 3" xfId="20349"/>
    <cellStyle name="Normal 8 2 4" xfId="20350"/>
    <cellStyle name="Normal 8 2 5" xfId="20351"/>
    <cellStyle name="Normal 8 2 6" xfId="20347"/>
    <cellStyle name="Normal 8 3" xfId="508"/>
    <cellStyle name="Normal 8 3 2" xfId="511"/>
    <cellStyle name="Normal 8 3 3" xfId="583"/>
    <cellStyle name="Normal 8 3 3 2" xfId="586"/>
    <cellStyle name="Normal 8 4" xfId="20352"/>
    <cellStyle name="Normal 8 4 2" xfId="20353"/>
    <cellStyle name="Normal 8 5" xfId="20354"/>
    <cellStyle name="Normal 8 5 2" xfId="20355"/>
    <cellStyle name="Normal 8 6" xfId="20356"/>
    <cellStyle name="Normal 8 7" xfId="20357"/>
    <cellStyle name="Normal 8 8" xfId="20358"/>
    <cellStyle name="Normal 8 9" xfId="20359"/>
    <cellStyle name="Normal 80" xfId="118"/>
    <cellStyle name="Normal 80 2" xfId="267"/>
    <cellStyle name="Normal 81" xfId="119"/>
    <cellStyle name="Normal 81 2" xfId="268"/>
    <cellStyle name="Normal 82" xfId="120"/>
    <cellStyle name="Normal 82 2" xfId="269"/>
    <cellStyle name="Normal 83" xfId="121"/>
    <cellStyle name="Normal 83 2" xfId="270"/>
    <cellStyle name="Normal 84" xfId="122"/>
    <cellStyle name="Normal 84 2" xfId="271"/>
    <cellStyle name="Normal 85" xfId="123"/>
    <cellStyle name="Normal 85 2" xfId="272"/>
    <cellStyle name="Normal 86" xfId="124"/>
    <cellStyle name="Normal 86 2" xfId="273"/>
    <cellStyle name="Normal 87" xfId="125"/>
    <cellStyle name="Normal 87 2" xfId="274"/>
    <cellStyle name="Normal 88" xfId="611"/>
    <cellStyle name="Normal 88 2" xfId="20360"/>
    <cellStyle name="Normal 89" xfId="612"/>
    <cellStyle name="Normal 9" xfId="126"/>
    <cellStyle name="Normal 9 10" xfId="20361"/>
    <cellStyle name="Normal 9 11" xfId="20362"/>
    <cellStyle name="Normal 9 12" xfId="20363"/>
    <cellStyle name="Normal 9 13" xfId="20364"/>
    <cellStyle name="Normal 9 14" xfId="20365"/>
    <cellStyle name="Normal 9 15" xfId="20366"/>
    <cellStyle name="Normal 9 16" xfId="20367"/>
    <cellStyle name="Normal 9 17" xfId="20368"/>
    <cellStyle name="Normal 9 18" xfId="20369"/>
    <cellStyle name="Normal 9 19" xfId="37687"/>
    <cellStyle name="Normal 9 2" xfId="127"/>
    <cellStyle name="Normal 9 2 2" xfId="202"/>
    <cellStyle name="Normal 9 2 3" xfId="20370"/>
    <cellStyle name="Normal 9 2 4" xfId="20371"/>
    <cellStyle name="Normal 9 2 5" xfId="20372"/>
    <cellStyle name="Normal 9 2 6" xfId="37594"/>
    <cellStyle name="Normal 9 3" xfId="20373"/>
    <cellStyle name="Normal 9 3 2" xfId="20374"/>
    <cellStyle name="Normal 9 4" xfId="20375"/>
    <cellStyle name="Normal 9 4 2" xfId="20376"/>
    <cellStyle name="Normal 9 5" xfId="20377"/>
    <cellStyle name="Normal 9 5 2" xfId="20378"/>
    <cellStyle name="Normal 9 6" xfId="20379"/>
    <cellStyle name="Normal 9 7" xfId="20380"/>
    <cellStyle name="Normal 9 8" xfId="20381"/>
    <cellStyle name="Normal 9 9" xfId="20382"/>
    <cellStyle name="Normal 90" xfId="613"/>
    <cellStyle name="Normal 91" xfId="614"/>
    <cellStyle name="Normal 92" xfId="615"/>
    <cellStyle name="Normal 93" xfId="616"/>
    <cellStyle name="Normal 94" xfId="660"/>
    <cellStyle name="Normal 95" xfId="664"/>
    <cellStyle name="Normal 96" xfId="665"/>
    <cellStyle name="Normal 97" xfId="666"/>
    <cellStyle name="Normal 98" xfId="670"/>
    <cellStyle name="Normal 99" xfId="21150"/>
    <cellStyle name="Note" xfId="3" builtinId="10" customBuiltin="1"/>
    <cellStyle name="Note 10 2" xfId="20383"/>
    <cellStyle name="Note 10 3" xfId="20384"/>
    <cellStyle name="Note 11 2" xfId="20385"/>
    <cellStyle name="Note 11 3" xfId="20386"/>
    <cellStyle name="Note 12 2" xfId="20387"/>
    <cellStyle name="Note 12 3" xfId="20388"/>
    <cellStyle name="Note 13 2" xfId="20389"/>
    <cellStyle name="Note 13 3" xfId="20390"/>
    <cellStyle name="Note 14 2" xfId="20391"/>
    <cellStyle name="Note 14 3" xfId="20392"/>
    <cellStyle name="Note 15 2" xfId="20393"/>
    <cellStyle name="Note 15 3" xfId="20394"/>
    <cellStyle name="Note 16" xfId="20395"/>
    <cellStyle name="Note 16 2" xfId="20396"/>
    <cellStyle name="Note 16 3" xfId="20397"/>
    <cellStyle name="Note 16 4" xfId="20398"/>
    <cellStyle name="Note 16 5" xfId="20399"/>
    <cellStyle name="Note 16 6" xfId="20400"/>
    <cellStyle name="Note 16 7" xfId="20401"/>
    <cellStyle name="Note 17" xfId="20402"/>
    <cellStyle name="Note 18" xfId="20403"/>
    <cellStyle name="Note 19" xfId="20404"/>
    <cellStyle name="Note 2" xfId="185"/>
    <cellStyle name="Note 2 10" xfId="20406"/>
    <cellStyle name="Note 2 11" xfId="20407"/>
    <cellStyle name="Note 2 11 2" xfId="20408"/>
    <cellStyle name="Note 2 11 2 2" xfId="20409"/>
    <cellStyle name="Note 2 11 2 3" xfId="20410"/>
    <cellStyle name="Note 2 11 2 4" xfId="20411"/>
    <cellStyle name="Note 2 11 2 5" xfId="20412"/>
    <cellStyle name="Note 2 11 2 6" xfId="20413"/>
    <cellStyle name="Note 2 11 2 7" xfId="20414"/>
    <cellStyle name="Note 2 11 3" xfId="20415"/>
    <cellStyle name="Note 2 11 4" xfId="20416"/>
    <cellStyle name="Note 2 11 5" xfId="20417"/>
    <cellStyle name="Note 2 11 6" xfId="20418"/>
    <cellStyle name="Note 2 11 7" xfId="20419"/>
    <cellStyle name="Note 2 12" xfId="20420"/>
    <cellStyle name="Note 2 13" xfId="20421"/>
    <cellStyle name="Note 2 14" xfId="20422"/>
    <cellStyle name="Note 2 15" xfId="20423"/>
    <cellStyle name="Note 2 16" xfId="20424"/>
    <cellStyle name="Note 2 17" xfId="20425"/>
    <cellStyle name="Note 2 18" xfId="20426"/>
    <cellStyle name="Note 2 19" xfId="20427"/>
    <cellStyle name="Note 2 2" xfId="367"/>
    <cellStyle name="Note 2 2 2" xfId="559"/>
    <cellStyle name="Note 2 2 3" xfId="20428"/>
    <cellStyle name="Note 2 20" xfId="20429"/>
    <cellStyle name="Note 2 20 2" xfId="20430"/>
    <cellStyle name="Note 2 20 2 2" xfId="20431"/>
    <cellStyle name="Note 2 20 2 3" xfId="20432"/>
    <cellStyle name="Note 2 20 3" xfId="20433"/>
    <cellStyle name="Note 2 20 4" xfId="20434"/>
    <cellStyle name="Note 2 21" xfId="20435"/>
    <cellStyle name="Note 2 22" xfId="20436"/>
    <cellStyle name="Note 2 23" xfId="20437"/>
    <cellStyle name="Note 2 23 2" xfId="20438"/>
    <cellStyle name="Note 2 23 3" xfId="20439"/>
    <cellStyle name="Note 2 24" xfId="20440"/>
    <cellStyle name="Note 2 24 2" xfId="20441"/>
    <cellStyle name="Note 2 24 3" xfId="20442"/>
    <cellStyle name="Note 2 25" xfId="20443"/>
    <cellStyle name="Note 2 25 2" xfId="20444"/>
    <cellStyle name="Note 2 25 3" xfId="20445"/>
    <cellStyle name="Note 2 26" xfId="20446"/>
    <cellStyle name="Note 2 26 2" xfId="20447"/>
    <cellStyle name="Note 2 26 3" xfId="20448"/>
    <cellStyle name="Note 2 27" xfId="20449"/>
    <cellStyle name="Note 2 28" xfId="20450"/>
    <cellStyle name="Note 2 29" xfId="20451"/>
    <cellStyle name="Note 2 3" xfId="470"/>
    <cellStyle name="Note 2 3 2" xfId="20452"/>
    <cellStyle name="Note 2 30" xfId="20453"/>
    <cellStyle name="Note 2 31" xfId="20405"/>
    <cellStyle name="Note 2 32" xfId="37688"/>
    <cellStyle name="Note 2 4" xfId="20454"/>
    <cellStyle name="Note 2 5" xfId="20455"/>
    <cellStyle name="Note 2 6" xfId="20456"/>
    <cellStyle name="Note 2 7" xfId="20457"/>
    <cellStyle name="Note 2 8" xfId="20458"/>
    <cellStyle name="Note 2 8 10" xfId="20459"/>
    <cellStyle name="Note 2 8 11" xfId="20460"/>
    <cellStyle name="Note 2 8 2" xfId="20461"/>
    <cellStyle name="Note 2 8 2 2" xfId="20462"/>
    <cellStyle name="Note 2 8 2 3" xfId="20463"/>
    <cellStyle name="Note 2 8 2 4" xfId="20464"/>
    <cellStyle name="Note 2 8 2 5" xfId="20465"/>
    <cellStyle name="Note 2 8 2 6" xfId="20466"/>
    <cellStyle name="Note 2 8 2 7" xfId="20467"/>
    <cellStyle name="Note 2 8 2 8" xfId="20468"/>
    <cellStyle name="Note 2 8 2 9" xfId="20469"/>
    <cellStyle name="Note 2 8 3" xfId="20470"/>
    <cellStyle name="Note 2 8 4" xfId="20471"/>
    <cellStyle name="Note 2 8 5" xfId="20472"/>
    <cellStyle name="Note 2 8 5 2" xfId="20473"/>
    <cellStyle name="Note 2 8 5 3" xfId="20474"/>
    <cellStyle name="Note 2 8 6" xfId="20475"/>
    <cellStyle name="Note 2 8 6 2" xfId="20476"/>
    <cellStyle name="Note 2 8 6 3" xfId="20477"/>
    <cellStyle name="Note 2 8 7" xfId="20478"/>
    <cellStyle name="Note 2 8 7 2" xfId="20479"/>
    <cellStyle name="Note 2 8 7 3" xfId="20480"/>
    <cellStyle name="Note 2 8 8" xfId="20481"/>
    <cellStyle name="Note 2 8 8 2" xfId="20482"/>
    <cellStyle name="Note 2 8 8 3" xfId="20483"/>
    <cellStyle name="Note 2 8 9" xfId="20484"/>
    <cellStyle name="Note 2 8 9 2" xfId="20485"/>
    <cellStyle name="Note 2 8 9 3" xfId="20486"/>
    <cellStyle name="Note 2 9" xfId="20487"/>
    <cellStyle name="Note 20" xfId="20488"/>
    <cellStyle name="Note 21" xfId="20489"/>
    <cellStyle name="Note 22" xfId="20490"/>
    <cellStyle name="Note 23" xfId="20491"/>
    <cellStyle name="Note 24" xfId="20492"/>
    <cellStyle name="Note 25" xfId="20493"/>
    <cellStyle name="Note 3" xfId="331"/>
    <cellStyle name="Note 3 2" xfId="465"/>
    <cellStyle name="Note 3 2 2" xfId="20495"/>
    <cellStyle name="Note 3 3" xfId="20496"/>
    <cellStyle name="Note 3 4" xfId="20497"/>
    <cellStyle name="Note 3 5" xfId="20498"/>
    <cellStyle name="Note 3 6" xfId="20499"/>
    <cellStyle name="Note 3 7" xfId="20500"/>
    <cellStyle name="Note 3 8" xfId="20494"/>
    <cellStyle name="Note 4" xfId="333"/>
    <cellStyle name="Note 4 2" xfId="523"/>
    <cellStyle name="Note 4 2 2" xfId="20502"/>
    <cellStyle name="Note 4 3" xfId="20503"/>
    <cellStyle name="Note 4 4" xfId="20501"/>
    <cellStyle name="Note 4 5" xfId="37689"/>
    <cellStyle name="Note 5" xfId="353"/>
    <cellStyle name="Note 5 2" xfId="543"/>
    <cellStyle name="Note 5 2 2" xfId="20504"/>
    <cellStyle name="Note 5 3" xfId="20505"/>
    <cellStyle name="Note 6" xfId="403"/>
    <cellStyle name="Note 6 2" xfId="20506"/>
    <cellStyle name="Note 6 3" xfId="20507"/>
    <cellStyle name="Note 7 2" xfId="20508"/>
    <cellStyle name="Note 7 3" xfId="20509"/>
    <cellStyle name="Note 8 2" xfId="20510"/>
    <cellStyle name="Note 8 3" xfId="20511"/>
    <cellStyle name="Note 9 2" xfId="20512"/>
    <cellStyle name="Note 9 3" xfId="20513"/>
    <cellStyle name="Output" xfId="145" builtinId="21" customBuiltin="1"/>
    <cellStyle name="Output 10 2" xfId="20514"/>
    <cellStyle name="Output 10 3" xfId="20515"/>
    <cellStyle name="Output 11 2" xfId="20516"/>
    <cellStyle name="Output 11 3" xfId="20517"/>
    <cellStyle name="Output 12 2" xfId="20518"/>
    <cellStyle name="Output 12 3" xfId="20519"/>
    <cellStyle name="Output 13 2" xfId="20520"/>
    <cellStyle name="Output 13 3" xfId="20521"/>
    <cellStyle name="Output 14 2" xfId="20522"/>
    <cellStyle name="Output 14 3" xfId="20523"/>
    <cellStyle name="Output 15" xfId="20524"/>
    <cellStyle name="Output 15 2" xfId="20525"/>
    <cellStyle name="Output 15 3" xfId="20526"/>
    <cellStyle name="Output 15 4" xfId="20527"/>
    <cellStyle name="Output 15 5" xfId="20528"/>
    <cellStyle name="Output 15 6" xfId="20529"/>
    <cellStyle name="Output 15 7" xfId="20530"/>
    <cellStyle name="Output 16" xfId="20531"/>
    <cellStyle name="Output 17" xfId="20532"/>
    <cellStyle name="Output 18" xfId="20533"/>
    <cellStyle name="Output 19" xfId="20534"/>
    <cellStyle name="Output 2" xfId="398"/>
    <cellStyle name="Output 2 2" xfId="488"/>
    <cellStyle name="Output 2 2 2" xfId="20535"/>
    <cellStyle name="Output 2 3" xfId="20536"/>
    <cellStyle name="Output 20" xfId="20537"/>
    <cellStyle name="Output 21" xfId="20538"/>
    <cellStyle name="Output 22" xfId="20539"/>
    <cellStyle name="Output 3" xfId="656"/>
    <cellStyle name="Output 3 2" xfId="20540"/>
    <cellStyle name="Output 3 3" xfId="20541"/>
    <cellStyle name="Output 4 2" xfId="20542"/>
    <cellStyle name="Output 4 3" xfId="20543"/>
    <cellStyle name="Output 5 2" xfId="20544"/>
    <cellStyle name="Output 5 3" xfId="20545"/>
    <cellStyle name="Output 6 2" xfId="20546"/>
    <cellStyle name="Output 6 3" xfId="20547"/>
    <cellStyle name="Output 7 2" xfId="20548"/>
    <cellStyle name="Output 7 3" xfId="20549"/>
    <cellStyle name="Output 8 2" xfId="20550"/>
    <cellStyle name="Output 8 3" xfId="20551"/>
    <cellStyle name="Output 9 2" xfId="20552"/>
    <cellStyle name="Output 9 3" xfId="20553"/>
    <cellStyle name="Percent" xfId="6" builtinId="5"/>
    <cellStyle name="Percent 10" xfId="200"/>
    <cellStyle name="Percent 10 10" xfId="20555"/>
    <cellStyle name="Percent 10 11" xfId="20556"/>
    <cellStyle name="Percent 10 12" xfId="20554"/>
    <cellStyle name="Percent 10 2" xfId="385"/>
    <cellStyle name="Percent 10 2 2" xfId="577"/>
    <cellStyle name="Percent 10 2 2 2" xfId="20558"/>
    <cellStyle name="Percent 10 2 3" xfId="20559"/>
    <cellStyle name="Percent 10 2 4" xfId="20560"/>
    <cellStyle name="Percent 10 2 5" xfId="20561"/>
    <cellStyle name="Percent 10 2 6" xfId="20557"/>
    <cellStyle name="Percent 10 3" xfId="492"/>
    <cellStyle name="Percent 10 3 2" xfId="20562"/>
    <cellStyle name="Percent 10 4" xfId="20563"/>
    <cellStyle name="Percent 10 5" xfId="20564"/>
    <cellStyle name="Percent 10 6" xfId="20565"/>
    <cellStyle name="Percent 10 7" xfId="20566"/>
    <cellStyle name="Percent 10 8" xfId="20567"/>
    <cellStyle name="Percent 10 9" xfId="20568"/>
    <cellStyle name="Percent 11" xfId="181"/>
    <cellStyle name="Percent 11 2" xfId="294"/>
    <cellStyle name="Percent 12" xfId="350"/>
    <cellStyle name="Percent 12 2" xfId="540"/>
    <cellStyle name="Percent 12 2 2" xfId="20570"/>
    <cellStyle name="Percent 12 3" xfId="20569"/>
    <cellStyle name="Percent 13" xfId="431"/>
    <cellStyle name="Percent 13 2" xfId="588"/>
    <cellStyle name="Percent 13 2 2" xfId="20572"/>
    <cellStyle name="Percent 13 3" xfId="20571"/>
    <cellStyle name="Percent 14" xfId="435"/>
    <cellStyle name="Percent 14 2" xfId="593"/>
    <cellStyle name="Percent 14 2 2" xfId="20574"/>
    <cellStyle name="Percent 14 3" xfId="20573"/>
    <cellStyle name="Percent 15" xfId="657"/>
    <cellStyle name="Percent 15 2" xfId="20576"/>
    <cellStyle name="Percent 15 3" xfId="20575"/>
    <cellStyle name="Percent 16" xfId="661"/>
    <cellStyle name="Percent 16 2" xfId="20578"/>
    <cellStyle name="Percent 16 3" xfId="20577"/>
    <cellStyle name="Percent 17" xfId="667"/>
    <cellStyle name="Percent 17 2" xfId="20580"/>
    <cellStyle name="Percent 17 3" xfId="20579"/>
    <cellStyle name="Percent 18" xfId="20581"/>
    <cellStyle name="Percent 18 2" xfId="20582"/>
    <cellStyle name="Percent 19" xfId="20583"/>
    <cellStyle name="Percent 19 2" xfId="20584"/>
    <cellStyle name="Percent 2" xfId="128"/>
    <cellStyle name="Percent 2 10" xfId="20585"/>
    <cellStyle name="Percent 2 11" xfId="20586"/>
    <cellStyle name="Percent 2 12" xfId="20587"/>
    <cellStyle name="Percent 2 13" xfId="20588"/>
    <cellStyle name="Percent 2 14" xfId="20589"/>
    <cellStyle name="Percent 2 15" xfId="20590"/>
    <cellStyle name="Percent 2 16" xfId="20591"/>
    <cellStyle name="Percent 2 17" xfId="20592"/>
    <cellStyle name="Percent 2 18" xfId="20593"/>
    <cellStyle name="Percent 2 19" xfId="20594"/>
    <cellStyle name="Percent 2 2" xfId="275"/>
    <cellStyle name="Percent 2 2 10" xfId="20595"/>
    <cellStyle name="Percent 2 2 10 2" xfId="20596"/>
    <cellStyle name="Percent 2 2 10 3" xfId="20597"/>
    <cellStyle name="Percent 2 2 11" xfId="20598"/>
    <cellStyle name="Percent 2 2 11 2" xfId="20599"/>
    <cellStyle name="Percent 2 2 11 3" xfId="20600"/>
    <cellStyle name="Percent 2 2 12" xfId="20601"/>
    <cellStyle name="Percent 2 2 12 2" xfId="20602"/>
    <cellStyle name="Percent 2 2 12 3" xfId="20603"/>
    <cellStyle name="Percent 2 2 13" xfId="20604"/>
    <cellStyle name="Percent 2 2 13 2" xfId="20605"/>
    <cellStyle name="Percent 2 2 13 3" xfId="20606"/>
    <cellStyle name="Percent 2 2 14" xfId="20607"/>
    <cellStyle name="Percent 2 2 14 2" xfId="20608"/>
    <cellStyle name="Percent 2 2 14 3" xfId="20609"/>
    <cellStyle name="Percent 2 2 15" xfId="20610"/>
    <cellStyle name="Percent 2 2 16" xfId="20611"/>
    <cellStyle name="Percent 2 2 17" xfId="20612"/>
    <cellStyle name="Percent 2 2 18" xfId="20613"/>
    <cellStyle name="Percent 2 2 19" xfId="20614"/>
    <cellStyle name="Percent 2 2 2" xfId="20615"/>
    <cellStyle name="Percent 2 2 2 10" xfId="20616"/>
    <cellStyle name="Percent 2 2 2 2" xfId="20617"/>
    <cellStyle name="Percent 2 2 2 3" xfId="20618"/>
    <cellStyle name="Percent 2 2 2 4" xfId="20619"/>
    <cellStyle name="Percent 2 2 2 5" xfId="20620"/>
    <cellStyle name="Percent 2 2 2 6" xfId="20621"/>
    <cellStyle name="Percent 2 2 2 7" xfId="20622"/>
    <cellStyle name="Percent 2 2 2 8" xfId="20623"/>
    <cellStyle name="Percent 2 2 2 9" xfId="20624"/>
    <cellStyle name="Percent 2 2 20" xfId="20625"/>
    <cellStyle name="Percent 2 2 21" xfId="20626"/>
    <cellStyle name="Percent 2 2 3" xfId="20627"/>
    <cellStyle name="Percent 2 2 3 2" xfId="20628"/>
    <cellStyle name="Percent 2 2 3 3" xfId="20629"/>
    <cellStyle name="Percent 2 2 4" xfId="20630"/>
    <cellStyle name="Percent 2 2 4 2" xfId="20631"/>
    <cellStyle name="Percent 2 2 4 3" xfId="20632"/>
    <cellStyle name="Percent 2 2 5" xfId="20633"/>
    <cellStyle name="Percent 2 2 5 2" xfId="20634"/>
    <cellStyle name="Percent 2 2 5 3" xfId="20635"/>
    <cellStyle name="Percent 2 2 6" xfId="20636"/>
    <cellStyle name="Percent 2 2 6 2" xfId="20637"/>
    <cellStyle name="Percent 2 2 6 3" xfId="20638"/>
    <cellStyle name="Percent 2 2 7" xfId="20639"/>
    <cellStyle name="Percent 2 2 7 2" xfId="20640"/>
    <cellStyle name="Percent 2 2 7 3" xfId="20641"/>
    <cellStyle name="Percent 2 2 8" xfId="20642"/>
    <cellStyle name="Percent 2 2 8 2" xfId="20643"/>
    <cellStyle name="Percent 2 2 8 3" xfId="20644"/>
    <cellStyle name="Percent 2 2 9" xfId="20645"/>
    <cellStyle name="Percent 2 2 9 2" xfId="20646"/>
    <cellStyle name="Percent 2 2 9 3" xfId="20647"/>
    <cellStyle name="Percent 2 20" xfId="20648"/>
    <cellStyle name="Percent 2 21" xfId="20649"/>
    <cellStyle name="Percent 2 22" xfId="20650"/>
    <cellStyle name="Percent 2 23" xfId="20651"/>
    <cellStyle name="Percent 2 24" xfId="20652"/>
    <cellStyle name="Percent 2 25" xfId="20653"/>
    <cellStyle name="Percent 2 26" xfId="20654"/>
    <cellStyle name="Percent 2 3" xfId="454"/>
    <cellStyle name="Percent 2 3 10" xfId="20656"/>
    <cellStyle name="Percent 2 3 11" xfId="20655"/>
    <cellStyle name="Percent 2 3 2" xfId="20657"/>
    <cellStyle name="Percent 2 3 3" xfId="20658"/>
    <cellStyle name="Percent 2 3 4" xfId="20659"/>
    <cellStyle name="Percent 2 3 5" xfId="20660"/>
    <cellStyle name="Percent 2 3 6" xfId="20661"/>
    <cellStyle name="Percent 2 3 7" xfId="20662"/>
    <cellStyle name="Percent 2 3 8" xfId="20663"/>
    <cellStyle name="Percent 2 3 9" xfId="20664"/>
    <cellStyle name="Percent 2 4" xfId="20665"/>
    <cellStyle name="Percent 2 4 10" xfId="20666"/>
    <cellStyle name="Percent 2 4 2" xfId="20667"/>
    <cellStyle name="Percent 2 4 3" xfId="20668"/>
    <cellStyle name="Percent 2 4 4" xfId="20669"/>
    <cellStyle name="Percent 2 4 5" xfId="20670"/>
    <cellStyle name="Percent 2 4 6" xfId="20671"/>
    <cellStyle name="Percent 2 4 7" xfId="20672"/>
    <cellStyle name="Percent 2 4 8" xfId="20673"/>
    <cellStyle name="Percent 2 4 9" xfId="20674"/>
    <cellStyle name="Percent 2 5" xfId="20675"/>
    <cellStyle name="Percent 2 5 10" xfId="20676"/>
    <cellStyle name="Percent 2 5 2" xfId="20677"/>
    <cellStyle name="Percent 2 5 3" xfId="20678"/>
    <cellStyle name="Percent 2 5 4" xfId="20679"/>
    <cellStyle name="Percent 2 5 5" xfId="20680"/>
    <cellStyle name="Percent 2 5 6" xfId="20681"/>
    <cellStyle name="Percent 2 5 7" xfId="20682"/>
    <cellStyle name="Percent 2 5 8" xfId="20683"/>
    <cellStyle name="Percent 2 5 9" xfId="20684"/>
    <cellStyle name="Percent 2 6" xfId="20685"/>
    <cellStyle name="Percent 2 6 10" xfId="20686"/>
    <cellStyle name="Percent 2 6 2" xfId="20687"/>
    <cellStyle name="Percent 2 6 3" xfId="20688"/>
    <cellStyle name="Percent 2 6 4" xfId="20689"/>
    <cellStyle name="Percent 2 6 5" xfId="20690"/>
    <cellStyle name="Percent 2 6 6" xfId="20691"/>
    <cellStyle name="Percent 2 6 7" xfId="20692"/>
    <cellStyle name="Percent 2 6 8" xfId="20693"/>
    <cellStyle name="Percent 2 6 9" xfId="20694"/>
    <cellStyle name="Percent 2 7" xfId="20695"/>
    <cellStyle name="Percent 2 8" xfId="20696"/>
    <cellStyle name="Percent 2 9" xfId="20697"/>
    <cellStyle name="Percent 20" xfId="20698"/>
    <cellStyle name="Percent 20 2" xfId="20699"/>
    <cellStyle name="Percent 21" xfId="20700"/>
    <cellStyle name="Percent 21 2" xfId="20701"/>
    <cellStyle name="Percent 22" xfId="20702"/>
    <cellStyle name="Percent 22 2" xfId="20703"/>
    <cellStyle name="Percent 23" xfId="20704"/>
    <cellStyle name="Percent 24" xfId="20705"/>
    <cellStyle name="Percent 25" xfId="20706"/>
    <cellStyle name="Percent 26" xfId="20707"/>
    <cellStyle name="Percent 27" xfId="20708"/>
    <cellStyle name="Percent 28" xfId="20709"/>
    <cellStyle name="Percent 29" xfId="20710"/>
    <cellStyle name="Percent 3" xfId="129"/>
    <cellStyle name="Percent 3 2" xfId="276"/>
    <cellStyle name="Percent 3 3" xfId="287"/>
    <cellStyle name="Percent 3 3 2" xfId="501"/>
    <cellStyle name="Percent 3 3 3" xfId="20711"/>
    <cellStyle name="Percent 3 4" xfId="315"/>
    <cellStyle name="Percent 3 4 2" xfId="20712"/>
    <cellStyle name="Percent 3 5" xfId="20713"/>
    <cellStyle name="Percent 30" xfId="20714"/>
    <cellStyle name="Percent 31" xfId="20715"/>
    <cellStyle name="Percent 32" xfId="20716"/>
    <cellStyle name="Percent 33" xfId="20717"/>
    <cellStyle name="Percent 34" xfId="20718"/>
    <cellStyle name="Percent 35" xfId="20719"/>
    <cellStyle name="Percent 36" xfId="20720"/>
    <cellStyle name="Percent 37" xfId="20721"/>
    <cellStyle name="Percent 38" xfId="20722"/>
    <cellStyle name="Percent 39" xfId="20723"/>
    <cellStyle name="Percent 39 2" xfId="20724"/>
    <cellStyle name="Percent 39 2 2" xfId="20725"/>
    <cellStyle name="Percent 39 3" xfId="20726"/>
    <cellStyle name="Percent 39 3 2" xfId="20727"/>
    <cellStyle name="Percent 39 4" xfId="20728"/>
    <cellStyle name="Percent 39 4 2" xfId="20729"/>
    <cellStyle name="Percent 39 5" xfId="20730"/>
    <cellStyle name="Percent 39 5 2" xfId="20731"/>
    <cellStyle name="Percent 39 6" xfId="20732"/>
    <cellStyle name="Percent 39 6 2" xfId="20733"/>
    <cellStyle name="Percent 39 7" xfId="20734"/>
    <cellStyle name="Percent 39 7 2" xfId="20735"/>
    <cellStyle name="Percent 39 8" xfId="20736"/>
    <cellStyle name="Percent 4" xfId="130"/>
    <cellStyle name="Percent 4 10" xfId="20737"/>
    <cellStyle name="Percent 4 11" xfId="20738"/>
    <cellStyle name="Percent 4 12" xfId="20739"/>
    <cellStyle name="Percent 4 13" xfId="20740"/>
    <cellStyle name="Percent 4 2" xfId="277"/>
    <cellStyle name="Percent 4 2 10" xfId="20742"/>
    <cellStyle name="Percent 4 2 2" xfId="20743"/>
    <cellStyle name="Percent 4 2 2 2" xfId="20744"/>
    <cellStyle name="Percent 4 2 2 3" xfId="20745"/>
    <cellStyle name="Percent 4 2 2 4" xfId="20746"/>
    <cellStyle name="Percent 4 2 3" xfId="20747"/>
    <cellStyle name="Percent 4 2 4" xfId="20748"/>
    <cellStyle name="Percent 4 2 5" xfId="20749"/>
    <cellStyle name="Percent 4 2 6" xfId="20750"/>
    <cellStyle name="Percent 4 2 7" xfId="20751"/>
    <cellStyle name="Percent 4 2 8" xfId="20752"/>
    <cellStyle name="Percent 4 2 9" xfId="20753"/>
    <cellStyle name="Percent 4 3" xfId="288"/>
    <cellStyle name="Percent 4 3 2" xfId="20754"/>
    <cellStyle name="Percent 4 4" xfId="20755"/>
    <cellStyle name="Percent 4 5" xfId="20756"/>
    <cellStyle name="Percent 4 6" xfId="20757"/>
    <cellStyle name="Percent 4 6 2" xfId="20758"/>
    <cellStyle name="Percent 4 6 3" xfId="20759"/>
    <cellStyle name="Percent 4 6 4" xfId="20760"/>
    <cellStyle name="Percent 4 7" xfId="20761"/>
    <cellStyle name="Percent 4 8" xfId="20762"/>
    <cellStyle name="Percent 4 9" xfId="20763"/>
    <cellStyle name="Percent 40" xfId="20764"/>
    <cellStyle name="Percent 40 2" xfId="20765"/>
    <cellStyle name="Percent 40 2 2" xfId="20766"/>
    <cellStyle name="Percent 40 3" xfId="20767"/>
    <cellStyle name="Percent 40 3 2" xfId="20768"/>
    <cellStyle name="Percent 40 4" xfId="20769"/>
    <cellStyle name="Percent 40 4 2" xfId="20770"/>
    <cellStyle name="Percent 40 5" xfId="20771"/>
    <cellStyle name="Percent 40 5 2" xfId="20772"/>
    <cellStyle name="Percent 40 6" xfId="20773"/>
    <cellStyle name="Percent 40 6 2" xfId="20774"/>
    <cellStyle name="Percent 40 7" xfId="20775"/>
    <cellStyle name="Percent 40 7 2" xfId="20776"/>
    <cellStyle name="Percent 40 8" xfId="20777"/>
    <cellStyle name="Percent 41" xfId="20778"/>
    <cellStyle name="Percent 41 2" xfId="20779"/>
    <cellStyle name="Percent 42" xfId="20780"/>
    <cellStyle name="Percent 42 2" xfId="20781"/>
    <cellStyle name="Percent 42 2 2" xfId="20782"/>
    <cellStyle name="Percent 42 3" xfId="20783"/>
    <cellStyle name="Percent 42 3 2" xfId="20784"/>
    <cellStyle name="Percent 42 4" xfId="20785"/>
    <cellStyle name="Percent 42 4 2" xfId="20786"/>
    <cellStyle name="Percent 42 5" xfId="20787"/>
    <cellStyle name="Percent 42 5 2" xfId="20788"/>
    <cellStyle name="Percent 42 6" xfId="20789"/>
    <cellStyle name="Percent 42 6 2" xfId="20790"/>
    <cellStyle name="Percent 42 7" xfId="20791"/>
    <cellStyle name="Percent 42 7 2" xfId="20792"/>
    <cellStyle name="Percent 42 8" xfId="20793"/>
    <cellStyle name="Percent 43" xfId="20794"/>
    <cellStyle name="Percent 43 10" xfId="20795"/>
    <cellStyle name="Percent 43 2" xfId="20796"/>
    <cellStyle name="Percent 43 3" xfId="20797"/>
    <cellStyle name="Percent 43 4" xfId="20798"/>
    <cellStyle name="Percent 43 5" xfId="20799"/>
    <cellStyle name="Percent 43 6" xfId="20800"/>
    <cellStyle name="Percent 43 7" xfId="20801"/>
    <cellStyle name="Percent 43 8" xfId="20802"/>
    <cellStyle name="Percent 43 9" xfId="20803"/>
    <cellStyle name="Percent 44" xfId="20804"/>
    <cellStyle name="Percent 44 10" xfId="20805"/>
    <cellStyle name="Percent 44 2" xfId="20806"/>
    <cellStyle name="Percent 44 3" xfId="20807"/>
    <cellStyle name="Percent 44 4" xfId="20808"/>
    <cellStyle name="Percent 44 5" xfId="20809"/>
    <cellStyle name="Percent 44 6" xfId="20810"/>
    <cellStyle name="Percent 44 7" xfId="20811"/>
    <cellStyle name="Percent 44 8" xfId="20812"/>
    <cellStyle name="Percent 44 9" xfId="20813"/>
    <cellStyle name="Percent 45" xfId="20814"/>
    <cellStyle name="Percent 45 10" xfId="20815"/>
    <cellStyle name="Percent 45 2" xfId="20816"/>
    <cellStyle name="Percent 45 3" xfId="20817"/>
    <cellStyle name="Percent 45 4" xfId="20818"/>
    <cellStyle name="Percent 45 5" xfId="20819"/>
    <cellStyle name="Percent 45 6" xfId="20820"/>
    <cellStyle name="Percent 45 7" xfId="20821"/>
    <cellStyle name="Percent 45 8" xfId="20822"/>
    <cellStyle name="Percent 45 9" xfId="20823"/>
    <cellStyle name="Percent 46" xfId="20824"/>
    <cellStyle name="Percent 46 10" xfId="20825"/>
    <cellStyle name="Percent 46 2" xfId="20826"/>
    <cellStyle name="Percent 46 3" xfId="20827"/>
    <cellStyle name="Percent 46 4" xfId="20828"/>
    <cellStyle name="Percent 46 5" xfId="20829"/>
    <cellStyle name="Percent 46 6" xfId="20830"/>
    <cellStyle name="Percent 46 7" xfId="20831"/>
    <cellStyle name="Percent 46 8" xfId="20832"/>
    <cellStyle name="Percent 46 9" xfId="20833"/>
    <cellStyle name="Percent 47" xfId="20834"/>
    <cellStyle name="Percent 47 10" xfId="20835"/>
    <cellStyle name="Percent 47 2" xfId="20836"/>
    <cellStyle name="Percent 47 3" xfId="20837"/>
    <cellStyle name="Percent 47 4" xfId="20838"/>
    <cellStyle name="Percent 47 5" xfId="20839"/>
    <cellStyle name="Percent 47 6" xfId="20840"/>
    <cellStyle name="Percent 47 7" xfId="20841"/>
    <cellStyle name="Percent 47 8" xfId="20842"/>
    <cellStyle name="Percent 47 9" xfId="20843"/>
    <cellStyle name="Percent 48" xfId="20844"/>
    <cellStyle name="Percent 48 10" xfId="20845"/>
    <cellStyle name="Percent 48 2" xfId="20846"/>
    <cellStyle name="Percent 48 3" xfId="20847"/>
    <cellStyle name="Percent 48 4" xfId="20848"/>
    <cellStyle name="Percent 48 5" xfId="20849"/>
    <cellStyle name="Percent 48 6" xfId="20850"/>
    <cellStyle name="Percent 48 7" xfId="20851"/>
    <cellStyle name="Percent 48 8" xfId="20852"/>
    <cellStyle name="Percent 48 9" xfId="20853"/>
    <cellStyle name="Percent 49" xfId="673"/>
    <cellStyle name="Percent 5" xfId="131"/>
    <cellStyle name="Percent 5 2" xfId="278"/>
    <cellStyle name="Percent 5 3" xfId="20854"/>
    <cellStyle name="Percent 5 4" xfId="20855"/>
    <cellStyle name="Percent 5 5" xfId="20856"/>
    <cellStyle name="Percent 5 6" xfId="37597"/>
    <cellStyle name="Percent 50" xfId="328"/>
    <cellStyle name="Percent 50 2" xfId="21155"/>
    <cellStyle name="Percent 51 2" xfId="20857"/>
    <cellStyle name="Percent 51 3" xfId="20858"/>
    <cellStyle name="Percent 51 4" xfId="20859"/>
    <cellStyle name="Percent 52 2" xfId="20860"/>
    <cellStyle name="Percent 52 3" xfId="20861"/>
    <cellStyle name="Percent 52 4" xfId="20862"/>
    <cellStyle name="Percent 52 5" xfId="20863"/>
    <cellStyle name="Percent 52 6" xfId="20864"/>
    <cellStyle name="Percent 52 7" xfId="20865"/>
    <cellStyle name="Percent 52 8" xfId="20866"/>
    <cellStyle name="Percent 55 2" xfId="20867"/>
    <cellStyle name="Percent 55 3" xfId="20868"/>
    <cellStyle name="Percent 57 2" xfId="20869"/>
    <cellStyle name="Percent 57 2 2" xfId="20870"/>
    <cellStyle name="Percent 57 2 3" xfId="20871"/>
    <cellStyle name="Percent 57 3" xfId="20872"/>
    <cellStyle name="Percent 57 4" xfId="20873"/>
    <cellStyle name="Percent 58 2" xfId="20874"/>
    <cellStyle name="Percent 58 3" xfId="20875"/>
    <cellStyle name="Percent 59 2" xfId="20876"/>
    <cellStyle name="Percent 59 3" xfId="20877"/>
    <cellStyle name="Percent 6" xfId="132"/>
    <cellStyle name="Percent 6 2" xfId="279"/>
    <cellStyle name="Percent 6 3" xfId="20878"/>
    <cellStyle name="Percent 6 4" xfId="20879"/>
    <cellStyle name="Percent 6 5" xfId="20880"/>
    <cellStyle name="Percent 6 6" xfId="37598"/>
    <cellStyle name="Percent 60 2" xfId="20881"/>
    <cellStyle name="Percent 60 3" xfId="20882"/>
    <cellStyle name="Percent 61 2" xfId="20883"/>
    <cellStyle name="Percent 61 3" xfId="20884"/>
    <cellStyle name="Percent 62" xfId="20885"/>
    <cellStyle name="Percent 64" xfId="20886"/>
    <cellStyle name="Percent 68" xfId="20887"/>
    <cellStyle name="Percent 7" xfId="133"/>
    <cellStyle name="Percent 7 10" xfId="20888"/>
    <cellStyle name="Percent 7 11" xfId="20889"/>
    <cellStyle name="Percent 7 12" xfId="37690"/>
    <cellStyle name="Percent 7 13" xfId="37599"/>
    <cellStyle name="Percent 7 2" xfId="306"/>
    <cellStyle name="Percent 7 2 10" xfId="20890"/>
    <cellStyle name="Percent 7 2 2" xfId="20891"/>
    <cellStyle name="Percent 7 2 3" xfId="20892"/>
    <cellStyle name="Percent 7 2 4" xfId="20893"/>
    <cellStyle name="Percent 7 2 5" xfId="20894"/>
    <cellStyle name="Percent 7 2 6" xfId="20895"/>
    <cellStyle name="Percent 7 2 7" xfId="20896"/>
    <cellStyle name="Percent 7 2 8" xfId="20897"/>
    <cellStyle name="Percent 7 2 9" xfId="20898"/>
    <cellStyle name="Percent 7 3" xfId="20899"/>
    <cellStyle name="Percent 7 3 10" xfId="20900"/>
    <cellStyle name="Percent 7 3 2" xfId="20901"/>
    <cellStyle name="Percent 7 3 3" xfId="20902"/>
    <cellStyle name="Percent 7 3 4" xfId="20903"/>
    <cellStyle name="Percent 7 3 5" xfId="20904"/>
    <cellStyle name="Percent 7 3 6" xfId="20905"/>
    <cellStyle name="Percent 7 3 7" xfId="20906"/>
    <cellStyle name="Percent 7 3 8" xfId="20907"/>
    <cellStyle name="Percent 7 3 9" xfId="20908"/>
    <cellStyle name="Percent 7 4" xfId="20909"/>
    <cellStyle name="Percent 7 4 10" xfId="20910"/>
    <cellStyle name="Percent 7 4 2" xfId="20911"/>
    <cellStyle name="Percent 7 4 3" xfId="20912"/>
    <cellStyle name="Percent 7 4 4" xfId="20913"/>
    <cellStyle name="Percent 7 4 5" xfId="20914"/>
    <cellStyle name="Percent 7 4 6" xfId="20915"/>
    <cellStyle name="Percent 7 4 7" xfId="20916"/>
    <cellStyle name="Percent 7 4 8" xfId="20917"/>
    <cellStyle name="Percent 7 4 9" xfId="20918"/>
    <cellStyle name="Percent 7 5" xfId="20919"/>
    <cellStyle name="Percent 7 5 10" xfId="20920"/>
    <cellStyle name="Percent 7 5 2" xfId="20921"/>
    <cellStyle name="Percent 7 5 3" xfId="20922"/>
    <cellStyle name="Percent 7 5 4" xfId="20923"/>
    <cellStyle name="Percent 7 5 5" xfId="20924"/>
    <cellStyle name="Percent 7 5 6" xfId="20925"/>
    <cellStyle name="Percent 7 5 7" xfId="20926"/>
    <cellStyle name="Percent 7 5 8" xfId="20927"/>
    <cellStyle name="Percent 7 5 9" xfId="20928"/>
    <cellStyle name="Percent 7 6" xfId="20929"/>
    <cellStyle name="Percent 7 6 10" xfId="20930"/>
    <cellStyle name="Percent 7 6 2" xfId="20931"/>
    <cellStyle name="Percent 7 6 3" xfId="20932"/>
    <cellStyle name="Percent 7 6 4" xfId="20933"/>
    <cellStyle name="Percent 7 6 5" xfId="20934"/>
    <cellStyle name="Percent 7 6 6" xfId="20935"/>
    <cellStyle name="Percent 7 6 7" xfId="20936"/>
    <cellStyle name="Percent 7 6 8" xfId="20937"/>
    <cellStyle name="Percent 7 6 9" xfId="20938"/>
    <cellStyle name="Percent 7 7" xfId="20939"/>
    <cellStyle name="Percent 7 7 10" xfId="20940"/>
    <cellStyle name="Percent 7 7 2" xfId="20941"/>
    <cellStyle name="Percent 7 7 3" xfId="20942"/>
    <cellStyle name="Percent 7 7 4" xfId="20943"/>
    <cellStyle name="Percent 7 7 5" xfId="20944"/>
    <cellStyle name="Percent 7 7 6" xfId="20945"/>
    <cellStyle name="Percent 7 7 7" xfId="20946"/>
    <cellStyle name="Percent 7 7 8" xfId="20947"/>
    <cellStyle name="Percent 7 7 9" xfId="20948"/>
    <cellStyle name="Percent 7 8" xfId="20949"/>
    <cellStyle name="Percent 7 9" xfId="20950"/>
    <cellStyle name="Percent 8" xfId="134"/>
    <cellStyle name="Percent 8 10" xfId="20951"/>
    <cellStyle name="Percent 8 11" xfId="20952"/>
    <cellStyle name="Percent 8 2" xfId="280"/>
    <cellStyle name="Percent 8 2 10" xfId="20953"/>
    <cellStyle name="Percent 8 2 2" xfId="20954"/>
    <cellStyle name="Percent 8 2 3" xfId="20955"/>
    <cellStyle name="Percent 8 2 4" xfId="20956"/>
    <cellStyle name="Percent 8 2 5" xfId="20957"/>
    <cellStyle name="Percent 8 2 6" xfId="20958"/>
    <cellStyle name="Percent 8 2 7" xfId="20959"/>
    <cellStyle name="Percent 8 2 8" xfId="20960"/>
    <cellStyle name="Percent 8 2 9" xfId="20961"/>
    <cellStyle name="Percent 8 3" xfId="20962"/>
    <cellStyle name="Percent 8 3 10" xfId="20963"/>
    <cellStyle name="Percent 8 3 2" xfId="20964"/>
    <cellStyle name="Percent 8 3 3" xfId="20965"/>
    <cellStyle name="Percent 8 3 4" xfId="20966"/>
    <cellStyle name="Percent 8 3 5" xfId="20967"/>
    <cellStyle name="Percent 8 3 6" xfId="20968"/>
    <cellStyle name="Percent 8 3 7" xfId="20969"/>
    <cellStyle name="Percent 8 3 8" xfId="20970"/>
    <cellStyle name="Percent 8 3 9" xfId="20971"/>
    <cellStyle name="Percent 8 4" xfId="20972"/>
    <cellStyle name="Percent 8 4 10" xfId="20973"/>
    <cellStyle name="Percent 8 4 2" xfId="20974"/>
    <cellStyle name="Percent 8 4 3" xfId="20975"/>
    <cellStyle name="Percent 8 4 4" xfId="20976"/>
    <cellStyle name="Percent 8 4 5" xfId="20977"/>
    <cellStyle name="Percent 8 4 6" xfId="20978"/>
    <cellStyle name="Percent 8 4 7" xfId="20979"/>
    <cellStyle name="Percent 8 4 8" xfId="20980"/>
    <cellStyle name="Percent 8 4 9" xfId="20981"/>
    <cellStyle name="Percent 8 5" xfId="20982"/>
    <cellStyle name="Percent 8 5 10" xfId="20983"/>
    <cellStyle name="Percent 8 5 2" xfId="20984"/>
    <cellStyle name="Percent 8 5 3" xfId="20985"/>
    <cellStyle name="Percent 8 5 4" xfId="20986"/>
    <cellStyle name="Percent 8 5 5" xfId="20987"/>
    <cellStyle name="Percent 8 5 6" xfId="20988"/>
    <cellStyle name="Percent 8 5 7" xfId="20989"/>
    <cellStyle name="Percent 8 5 8" xfId="20990"/>
    <cellStyle name="Percent 8 5 9" xfId="20991"/>
    <cellStyle name="Percent 8 6" xfId="20992"/>
    <cellStyle name="Percent 8 6 10" xfId="20993"/>
    <cellStyle name="Percent 8 6 2" xfId="20994"/>
    <cellStyle name="Percent 8 6 3" xfId="20995"/>
    <cellStyle name="Percent 8 6 4" xfId="20996"/>
    <cellStyle name="Percent 8 6 5" xfId="20997"/>
    <cellStyle name="Percent 8 6 6" xfId="20998"/>
    <cellStyle name="Percent 8 6 7" xfId="20999"/>
    <cellStyle name="Percent 8 6 8" xfId="21000"/>
    <cellStyle name="Percent 8 6 9" xfId="21001"/>
    <cellStyle name="Percent 8 7" xfId="21002"/>
    <cellStyle name="Percent 8 7 10" xfId="21003"/>
    <cellStyle name="Percent 8 7 2" xfId="21004"/>
    <cellStyle name="Percent 8 7 3" xfId="21005"/>
    <cellStyle name="Percent 8 7 4" xfId="21006"/>
    <cellStyle name="Percent 8 7 5" xfId="21007"/>
    <cellStyle name="Percent 8 7 6" xfId="21008"/>
    <cellStyle name="Percent 8 7 7" xfId="21009"/>
    <cellStyle name="Percent 8 7 8" xfId="21010"/>
    <cellStyle name="Percent 8 7 9" xfId="21011"/>
    <cellStyle name="Percent 8 8" xfId="21012"/>
    <cellStyle name="Percent 8 9" xfId="21013"/>
    <cellStyle name="Percent 9" xfId="135"/>
    <cellStyle name="Percent 9 2" xfId="21014"/>
    <cellStyle name="Percent 9 3" xfId="21015"/>
    <cellStyle name="Percent 9 4" xfId="21016"/>
    <cellStyle name="Percent 9 5" xfId="21017"/>
    <cellStyle name="Title" xfId="137" builtinId="15" customBuiltin="1"/>
    <cellStyle name="Title 10 2" xfId="21018"/>
    <cellStyle name="Title 10 3" xfId="21019"/>
    <cellStyle name="Title 11 2" xfId="21020"/>
    <cellStyle name="Title 11 3" xfId="21021"/>
    <cellStyle name="Title 12 2" xfId="21022"/>
    <cellStyle name="Title 12 3" xfId="21023"/>
    <cellStyle name="Title 13 2" xfId="21024"/>
    <cellStyle name="Title 13 3" xfId="21025"/>
    <cellStyle name="Title 14 2" xfId="21026"/>
    <cellStyle name="Title 14 3" xfId="21027"/>
    <cellStyle name="Title 15" xfId="21028"/>
    <cellStyle name="Title 15 2" xfId="21029"/>
    <cellStyle name="Title 15 3" xfId="21030"/>
    <cellStyle name="Title 15 4" xfId="21031"/>
    <cellStyle name="Title 15 5" xfId="21032"/>
    <cellStyle name="Title 15 6" xfId="21033"/>
    <cellStyle name="Title 15 7" xfId="21034"/>
    <cellStyle name="Title 16" xfId="21035"/>
    <cellStyle name="Title 17" xfId="21036"/>
    <cellStyle name="Title 18" xfId="21037"/>
    <cellStyle name="Title 19" xfId="21038"/>
    <cellStyle name="Title 2" xfId="21039"/>
    <cellStyle name="Title 2 10" xfId="21040"/>
    <cellStyle name="Title 2 2" xfId="21041"/>
    <cellStyle name="Title 2 3" xfId="21042"/>
    <cellStyle name="Title 2 4" xfId="21043"/>
    <cellStyle name="Title 2 5" xfId="21044"/>
    <cellStyle name="Title 2 6" xfId="21045"/>
    <cellStyle name="Title 2 7" xfId="21046"/>
    <cellStyle name="Title 2 8" xfId="21047"/>
    <cellStyle name="Title 2 9" xfId="21048"/>
    <cellStyle name="Title 20" xfId="21049"/>
    <cellStyle name="Title 21" xfId="21050"/>
    <cellStyle name="Title 22" xfId="21051"/>
    <cellStyle name="Title 3 2" xfId="21052"/>
    <cellStyle name="Title 3 3" xfId="21053"/>
    <cellStyle name="Title 4 2" xfId="21054"/>
    <cellStyle name="Title 4 3" xfId="21055"/>
    <cellStyle name="Title 5 2" xfId="21056"/>
    <cellStyle name="Title 5 3" xfId="21057"/>
    <cellStyle name="Title 6 2" xfId="21058"/>
    <cellStyle name="Title 6 3" xfId="21059"/>
    <cellStyle name="Title 7 2" xfId="21060"/>
    <cellStyle name="Title 7 3" xfId="21061"/>
    <cellStyle name="Title 8 2" xfId="21062"/>
    <cellStyle name="Title 8 3" xfId="21063"/>
    <cellStyle name="Title 9 2" xfId="21064"/>
    <cellStyle name="Title 9 3" xfId="21065"/>
    <cellStyle name="Total" xfId="150" builtinId="25" customBuiltin="1"/>
    <cellStyle name="Total 10 2" xfId="21066"/>
    <cellStyle name="Total 10 3" xfId="21067"/>
    <cellStyle name="Total 11 2" xfId="21068"/>
    <cellStyle name="Total 11 3" xfId="21069"/>
    <cellStyle name="Total 12 2" xfId="21070"/>
    <cellStyle name="Total 12 3" xfId="21071"/>
    <cellStyle name="Total 13 2" xfId="21072"/>
    <cellStyle name="Total 13 3" xfId="21073"/>
    <cellStyle name="Total 14 2" xfId="21074"/>
    <cellStyle name="Total 14 3" xfId="21075"/>
    <cellStyle name="Total 15" xfId="21076"/>
    <cellStyle name="Total 15 2" xfId="21077"/>
    <cellStyle name="Total 15 3" xfId="21078"/>
    <cellStyle name="Total 15 4" xfId="21079"/>
    <cellStyle name="Total 15 5" xfId="21080"/>
    <cellStyle name="Total 15 6" xfId="21081"/>
    <cellStyle name="Total 15 7" xfId="21082"/>
    <cellStyle name="Total 16" xfId="21083"/>
    <cellStyle name="Total 17" xfId="21084"/>
    <cellStyle name="Total 18" xfId="21085"/>
    <cellStyle name="Total 19" xfId="21086"/>
    <cellStyle name="Total 2" xfId="405"/>
    <cellStyle name="Total 2 2" xfId="513"/>
    <cellStyle name="Total 2 2 2" xfId="21087"/>
    <cellStyle name="Total 2 3" xfId="21088"/>
    <cellStyle name="Total 20" xfId="21089"/>
    <cellStyle name="Total 21" xfId="21090"/>
    <cellStyle name="Total 22" xfId="21091"/>
    <cellStyle name="Total 3" xfId="658"/>
    <cellStyle name="Total 3 2" xfId="21092"/>
    <cellStyle name="Total 3 3" xfId="21093"/>
    <cellStyle name="Total 4 2" xfId="21094"/>
    <cellStyle name="Total 4 3" xfId="21095"/>
    <cellStyle name="Total 5 2" xfId="21096"/>
    <cellStyle name="Total 5 3" xfId="21097"/>
    <cellStyle name="Total 6 2" xfId="21098"/>
    <cellStyle name="Total 6 3" xfId="21099"/>
    <cellStyle name="Total 7 2" xfId="21100"/>
    <cellStyle name="Total 7 3" xfId="21101"/>
    <cellStyle name="Total 8 2" xfId="21102"/>
    <cellStyle name="Total 8 3" xfId="21103"/>
    <cellStyle name="Total 9 2" xfId="21104"/>
    <cellStyle name="Total 9 3" xfId="21105"/>
    <cellStyle name="Warning Text" xfId="148" builtinId="11" customBuiltin="1"/>
    <cellStyle name="Warning Text 10 2" xfId="21106"/>
    <cellStyle name="Warning Text 10 3" xfId="21107"/>
    <cellStyle name="Warning Text 11 2" xfId="21108"/>
    <cellStyle name="Warning Text 11 3" xfId="21109"/>
    <cellStyle name="Warning Text 12 2" xfId="21110"/>
    <cellStyle name="Warning Text 12 3" xfId="21111"/>
    <cellStyle name="Warning Text 13 2" xfId="21112"/>
    <cellStyle name="Warning Text 13 3" xfId="21113"/>
    <cellStyle name="Warning Text 14 2" xfId="21114"/>
    <cellStyle name="Warning Text 14 3" xfId="21115"/>
    <cellStyle name="Warning Text 15" xfId="21116"/>
    <cellStyle name="Warning Text 15 2" xfId="21117"/>
    <cellStyle name="Warning Text 15 3" xfId="21118"/>
    <cellStyle name="Warning Text 15 4" xfId="21119"/>
    <cellStyle name="Warning Text 15 5" xfId="21120"/>
    <cellStyle name="Warning Text 15 6" xfId="21121"/>
    <cellStyle name="Warning Text 15 7" xfId="21122"/>
    <cellStyle name="Warning Text 16" xfId="21123"/>
    <cellStyle name="Warning Text 17" xfId="21124"/>
    <cellStyle name="Warning Text 18" xfId="21125"/>
    <cellStyle name="Warning Text 19" xfId="21126"/>
    <cellStyle name="Warning Text 2" xfId="402"/>
    <cellStyle name="Warning Text 2 2" xfId="496"/>
    <cellStyle name="Warning Text 2 2 2" xfId="21127"/>
    <cellStyle name="Warning Text 2 3" xfId="21128"/>
    <cellStyle name="Warning Text 20" xfId="21129"/>
    <cellStyle name="Warning Text 21" xfId="21130"/>
    <cellStyle name="Warning Text 22" xfId="21131"/>
    <cellStyle name="Warning Text 3" xfId="659"/>
    <cellStyle name="Warning Text 3 2" xfId="21132"/>
    <cellStyle name="Warning Text 3 3" xfId="21133"/>
    <cellStyle name="Warning Text 4 2" xfId="21134"/>
    <cellStyle name="Warning Text 4 3" xfId="21135"/>
    <cellStyle name="Warning Text 5 2" xfId="21136"/>
    <cellStyle name="Warning Text 5 3" xfId="21137"/>
    <cellStyle name="Warning Text 6 2" xfId="21138"/>
    <cellStyle name="Warning Text 6 3" xfId="21139"/>
    <cellStyle name="Warning Text 7 2" xfId="21140"/>
    <cellStyle name="Warning Text 7 3" xfId="21141"/>
    <cellStyle name="Warning Text 8 2" xfId="21142"/>
    <cellStyle name="Warning Text 8 3" xfId="21143"/>
    <cellStyle name="Warning Text 9 2" xfId="21144"/>
    <cellStyle name="Warning Text 9 3" xfId="21145"/>
  </cellStyles>
  <dxfs count="0"/>
  <tableStyles count="0" defaultTableStyle="TableStyleMedium2" defaultPivotStyle="PivotStyleLight16"/>
  <colors>
    <mruColors>
      <color rgb="FFC028AE"/>
      <color rgb="FFFFFFCC"/>
      <color rgb="FF007A37"/>
      <color rgb="FF0000FF"/>
      <color rgb="FFF7C5BB"/>
      <color rgb="FFFFCC99"/>
      <color rgb="FFBDFFBD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7.xml"/><Relationship Id="rId117" Type="http://schemas.openxmlformats.org/officeDocument/2006/relationships/externalLink" Target="externalLinks/externalLink108.xml"/><Relationship Id="rId21" Type="http://schemas.openxmlformats.org/officeDocument/2006/relationships/externalLink" Target="externalLinks/externalLink12.xml"/><Relationship Id="rId42" Type="http://schemas.openxmlformats.org/officeDocument/2006/relationships/externalLink" Target="externalLinks/externalLink33.xml"/><Relationship Id="rId47" Type="http://schemas.openxmlformats.org/officeDocument/2006/relationships/externalLink" Target="externalLinks/externalLink38.xml"/><Relationship Id="rId63" Type="http://schemas.openxmlformats.org/officeDocument/2006/relationships/externalLink" Target="externalLinks/externalLink54.xml"/><Relationship Id="rId68" Type="http://schemas.openxmlformats.org/officeDocument/2006/relationships/externalLink" Target="externalLinks/externalLink59.xml"/><Relationship Id="rId84" Type="http://schemas.openxmlformats.org/officeDocument/2006/relationships/externalLink" Target="externalLinks/externalLink75.xml"/><Relationship Id="rId89" Type="http://schemas.openxmlformats.org/officeDocument/2006/relationships/externalLink" Target="externalLinks/externalLink80.xml"/><Relationship Id="rId112" Type="http://schemas.openxmlformats.org/officeDocument/2006/relationships/externalLink" Target="externalLinks/externalLink103.xml"/><Relationship Id="rId16" Type="http://schemas.openxmlformats.org/officeDocument/2006/relationships/externalLink" Target="externalLinks/externalLink7.xml"/><Relationship Id="rId107" Type="http://schemas.openxmlformats.org/officeDocument/2006/relationships/externalLink" Target="externalLinks/externalLink98.xml"/><Relationship Id="rId11" Type="http://schemas.openxmlformats.org/officeDocument/2006/relationships/externalLink" Target="externalLinks/externalLink2.xml"/><Relationship Id="rId32" Type="http://schemas.openxmlformats.org/officeDocument/2006/relationships/externalLink" Target="externalLinks/externalLink23.xml"/><Relationship Id="rId37" Type="http://schemas.openxmlformats.org/officeDocument/2006/relationships/externalLink" Target="externalLinks/externalLink28.xml"/><Relationship Id="rId53" Type="http://schemas.openxmlformats.org/officeDocument/2006/relationships/externalLink" Target="externalLinks/externalLink44.xml"/><Relationship Id="rId58" Type="http://schemas.openxmlformats.org/officeDocument/2006/relationships/externalLink" Target="externalLinks/externalLink49.xml"/><Relationship Id="rId74" Type="http://schemas.openxmlformats.org/officeDocument/2006/relationships/externalLink" Target="externalLinks/externalLink65.xml"/><Relationship Id="rId79" Type="http://schemas.openxmlformats.org/officeDocument/2006/relationships/externalLink" Target="externalLinks/externalLink70.xml"/><Relationship Id="rId102" Type="http://schemas.openxmlformats.org/officeDocument/2006/relationships/externalLink" Target="externalLinks/externalLink93.xml"/><Relationship Id="rId123" Type="http://schemas.openxmlformats.org/officeDocument/2006/relationships/externalLink" Target="externalLinks/externalLink114.xml"/><Relationship Id="rId12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81.xml"/><Relationship Id="rId95" Type="http://schemas.openxmlformats.org/officeDocument/2006/relationships/externalLink" Target="externalLinks/externalLink86.xml"/><Relationship Id="rId19" Type="http://schemas.openxmlformats.org/officeDocument/2006/relationships/externalLink" Target="externalLinks/externalLink10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8.xml"/><Relationship Id="rId30" Type="http://schemas.openxmlformats.org/officeDocument/2006/relationships/externalLink" Target="externalLinks/externalLink21.xml"/><Relationship Id="rId35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34.xml"/><Relationship Id="rId48" Type="http://schemas.openxmlformats.org/officeDocument/2006/relationships/externalLink" Target="externalLinks/externalLink39.xml"/><Relationship Id="rId56" Type="http://schemas.openxmlformats.org/officeDocument/2006/relationships/externalLink" Target="externalLinks/externalLink47.xml"/><Relationship Id="rId64" Type="http://schemas.openxmlformats.org/officeDocument/2006/relationships/externalLink" Target="externalLinks/externalLink55.xml"/><Relationship Id="rId69" Type="http://schemas.openxmlformats.org/officeDocument/2006/relationships/externalLink" Target="externalLinks/externalLink60.xml"/><Relationship Id="rId77" Type="http://schemas.openxmlformats.org/officeDocument/2006/relationships/externalLink" Target="externalLinks/externalLink68.xml"/><Relationship Id="rId100" Type="http://schemas.openxmlformats.org/officeDocument/2006/relationships/externalLink" Target="externalLinks/externalLink91.xml"/><Relationship Id="rId105" Type="http://schemas.openxmlformats.org/officeDocument/2006/relationships/externalLink" Target="externalLinks/externalLink96.xml"/><Relationship Id="rId113" Type="http://schemas.openxmlformats.org/officeDocument/2006/relationships/externalLink" Target="externalLinks/externalLink104.xml"/><Relationship Id="rId118" Type="http://schemas.openxmlformats.org/officeDocument/2006/relationships/externalLink" Target="externalLinks/externalLink109.xml"/><Relationship Id="rId12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2.xml"/><Relationship Id="rId72" Type="http://schemas.openxmlformats.org/officeDocument/2006/relationships/externalLink" Target="externalLinks/externalLink63.xml"/><Relationship Id="rId80" Type="http://schemas.openxmlformats.org/officeDocument/2006/relationships/externalLink" Target="externalLinks/externalLink71.xml"/><Relationship Id="rId85" Type="http://schemas.openxmlformats.org/officeDocument/2006/relationships/externalLink" Target="externalLinks/externalLink76.xml"/><Relationship Id="rId93" Type="http://schemas.openxmlformats.org/officeDocument/2006/relationships/externalLink" Target="externalLinks/externalLink84.xml"/><Relationship Id="rId98" Type="http://schemas.openxmlformats.org/officeDocument/2006/relationships/externalLink" Target="externalLinks/externalLink89.xml"/><Relationship Id="rId121" Type="http://schemas.openxmlformats.org/officeDocument/2006/relationships/externalLink" Target="externalLinks/externalLink112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24.xml"/><Relationship Id="rId38" Type="http://schemas.openxmlformats.org/officeDocument/2006/relationships/externalLink" Target="externalLinks/externalLink29.xml"/><Relationship Id="rId46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0.xml"/><Relationship Id="rId67" Type="http://schemas.openxmlformats.org/officeDocument/2006/relationships/externalLink" Target="externalLinks/externalLink58.xml"/><Relationship Id="rId103" Type="http://schemas.openxmlformats.org/officeDocument/2006/relationships/externalLink" Target="externalLinks/externalLink94.xml"/><Relationship Id="rId108" Type="http://schemas.openxmlformats.org/officeDocument/2006/relationships/externalLink" Target="externalLinks/externalLink99.xml"/><Relationship Id="rId116" Type="http://schemas.openxmlformats.org/officeDocument/2006/relationships/externalLink" Target="externalLinks/externalLink107.xml"/><Relationship Id="rId124" Type="http://schemas.openxmlformats.org/officeDocument/2006/relationships/externalLink" Target="externalLinks/externalLink115.xml"/><Relationship Id="rId129" Type="http://schemas.openxmlformats.org/officeDocument/2006/relationships/calcChain" Target="calcChain.xml"/><Relationship Id="rId20" Type="http://schemas.openxmlformats.org/officeDocument/2006/relationships/externalLink" Target="externalLinks/externalLink11.xml"/><Relationship Id="rId41" Type="http://schemas.openxmlformats.org/officeDocument/2006/relationships/externalLink" Target="externalLinks/externalLink32.xml"/><Relationship Id="rId54" Type="http://schemas.openxmlformats.org/officeDocument/2006/relationships/externalLink" Target="externalLinks/externalLink45.xml"/><Relationship Id="rId62" Type="http://schemas.openxmlformats.org/officeDocument/2006/relationships/externalLink" Target="externalLinks/externalLink53.xml"/><Relationship Id="rId70" Type="http://schemas.openxmlformats.org/officeDocument/2006/relationships/externalLink" Target="externalLinks/externalLink61.xml"/><Relationship Id="rId75" Type="http://schemas.openxmlformats.org/officeDocument/2006/relationships/externalLink" Target="externalLinks/externalLink66.xml"/><Relationship Id="rId83" Type="http://schemas.openxmlformats.org/officeDocument/2006/relationships/externalLink" Target="externalLinks/externalLink74.xml"/><Relationship Id="rId88" Type="http://schemas.openxmlformats.org/officeDocument/2006/relationships/externalLink" Target="externalLinks/externalLink79.xml"/><Relationship Id="rId91" Type="http://schemas.openxmlformats.org/officeDocument/2006/relationships/externalLink" Target="externalLinks/externalLink82.xml"/><Relationship Id="rId96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02.xml"/><Relationship Id="rId13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externalLink" Target="externalLinks/externalLink19.xml"/><Relationship Id="rId36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0.xml"/><Relationship Id="rId57" Type="http://schemas.openxmlformats.org/officeDocument/2006/relationships/externalLink" Target="externalLinks/externalLink48.xml"/><Relationship Id="rId106" Type="http://schemas.openxmlformats.org/officeDocument/2006/relationships/externalLink" Target="externalLinks/externalLink97.xml"/><Relationship Id="rId114" Type="http://schemas.openxmlformats.org/officeDocument/2006/relationships/externalLink" Target="externalLinks/externalLink105.xml"/><Relationship Id="rId119" Type="http://schemas.openxmlformats.org/officeDocument/2006/relationships/externalLink" Target="externalLinks/externalLink110.xml"/><Relationship Id="rId127" Type="http://schemas.openxmlformats.org/officeDocument/2006/relationships/styles" Target="styles.xml"/><Relationship Id="rId10" Type="http://schemas.openxmlformats.org/officeDocument/2006/relationships/externalLink" Target="externalLinks/externalLink1.xml"/><Relationship Id="rId31" Type="http://schemas.openxmlformats.org/officeDocument/2006/relationships/externalLink" Target="externalLinks/externalLink22.xml"/><Relationship Id="rId44" Type="http://schemas.openxmlformats.org/officeDocument/2006/relationships/externalLink" Target="externalLinks/externalLink35.xml"/><Relationship Id="rId52" Type="http://schemas.openxmlformats.org/officeDocument/2006/relationships/externalLink" Target="externalLinks/externalLink43.xml"/><Relationship Id="rId60" Type="http://schemas.openxmlformats.org/officeDocument/2006/relationships/externalLink" Target="externalLinks/externalLink51.xml"/><Relationship Id="rId65" Type="http://schemas.openxmlformats.org/officeDocument/2006/relationships/externalLink" Target="externalLinks/externalLink56.xml"/><Relationship Id="rId73" Type="http://schemas.openxmlformats.org/officeDocument/2006/relationships/externalLink" Target="externalLinks/externalLink64.xml"/><Relationship Id="rId78" Type="http://schemas.openxmlformats.org/officeDocument/2006/relationships/externalLink" Target="externalLinks/externalLink69.xml"/><Relationship Id="rId81" Type="http://schemas.openxmlformats.org/officeDocument/2006/relationships/externalLink" Target="externalLinks/externalLink72.xml"/><Relationship Id="rId86" Type="http://schemas.openxmlformats.org/officeDocument/2006/relationships/externalLink" Target="externalLinks/externalLink77.xml"/><Relationship Id="rId94" Type="http://schemas.openxmlformats.org/officeDocument/2006/relationships/externalLink" Target="externalLinks/externalLink85.xml"/><Relationship Id="rId99" Type="http://schemas.openxmlformats.org/officeDocument/2006/relationships/externalLink" Target="externalLinks/externalLink90.xml"/><Relationship Id="rId101" Type="http://schemas.openxmlformats.org/officeDocument/2006/relationships/externalLink" Target="externalLinks/externalLink92.xml"/><Relationship Id="rId122" Type="http://schemas.openxmlformats.org/officeDocument/2006/relationships/externalLink" Target="externalLinks/externalLink113.xml"/><Relationship Id="rId13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9" Type="http://schemas.openxmlformats.org/officeDocument/2006/relationships/externalLink" Target="externalLinks/externalLink30.xml"/><Relationship Id="rId109" Type="http://schemas.openxmlformats.org/officeDocument/2006/relationships/externalLink" Target="externalLinks/externalLink100.xml"/><Relationship Id="rId34" Type="http://schemas.openxmlformats.org/officeDocument/2006/relationships/externalLink" Target="externalLinks/externalLink25.xml"/><Relationship Id="rId50" Type="http://schemas.openxmlformats.org/officeDocument/2006/relationships/externalLink" Target="externalLinks/externalLink41.xml"/><Relationship Id="rId55" Type="http://schemas.openxmlformats.org/officeDocument/2006/relationships/externalLink" Target="externalLinks/externalLink46.xml"/><Relationship Id="rId76" Type="http://schemas.openxmlformats.org/officeDocument/2006/relationships/externalLink" Target="externalLinks/externalLink67.xml"/><Relationship Id="rId97" Type="http://schemas.openxmlformats.org/officeDocument/2006/relationships/externalLink" Target="externalLinks/externalLink88.xml"/><Relationship Id="rId104" Type="http://schemas.openxmlformats.org/officeDocument/2006/relationships/externalLink" Target="externalLinks/externalLink95.xml"/><Relationship Id="rId120" Type="http://schemas.openxmlformats.org/officeDocument/2006/relationships/externalLink" Target="externalLinks/externalLink111.xml"/><Relationship Id="rId125" Type="http://schemas.openxmlformats.org/officeDocument/2006/relationships/externalLink" Target="externalLinks/externalLink116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2.xml"/><Relationship Id="rId92" Type="http://schemas.openxmlformats.org/officeDocument/2006/relationships/externalLink" Target="externalLinks/externalLink83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0.xml"/><Relationship Id="rId24" Type="http://schemas.openxmlformats.org/officeDocument/2006/relationships/externalLink" Target="externalLinks/externalLink15.xml"/><Relationship Id="rId40" Type="http://schemas.openxmlformats.org/officeDocument/2006/relationships/externalLink" Target="externalLinks/externalLink31.xml"/><Relationship Id="rId45" Type="http://schemas.openxmlformats.org/officeDocument/2006/relationships/externalLink" Target="externalLinks/externalLink36.xml"/><Relationship Id="rId66" Type="http://schemas.openxmlformats.org/officeDocument/2006/relationships/externalLink" Target="externalLinks/externalLink57.xml"/><Relationship Id="rId87" Type="http://schemas.openxmlformats.org/officeDocument/2006/relationships/externalLink" Target="externalLinks/externalLink78.xml"/><Relationship Id="rId110" Type="http://schemas.openxmlformats.org/officeDocument/2006/relationships/externalLink" Target="externalLinks/externalLink101.xml"/><Relationship Id="rId115" Type="http://schemas.openxmlformats.org/officeDocument/2006/relationships/externalLink" Target="externalLinks/externalLink106.xml"/><Relationship Id="rId131" Type="http://schemas.openxmlformats.org/officeDocument/2006/relationships/customXml" Target="../customXml/item2.xml"/><Relationship Id="rId61" Type="http://schemas.openxmlformats.org/officeDocument/2006/relationships/externalLink" Target="externalLinks/externalLink52.xml"/><Relationship Id="rId82" Type="http://schemas.openxmlformats.org/officeDocument/2006/relationships/externalLink" Target="externalLinks/externalLink7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0</xdr:colOff>
      <xdr:row>16</xdr:row>
      <xdr:rowOff>0</xdr:rowOff>
    </xdr:from>
    <xdr:to>
      <xdr:col>45</xdr:col>
      <xdr:colOff>166466</xdr:colOff>
      <xdr:row>38</xdr:row>
      <xdr:rowOff>65574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289375" y="2990850"/>
          <a:ext cx="17436972" cy="43232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402166</xdr:colOff>
      <xdr:row>15</xdr:row>
      <xdr:rowOff>105833</xdr:rowOff>
    </xdr:from>
    <xdr:to>
      <xdr:col>7</xdr:col>
      <xdr:colOff>419690</xdr:colOff>
      <xdr:row>24</xdr:row>
      <xdr:rowOff>48476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45466" y="2906183"/>
          <a:ext cx="3722749" cy="1657143"/>
        </a:xfrm>
        <a:prstGeom prst="rect">
          <a:avLst/>
        </a:prstGeom>
      </xdr:spPr>
    </xdr:pic>
    <xdr:clientData/>
  </xdr:twoCellAnchor>
  <xdr:twoCellAnchor editAs="oneCell">
    <xdr:from>
      <xdr:col>48</xdr:col>
      <xdr:colOff>0</xdr:colOff>
      <xdr:row>15</xdr:row>
      <xdr:rowOff>0</xdr:rowOff>
    </xdr:from>
    <xdr:to>
      <xdr:col>66</xdr:col>
      <xdr:colOff>525054</xdr:colOff>
      <xdr:row>37</xdr:row>
      <xdr:rowOff>132809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796325" y="2800350"/>
          <a:ext cx="17396631" cy="432380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4230\2000welf\othsys\boutinp\PCCsProvisions200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userhome\All%20Projects\Ameren\RATECASE\IP%20Schedules\Other%20Schedules%20-%20CIP,UE%20and%20CILCO\CILCO%20MFRs-Revised%20For%20Deficencies%20-%20March%202006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adams\My%20Documents\Ameren\2006%20DST%20Filings\IP%20MFRs\IP%20MFRs_100305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NBNW301\VOL5\STAFF\jdm\misc\2001%202Q\MERGER2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1\DATA1\Share\nVision\Pedistr\Balance%20Sheet\2001-8\10200-Balance%20Sheet-Aug-2001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MCLSTR2_VOL3_SERVER\VOL3\COMP_PLN\Annual%20Incentive\2002%20AIP\AIP%20and%20Merit%20Planning%20for%20band%207%20and%20above%20Enterprises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q95075\Local%20Settings\Temporary%20Internet%20Files\OLK4F\DOCUME~1\madams\LOCALS~1\Temp\notesFFF692\Gas%20%20ROR%2012-31-03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q95075\Local%20Settings\Temporary%20Internet%20Files\OLK4F\DOCUME~1\madams\LOCALS~1\Temp\notesFFF692\Gas%20Blankets%20by%20Acct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ANCE\Larm\Closed%20Dockets\2007\07-0585%20through%200590%20Ameren%20Rate%20Cases\Capital%20Structure%20Workpapers\2007%20IP%20Cost%20of%20Capital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NBNW301\VOL5\STAFF\jdm\KMH\Merge\FERC%20Filing\FERC%20stmts2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ANCE\Larm\09-0306%20through%200311%20AIU%20Rate%20Cases\2009%20IP%20Cost%20of%20Capital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c3msfs01\lc3nwclstr1_vol16\TEMP\6-09-02SAMPLE%20EXTRAPOLATIO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notes758E9C\AMS%20A&amp;G%20Expense%20Analysis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q95075\Local%20Settings\Temporary%20Internet%20Files\OLK4F\DOCUME~1\madams\LOCALS~1\Temp\notesFFF692\2004%20Expenditures%20from%20PwrPlant%20Jan-Apr2004%20R5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userhome\DST%202005\ASP\ASP%201302%20-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Business%20Pricing%20&amp;%20Costing\PSG\DLM%20Rate%20Case.WACC%20Base.Mar%2030%2004.DLM.v24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74639\07\RET\(751)%20BU%20Allocations\5.%202007%20BU%20Allocation%20Percentages\Allocation%20of%20Forecasted%20Pension%20Costs%202007-2016%20-%20With%20Assets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EED\BusinessOps\EED%20Business%20Ops%20(Working)\MFR\Apr%202005%20Financial%20Reporting\EED%20Apr%202005%20Support%20Deck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Rider%20EEIC%20(MEEIA)\MEEIA%20rate%20filings\Nov%202021%20filing\workpapers\CPA4%20-%20MEEIA%20Rider%20Calcs%20November%202021%20-%20Support.xlsx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Rider%20EEIC%20(MEEIA)\MEEIA%20rate%20filings\Nov%202021%20filing\workpapers\CPA2%20-%20MEEIA%20Rider%20Calcs%20November%202021-%20rates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LL%20Gas%20Rate%20Case%202006\MFRs\IP\IP%20MFRs_REVISED%20FOR%20DEFICIENCIES_February%20200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LL%20DST%202005\PART%20285%20MFR\ILLINOIS%20POWER\IP%20MFRs_FINAL_12050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INDOWS\TEMP\CIPS-UE_Gas%20Schedules_01-31-07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~1\MADAMS\LOCALS~1\TEMP\CIPS-UE%20MFR,%20110605%20Versio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~1\MADAMS\LOCALS~1\TEMP\WIP%20-%20April%2023,%20200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LL%20Gas%20Rate%20Case%202006\MFRs\CILCO\AmerenCILCO%20Natural%20Gas%20MFR%20Model%20071807%20versio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indows\Temp\notes758E9C\AMS%20A&amp;G%20Expense%20Analysi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LL%20Gas%20Rate%20Case%202006\MFRs\IP\IP%20MFRs_REVISED%20FOR%20DEFICIENCIES_February%20200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~1\MADAMS\LOCALS~1\TEMP\WIP%20-%20April%2023,%20200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LL%20DST%202005\PART%20285%20MFR\ILLINOIS%20POWER\IP%20MFRs_FINAL_12050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userhome\All%20Projects\Ameren\RATECASE\IP%20Schedules\Other%20Schedules%20-%20CIP,UE%20and%20CILCO\CIPS-UE_Gas%20Schedules_01-31-0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userhome\DOCUME~1\MADAMS\LOCALS~1\TEMP\WIP%20-%20April%2023,%20200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userhome\ILL%20Gas%20Rate%20Case%202006\MFRs\IP\AmerenIP%20Natural%20Gas%20MFRs%20Model%20071807%20version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userhome\Windows\Temp\notes758E9C\AMS%20A&amp;G%20Expense%20Analysi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LL%20DST%202006\Deficiency%20Response\AmerenCIPS%20Electric%20MFR%20Model%20-%20012508-%20Revised%20for%20Deficiencies%20(with%202nd%20Revd%20C-16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q95075\Local%20Settings\Temporary%20Internet%20Files\OLK4F\DOCUME~1\MADAMS\LOCALS~1\TEMP\WIP%20-%20April%2023,%202004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userhome\ILL%20Gas%20Rate%20Case%202006\MFRs\CILCO\AmerenCILCO%20Natural%20Gas%20MFR%20Model%20071807%20version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userhome\ILL%20DST%202005\PART%20285%20MFR\ILLINOIS%20POWER\IP%20MFRs_FINAL_120505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BACIC\Local%20Settings\Temporary%20Internet%20Files\Content.Outlook\6PD0HHSU\WINDOWS\TEMP\CIPS-UE_Gas%20Schedules_01-31-0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CIPS-UE_Gas%20Schedules_01-31-0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BACIC\Local%20Settings\Temporary%20Internet%20Files\Content.Outlook\6PD0HHSU\DOCUME~1\MADAMS\LOCALS~1\TEMP\CIPS-UE%20MFR,%20110605%20Versio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LL%20Gas%20Rate%20Case%202006\MFRs\CIPS\AmerenCIPS%20Natural%20Gas%20MFR%20Model%20071807%20Versio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BACIC\Local%20Settings\Temporary%20Internet%20Files\Content.Outlook\6PD0HHSU\DOCUME~1\MADAMS\LOCALS~1\TEMP\WIP%20-%20April%2023,%20200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BACIC\Local%20Settings\Temporary%20Internet%20Files\Content.Outlook\6PD0HHSU\ILL%20Gas%20Rate%20Case%202006\MFRs\CILCO\AmerenCILCO%20Natural%20Gas%20MFR%20Model%20071807%20version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BACIC\Local%20Settings\Temporary%20Internet%20Files\Content.Outlook\6PD0HHSU\Windows\Temp\notes758E9C\AMS%20A&amp;G%20Expense%20Analysi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BACIC\Local%20Settings\Temporary%20Internet%20Files\Content.Outlook\6PD0HHSU\ILL%20Gas%20Rate%20Case%202006\MFRs\IP\IP%20MFRs_REVISED%20FOR%20DEFICIENCIES_February%202006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BACIC\Local%20Settings\Temporary%20Internet%20Files\Content.Outlook\6PD0HHSU\ILL%20DST%202005\PART%20285%20MFR\ILLINOIS%20POWER\IP%20MFRs_FINAL_120505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LL%20Gas%20Rate%20Case%202006\MFRs\CILCO\AmerenCILCO%20Natural%20Gas%20MFR%20Model%20-%20102607%20-%20(FINAL)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CILCO%20MFRs_Revised%20For%20Deficiencie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Temporary%20Directory%202%20for%20MFRs_101005.zip\CILCO%20MFRs\CILCO%20MFR%20-%20October%204,%2020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MADAMS\LOCALS~1\TEMP\CIPS-UE%20MFR,%20110605%20Version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CILCO%20MFRs-Revised%20For%20Deficencies%20-%20March%202006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c3msfs01\lc3nwclstr1_vol16\Documents%20and%20Settings\kyeh001\My%20Documents\Agouron\Ready%20for%20Review\Executive%20Summary\california%20Agouron%20Supermodel@10%25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sterdata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DOWS\Temporary%20Internet%20Files\OLK180\3RD%20Q%20EST%20COMPARISONS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morrjq\My%20Documents\Project\FFA%202005-08%20Exelon%20IT%20Programs_Initiatives-Joe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FRs%2012.11.2008\AmerenCILCO%20Natural%20Gas%20MFR%20Model%20-%20WIP%20-%20100108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EMP\6-09-02SAMPLE%20EXTRAPOLATION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2005%20Budgets\2005%20Khalix%20Budget%20Reports\2005%20CapEx%20(By%20VP%20By%20Dept)%20Budget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q47709\My%20Documents\Adams%20-%20AmerenUE%20Missouri%20-%20Lead%20Lag%20Workbook%20-%20July%2011,%202006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mcmajx\Local%20Settings\Temporary%20Internet%20Files\OLK42C\PECO%20RNF%20Tracking%20Report_February%20'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LL%20DST%202006\MFRs\CILCO\CILCO%20Electric%20MFRs%20-%20102607%20-%20(FINAL)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LL%20DST%202005\Deficiency%20Response\IP%20MFRs_REVISED%20FOR%20DEFICIENCIES_020106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LL%20DST%202005\Deficiency%20Response\CIPS-UE%20MFRs_REVISED%20FOR%20DEFICIENCIES_March%202006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LL%20DST%202005\Deficiency%20Response\CIPS-UE%20MFRs_REVISED%20FOR%20DEFICIENCIES_March%202006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LL%20DST%202005\Deficiency%20Response\IP%20MFRs_REVISED%20FOR%20DEFICIENCIES_020106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Users\brimal\Documents\Ameren%20Illinois%202012\ASP\AIU_ASP_Model%2004.02.2012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lient%20Work\Ameren\Illinois\2007%20Rate%20Cases\Minimum%20Filing%20Requirements\Ameren%20CIPS\AmerenCIPS%20Natural%20Gas%20MFR%20Workbook,%20051407%20Version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lient%20Work\Ameren\Illinois\2007%20Rate%20Cases\Minimum%20Filing%20Requirements\Ameren%20CIPS\AmerenCIPS%20Natural%20Gas%20MFR%20Workbook,%20051407%20Version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udget-Accounting\0901%20Close\VPS_0901_Close\Sep_01_FinReview_Presentation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2005%20Reporting%20Requirements\Apr\MFR%20_%20Leadership%20Deck\MFR%20Views%20-%20EED%20O&amp;M%20(BSC-TFP-Passthru)%20V2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kosoffr\My%20Documents\Book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userhome\Windows\Temp\Temporary%20Directory%202%20for%20MFRs_101005.zip\CILCO%20MFRs\CILCO%20MFR%20-%20October%204,%202005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EED\BusinessOps\EED%20Business%20Ops%20(Working)\MFR\May%202005%20Financial%20Reporting\EED%20May%202005%20Support%20Deck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KSQ\Acctng\Spreadsheet%20Loaders\Spreadsheet%20Loader%202006\January%202006\Brenda\CJ%20(ARC,%20ARO,%20PLDE)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MOORBP\Local%20Settings\Temporary%20Internet%20Files\OLKC4D\Consolidatd%202007%20-2011%20LRP%20Impact%20Analysis%20_V4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NBNW301\VOL5\74639\98Comp\Adam\Top%20Exec%20Pricing%20-%20Gen%20Ind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DOWS\Temporary%20Internet%20Files\OLK3180\PECO%2012-31-01%20FRP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q95075\Local%20Settings\Temporary%20Internet%20Files\OLK4F\DOCUME~1\madams\LOCALS~1\Temp\notesFFF692\CapEx%202004%20Work%20FileRev1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taff\jdm\misc\2002%202Q\Rptng%20Pkg\June%202002\Exelon%20Consolidated%20EFRP%20June%202002%20Current%201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rend\Local%20Settings\Temporary%20Internet%20Files\OLK1A3\PGL%20Rev%20Req%20-%202006%20Historic%20Test%20Year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ED\Business%20Unit\Planning%20&amp;%20Analysis\Monthly%20Data\2001\Q3%20MFR%20and%20QMM\July%20'Output'%20Files%20and%20Other%20Info\Output%20PECO-08-17-V2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d1\DATA\share\DEPT_ALL\MAIER\Monthly%20ACT%20BUD%20Reports\VPS%2020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MADAMS\LOCALS~1\TEMP\WIP%20-%20April%2023,%202004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meren%20Illinois%20-%202009%20Filing%20-%20MFRs%20-%20Current%20Versions\AmerenCILCO%20Electric%20MFR%20Model%20-%20WIP%20-%20050109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74639\06RET\(751)%20BU%20Allocations\Inactive%20BU%20Allocation%20Codes\Assignment%20of%20Inactive%20BU%20Codes\Active%20and%20Inactive%20Percentages%20-%20Pension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DOWS\TEMP\REPORT1.xlr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Lee\Dutch%20Auctions\CIPS%20Dutch_2004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lient%20Work\Ameren\Ameren%20-%202005%20-%20version%202\MFR\Work%20in%20Progress\Edits%20to%20WIP\CIPS%20and%20CILCO%20MFRs_112305\CILCO%20MFRs\CILCO%20MFR,%20112505%20Version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E44367\Local%20Settings\Temporary%20Internet%20Files\OLKFC\CIPS-UE%20Electric%20MFR%20-%20102607%20-%20(FINAL)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e42033\Local%20Settings\Temporary%20Internet%20Files\OLK72\Sch%20in%20Progress\C%20Schedules%205_17_05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mclstr2_vol3_server\VOL3\DATA\CORP\CA_CCC\Spreadsheet%20Inventory\Spreadsheet%20Inventory%20Template%20-%20May%202006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LL%20Gas%20Rate%20Case%202006\MFRs\CIPS\AmerenCIPS%20Natural%20Gas%20MFR%20Model%20071807%20Version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LL%20Gas%20Rate%20Case%202006\MFRs\CIPS\AmerenCIPS%20Natural%20Gas%20MFR%20Model,%20090907%20Versi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LL%20Gas%20Rate%20Case%202006\MFRs\CILCO\AmerenCILCO%20Natural%20Gas%20MFR%20Model%20071807%20version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xls\CMDP\CLAIMS-FEES-99\AsoFee99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FINANCE\DEPT-TAX\General%20Ledger%20Department\KAH\Credit%20Facility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OSTBenchmarkP7FY05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74639\07\RET\(850,851,855)%20Combined%20Results\Disclosures\Year%20End%20Disclosure\Templates\Exelon%20FAS%20158%2012.31.2007%20-%20Pension%20Template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madams\LOCALS~1\Temp\notesFFF692\Gas%20Blankets%20by%20Acct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NT\Profiles\MOYSH\Temporary%20Internet%20Files\OLKB1\PGL%20Schedule%20D3%20-%20REVISED%20(12-14-05%20SM)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Users\jtaylor\AppData\Local\Microsoft\Windows\Temporary%20Internet%20Files\Content.Outlook\QE53FUKO\RECs%20with%20Numbers.xlsx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userhome\Documents%20and%20Settings\e41540\Local%20Settings\Temporary%20Internet%20Files\OLK99\CWIP%20Dec%202004%20Rev.03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q47709\My%20Documents\AmerenIP%20Electric%20MFRs%20090607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q47709\My%20Documents\AmerenIP%20Electric%20MFRs%200906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userhome\All%20Projects\Ameren\RATECASE\IP%20Schedules\Other%20Schedules%20-%20CIP,UE%20and%20CILCO\CILCO%20MFRs_Revised%20For%20Deficiencies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e42033\Local%20Settings\Temporary%20Internet%20Files\OLK3E3\AmerenIP%20Electric%20MFR%20Model%20-%20WIP%20-%20120508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adams\Local%20Settings\Temporary%20Internet%20Files\OLK11E\Allocation%20Factor%20Analysis%20for%20Lazares%20Adjustment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CCCLSTR2_VOL7_SERVER\VOL7\CA_CCC\Stock%20Options%20-%20FAS%20123R\Budget\2008%20Forecast\FAS%20123R%20Option%20Model%202008%20w_2009%20Forecast.0914vST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GCommon\Income%20Tax%20Team\JVs\JV04%20-%20AmerenIP\JV350_Oct-Nov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q47709\Local%20Settings\Temp\AmerenIP%20Electric%20MFRs%20100807%20PM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taylor\Desktop\AMS%20Cost%20Study%20(CEA)\Ameren%20Cost%20Study\AMS%20Cost%20Analysis%20-%20All%20Data%20v20070501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CCCLSTR2_VOL7_SERVER\VOL7\win32\TEMP\inside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23\IL_distr\UE\metzler\0998%20il%20ue%20distr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~1\jollu\LOCALS~1\Temp\2005%20Exelon%20IT%20Programs_EDS040603%20Customer1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u999tfe\Desktop\3year\tomFFA%202005-08%20Exelon%20IT%20Programs_Initiativ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RetireeCensus"/>
      <sheetName val="2000PCCs"/>
      <sheetName val="2000PlanProvisions"/>
      <sheetName val="JobDefinition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A - 1"/>
      <sheetName val="A - 2"/>
      <sheetName val="A - 2.1"/>
      <sheetName val="A - 3"/>
      <sheetName val="A - 4"/>
      <sheetName val="A - 5a"/>
      <sheetName val="A - 5b"/>
      <sheetName val="WPA - 5"/>
      <sheetName val="DefResp-3a"/>
      <sheetName val="WPA - 5a"/>
      <sheetName val="DefResp-3b"/>
      <sheetName val="B - 1"/>
      <sheetName val="WPB - 1"/>
      <sheetName val="B - 2"/>
      <sheetName val="B - 2.1"/>
      <sheetName val="WPB - 2.1a"/>
      <sheetName val="WPB - 2.1b"/>
      <sheetName val="WPB - 2.1c"/>
      <sheetName val="WPB - 2.1d"/>
      <sheetName val="WPB - 2.1e"/>
      <sheetName val="B - 3"/>
      <sheetName val="B - 4"/>
      <sheetName val="WPB - 4"/>
      <sheetName val="B - 5"/>
      <sheetName val="WPB - 5"/>
      <sheetName val="B - 6a"/>
      <sheetName val="B - 6b"/>
      <sheetName val="B - 7.2a"/>
      <sheetName val="B - 7.2b"/>
      <sheetName val="B - 8"/>
      <sheetName val="CWC"/>
      <sheetName val="B - 8.1"/>
      <sheetName val="WPB-8.1asub"/>
      <sheetName val="WPB - 8.1a"/>
      <sheetName val="WPB - 8.1b"/>
      <sheetName val="WPB - 8.1c"/>
      <sheetName val="B - 9"/>
      <sheetName val="B-9sub"/>
      <sheetName val="WPB - 9a"/>
      <sheetName val="WPB - 9b"/>
      <sheetName val="B - 9.1"/>
      <sheetName val="B - 13"/>
      <sheetName val="WPB - 13"/>
      <sheetName val="B - 14"/>
      <sheetName val="WPB - 14"/>
      <sheetName val="C - 1"/>
      <sheetName val="C - 2"/>
      <sheetName val="C - 2 sub"/>
      <sheetName val="C - 2.1"/>
      <sheetName val="WPC - 2.1"/>
      <sheetName val="C - 2.2"/>
      <sheetName val="C - 2.3"/>
      <sheetName val="WPC - 2.3a"/>
      <sheetName val="WPC - 2.3b"/>
      <sheetName val="C - 2.4"/>
      <sheetName val="WPC - 2.4"/>
      <sheetName val="C - 2.5"/>
      <sheetName val="WPC - 2.5"/>
      <sheetName val="C - 2.6"/>
      <sheetName val="WPC - 2.6a"/>
      <sheetName val="C - 2.6 NOT USED"/>
      <sheetName val="WPC - 2.6a NOT USED"/>
      <sheetName val="WPC - 2.6b"/>
      <sheetName val="C - 2.7"/>
      <sheetName val="WPC - 2.7"/>
      <sheetName val="WPC - 2.7a"/>
      <sheetName val="WPC - 2.7b"/>
      <sheetName val="WPC - 2.7c"/>
      <sheetName val="WPC - 2.7d"/>
      <sheetName val="WPC - 2.7e"/>
      <sheetName val="C - 2.8"/>
      <sheetName val="C - 2.9"/>
      <sheetName val="C - 2.10"/>
      <sheetName val="C - 2.11"/>
      <sheetName val="WPC - 2.11"/>
      <sheetName val="C - 2.12"/>
      <sheetName val="WPC - 2.12"/>
      <sheetName val="C - 2.13"/>
      <sheetName val="C - 2.14"/>
      <sheetName val="WPC - 2.14"/>
      <sheetName val="C - 2.15"/>
      <sheetName val="WPC - 2.15a"/>
      <sheetName val="WPC - 2.15b"/>
      <sheetName val="C - 2.16"/>
      <sheetName val="C - 3"/>
      <sheetName val="C - 4"/>
      <sheetName val="WPC - 4"/>
      <sheetName val="WPC - 4dup"/>
      <sheetName val="C - 5"/>
      <sheetName val="C - 5b"/>
      <sheetName val="C - 5.1"/>
      <sheetName val="C - 5.2"/>
      <sheetName val="C - 5.3"/>
      <sheetName val="C - 5.4"/>
      <sheetName val="WPC - 5.4"/>
      <sheetName val="C - 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 - 10"/>
      <sheetName val="C - 10.1"/>
      <sheetName val="C - 11.1"/>
      <sheetName val="WPC - 11.1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3"/>
      <sheetName val="WPC - 11.3a"/>
      <sheetName val="WPC - 11.3b"/>
      <sheetName val="WPC - 11.3c"/>
      <sheetName val="WPC - 11.3d"/>
      <sheetName val="C - 12"/>
      <sheetName val="WPC - 12"/>
      <sheetName val="C - 13a"/>
      <sheetName val="C - 13b"/>
      <sheetName val="C - 14"/>
      <sheetName val="WPC - 14"/>
      <sheetName val="C - 16"/>
      <sheetName val="WPC - 16"/>
      <sheetName val="C - 17a"/>
      <sheetName val="C - 17b"/>
      <sheetName val="C - 17c"/>
      <sheetName val="C - 17d"/>
      <sheetName val="C - 18"/>
      <sheetName val="WPC - 18a p1"/>
      <sheetName val="WPC - 18a p2"/>
      <sheetName val="WPC - 18b"/>
      <sheetName val="C - 19"/>
      <sheetName val="C - 21"/>
      <sheetName val="C - 23"/>
      <sheetName val="WPC - 23"/>
      <sheetName val="C - 25"/>
      <sheetName val="C - 31"/>
    </sheetNames>
    <sheetDataSet>
      <sheetData sheetId="0">
        <row r="154">
          <cell r="C154" t="str">
            <v>AmerenCILCO</v>
          </cell>
        </row>
        <row r="157">
          <cell r="C157" t="str">
            <v>As Of December 31, 2004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mon"/>
      <sheetName val="Index"/>
      <sheetName val="Sch A-1  Summ of Std Info Rqmts"/>
      <sheetName val="Deficiency"/>
      <sheetName val="Sch A-2  Overall Fin Summ"/>
      <sheetName val="Sch A-2.1 GRCF"/>
      <sheetName val="Sch A-3 Comp of Present Propose"/>
      <sheetName val="Sch A-4 Compar to Prior Order"/>
      <sheetName val="Sch A-5 Juris Alloc Summ RB"/>
      <sheetName val="Sch A-5 Juris Alloc Summ Exp"/>
      <sheetName val="WPA-5"/>
      <sheetName val="WPA-5.2"/>
      <sheetName val="WPA-5.1.4 Func Factors"/>
      <sheetName val="Sch B-1 Juris RB"/>
      <sheetName val="WPB-1.1 Cust Adv"/>
      <sheetName val="Sch B-2 Summ of RB Adj"/>
      <sheetName val="Sch B-2.1 CSS Integration"/>
      <sheetName val="Sch B-2.2 CWIP to UPIS"/>
      <sheetName val="WPB-2.2.1"/>
      <sheetName val="WPB-2.2.2"/>
      <sheetName val="WPB-2.2.3"/>
      <sheetName val="Sch B-2.3 Bldg Retirements"/>
      <sheetName val="WPB-2.3.1"/>
      <sheetName val="Sch B-2.4 AMS Alloc Plt"/>
      <sheetName val="Sch B-2.4.1 AMS Alloc Plt"/>
      <sheetName val="WPB-2.4.2 Int Plt Gross - AMS"/>
      <sheetName val="WPB-2.4.3 Int Plt Reserve - AMS"/>
      <sheetName val="WPB-2.4.4 Int Plt Net - AMS"/>
      <sheetName val="WPB-2.4.5 Gen Plt Gross -AMS"/>
      <sheetName val="WPB-2.4.6 Gen Plt Reserve - AMS"/>
      <sheetName val="WPB-2.4.7 Gen Plt Net - AMS"/>
      <sheetName val="Sch B-2.5 Gen CWIP"/>
      <sheetName val="WPB-2.5.1"/>
      <sheetName val="Sch B-2.6 Sys Conv"/>
      <sheetName val="WP B-2.6.1"/>
      <sheetName val="Sch B-3 Comparative BS"/>
      <sheetName val="Sch B-4 Adj to UPIS"/>
      <sheetName val="Sch B-5 Adds Retires Transfers"/>
      <sheetName val="Sch B-5.1 Sale Gains or Losses"/>
      <sheetName val="Sch B-5.2 Merged or Acq Prop"/>
      <sheetName val="Sch B-5.3 Leased Prop"/>
      <sheetName val="Sch B-6 Depr Res"/>
      <sheetName val="Sch B-7 CWIP"/>
      <sheetName val="Sch B-7.1 CWIP % Complete"/>
      <sheetName val="Sch B-7.2 AFUDC"/>
      <sheetName val="Sch B-8 CWC"/>
      <sheetName val="Sch B-8.1 M&amp;S"/>
      <sheetName val="WPB-8.1.1"/>
      <sheetName val="WPB-8.1.2"/>
      <sheetName val="Construction"/>
      <sheetName val="GPROD"/>
      <sheetName val="ETRANS"/>
      <sheetName val="GTRANS"/>
      <sheetName val="EDISTR"/>
      <sheetName val="GDISTR"/>
      <sheetName val="DistrMisc"/>
      <sheetName val="Other"/>
      <sheetName val="Sch B-9 ADIT"/>
      <sheetName val="Sch B-9.1 BS Assets &amp; Liab"/>
      <sheetName val="Sch B-10 Def Charges"/>
      <sheetName val="Sch B-11 PHFFU"/>
      <sheetName val="Sch B-12 Analysis of PHFFU"/>
      <sheetName val="Sch B-13 Cust Deposits"/>
      <sheetName val="WPB-13.1 Customer Deposits"/>
      <sheetName val="Sch B-14 Budget Pymt Plan"/>
      <sheetName val="Sch C-1 Juris Op Inc Sum"/>
      <sheetName val="Sch C-2 Sum of Adj"/>
      <sheetName val="Sch C-2.1 WNA"/>
      <sheetName val="WPC2.1"/>
      <sheetName val="Sch C-2.2 Annualized Labor"/>
      <sheetName val="WPC-2.2.1"/>
      <sheetName val="WPC-2.2.2"/>
      <sheetName val="WPC-2.2.3"/>
      <sheetName val="WPC-2.2.4"/>
      <sheetName val="WPC-2.2.5"/>
      <sheetName val="WPC-2.2.6"/>
      <sheetName val="WPC-2.2.7"/>
      <sheetName val="Sch C-2.3 AMS Realloc"/>
      <sheetName val="WPC-2.3.1 AMS Reallocation"/>
      <sheetName val="WPC-2.3.2 Offsets to AMS Alloc"/>
      <sheetName val="WPC-2.3.3 Annualized Detail"/>
      <sheetName val="WPC-2.3.4 IP 04-05"/>
      <sheetName val="WPC-2.3.5 IP 05-05"/>
      <sheetName val="WPC-2.3.6 IP 06-05"/>
      <sheetName val="WPC-2.3.6 IP 07-05"/>
      <sheetName val="Sch C-2.4 Acq Cost Savings"/>
      <sheetName val="Sch C-2.5 Company Use"/>
      <sheetName val="Sch C-2.6 Tree Trim"/>
      <sheetName val="Sch C-2.7 Rate Case Exp"/>
      <sheetName val="Sch C-2.8 Int on Cust Dep"/>
      <sheetName val="WPC-2.8.1"/>
      <sheetName val="Sch C-2.9 Uncol Exp at Present"/>
      <sheetName val="Sch C-2.10 Purch Accting Elim"/>
      <sheetName val="Sch C-2.11 Elim Dynegy Alloc"/>
      <sheetName val="WPC-2.11.1 Summary"/>
      <sheetName val="WPC-2.11.2 Jan OH"/>
      <sheetName val="WPC-2.11.3 Jan D"/>
      <sheetName val="WPC-2.11.4 Feb OH"/>
      <sheetName val="WPC-2.11.5 Feb D"/>
      <sheetName val="WPC-2.11.6 Mar OH"/>
      <sheetName val="WPC-2.11.7 Mar D"/>
      <sheetName val="WPC-2.11.8 Apr OH"/>
      <sheetName val="WPC-2.11.9 Apr D"/>
      <sheetName val="WPC-2.11.10 May OH"/>
      <sheetName val="WPC-2.11.11 May D"/>
      <sheetName val="WPC-2.11.12 Jun OH"/>
      <sheetName val="WPC-2.11.13 Jun D"/>
      <sheetName val="WPC-2.11.14 Jul OH"/>
      <sheetName val="WPC-2.11.15 Jul D"/>
      <sheetName val="WPC-2.11.16 Aug OH"/>
      <sheetName val="WPC-2.11.17 Aug D"/>
      <sheetName val="WPC-2.11.18 Sep OH"/>
      <sheetName val="WPC-2.11.19 Sep D"/>
      <sheetName val="Sch C-2.12 Annual Empl Pen Ben"/>
      <sheetName val="WPC-2.12.1"/>
      <sheetName val="WPC-2.12.2"/>
      <sheetName val="WPC-2.12.3"/>
      <sheetName val="WPC-2.12.4"/>
      <sheetName val="WPC-2.12.5"/>
      <sheetName val="WPC-2.12.6"/>
      <sheetName val="WPC-2.12.7"/>
      <sheetName val="WPC-2.12.8"/>
      <sheetName val="WPC-2.12.9"/>
      <sheetName val="WPC-2.12.10"/>
      <sheetName val="WPC-2.12.11"/>
      <sheetName val="WPC-2.12.12"/>
      <sheetName val="Sch C-2.13 Franchise Require"/>
      <sheetName val="Sch C-2.14 Spec Int Trust"/>
      <sheetName val="Sch C-2.15 Depr Exp on Bldg Ret"/>
      <sheetName val="Sch C-2.16 Depr Exp CSS Int"/>
      <sheetName val="Sch C-2.17 Amort of Reg Asset"/>
      <sheetName val="Sch C-2.18 Amort on Sys Conv"/>
      <sheetName val="Sch C-2.19 RE Tax Bldg Retire"/>
      <sheetName val="Sch C-2.20 FICA"/>
      <sheetName val="Sch C-2.21 Inv Cap"/>
      <sheetName val="WPC-2.21.1"/>
      <sheetName val="Sch C-2.22 Add-On"/>
      <sheetName val="Sch C-3 Sales Stats"/>
      <sheetName val="Sch C-4 Comp IncSt"/>
      <sheetName val="WPC-4"/>
      <sheetName val="Sch C-5 Inc Tx"/>
      <sheetName val="Sch C-5b St Inc Tx"/>
      <sheetName val="Sch C-5.1 Con Fed Tx Ret"/>
      <sheetName val="Sch C-5.2 Def Inc Tx"/>
      <sheetName val="Sch C-5.3 Diff Bk &amp; Tx Depr"/>
      <sheetName val="Sch C-5.4 Int Synch"/>
      <sheetName val="WPC - 5.4 "/>
      <sheetName val="Sch C-5.5 ITC &amp; Job Dev. Cr"/>
      <sheetName val="Sch C-6 Social &amp; Svc Club Dues"/>
      <sheetName val="Sch C-6.1 Ind Assoc Dues"/>
      <sheetName val="WPC-6.1 2004"/>
      <sheetName val="WPC-6.1 2003"/>
      <sheetName val="WPC-6.1 2002"/>
      <sheetName val="WPC-6.1 2001"/>
      <sheetName val="Sch C-6.2 Exp for Outside Svc"/>
      <sheetName val="WPC-6.2"/>
      <sheetName val="Sch C-7 Charitable Contr"/>
      <sheetName val="WPC-7"/>
      <sheetName val="Sch C-8 Dem. &amp; Sell"/>
      <sheetName val="WPC-8.1"/>
      <sheetName val="Sch C-9 Political &amp; Reltd Act"/>
      <sheetName val="WPC-9"/>
      <sheetName val="Sch C-10 Rate Case Exp"/>
      <sheetName val="Sch WPC-10"/>
      <sheetName val="Sch C-10.1 Rt Case Exp Comp"/>
      <sheetName val="Sch C-11.1 Direct Payroll"/>
      <sheetName val="WPC-11.1.1"/>
      <sheetName val="WPC-11.1.2"/>
      <sheetName val="Sch C-11.2a No. of Empl. 2004"/>
      <sheetName val="Sch C-11.2a  No. of Empl. 2003"/>
      <sheetName val="Sch C-11.2a  No. of Empl. 2002"/>
      <sheetName val="Sch C-11.2a No. of Empl. 2001"/>
      <sheetName val="Sch C-11.2b Auth No. Empl. 2004"/>
      <sheetName val="Sch C-11.2b Auth No. Empl. 2003"/>
      <sheetName val="Sch C-11.2b Auth No. Empl. 2002"/>
      <sheetName val="Sch C-11.2b Auth No. Empl. 2001"/>
      <sheetName val="Sch C-11.3 Empl Benefits"/>
      <sheetName val="WPC-11.3.1"/>
      <sheetName val="WPC-11.3.2"/>
      <sheetName val="WPC-11.3.3"/>
      <sheetName val="WPC-11.3.4"/>
      <sheetName val="Sch 11.4 Recon Est Ovrhd"/>
      <sheetName val="Sch C-12 Depr Exp"/>
      <sheetName val="Sch C-13 Summ Affl Int Tran"/>
      <sheetName val="WPC-13.1 Affl Int Trans"/>
      <sheetName val="Sch C-14 Oper Leases"/>
      <sheetName val="WPC-14"/>
      <sheetName val="WPC-14a"/>
      <sheetName val="WPC-14b"/>
      <sheetName val="WPC-14c"/>
      <sheetName val="WPC-14d"/>
      <sheetName val="WPC-14e"/>
      <sheetName val="Sch C-15 Major Maint Proj"/>
      <sheetName val="Sch C-16 Uncol Exp"/>
      <sheetName val="WPC-16.1"/>
      <sheetName val="WPC-16.2"/>
      <sheetName val="Sch C-17 Insur. Exp.p1"/>
      <sheetName val="Sch C-17 Insur. Exp. p2"/>
      <sheetName val="Sch C-18a Oth Tx 2004"/>
      <sheetName val="WPC-18a 2004"/>
      <sheetName val="Sch C-18a Oth Tx 2003"/>
      <sheetName val="WPC-18a 2003"/>
      <sheetName val="Sch C-18a Oth Tx 2002"/>
      <sheetName val="WPC-18a Oth Tx 2002"/>
      <sheetName val="Sch C-18a Oth Tx 2001"/>
      <sheetName val="WPC-18a 2001"/>
      <sheetName val="Sch C-18c Accr Prop Tax"/>
      <sheetName val="WPC-18c Accr Prop Tax"/>
      <sheetName val="Sch C-19 Prop Tx"/>
      <sheetName val="Sch C-20 Local Tx"/>
      <sheetName val="Sch C-21 Misc Gen Exp"/>
      <sheetName val="WPC-21"/>
      <sheetName val="Sch C-22 Acq. Cost Sav"/>
      <sheetName val="Sch C-23 Misc Oper Rev"/>
      <sheetName val="WPC - 23.1"/>
      <sheetName val="Sch C-24 Legal Exp &amp; Res"/>
      <sheetName val="Sch C-25 Add On Tx"/>
      <sheetName val="WPC-25"/>
      <sheetName val="Sch C-26 Amort Def Ch"/>
      <sheetName val="Sch C-27 Fuel Adj Rev &amp; Exp"/>
      <sheetName val="Sch C-28 Fuel Transp Exp"/>
      <sheetName val="Sch C-29 Decom Exp"/>
      <sheetName val="Sch C-30 PGA Rev &amp; Exp"/>
      <sheetName val="Sch C-31 Compet Serv"/>
      <sheetName val="Sch C-32 Non-Util Oper"/>
      <sheetName val="Sch C-33 Billing Exper"/>
    </sheetNames>
    <sheetDataSet>
      <sheetData sheetId="0" refreshError="1">
        <row r="13">
          <cell r="B13" t="str">
            <v>($000's)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2nd qtr 2000"/>
      <sheetName val="adjustments"/>
      <sheetName val="Fair Value"/>
      <sheetName val="merger related costs"/>
      <sheetName val="JE's"/>
      <sheetName val="Sheet1"/>
      <sheetName val="Nuc FV Dec"/>
      <sheetName val="Goodwill amort"/>
      <sheetName val="PECO Securit Adj"/>
      <sheetName val="chg in acctg prin"/>
      <sheetName val="don't use past here."/>
      <sheetName val="Goodwill"/>
      <sheetName val="PECO stock price"/>
      <sheetName val="UCM Share Repurchase"/>
      <sheetName val="Reg Asset Amort"/>
      <sheetName val="FERC 8K Recon"/>
      <sheetName val="Goodwill (2)"/>
      <sheetName val="MERGER2"/>
      <sheetName val="CONSOLIDATING W ADJUSTMENTS"/>
      <sheetName val="Oct-00"/>
      <sheetName val="mktprice"/>
      <sheetName val="Assumptions"/>
      <sheetName val="State ETR Calc"/>
      <sheetName val="LineItem Data"/>
      <sheetName val="SETUP-Review"/>
    </sheetNames>
    <sheetDataSet>
      <sheetData sheetId="0" refreshError="1"/>
      <sheetData sheetId="1" refreshError="1">
        <row r="6">
          <cell r="A6" t="str">
            <v>UNAUDITED PROFORMA CONDENSED STATEMENT OF INCOME</v>
          </cell>
          <cell r="K6" t="str">
            <v>UNAUDITED PROFORMA CONDENSED STATEMENT OF INCOME</v>
          </cell>
          <cell r="V6" t="str">
            <v>UNAUDITED PRO FORMA COMBINED CONDENSED STATEMENT OF INCOME</v>
          </cell>
        </row>
        <row r="7">
          <cell r="A7" t="str">
            <v>(Millions Except Per Share Data)</v>
          </cell>
          <cell r="K7" t="str">
            <v>(Millions Except Per Share Data)</v>
          </cell>
          <cell r="V7" t="str">
            <v>(Millions Except Per Share Data)</v>
          </cell>
        </row>
        <row r="8">
          <cell r="A8" t="str">
            <v>FOR THE first six months ended June 30, 2000</v>
          </cell>
          <cell r="K8" t="str">
            <v>FOR THE first six months ended June 30, 2000</v>
          </cell>
          <cell r="V8" t="str">
            <v>FOR THE first six months ended June 30, 2000</v>
          </cell>
        </row>
        <row r="11">
          <cell r="I11" t="str">
            <v>PECO</v>
          </cell>
          <cell r="Y11" t="str">
            <v>PECO</v>
          </cell>
        </row>
        <row r="12">
          <cell r="D12" t="str">
            <v>PECO</v>
          </cell>
          <cell r="G12" t="str">
            <v>PECO Energy</v>
          </cell>
          <cell r="I12" t="str">
            <v>Energy</v>
          </cell>
          <cell r="P12" t="str">
            <v>UNICOM</v>
          </cell>
          <cell r="R12" t="str">
            <v>UNICOM</v>
          </cell>
          <cell r="T12" t="str">
            <v>UNICOM</v>
          </cell>
          <cell r="Y12" t="str">
            <v>Energy</v>
          </cell>
        </row>
        <row r="13">
          <cell r="D13" t="str">
            <v>Energy</v>
          </cell>
          <cell r="F13" t="str">
            <v xml:space="preserve">Chg in </v>
          </cell>
          <cell r="G13" t="str">
            <v>Transition Bond</v>
          </cell>
          <cell r="I13" t="str">
            <v>Prior to</v>
          </cell>
          <cell r="N13" t="str">
            <v>UNICOM</v>
          </cell>
          <cell r="P13" t="str">
            <v>Fossil Sale</v>
          </cell>
          <cell r="R13" t="str">
            <v>Share Buyback</v>
          </cell>
          <cell r="T13" t="str">
            <v>Prior to</v>
          </cell>
          <cell r="Y13" t="str">
            <v>Prior to</v>
          </cell>
          <cell r="AA13" t="str">
            <v>UNICOM</v>
          </cell>
          <cell r="AD13" t="str">
            <v>Merger</v>
          </cell>
          <cell r="AF13" t="str">
            <v>Merger</v>
          </cell>
        </row>
        <row r="14">
          <cell r="D14" t="str">
            <v>As</v>
          </cell>
          <cell r="F14" t="str">
            <v>Acct</v>
          </cell>
          <cell r="G14" t="str">
            <v>ProForma</v>
          </cell>
          <cell r="I14" t="str">
            <v>Merger</v>
          </cell>
          <cell r="N14" t="str">
            <v>As</v>
          </cell>
          <cell r="P14" t="str">
            <v>ProForma</v>
          </cell>
          <cell r="R14" t="str">
            <v>ProForma</v>
          </cell>
          <cell r="T14" t="str">
            <v>Merger</v>
          </cell>
          <cell r="Y14" t="str">
            <v>Merger</v>
          </cell>
          <cell r="AA14" t="str">
            <v>as</v>
          </cell>
          <cell r="AB14" t="str">
            <v>ComEd</v>
          </cell>
          <cell r="AD14" t="str">
            <v>Related</v>
          </cell>
          <cell r="AF14" t="str">
            <v>ProForma</v>
          </cell>
          <cell r="AH14" t="str">
            <v>Exelon</v>
          </cell>
        </row>
        <row r="15">
          <cell r="D15" t="str">
            <v>Filed</v>
          </cell>
          <cell r="E15" t="str">
            <v>Reclasses</v>
          </cell>
          <cell r="F15" t="str">
            <v>Princ</v>
          </cell>
          <cell r="G15" t="str">
            <v>Adjustments(1)</v>
          </cell>
          <cell r="I15" t="str">
            <v>ProForma</v>
          </cell>
          <cell r="N15" t="str">
            <v>Filed</v>
          </cell>
          <cell r="P15" t="str">
            <v>Adjustments(3)</v>
          </cell>
          <cell r="R15" t="str">
            <v>Adjustments(4)</v>
          </cell>
          <cell r="T15" t="str">
            <v>ProForma</v>
          </cell>
          <cell r="Y15" t="str">
            <v>ProForma</v>
          </cell>
          <cell r="AA15" t="str">
            <v>filed</v>
          </cell>
          <cell r="AB15" t="str">
            <v>Reclasses</v>
          </cell>
          <cell r="AD15" t="str">
            <v>Costs</v>
          </cell>
          <cell r="AF15" t="str">
            <v>Adjustments</v>
          </cell>
          <cell r="AH15" t="str">
            <v>ProForma</v>
          </cell>
        </row>
        <row r="16">
          <cell r="AD16" t="str">
            <v>UCM 25</v>
          </cell>
        </row>
        <row r="17">
          <cell r="A17" t="str">
            <v>Operating Revenues</v>
          </cell>
          <cell r="K17" t="str">
            <v>Operating Revenues</v>
          </cell>
          <cell r="V17" t="str">
            <v>Operating Revenues</v>
          </cell>
          <cell r="AD17" t="str">
            <v>PECO 20</v>
          </cell>
        </row>
        <row r="18">
          <cell r="B18" t="str">
            <v>Electric</v>
          </cell>
          <cell r="E18">
            <v>4</v>
          </cell>
          <cell r="F18">
            <v>0</v>
          </cell>
          <cell r="G18">
            <v>0</v>
          </cell>
          <cell r="I18">
            <v>4</v>
          </cell>
          <cell r="L18" t="str">
            <v>Electric</v>
          </cell>
          <cell r="N18">
            <v>3465</v>
          </cell>
          <cell r="P18">
            <v>0</v>
          </cell>
          <cell r="R18">
            <v>0</v>
          </cell>
          <cell r="T18">
            <v>3465</v>
          </cell>
          <cell r="W18" t="str">
            <v>Electric</v>
          </cell>
          <cell r="Y18">
            <v>4</v>
          </cell>
          <cell r="AA18">
            <v>3465</v>
          </cell>
          <cell r="AB18">
            <v>3</v>
          </cell>
          <cell r="AF18">
            <v>-14.047000000000001</v>
          </cell>
          <cell r="AH18">
            <v>3457.953</v>
          </cell>
        </row>
        <row r="19">
          <cell r="B19" t="str">
            <v>Gas</v>
          </cell>
          <cell r="D19">
            <v>2716</v>
          </cell>
          <cell r="E19">
            <v>6</v>
          </cell>
          <cell r="G19">
            <v>0</v>
          </cell>
          <cell r="I19">
            <v>2722</v>
          </cell>
          <cell r="L19" t="str">
            <v>Gas</v>
          </cell>
          <cell r="N19">
            <v>0</v>
          </cell>
          <cell r="P19">
            <v>0</v>
          </cell>
          <cell r="R19">
            <v>0</v>
          </cell>
          <cell r="T19">
            <v>0</v>
          </cell>
          <cell r="W19" t="str">
            <v>Gas</v>
          </cell>
          <cell r="Y19">
            <v>2722</v>
          </cell>
          <cell r="AA19">
            <v>0</v>
          </cell>
          <cell r="AB19">
            <v>0</v>
          </cell>
          <cell r="AD19">
            <v>0</v>
          </cell>
          <cell r="AF19">
            <v>0</v>
          </cell>
          <cell r="AH19">
            <v>2722</v>
          </cell>
        </row>
        <row r="20">
          <cell r="B20" t="str">
            <v xml:space="preserve">   Total Operating Revenues</v>
          </cell>
          <cell r="D20">
            <v>2716</v>
          </cell>
          <cell r="E20">
            <v>10</v>
          </cell>
          <cell r="F20">
            <v>0</v>
          </cell>
          <cell r="G20">
            <v>0</v>
          </cell>
          <cell r="I20">
            <v>2726</v>
          </cell>
          <cell r="L20" t="str">
            <v xml:space="preserve">   Total Operating Revenues</v>
          </cell>
          <cell r="N20">
            <v>3465</v>
          </cell>
          <cell r="P20">
            <v>0</v>
          </cell>
          <cell r="R20">
            <v>0</v>
          </cell>
          <cell r="T20">
            <v>3465</v>
          </cell>
          <cell r="W20" t="str">
            <v xml:space="preserve">   Total Operating Revenues</v>
          </cell>
          <cell r="Y20">
            <v>2726</v>
          </cell>
          <cell r="AA20">
            <v>3465</v>
          </cell>
          <cell r="AB20">
            <v>3</v>
          </cell>
          <cell r="AD20">
            <v>0</v>
          </cell>
          <cell r="AF20">
            <v>-14.047000000000001</v>
          </cell>
          <cell r="AH20">
            <v>6179.9529999999995</v>
          </cell>
        </row>
        <row r="22">
          <cell r="A22" t="str">
            <v>Operating Expenses</v>
          </cell>
          <cell r="K22" t="str">
            <v>Operating Expenses</v>
          </cell>
          <cell r="V22" t="str">
            <v>Operating Expenses</v>
          </cell>
        </row>
        <row r="23">
          <cell r="B23" t="str">
            <v>Fuel and Energy Interchange</v>
          </cell>
          <cell r="D23">
            <v>926</v>
          </cell>
          <cell r="E23">
            <v>6</v>
          </cell>
          <cell r="G23">
            <v>0</v>
          </cell>
          <cell r="I23">
            <v>932</v>
          </cell>
          <cell r="L23" t="str">
            <v>Fuel and Energy Interchange</v>
          </cell>
          <cell r="N23">
            <v>872</v>
          </cell>
          <cell r="P23">
            <v>0</v>
          </cell>
          <cell r="R23">
            <v>0</v>
          </cell>
          <cell r="T23">
            <v>872</v>
          </cell>
          <cell r="W23" t="str">
            <v>Fuel and Energy Interchange</v>
          </cell>
          <cell r="Y23">
            <v>932</v>
          </cell>
          <cell r="AA23">
            <v>872</v>
          </cell>
          <cell r="AF23">
            <v>-14.047000000000001</v>
          </cell>
          <cell r="AH23">
            <v>1789.953</v>
          </cell>
        </row>
        <row r="24">
          <cell r="B24" t="str">
            <v>Operation and Maintenance</v>
          </cell>
          <cell r="D24">
            <v>835</v>
          </cell>
          <cell r="E24">
            <v>10</v>
          </cell>
          <cell r="F24">
            <v>-5</v>
          </cell>
          <cell r="G24">
            <v>0</v>
          </cell>
          <cell r="I24">
            <v>840</v>
          </cell>
          <cell r="L24" t="str">
            <v>Operation and Maintenance</v>
          </cell>
          <cell r="N24">
            <v>1094</v>
          </cell>
          <cell r="P24">
            <v>0</v>
          </cell>
          <cell r="R24">
            <v>0</v>
          </cell>
          <cell r="T24">
            <v>1094</v>
          </cell>
          <cell r="W24" t="str">
            <v>Operation and Maintenance</v>
          </cell>
          <cell r="Y24">
            <v>840</v>
          </cell>
          <cell r="AA24">
            <v>1094</v>
          </cell>
          <cell r="AD24">
            <v>-45</v>
          </cell>
          <cell r="AF24">
            <v>22.9</v>
          </cell>
          <cell r="AH24">
            <v>1911.9</v>
          </cell>
        </row>
        <row r="25">
          <cell r="B25" t="str">
            <v>Depreciation and Amortization</v>
          </cell>
          <cell r="D25">
            <v>160</v>
          </cell>
          <cell r="E25">
            <v>0</v>
          </cell>
          <cell r="F25">
            <v>0</v>
          </cell>
          <cell r="G25">
            <v>0</v>
          </cell>
          <cell r="I25">
            <v>160</v>
          </cell>
          <cell r="L25" t="str">
            <v>Depreciation and Amortization</v>
          </cell>
          <cell r="N25">
            <v>601</v>
          </cell>
          <cell r="P25">
            <v>0</v>
          </cell>
          <cell r="R25">
            <v>0</v>
          </cell>
          <cell r="T25">
            <v>601</v>
          </cell>
          <cell r="W25" t="str">
            <v>Depreciation and Amortization</v>
          </cell>
          <cell r="Y25">
            <v>160</v>
          </cell>
          <cell r="AA25">
            <v>601</v>
          </cell>
          <cell r="AF25">
            <v>-110</v>
          </cell>
          <cell r="AH25">
            <v>651</v>
          </cell>
        </row>
        <row r="26">
          <cell r="B26" t="str">
            <v>Goodwill Amortization</v>
          </cell>
          <cell r="D26">
            <v>1</v>
          </cell>
          <cell r="E26">
            <v>0</v>
          </cell>
          <cell r="F26">
            <v>0</v>
          </cell>
          <cell r="G26">
            <v>0</v>
          </cell>
          <cell r="I26">
            <v>1</v>
          </cell>
          <cell r="L26" t="str">
            <v>Goodwill Amortization</v>
          </cell>
          <cell r="N26">
            <v>1</v>
          </cell>
          <cell r="P26">
            <v>0</v>
          </cell>
          <cell r="R26">
            <v>0</v>
          </cell>
          <cell r="T26">
            <v>1</v>
          </cell>
          <cell r="W26" t="str">
            <v>Goodwill Amortization</v>
          </cell>
          <cell r="Y26">
            <v>1</v>
          </cell>
          <cell r="AA26">
            <v>1</v>
          </cell>
          <cell r="AF26">
            <v>59.862498736856949</v>
          </cell>
          <cell r="AH26">
            <v>61.862498736856949</v>
          </cell>
        </row>
        <row r="27">
          <cell r="B27" t="str">
            <v>Taxes Other Than Income Taxes</v>
          </cell>
          <cell r="D27">
            <v>130</v>
          </cell>
          <cell r="E27">
            <v>0</v>
          </cell>
          <cell r="F27">
            <v>0</v>
          </cell>
          <cell r="G27">
            <v>0</v>
          </cell>
          <cell r="I27">
            <v>130</v>
          </cell>
          <cell r="L27" t="str">
            <v>Taxes Other Than Income Taxes</v>
          </cell>
          <cell r="N27">
            <v>268</v>
          </cell>
          <cell r="P27">
            <v>0</v>
          </cell>
          <cell r="R27">
            <v>0</v>
          </cell>
          <cell r="T27">
            <v>268</v>
          </cell>
          <cell r="W27" t="str">
            <v>Taxes Other Than Income Taxes</v>
          </cell>
          <cell r="Y27">
            <v>130</v>
          </cell>
          <cell r="AA27">
            <v>268</v>
          </cell>
          <cell r="AF27">
            <v>0</v>
          </cell>
          <cell r="AH27">
            <v>398</v>
          </cell>
        </row>
        <row r="28">
          <cell r="B28" t="str">
            <v xml:space="preserve">   Total Operating Expenses</v>
          </cell>
          <cell r="D28">
            <v>2052</v>
          </cell>
          <cell r="E28">
            <v>16</v>
          </cell>
          <cell r="F28">
            <v>-5</v>
          </cell>
          <cell r="G28">
            <v>0</v>
          </cell>
          <cell r="I28">
            <v>2063</v>
          </cell>
          <cell r="L28" t="str">
            <v xml:space="preserve">   Total Operating Expenses</v>
          </cell>
          <cell r="N28">
            <v>2836</v>
          </cell>
          <cell r="P28">
            <v>0</v>
          </cell>
          <cell r="R28">
            <v>0</v>
          </cell>
          <cell r="T28">
            <v>2836</v>
          </cell>
          <cell r="W28" t="str">
            <v xml:space="preserve">   Total Operating Expenses</v>
          </cell>
          <cell r="Y28">
            <v>2063</v>
          </cell>
          <cell r="AA28">
            <v>2836</v>
          </cell>
          <cell r="AB28">
            <v>0</v>
          </cell>
          <cell r="AD28">
            <v>-45</v>
          </cell>
          <cell r="AF28">
            <v>-41.284501263143056</v>
          </cell>
          <cell r="AH28">
            <v>4812.7154987368567</v>
          </cell>
        </row>
        <row r="29">
          <cell r="A29" t="str">
            <v xml:space="preserve">Operating Income </v>
          </cell>
          <cell r="D29">
            <v>664</v>
          </cell>
          <cell r="E29">
            <v>-6</v>
          </cell>
          <cell r="F29">
            <v>5</v>
          </cell>
          <cell r="G29">
            <v>0</v>
          </cell>
          <cell r="I29">
            <v>663</v>
          </cell>
          <cell r="K29" t="str">
            <v xml:space="preserve">Operating Income </v>
          </cell>
          <cell r="N29">
            <v>629</v>
          </cell>
          <cell r="P29">
            <v>0</v>
          </cell>
          <cell r="R29">
            <v>0</v>
          </cell>
          <cell r="T29">
            <v>629</v>
          </cell>
          <cell r="V29" t="str">
            <v xml:space="preserve">Operating Income </v>
          </cell>
          <cell r="Y29">
            <v>663</v>
          </cell>
          <cell r="AA29">
            <v>629</v>
          </cell>
          <cell r="AB29">
            <v>3</v>
          </cell>
          <cell r="AD29">
            <v>45</v>
          </cell>
          <cell r="AF29">
            <v>27.237501263143056</v>
          </cell>
          <cell r="AH29">
            <v>1367.2375012631428</v>
          </cell>
        </row>
        <row r="30">
          <cell r="A30" t="str">
            <v>Other Income and Deductions</v>
          </cell>
          <cell r="K30" t="str">
            <v>Other Income and Deductions</v>
          </cell>
          <cell r="V30" t="str">
            <v>Other Income and Deductions</v>
          </cell>
        </row>
        <row r="31">
          <cell r="B31" t="str">
            <v>Interest Expense</v>
          </cell>
          <cell r="D31">
            <v>-220</v>
          </cell>
          <cell r="G31">
            <v>-11.761926795666664</v>
          </cell>
          <cell r="I31">
            <v>-231.76192679566665</v>
          </cell>
          <cell r="L31" t="str">
            <v>Interest Expense</v>
          </cell>
          <cell r="N31">
            <v>-270</v>
          </cell>
          <cell r="P31">
            <v>0</v>
          </cell>
          <cell r="R31">
            <v>0</v>
          </cell>
          <cell r="T31">
            <v>-270</v>
          </cell>
          <cell r="W31" t="str">
            <v>Interest Expense</v>
          </cell>
          <cell r="Y31">
            <v>-231.76192679566665</v>
          </cell>
          <cell r="AA31">
            <v>-270</v>
          </cell>
          <cell r="AF31">
            <v>-11</v>
          </cell>
          <cell r="AH31">
            <v>-512.76192679566668</v>
          </cell>
        </row>
        <row r="32">
          <cell r="B32" t="str">
            <v>Pref Div</v>
          </cell>
          <cell r="D32">
            <v>-5</v>
          </cell>
          <cell r="E32">
            <v>0</v>
          </cell>
          <cell r="F32">
            <v>0</v>
          </cell>
          <cell r="G32">
            <v>0</v>
          </cell>
          <cell r="I32">
            <v>-5</v>
          </cell>
          <cell r="L32" t="str">
            <v>Pref Div</v>
          </cell>
          <cell r="N32">
            <v>-17</v>
          </cell>
          <cell r="P32">
            <v>0</v>
          </cell>
          <cell r="R32">
            <v>0</v>
          </cell>
          <cell r="T32">
            <v>-17</v>
          </cell>
          <cell r="W32" t="str">
            <v>Pref Div</v>
          </cell>
          <cell r="Y32">
            <v>-5</v>
          </cell>
          <cell r="AA32">
            <v>-17</v>
          </cell>
          <cell r="AF32">
            <v>-5</v>
          </cell>
          <cell r="AH32">
            <v>-27</v>
          </cell>
        </row>
        <row r="33">
          <cell r="B33" t="str">
            <v>Other, net</v>
          </cell>
          <cell r="D33">
            <v>24</v>
          </cell>
          <cell r="E33">
            <v>6</v>
          </cell>
          <cell r="I33">
            <v>30</v>
          </cell>
          <cell r="L33" t="str">
            <v>Other, net</v>
          </cell>
          <cell r="N33">
            <v>103</v>
          </cell>
          <cell r="P33">
            <v>0</v>
          </cell>
          <cell r="R33">
            <v>0</v>
          </cell>
          <cell r="T33">
            <v>103</v>
          </cell>
          <cell r="W33" t="str">
            <v>Other, net</v>
          </cell>
          <cell r="Y33">
            <v>30</v>
          </cell>
          <cell r="AA33">
            <v>103</v>
          </cell>
          <cell r="AB33">
            <v>-3</v>
          </cell>
          <cell r="AF33">
            <v>0</v>
          </cell>
          <cell r="AH33">
            <v>130</v>
          </cell>
        </row>
        <row r="34">
          <cell r="B34" t="str">
            <v xml:space="preserve">   Total Other Income and Deductions</v>
          </cell>
          <cell r="D34">
            <v>-201</v>
          </cell>
          <cell r="E34">
            <v>6</v>
          </cell>
          <cell r="F34">
            <v>0</v>
          </cell>
          <cell r="G34">
            <v>-11.761926795666664</v>
          </cell>
          <cell r="I34">
            <v>-206.76192679566665</v>
          </cell>
          <cell r="L34" t="str">
            <v xml:space="preserve">   Total Other Income and Deductions</v>
          </cell>
          <cell r="N34">
            <v>-184</v>
          </cell>
          <cell r="P34">
            <v>0</v>
          </cell>
          <cell r="R34">
            <v>0</v>
          </cell>
          <cell r="T34">
            <v>-184</v>
          </cell>
          <cell r="W34" t="str">
            <v xml:space="preserve">   Total Other Income and Deductions</v>
          </cell>
          <cell r="Y34">
            <v>-206.76192679566665</v>
          </cell>
          <cell r="AA34">
            <v>-184</v>
          </cell>
          <cell r="AB34">
            <v>-3</v>
          </cell>
          <cell r="AD34">
            <v>0</v>
          </cell>
          <cell r="AF34">
            <v>-16</v>
          </cell>
          <cell r="AH34">
            <v>-409.76192679566668</v>
          </cell>
        </row>
        <row r="36">
          <cell r="A36" t="str">
            <v>Income Before Income Taxes</v>
          </cell>
          <cell r="K36" t="str">
            <v>Income Before Income Taxes</v>
          </cell>
          <cell r="V36" t="str">
            <v>Income Before Income Taxes</v>
          </cell>
        </row>
        <row r="37">
          <cell r="A37" t="str">
            <v>and Extraordinary Item</v>
          </cell>
          <cell r="D37">
            <v>463</v>
          </cell>
          <cell r="E37">
            <v>0</v>
          </cell>
          <cell r="F37">
            <v>5</v>
          </cell>
          <cell r="G37">
            <v>-11.761926795666664</v>
          </cell>
          <cell r="I37">
            <v>456.23807320433332</v>
          </cell>
          <cell r="K37" t="str">
            <v>and Extraordinary Item</v>
          </cell>
          <cell r="N37">
            <v>445</v>
          </cell>
          <cell r="P37">
            <v>0</v>
          </cell>
          <cell r="R37">
            <v>0</v>
          </cell>
          <cell r="T37">
            <v>445</v>
          </cell>
          <cell r="V37" t="str">
            <v>and Extraordinary Item</v>
          </cell>
          <cell r="Y37">
            <v>456.23807320433332</v>
          </cell>
          <cell r="AA37">
            <v>445</v>
          </cell>
          <cell r="AB37">
            <v>0</v>
          </cell>
          <cell r="AD37">
            <v>45</v>
          </cell>
          <cell r="AF37">
            <v>11.237501263143056</v>
          </cell>
          <cell r="AH37">
            <v>957.47557446747612</v>
          </cell>
        </row>
        <row r="38">
          <cell r="A38" t="str">
            <v xml:space="preserve"> </v>
          </cell>
          <cell r="K38" t="str">
            <v xml:space="preserve"> </v>
          </cell>
          <cell r="V38" t="str">
            <v xml:space="preserve"> </v>
          </cell>
        </row>
        <row r="39">
          <cell r="A39" t="str">
            <v xml:space="preserve">Income Tax Expense </v>
          </cell>
          <cell r="D39">
            <v>174</v>
          </cell>
          <cell r="F39">
            <v>2</v>
          </cell>
          <cell r="G39">
            <v>-4.7047707182666656</v>
          </cell>
          <cell r="I39">
            <v>171.29522928173333</v>
          </cell>
          <cell r="K39" t="str">
            <v xml:space="preserve">Income Tax Expense </v>
          </cell>
          <cell r="N39">
            <v>102</v>
          </cell>
          <cell r="P39">
            <v>0</v>
          </cell>
          <cell r="R39">
            <v>0</v>
          </cell>
          <cell r="T39">
            <v>102</v>
          </cell>
          <cell r="V39" t="str">
            <v xml:space="preserve">Income Tax Expense </v>
          </cell>
          <cell r="Y39">
            <v>171.29522928173333</v>
          </cell>
          <cell r="AA39">
            <v>102</v>
          </cell>
          <cell r="AB39">
            <v>0</v>
          </cell>
          <cell r="AD39">
            <v>18</v>
          </cell>
          <cell r="AF39">
            <v>38.095820000000003</v>
          </cell>
          <cell r="AH39">
            <v>329.39104928173333</v>
          </cell>
        </row>
        <row r="40">
          <cell r="A40" t="str">
            <v>Income Before Extraordinary Item</v>
          </cell>
          <cell r="D40">
            <v>289</v>
          </cell>
          <cell r="E40">
            <v>0</v>
          </cell>
          <cell r="F40">
            <v>3</v>
          </cell>
          <cell r="G40">
            <v>-7.0571560773999984</v>
          </cell>
          <cell r="I40">
            <v>284.94284392259999</v>
          </cell>
          <cell r="K40" t="str">
            <v>Income Before Extraordinary Item</v>
          </cell>
          <cell r="N40">
            <v>343</v>
          </cell>
          <cell r="P40">
            <v>0</v>
          </cell>
          <cell r="R40">
            <v>0</v>
          </cell>
          <cell r="T40">
            <v>343</v>
          </cell>
          <cell r="V40" t="str">
            <v>Income Before Extraordinary Item</v>
          </cell>
          <cell r="Y40">
            <v>284.94284392259999</v>
          </cell>
          <cell r="AA40">
            <v>343</v>
          </cell>
          <cell r="AB40">
            <v>0</v>
          </cell>
          <cell r="AD40">
            <v>27</v>
          </cell>
          <cell r="AF40">
            <v>-26.858318736856948</v>
          </cell>
          <cell r="AH40">
            <v>628.08452518574279</v>
          </cell>
        </row>
        <row r="41">
          <cell r="B41" t="str">
            <v>Extraordinary</v>
          </cell>
          <cell r="D41">
            <v>-3</v>
          </cell>
          <cell r="I41">
            <v>-3</v>
          </cell>
          <cell r="W41" t="str">
            <v>PECO Extraordinary</v>
          </cell>
          <cell r="Y41">
            <v>-3</v>
          </cell>
          <cell r="AH41">
            <v>-3</v>
          </cell>
        </row>
        <row r="42">
          <cell r="W42" t="str">
            <v>PECO chg in acct prin ($22 million pre tax)( not needed for proforma purposes)</v>
          </cell>
        </row>
        <row r="43">
          <cell r="L43" t="str">
            <v>Extraordinary</v>
          </cell>
          <cell r="N43">
            <v>-4</v>
          </cell>
          <cell r="W43" t="str">
            <v>ComEd Extraordinary</v>
          </cell>
          <cell r="AA43">
            <v>-4</v>
          </cell>
          <cell r="AH43">
            <v>-4</v>
          </cell>
        </row>
        <row r="44">
          <cell r="W44" t="str">
            <v>Net Income</v>
          </cell>
          <cell r="Y44">
            <v>281.94284392259999</v>
          </cell>
          <cell r="AA44">
            <v>339</v>
          </cell>
          <cell r="AB44">
            <v>0</v>
          </cell>
          <cell r="AD44">
            <v>27</v>
          </cell>
          <cell r="AF44">
            <v>-26.858318736856948</v>
          </cell>
          <cell r="AH44">
            <v>621.08452518574279</v>
          </cell>
        </row>
        <row r="45">
          <cell r="A45" t="str">
            <v>Preferred Stock Dividend</v>
          </cell>
          <cell r="D45">
            <v>5</v>
          </cell>
          <cell r="I45">
            <v>5</v>
          </cell>
          <cell r="V45" t="str">
            <v>Pref Dividend</v>
          </cell>
          <cell r="Y45">
            <v>5</v>
          </cell>
          <cell r="AF45">
            <v>-5</v>
          </cell>
          <cell r="AH45">
            <v>0</v>
          </cell>
        </row>
        <row r="46">
          <cell r="B46" t="str">
            <v>Net Income on Common</v>
          </cell>
          <cell r="D46">
            <v>281</v>
          </cell>
          <cell r="W46" t="str">
            <v>Net Income on Common</v>
          </cell>
          <cell r="Y46">
            <v>276.94284392259999</v>
          </cell>
          <cell r="AA46">
            <v>339</v>
          </cell>
          <cell r="AB46">
            <v>0</v>
          </cell>
          <cell r="AD46">
            <v>27</v>
          </cell>
          <cell r="AF46">
            <v>-21.858318736856948</v>
          </cell>
          <cell r="AH46">
            <v>621.08452518574279</v>
          </cell>
        </row>
        <row r="48">
          <cell r="V48" t="str">
            <v>Income Before Extraordinary</v>
          </cell>
        </row>
        <row r="49">
          <cell r="A49" t="str">
            <v>Income Before Extraordinary</v>
          </cell>
          <cell r="K49" t="str">
            <v>Income Before Extraordinary</v>
          </cell>
          <cell r="T49" t="str">
            <v>info only</v>
          </cell>
          <cell r="V49" t="str">
            <v xml:space="preserve">   Item per Share</v>
          </cell>
          <cell r="AH49">
            <v>1.9469734331841466</v>
          </cell>
        </row>
        <row r="50">
          <cell r="A50" t="str">
            <v xml:space="preserve">   Item per Share</v>
          </cell>
          <cell r="D50" t="e">
            <v>#DIV/0!</v>
          </cell>
          <cell r="K50" t="str">
            <v xml:space="preserve">   Item per Share</v>
          </cell>
          <cell r="N50">
            <v>1.578462954440865</v>
          </cell>
          <cell r="T50">
            <v>1.7929952953476214</v>
          </cell>
        </row>
        <row r="51">
          <cell r="V51" t="str">
            <v>Income Before Extraordinary</v>
          </cell>
        </row>
        <row r="52">
          <cell r="A52" t="str">
            <v>Income Before Extraordinary</v>
          </cell>
          <cell r="K52" t="str">
            <v>Income Before Extraordinary</v>
          </cell>
          <cell r="V52" t="str">
            <v xml:space="preserve">   Item per Share - Diluted</v>
          </cell>
          <cell r="AH52">
            <v>1.9348427575879839</v>
          </cell>
        </row>
        <row r="53">
          <cell r="A53" t="str">
            <v xml:space="preserve">   Item per Share - Diluted</v>
          </cell>
          <cell r="D53" t="e">
            <v>#DIV/0!</v>
          </cell>
          <cell r="K53" t="str">
            <v xml:space="preserve">   Item per Share - Diluted</v>
          </cell>
          <cell r="N53">
            <v>1.5729615702100339</v>
          </cell>
        </row>
        <row r="54">
          <cell r="V54" t="str">
            <v>Average Basic Shares Outstanding</v>
          </cell>
          <cell r="AH54">
            <v>319</v>
          </cell>
        </row>
        <row r="55">
          <cell r="A55" t="str">
            <v>Average Basic Shares Outstanding</v>
          </cell>
          <cell r="K55" t="str">
            <v>Average Basic Shares Outstanding</v>
          </cell>
          <cell r="N55">
            <v>217.3</v>
          </cell>
          <cell r="T55">
            <v>191.3</v>
          </cell>
        </row>
        <row r="56">
          <cell r="V56" t="str">
            <v>Average Diluted Shares Outstanding</v>
          </cell>
          <cell r="AH56">
            <v>321</v>
          </cell>
        </row>
        <row r="57">
          <cell r="A57" t="str">
            <v>Average Diluted Shares Outstanding</v>
          </cell>
          <cell r="K57" t="str">
            <v>Average Diluted Shares Outstanding</v>
          </cell>
          <cell r="N57">
            <v>218.06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Module1"/>
      <sheetName val="2nd qtr 2000"/>
    </sheetNames>
    <sheetDataSet>
      <sheetData sheetId="0" refreshError="1">
        <row r="266">
          <cell r="E266">
            <v>10892664.380000001</v>
          </cell>
        </row>
      </sheetData>
      <sheetData sheetId="1" refreshError="1"/>
      <sheetData sheetId="2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Perf Ratings"/>
      <sheetName val="Incentives"/>
      <sheetName val="Goal Results"/>
      <sheetName val="Separations"/>
      <sheetName val="Sheet1"/>
    </sheetNames>
    <sheetDataSet>
      <sheetData sheetId="0" refreshError="1"/>
      <sheetData sheetId="1" refreshError="1">
        <row r="8">
          <cell r="A8" t="str">
            <v>Abromitis,James J</v>
          </cell>
          <cell r="B8" t="str">
            <v>161-52-2381</v>
          </cell>
          <cell r="C8" t="str">
            <v>002983</v>
          </cell>
          <cell r="D8">
            <v>36822</v>
          </cell>
          <cell r="E8" t="str">
            <v>VP &amp; General Manager</v>
          </cell>
          <cell r="F8" t="str">
            <v>E7</v>
          </cell>
          <cell r="G8" t="str">
            <v>ENTERPRISES</v>
          </cell>
          <cell r="H8" t="str">
            <v>NONE</v>
          </cell>
          <cell r="I8" t="str">
            <v>PG2</v>
          </cell>
          <cell r="J8" t="str">
            <v>Energy Outsourced Solutions</v>
          </cell>
          <cell r="K8" t="str">
            <v>9076</v>
          </cell>
          <cell r="L8">
            <v>170000</v>
          </cell>
          <cell r="O8" t="str">
            <v>Yes</v>
          </cell>
          <cell r="P8">
            <v>6375</v>
          </cell>
          <cell r="Q8">
            <v>3.7499999999999999E-2</v>
          </cell>
          <cell r="R8">
            <v>6375</v>
          </cell>
          <cell r="S8">
            <v>2</v>
          </cell>
          <cell r="U8" t="str">
            <v>W</v>
          </cell>
          <cell r="W8" t="str">
            <v>1</v>
          </cell>
          <cell r="X8" t="str">
            <v>M</v>
          </cell>
          <cell r="Y8">
            <v>21225</v>
          </cell>
          <cell r="Z8" t="str">
            <v>W</v>
          </cell>
        </row>
        <row r="9">
          <cell r="A9" t="str">
            <v>Allen Jr,Herbert H</v>
          </cell>
          <cell r="B9" t="str">
            <v>226-94-5030</v>
          </cell>
          <cell r="C9" t="str">
            <v>003201</v>
          </cell>
          <cell r="D9">
            <v>36909</v>
          </cell>
          <cell r="E9" t="str">
            <v>Vice President Human Resources</v>
          </cell>
          <cell r="F9" t="str">
            <v>E7</v>
          </cell>
          <cell r="G9" t="str">
            <v>ENTERPRISES</v>
          </cell>
          <cell r="H9" t="str">
            <v>NONE</v>
          </cell>
          <cell r="I9" t="str">
            <v>PG2</v>
          </cell>
          <cell r="J9" t="str">
            <v>Human Resources - Enterprises</v>
          </cell>
          <cell r="K9" t="str">
            <v>9071</v>
          </cell>
          <cell r="L9">
            <v>185000</v>
          </cell>
          <cell r="O9" t="str">
            <v>Yes</v>
          </cell>
          <cell r="P9">
            <v>6937.5</v>
          </cell>
          <cell r="Q9">
            <v>3.7499999999999999E-2</v>
          </cell>
          <cell r="R9">
            <v>6937.5</v>
          </cell>
          <cell r="S9">
            <v>2</v>
          </cell>
          <cell r="U9" t="str">
            <v>W</v>
          </cell>
          <cell r="W9" t="str">
            <v>2</v>
          </cell>
          <cell r="X9" t="str">
            <v>M</v>
          </cell>
          <cell r="Y9">
            <v>21294</v>
          </cell>
          <cell r="Z9" t="str">
            <v>W</v>
          </cell>
        </row>
        <row r="10">
          <cell r="A10" t="str">
            <v>Beard, Kenneth H.</v>
          </cell>
          <cell r="Q10">
            <v>3.7499999999999999E-2</v>
          </cell>
          <cell r="S10">
            <v>2</v>
          </cell>
          <cell r="W10">
            <v>1</v>
          </cell>
          <cell r="X10" t="str">
            <v>M</v>
          </cell>
        </row>
        <row r="11">
          <cell r="A11" t="str">
            <v>Cucchi,Gregory A</v>
          </cell>
          <cell r="B11" t="str">
            <v>209-38-1203</v>
          </cell>
          <cell r="C11" t="str">
            <v>111164</v>
          </cell>
          <cell r="D11">
            <v>25713</v>
          </cell>
          <cell r="E11" t="str">
            <v>PRESIDENT &amp; CEO  EIS</v>
          </cell>
          <cell r="F11" t="str">
            <v>AE</v>
          </cell>
          <cell r="G11" t="str">
            <v>ENTERPRISES</v>
          </cell>
          <cell r="H11" t="str">
            <v>CAP</v>
          </cell>
          <cell r="I11" t="str">
            <v>TEL</v>
          </cell>
          <cell r="J11" t="str">
            <v>President &amp; Staff</v>
          </cell>
          <cell r="K11" t="str">
            <v>09201</v>
          </cell>
          <cell r="L11">
            <v>450000</v>
          </cell>
          <cell r="M11">
            <v>37256</v>
          </cell>
          <cell r="N11" t="str">
            <v>CIC</v>
          </cell>
          <cell r="P11">
            <v>0</v>
          </cell>
          <cell r="R11">
            <v>0</v>
          </cell>
          <cell r="W11" t="str">
            <v>1</v>
          </cell>
          <cell r="X11" t="str">
            <v>M</v>
          </cell>
          <cell r="Y11">
            <v>17945</v>
          </cell>
          <cell r="Z11" t="str">
            <v>E</v>
          </cell>
        </row>
        <row r="12">
          <cell r="A12" t="str">
            <v>Gilmore,George H</v>
          </cell>
          <cell r="B12" t="str">
            <v>013-40-5599</v>
          </cell>
          <cell r="C12" t="str">
            <v>003853</v>
          </cell>
          <cell r="D12">
            <v>37228</v>
          </cell>
          <cell r="E12" t="str">
            <v>SVP Exelon Corp/Pres Enterpris</v>
          </cell>
          <cell r="F12" t="str">
            <v>E9</v>
          </cell>
          <cell r="G12" t="str">
            <v>ENTERPRISES</v>
          </cell>
          <cell r="H12" t="str">
            <v>NONE</v>
          </cell>
          <cell r="I12" t="str">
            <v>PG2</v>
          </cell>
          <cell r="J12" t="str">
            <v>EVP, President, CEO Exelon Ent</v>
          </cell>
          <cell r="K12" t="str">
            <v>9000</v>
          </cell>
          <cell r="L12">
            <v>425000</v>
          </cell>
          <cell r="M12">
            <v>37228</v>
          </cell>
          <cell r="N12" t="str">
            <v>New Hire</v>
          </cell>
          <cell r="P12">
            <v>0</v>
          </cell>
          <cell r="R12">
            <v>0</v>
          </cell>
          <cell r="W12" t="str">
            <v>1</v>
          </cell>
          <cell r="X12" t="str">
            <v>M</v>
          </cell>
          <cell r="Y12">
            <v>18073</v>
          </cell>
          <cell r="Z12" t="str">
            <v>W</v>
          </cell>
        </row>
        <row r="13">
          <cell r="A13" t="str">
            <v>Kampling,Patricia L</v>
          </cell>
          <cell r="B13" t="str">
            <v>114-42-6145</v>
          </cell>
          <cell r="C13" t="str">
            <v>399850</v>
          </cell>
          <cell r="D13">
            <v>32384</v>
          </cell>
          <cell r="E13" t="str">
            <v>SVP &amp; CFO</v>
          </cell>
          <cell r="F13" t="str">
            <v>E8</v>
          </cell>
          <cell r="G13" t="str">
            <v>ENTERPRISES</v>
          </cell>
          <cell r="H13" t="str">
            <v>NONE</v>
          </cell>
          <cell r="I13" t="str">
            <v>PG2</v>
          </cell>
          <cell r="J13" t="str">
            <v>Ofc SVP &amp; CFO - Enterprises</v>
          </cell>
          <cell r="K13" t="str">
            <v>9070</v>
          </cell>
          <cell r="L13">
            <v>202400</v>
          </cell>
          <cell r="O13" t="str">
            <v>Yes</v>
          </cell>
          <cell r="P13">
            <v>7590</v>
          </cell>
          <cell r="Q13">
            <v>3.7499999999999999E-2</v>
          </cell>
          <cell r="R13">
            <v>7590</v>
          </cell>
          <cell r="S13">
            <v>2</v>
          </cell>
          <cell r="U13" t="str">
            <v>W</v>
          </cell>
          <cell r="W13" t="str">
            <v>1</v>
          </cell>
          <cell r="X13" t="str">
            <v>F</v>
          </cell>
          <cell r="Y13">
            <v>21769</v>
          </cell>
          <cell r="Z13" t="str">
            <v>W</v>
          </cell>
        </row>
        <row r="14">
          <cell r="A14" t="str">
            <v>Morozzi,James W</v>
          </cell>
          <cell r="B14" t="str">
            <v>174-58-6440</v>
          </cell>
          <cell r="C14" t="str">
            <v>104292</v>
          </cell>
          <cell r="D14">
            <v>31600</v>
          </cell>
          <cell r="E14" t="str">
            <v>DIRECTOR A T &amp; T</v>
          </cell>
          <cell r="F14" t="str">
            <v>E06</v>
          </cell>
          <cell r="G14" t="str">
            <v>ENTERPRISES</v>
          </cell>
          <cell r="H14" t="str">
            <v>TELE- ENT</v>
          </cell>
          <cell r="I14" t="str">
            <v>TEL</v>
          </cell>
          <cell r="J14" t="str">
            <v>Wireless Operations</v>
          </cell>
          <cell r="K14" t="str">
            <v>09100</v>
          </cell>
          <cell r="L14">
            <v>141264</v>
          </cell>
          <cell r="O14" t="str">
            <v>Yes</v>
          </cell>
          <cell r="P14">
            <v>5297.4</v>
          </cell>
          <cell r="Q14">
            <v>3.7499999999999999E-2</v>
          </cell>
          <cell r="R14">
            <v>5297.4</v>
          </cell>
          <cell r="S14">
            <v>2</v>
          </cell>
          <cell r="U14" t="str">
            <v>E</v>
          </cell>
          <cell r="W14" t="str">
            <v>1</v>
          </cell>
          <cell r="X14" t="str">
            <v>M</v>
          </cell>
          <cell r="Y14">
            <v>23053</v>
          </cell>
          <cell r="Z14" t="str">
            <v>E</v>
          </cell>
        </row>
        <row r="15">
          <cell r="A15" t="str">
            <v>Murphy,Dennis E.</v>
          </cell>
          <cell r="B15" t="str">
            <v>180-36-8627</v>
          </cell>
          <cell r="C15" t="str">
            <v>105567</v>
          </cell>
          <cell r="D15">
            <v>35198</v>
          </cell>
          <cell r="E15" t="str">
            <v>VP MKTNG &amp; BUS DEVELOPMENT</v>
          </cell>
          <cell r="F15" t="str">
            <v>E07</v>
          </cell>
          <cell r="G15" t="str">
            <v>ENTERPRISES</v>
          </cell>
          <cell r="H15" t="str">
            <v>MARKETING- ENT</v>
          </cell>
          <cell r="I15" t="str">
            <v>UES</v>
          </cell>
          <cell r="J15" t="str">
            <v>Director of Marketing</v>
          </cell>
          <cell r="K15" t="str">
            <v>32809</v>
          </cell>
          <cell r="L15">
            <v>150000</v>
          </cell>
          <cell r="O15" t="str">
            <v>Yes</v>
          </cell>
          <cell r="P15">
            <v>5625</v>
          </cell>
          <cell r="Q15">
            <v>3.7499999999999999E-2</v>
          </cell>
          <cell r="R15">
            <v>5625</v>
          </cell>
          <cell r="S15">
            <v>2</v>
          </cell>
          <cell r="U15" t="str">
            <v>E</v>
          </cell>
          <cell r="W15" t="str">
            <v>1</v>
          </cell>
          <cell r="X15" t="str">
            <v>M</v>
          </cell>
          <cell r="Y15">
            <v>16656</v>
          </cell>
          <cell r="Z15" t="str">
            <v>E</v>
          </cell>
        </row>
        <row r="16">
          <cell r="A16" t="str">
            <v>Rhodes,Gerald N.</v>
          </cell>
          <cell r="B16" t="str">
            <v>151-34-5416</v>
          </cell>
          <cell r="C16" t="str">
            <v>127207</v>
          </cell>
          <cell r="D16">
            <v>36269</v>
          </cell>
          <cell r="E16" t="str">
            <v>VP CORP &amp; PRESIDENT EXELON</v>
          </cell>
          <cell r="F16" t="str">
            <v>E08</v>
          </cell>
          <cell r="G16" t="str">
            <v>ENTERPRISES</v>
          </cell>
          <cell r="H16" t="str">
            <v>HORIZON- ENT</v>
          </cell>
          <cell r="I16" t="str">
            <v>HEE</v>
          </cell>
          <cell r="J16" t="str">
            <v>Residential &amp; Small Comm'l</v>
          </cell>
          <cell r="K16" t="str">
            <v>04200</v>
          </cell>
          <cell r="L16">
            <v>225000</v>
          </cell>
          <cell r="O16" t="str">
            <v>Yes</v>
          </cell>
          <cell r="P16">
            <v>8437.5</v>
          </cell>
          <cell r="Q16">
            <v>3.7499999999999999E-2</v>
          </cell>
          <cell r="R16">
            <v>8437.5</v>
          </cell>
          <cell r="S16">
            <v>2</v>
          </cell>
          <cell r="U16" t="str">
            <v>E</v>
          </cell>
          <cell r="W16" t="str">
            <v>2</v>
          </cell>
          <cell r="X16" t="str">
            <v>M</v>
          </cell>
          <cell r="Y16">
            <v>16339</v>
          </cell>
          <cell r="Z16" t="str">
            <v>E</v>
          </cell>
        </row>
        <row r="17">
          <cell r="A17" t="str">
            <v>Rollo,Richard</v>
          </cell>
          <cell r="B17" t="str">
            <v>573-25-0741</v>
          </cell>
          <cell r="C17" t="str">
            <v>001528</v>
          </cell>
          <cell r="D17">
            <v>36395</v>
          </cell>
          <cell r="E17" t="str">
            <v>Strategic Bus Devlp Vice Pres</v>
          </cell>
          <cell r="F17" t="str">
            <v>E7</v>
          </cell>
          <cell r="G17" t="str">
            <v>ENTERPRISES</v>
          </cell>
          <cell r="H17" t="str">
            <v>NONE</v>
          </cell>
          <cell r="I17" t="str">
            <v>PG2</v>
          </cell>
          <cell r="J17" t="str">
            <v>Strategic Plng - Enterprises</v>
          </cell>
          <cell r="K17" t="str">
            <v>9072</v>
          </cell>
          <cell r="L17">
            <v>197950</v>
          </cell>
          <cell r="M17">
            <v>36932</v>
          </cell>
          <cell r="N17" t="str">
            <v>Merger</v>
          </cell>
          <cell r="O17" t="str">
            <v>NO</v>
          </cell>
          <cell r="P17">
            <v>0</v>
          </cell>
          <cell r="W17" t="str">
            <v>1</v>
          </cell>
          <cell r="X17" t="str">
            <v>M</v>
          </cell>
          <cell r="Y17">
            <v>21425</v>
          </cell>
          <cell r="Z17" t="str">
            <v>W</v>
          </cell>
        </row>
        <row r="18">
          <cell r="A18" t="str">
            <v>Shinn,Robert A</v>
          </cell>
          <cell r="B18" t="str">
            <v>142-38-5482</v>
          </cell>
          <cell r="C18" t="str">
            <v>100640</v>
          </cell>
          <cell r="D18">
            <v>34712</v>
          </cell>
          <cell r="E18" t="str">
            <v>VP PRES EXELON CAPITAL PARTNRS</v>
          </cell>
          <cell r="F18" t="str">
            <v>E07</v>
          </cell>
          <cell r="G18" t="str">
            <v>ENTERPRISES</v>
          </cell>
          <cell r="H18" t="str">
            <v>OFC PRESIDENT ENT</v>
          </cell>
          <cell r="I18" t="str">
            <v>UES</v>
          </cell>
          <cell r="J18" t="str">
            <v>Exelon Capital Partners</v>
          </cell>
          <cell r="K18" t="str">
            <v>04510</v>
          </cell>
          <cell r="L18">
            <v>225000</v>
          </cell>
          <cell r="O18" t="str">
            <v>Yes</v>
          </cell>
          <cell r="P18">
            <v>8437.5</v>
          </cell>
          <cell r="Q18">
            <v>3.7499999999999999E-2</v>
          </cell>
          <cell r="R18">
            <v>8437.5</v>
          </cell>
          <cell r="S18">
            <v>2</v>
          </cell>
          <cell r="U18" t="str">
            <v>E</v>
          </cell>
          <cell r="W18" t="str">
            <v>1</v>
          </cell>
          <cell r="X18" t="str">
            <v>M</v>
          </cell>
          <cell r="Y18">
            <v>17716</v>
          </cell>
          <cell r="Z18" t="str">
            <v>E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AFUDC"/>
      <sheetName val="WO Type Id PJF Acct"/>
      <sheetName val="CWIP to In-Service List"/>
      <sheetName val="CWIP Open List"/>
      <sheetName val="Completed"/>
      <sheetName val="Blankets"/>
      <sheetName val="Gas Plant"/>
    </sheetNames>
    <sheetDataSet>
      <sheetData sheetId="0"/>
      <sheetData sheetId="1" refreshError="1">
        <row r="7">
          <cell r="B7">
            <v>107712</v>
          </cell>
          <cell r="D7">
            <v>1</v>
          </cell>
        </row>
        <row r="8">
          <cell r="B8">
            <v>107715</v>
          </cell>
          <cell r="D8">
            <v>1</v>
          </cell>
        </row>
        <row r="9">
          <cell r="B9">
            <v>107732</v>
          </cell>
          <cell r="E9">
            <v>1</v>
          </cell>
        </row>
        <row r="10">
          <cell r="B10">
            <v>107734</v>
          </cell>
          <cell r="E10">
            <v>1</v>
          </cell>
        </row>
        <row r="11">
          <cell r="B11">
            <v>107735</v>
          </cell>
          <cell r="E11">
            <v>1</v>
          </cell>
        </row>
        <row r="12">
          <cell r="B12">
            <v>107736</v>
          </cell>
          <cell r="E12">
            <v>1</v>
          </cell>
        </row>
        <row r="13">
          <cell r="B13">
            <v>107737</v>
          </cell>
          <cell r="E13">
            <v>1</v>
          </cell>
        </row>
        <row r="14">
          <cell r="B14">
            <v>107751</v>
          </cell>
          <cell r="F14">
            <v>1</v>
          </cell>
        </row>
        <row r="15">
          <cell r="B15">
            <v>107753</v>
          </cell>
          <cell r="F15">
            <v>1</v>
          </cell>
        </row>
        <row r="16">
          <cell r="B16">
            <v>107754</v>
          </cell>
          <cell r="F16">
            <v>1</v>
          </cell>
        </row>
        <row r="17">
          <cell r="B17">
            <v>107755</v>
          </cell>
          <cell r="F17">
            <v>1</v>
          </cell>
        </row>
        <row r="18">
          <cell r="B18">
            <v>107756</v>
          </cell>
          <cell r="F18">
            <v>1</v>
          </cell>
        </row>
        <row r="19">
          <cell r="B19">
            <v>107759</v>
          </cell>
          <cell r="F19">
            <v>1</v>
          </cell>
        </row>
        <row r="20">
          <cell r="B20">
            <v>107771</v>
          </cell>
          <cell r="G20">
            <v>1</v>
          </cell>
        </row>
        <row r="21">
          <cell r="B21">
            <v>107773</v>
          </cell>
          <cell r="G21">
            <v>1</v>
          </cell>
        </row>
        <row r="22">
          <cell r="B22">
            <v>107774</v>
          </cell>
          <cell r="G22">
            <v>1</v>
          </cell>
        </row>
        <row r="23">
          <cell r="B23">
            <v>107775</v>
          </cell>
          <cell r="G23">
            <v>1</v>
          </cell>
        </row>
        <row r="24">
          <cell r="B24">
            <v>107776</v>
          </cell>
          <cell r="G24">
            <v>1</v>
          </cell>
        </row>
        <row r="25">
          <cell r="B25">
            <v>107781</v>
          </cell>
          <cell r="H25">
            <v>0.25</v>
          </cell>
          <cell r="I25">
            <v>0.5</v>
          </cell>
          <cell r="J25">
            <v>0.25</v>
          </cell>
        </row>
        <row r="26">
          <cell r="B26">
            <v>107785</v>
          </cell>
          <cell r="H26">
            <v>0.25</v>
          </cell>
          <cell r="I26">
            <v>0.5</v>
          </cell>
          <cell r="J26">
            <v>0.25</v>
          </cell>
        </row>
        <row r="27">
          <cell r="B27">
            <v>107786</v>
          </cell>
          <cell r="H27">
            <v>0.25</v>
          </cell>
          <cell r="I27">
            <v>0.5</v>
          </cell>
          <cell r="J27">
            <v>0.25</v>
          </cell>
        </row>
        <row r="28">
          <cell r="B28">
            <v>107789</v>
          </cell>
          <cell r="H28">
            <v>0.25</v>
          </cell>
          <cell r="I28">
            <v>0.5</v>
          </cell>
          <cell r="J28">
            <v>0.25</v>
          </cell>
        </row>
        <row r="29">
          <cell r="B29">
            <v>107791</v>
          </cell>
          <cell r="H29">
            <v>0.25</v>
          </cell>
          <cell r="I29">
            <v>0.5</v>
          </cell>
          <cell r="N29">
            <v>0.25</v>
          </cell>
        </row>
        <row r="30">
          <cell r="B30">
            <v>107796</v>
          </cell>
          <cell r="H30">
            <v>0.25</v>
          </cell>
          <cell r="I30">
            <v>0.5</v>
          </cell>
          <cell r="N30">
            <v>0.25</v>
          </cell>
        </row>
        <row r="31">
          <cell r="B31" t="str">
            <v>1077M8</v>
          </cell>
          <cell r="K31">
            <v>1</v>
          </cell>
        </row>
        <row r="32">
          <cell r="B32" t="str">
            <v>1077R8</v>
          </cell>
          <cell r="L32">
            <v>1</v>
          </cell>
        </row>
        <row r="33">
          <cell r="B33" t="str">
            <v>1077S8</v>
          </cell>
          <cell r="M33">
            <v>0.25</v>
          </cell>
          <cell r="O33">
            <v>0.75</v>
          </cell>
        </row>
        <row r="34">
          <cell r="B34" t="str">
            <v>1077T8</v>
          </cell>
          <cell r="M34">
            <v>0.25</v>
          </cell>
          <cell r="O34">
            <v>0.75</v>
          </cell>
        </row>
        <row r="35">
          <cell r="B35" t="str">
            <v>1077W9</v>
          </cell>
          <cell r="C35">
            <v>1</v>
          </cell>
        </row>
        <row r="36">
          <cell r="B36">
            <v>107812</v>
          </cell>
          <cell r="D36">
            <v>1</v>
          </cell>
        </row>
        <row r="37">
          <cell r="B37">
            <v>107815</v>
          </cell>
          <cell r="D37">
            <v>1</v>
          </cell>
        </row>
        <row r="38">
          <cell r="B38">
            <v>107835</v>
          </cell>
          <cell r="E38">
            <v>1</v>
          </cell>
        </row>
        <row r="39">
          <cell r="B39">
            <v>107851</v>
          </cell>
          <cell r="F39">
            <v>1</v>
          </cell>
        </row>
        <row r="40">
          <cell r="B40">
            <v>107853</v>
          </cell>
          <cell r="F40">
            <v>1</v>
          </cell>
        </row>
        <row r="41">
          <cell r="B41">
            <v>107854</v>
          </cell>
          <cell r="F41">
            <v>1</v>
          </cell>
        </row>
        <row r="42">
          <cell r="B42">
            <v>107855</v>
          </cell>
          <cell r="F42">
            <v>1</v>
          </cell>
        </row>
        <row r="43">
          <cell r="B43">
            <v>107856</v>
          </cell>
          <cell r="F43">
            <v>1</v>
          </cell>
        </row>
        <row r="44">
          <cell r="B44">
            <v>107859</v>
          </cell>
          <cell r="F44">
            <v>1</v>
          </cell>
        </row>
        <row r="45">
          <cell r="B45">
            <v>107861</v>
          </cell>
          <cell r="H45">
            <v>1</v>
          </cell>
        </row>
        <row r="46">
          <cell r="B46">
            <v>107871</v>
          </cell>
          <cell r="G46">
            <v>1</v>
          </cell>
        </row>
        <row r="47">
          <cell r="B47">
            <v>107873</v>
          </cell>
          <cell r="G47">
            <v>1</v>
          </cell>
        </row>
        <row r="48">
          <cell r="B48">
            <v>107874</v>
          </cell>
          <cell r="G48">
            <v>1</v>
          </cell>
        </row>
        <row r="49">
          <cell r="B49">
            <v>107875</v>
          </cell>
          <cell r="G49">
            <v>1</v>
          </cell>
        </row>
        <row r="50">
          <cell r="B50">
            <v>107876</v>
          </cell>
          <cell r="G50">
            <v>1</v>
          </cell>
        </row>
        <row r="51">
          <cell r="B51">
            <v>107881</v>
          </cell>
          <cell r="H51">
            <v>0.25</v>
          </cell>
          <cell r="I51">
            <v>0.5</v>
          </cell>
          <cell r="J51">
            <v>0.25</v>
          </cell>
        </row>
        <row r="52">
          <cell r="B52">
            <v>107885</v>
          </cell>
          <cell r="H52">
            <v>0.25</v>
          </cell>
          <cell r="I52">
            <v>0.5</v>
          </cell>
          <cell r="J52">
            <v>0.25</v>
          </cell>
        </row>
        <row r="53">
          <cell r="B53">
            <v>107891</v>
          </cell>
          <cell r="H53">
            <v>0.25</v>
          </cell>
          <cell r="I53">
            <v>0.5</v>
          </cell>
          <cell r="J53">
            <v>0.25</v>
          </cell>
        </row>
        <row r="54">
          <cell r="B54">
            <v>107896</v>
          </cell>
          <cell r="H54">
            <v>0.25</v>
          </cell>
          <cell r="I54">
            <v>0.5</v>
          </cell>
          <cell r="J54">
            <v>0.25</v>
          </cell>
        </row>
        <row r="55">
          <cell r="B55" t="str">
            <v>1078M8</v>
          </cell>
          <cell r="K55">
            <v>1</v>
          </cell>
        </row>
        <row r="56">
          <cell r="B56" t="str">
            <v>1078R8</v>
          </cell>
          <cell r="L56">
            <v>1</v>
          </cell>
        </row>
        <row r="57">
          <cell r="B57" t="str">
            <v>1078S8</v>
          </cell>
          <cell r="M57">
            <v>0.25</v>
          </cell>
          <cell r="O57">
            <v>0.75</v>
          </cell>
        </row>
        <row r="58">
          <cell r="B58" t="str">
            <v>1078T8</v>
          </cell>
          <cell r="M58">
            <v>0.25</v>
          </cell>
          <cell r="O58">
            <v>0.75</v>
          </cell>
        </row>
        <row r="59">
          <cell r="B59" t="str">
            <v>1078V8</v>
          </cell>
          <cell r="K59">
            <v>1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s CWIP Blanket WOs"/>
      <sheetName val="Estimated Retirements"/>
      <sheetName val="WO Type Id PJF Acct"/>
    </sheetNames>
    <sheetDataSet>
      <sheetData sheetId="0"/>
      <sheetData sheetId="1" refreshError="1"/>
      <sheetData sheetId="2" refreshError="1">
        <row r="6">
          <cell r="C6" t="str">
            <v>PJF 2</v>
          </cell>
          <cell r="D6">
            <v>23030</v>
          </cell>
          <cell r="E6">
            <v>23040</v>
          </cell>
          <cell r="F6">
            <v>23550</v>
          </cell>
          <cell r="G6">
            <v>23670</v>
          </cell>
          <cell r="H6">
            <v>23760</v>
          </cell>
          <cell r="I6">
            <v>23800</v>
          </cell>
          <cell r="J6">
            <v>23820</v>
          </cell>
          <cell r="K6">
            <v>23830</v>
          </cell>
          <cell r="L6">
            <v>23900</v>
          </cell>
          <cell r="M6">
            <v>23920</v>
          </cell>
          <cell r="N6">
            <v>23940</v>
          </cell>
          <cell r="O6">
            <v>23950</v>
          </cell>
          <cell r="P6">
            <v>23960</v>
          </cell>
          <cell r="Q6" t="str">
            <v>Grand Total</v>
          </cell>
        </row>
        <row r="7">
          <cell r="E7">
            <v>1</v>
          </cell>
          <cell r="Q7">
            <v>1</v>
          </cell>
        </row>
        <row r="8">
          <cell r="E8">
            <v>1</v>
          </cell>
          <cell r="Q8">
            <v>1</v>
          </cell>
        </row>
        <row r="9">
          <cell r="C9" t="str">
            <v>107732</v>
          </cell>
          <cell r="F9">
            <v>1</v>
          </cell>
          <cell r="Q9">
            <v>1</v>
          </cell>
        </row>
        <row r="10">
          <cell r="F10">
            <v>1</v>
          </cell>
          <cell r="Q10">
            <v>1</v>
          </cell>
        </row>
        <row r="11">
          <cell r="C11" t="str">
            <v>107735</v>
          </cell>
          <cell r="F11">
            <v>1</v>
          </cell>
          <cell r="Q11">
            <v>1</v>
          </cell>
        </row>
        <row r="12">
          <cell r="C12" t="str">
            <v>107736</v>
          </cell>
          <cell r="F12">
            <v>1</v>
          </cell>
          <cell r="Q12">
            <v>1</v>
          </cell>
        </row>
        <row r="13">
          <cell r="C13" t="str">
            <v>107737</v>
          </cell>
          <cell r="F13">
            <v>1</v>
          </cell>
          <cell r="Q13">
            <v>1</v>
          </cell>
        </row>
        <row r="14">
          <cell r="C14" t="str">
            <v>107751</v>
          </cell>
          <cell r="G14">
            <v>1</v>
          </cell>
          <cell r="Q14">
            <v>1</v>
          </cell>
        </row>
        <row r="15">
          <cell r="C15" t="str">
            <v>107753</v>
          </cell>
          <cell r="G15">
            <v>1</v>
          </cell>
          <cell r="Q15">
            <v>1</v>
          </cell>
        </row>
        <row r="16">
          <cell r="C16" t="str">
            <v>107754</v>
          </cell>
          <cell r="G16">
            <v>1</v>
          </cell>
          <cell r="Q16">
            <v>1</v>
          </cell>
        </row>
        <row r="17">
          <cell r="C17" t="str">
            <v>107755</v>
          </cell>
          <cell r="G17">
            <v>1</v>
          </cell>
          <cell r="Q17">
            <v>1</v>
          </cell>
        </row>
        <row r="18">
          <cell r="C18" t="str">
            <v>107756</v>
          </cell>
          <cell r="G18">
            <v>1</v>
          </cell>
          <cell r="Q18">
            <v>1</v>
          </cell>
        </row>
        <row r="19">
          <cell r="C19" t="str">
            <v>107759</v>
          </cell>
          <cell r="G19">
            <v>1</v>
          </cell>
          <cell r="Q19">
            <v>1</v>
          </cell>
        </row>
        <row r="20">
          <cell r="C20" t="str">
            <v>107771</v>
          </cell>
          <cell r="H20">
            <v>1</v>
          </cell>
          <cell r="Q20">
            <v>1</v>
          </cell>
        </row>
        <row r="21">
          <cell r="C21" t="str">
            <v>107773</v>
          </cell>
          <cell r="H21">
            <v>1</v>
          </cell>
          <cell r="Q21">
            <v>1</v>
          </cell>
        </row>
        <row r="22">
          <cell r="C22" t="str">
            <v>107774</v>
          </cell>
          <cell r="H22">
            <v>1</v>
          </cell>
          <cell r="Q22">
            <v>1</v>
          </cell>
        </row>
        <row r="23">
          <cell r="C23" t="str">
            <v>107775</v>
          </cell>
          <cell r="H23">
            <v>1</v>
          </cell>
          <cell r="Q23">
            <v>1</v>
          </cell>
        </row>
        <row r="24">
          <cell r="H24">
            <v>1</v>
          </cell>
          <cell r="Q24">
            <v>1</v>
          </cell>
        </row>
        <row r="25">
          <cell r="C25" t="str">
            <v>107781</v>
          </cell>
          <cell r="I25">
            <v>0.25</v>
          </cell>
          <cell r="J25">
            <v>0.5</v>
          </cell>
          <cell r="K25">
            <v>0.25</v>
          </cell>
          <cell r="Q25">
            <v>1</v>
          </cell>
        </row>
        <row r="26">
          <cell r="I26">
            <v>0.25</v>
          </cell>
          <cell r="J26">
            <v>0.5</v>
          </cell>
          <cell r="K26">
            <v>0.25</v>
          </cell>
          <cell r="Q26">
            <v>1</v>
          </cell>
        </row>
        <row r="27">
          <cell r="I27">
            <v>0.25</v>
          </cell>
          <cell r="J27">
            <v>0.5</v>
          </cell>
          <cell r="K27">
            <v>0.25</v>
          </cell>
          <cell r="Q27">
            <v>1</v>
          </cell>
        </row>
        <row r="28">
          <cell r="I28">
            <v>0.25</v>
          </cell>
          <cell r="J28">
            <v>0.5</v>
          </cell>
          <cell r="K28">
            <v>0.25</v>
          </cell>
          <cell r="Q28">
            <v>1</v>
          </cell>
        </row>
        <row r="29">
          <cell r="I29">
            <v>0.25</v>
          </cell>
          <cell r="J29">
            <v>0.5</v>
          </cell>
          <cell r="O29">
            <v>0.25</v>
          </cell>
          <cell r="Q29">
            <v>1</v>
          </cell>
        </row>
        <row r="30">
          <cell r="I30">
            <v>0.25</v>
          </cell>
          <cell r="J30">
            <v>0.5</v>
          </cell>
          <cell r="O30">
            <v>0.25</v>
          </cell>
          <cell r="Q30">
            <v>1</v>
          </cell>
        </row>
        <row r="31">
          <cell r="L31">
            <v>1</v>
          </cell>
          <cell r="Q31">
            <v>1</v>
          </cell>
        </row>
        <row r="32">
          <cell r="M32">
            <v>1</v>
          </cell>
          <cell r="Q32">
            <v>1</v>
          </cell>
        </row>
        <row r="33">
          <cell r="N33">
            <v>0.25</v>
          </cell>
          <cell r="P33">
            <v>0.75</v>
          </cell>
          <cell r="Q33">
            <v>1</v>
          </cell>
        </row>
        <row r="34">
          <cell r="N34">
            <v>0.25</v>
          </cell>
          <cell r="P34">
            <v>0.75</v>
          </cell>
          <cell r="Q34">
            <v>1</v>
          </cell>
        </row>
        <row r="35">
          <cell r="D35">
            <v>1</v>
          </cell>
          <cell r="Q35">
            <v>1</v>
          </cell>
        </row>
        <row r="36">
          <cell r="E36">
            <v>1</v>
          </cell>
          <cell r="Q36">
            <v>1</v>
          </cell>
        </row>
        <row r="37">
          <cell r="E37">
            <v>1</v>
          </cell>
          <cell r="Q37">
            <v>1</v>
          </cell>
        </row>
        <row r="38">
          <cell r="C38" t="str">
            <v>107835</v>
          </cell>
          <cell r="F38">
            <v>1</v>
          </cell>
          <cell r="Q38">
            <v>1</v>
          </cell>
        </row>
        <row r="39">
          <cell r="C39" t="str">
            <v>107851</v>
          </cell>
          <cell r="G39">
            <v>1</v>
          </cell>
          <cell r="Q39">
            <v>1</v>
          </cell>
        </row>
        <row r="40">
          <cell r="C40" t="str">
            <v>107853</v>
          </cell>
          <cell r="G40">
            <v>1</v>
          </cell>
          <cell r="Q40">
            <v>1</v>
          </cell>
        </row>
        <row r="41">
          <cell r="C41" t="str">
            <v>107854</v>
          </cell>
          <cell r="G41">
            <v>1</v>
          </cell>
          <cell r="Q41">
            <v>1</v>
          </cell>
        </row>
        <row r="42">
          <cell r="C42" t="str">
            <v>107855</v>
          </cell>
          <cell r="G42">
            <v>1</v>
          </cell>
          <cell r="Q42">
            <v>1</v>
          </cell>
        </row>
        <row r="43">
          <cell r="C43" t="str">
            <v>107856</v>
          </cell>
          <cell r="G43">
            <v>1</v>
          </cell>
          <cell r="Q43">
            <v>1</v>
          </cell>
        </row>
        <row r="44">
          <cell r="C44" t="str">
            <v>107859</v>
          </cell>
          <cell r="G44">
            <v>1</v>
          </cell>
          <cell r="Q44">
            <v>1</v>
          </cell>
        </row>
        <row r="45">
          <cell r="C45" t="str">
            <v>107861</v>
          </cell>
          <cell r="I45">
            <v>1</v>
          </cell>
          <cell r="Q45">
            <v>1</v>
          </cell>
        </row>
        <row r="46">
          <cell r="C46" t="str">
            <v>107871</v>
          </cell>
          <cell r="H46">
            <v>1</v>
          </cell>
          <cell r="Q46">
            <v>1</v>
          </cell>
        </row>
        <row r="47">
          <cell r="C47" t="str">
            <v>107873</v>
          </cell>
          <cell r="H47">
            <v>1</v>
          </cell>
          <cell r="Q47">
            <v>1</v>
          </cell>
        </row>
        <row r="48">
          <cell r="C48" t="str">
            <v>107874</v>
          </cell>
          <cell r="H48">
            <v>1</v>
          </cell>
          <cell r="Q48">
            <v>1</v>
          </cell>
        </row>
        <row r="49">
          <cell r="C49" t="str">
            <v>107875</v>
          </cell>
          <cell r="H49">
            <v>1</v>
          </cell>
          <cell r="Q49">
            <v>1</v>
          </cell>
        </row>
        <row r="50">
          <cell r="C50" t="str">
            <v>107876</v>
          </cell>
          <cell r="H50">
            <v>1</v>
          </cell>
          <cell r="Q50">
            <v>1</v>
          </cell>
        </row>
        <row r="51">
          <cell r="C51" t="str">
            <v>107881</v>
          </cell>
          <cell r="I51">
            <v>0.25</v>
          </cell>
          <cell r="J51">
            <v>0.5</v>
          </cell>
          <cell r="K51">
            <v>0.25</v>
          </cell>
          <cell r="Q51">
            <v>1</v>
          </cell>
        </row>
        <row r="52">
          <cell r="I52">
            <v>0.25</v>
          </cell>
          <cell r="J52">
            <v>0.5</v>
          </cell>
          <cell r="K52">
            <v>0.25</v>
          </cell>
          <cell r="Q52">
            <v>1</v>
          </cell>
        </row>
        <row r="53">
          <cell r="I53">
            <v>0.25</v>
          </cell>
          <cell r="J53">
            <v>0.5</v>
          </cell>
          <cell r="K53">
            <v>0.25</v>
          </cell>
          <cell r="Q53">
            <v>1</v>
          </cell>
        </row>
        <row r="54">
          <cell r="I54">
            <v>0.25</v>
          </cell>
          <cell r="J54">
            <v>0.5</v>
          </cell>
          <cell r="K54">
            <v>0.25</v>
          </cell>
          <cell r="Q54">
            <v>1</v>
          </cell>
        </row>
        <row r="55">
          <cell r="L55">
            <v>1</v>
          </cell>
          <cell r="Q55">
            <v>1</v>
          </cell>
        </row>
        <row r="56">
          <cell r="M56">
            <v>1</v>
          </cell>
          <cell r="Q56">
            <v>1</v>
          </cell>
        </row>
        <row r="57">
          <cell r="C57" t="str">
            <v>1078S8</v>
          </cell>
          <cell r="N57">
            <v>0.25</v>
          </cell>
          <cell r="P57">
            <v>0.75</v>
          </cell>
          <cell r="Q57">
            <v>1</v>
          </cell>
        </row>
        <row r="58">
          <cell r="N58">
            <v>0.25</v>
          </cell>
          <cell r="P58">
            <v>0.75</v>
          </cell>
          <cell r="Q58">
            <v>1</v>
          </cell>
        </row>
        <row r="59">
          <cell r="L59">
            <v>1</v>
          </cell>
          <cell r="Q59">
            <v>1</v>
          </cell>
        </row>
      </sheetData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TD SCH (2)"/>
      <sheetName val="TFTNs (2)"/>
      <sheetName val="LTD SCH"/>
      <sheetName val="ST Debt WP per AEE RTTY"/>
      <sheetName val="ST Debt"/>
      <sheetName val="ST Debt WP"/>
      <sheetName val="TFTNs"/>
      <sheetName val="Var Int 08"/>
      <sheetName val="Var Int"/>
      <sheetName val="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FI use"/>
      <sheetName val="FERC Stmts"/>
      <sheetName val="UCM Share Repurchase"/>
      <sheetName val="Goodwill"/>
      <sheetName val="available fossil proceeds"/>
      <sheetName val="Div Declared"/>
      <sheetName val="Sheet1"/>
      <sheetName val="SETUP - Review"/>
      <sheetName val="Table of Contents"/>
      <sheetName val="1-IncStmt-MTH"/>
      <sheetName val="1a-IncStmt-MTD Adj"/>
      <sheetName val="2-IncStmt-QTR"/>
      <sheetName val="2b-IncStmt-QTD Adj"/>
      <sheetName val="3-IncStmt-YTD"/>
      <sheetName val="3a-IncStmt-YTD Adj"/>
      <sheetName val="4-Capital Structure"/>
      <sheetName val="5-Balance Sheet"/>
      <sheetName val="5b - Detail of BS Close Entries"/>
      <sheetName val="6-5% Test"/>
      <sheetName val="6a-5% Test Detail"/>
      <sheetName val="7 - Cash Flows Consolidated"/>
      <sheetName val="7a - Cash Flow Summary"/>
      <sheetName val="7b - Cash Flows - ComEd"/>
      <sheetName val="7c - Cash Flows - PECO"/>
      <sheetName val="7d - Cash Flows - Genco"/>
      <sheetName val="7e - Cash Flows - Enterprises"/>
      <sheetName val="7f - Corp BSC"/>
      <sheetName val="8 - PPE"/>
      <sheetName val="9 - Investments"/>
      <sheetName val="10-LTD"/>
      <sheetName val="11-GW Amort and Other Assets"/>
      <sheetName val="12-Equity Rollforward"/>
      <sheetName val="12a- OCI Qtr"/>
      <sheetName val="12b - OCI ytd"/>
      <sheetName val="13 - Footnote disclosures "/>
      <sheetName val="14-Schedule II - Valuations"/>
      <sheetName val="15-Statistics -QTR"/>
      <sheetName val="16-Statistics - YTD"/>
      <sheetName val="17-Add'l Info"/>
      <sheetName val="21-Revised 12.04 BS"/>
      <sheetName val="22 - Revised PY BS"/>
      <sheetName val="23-QTD 2005 DO Summary"/>
      <sheetName val="23a-QTD 2005 DO Detail"/>
      <sheetName val="24-YTD 2005 DO Summary"/>
      <sheetName val="24a-YTD 2005 DO Detail"/>
      <sheetName val="25-QTD 2004 DO Summary"/>
      <sheetName val="25a-QTD 2004 DO Detail"/>
      <sheetName val="26-YTD 2004 DO Summary"/>
      <sheetName val="26a-YTD 2004 DO Detail"/>
      <sheetName val="PETT 1999 A-2 3-1-03"/>
      <sheetName val="PETT 2000 C-1 3-1-10"/>
      <sheetName val="PETT 1999 A-3 3-1-04 Libor"/>
      <sheetName val="PETT 1999 A-4 3-1-05"/>
      <sheetName val="PETT 1999 A-5 9-1-07 Libor"/>
      <sheetName val="PETT 1999 A-6 3-1-07"/>
      <sheetName val="PETT 1999 A-7  9-1-08"/>
      <sheetName val="PETT 2000 B-2 9-1-02"/>
      <sheetName val="PETT 2000 B-3 3-1-09"/>
      <sheetName val="PETT 2000 B-4 9-1-09"/>
      <sheetName val="Wolf Hollow"/>
      <sheetName val="Major Maintenance_without Hud 2"/>
    </sheetNames>
    <sheetDataSet>
      <sheetData sheetId="0" refreshError="1">
        <row r="1">
          <cell r="I1" t="str">
            <v>Inc/(dec)</v>
          </cell>
          <cell r="J1" t="str">
            <v>Inc/(dec)</v>
          </cell>
          <cell r="L1" t="str">
            <v>Premium/</v>
          </cell>
        </row>
        <row r="2">
          <cell r="C2" t="str">
            <v>Shares</v>
          </cell>
          <cell r="D2" t="str">
            <v>Principal</v>
          </cell>
          <cell r="I2" t="str">
            <v>in Interest</v>
          </cell>
          <cell r="J2" t="str">
            <v>in Div's</v>
          </cell>
          <cell r="L2" t="str">
            <v>Fees</v>
          </cell>
          <cell r="N2" t="str">
            <v>Cash</v>
          </cell>
          <cell r="O2" t="str">
            <v>Interest</v>
          </cell>
        </row>
        <row r="3">
          <cell r="B3" t="str">
            <v>Issue</v>
          </cell>
          <cell r="C3" t="str">
            <v>in millions</v>
          </cell>
          <cell r="D3" t="str">
            <v>in millions</v>
          </cell>
          <cell r="I3" t="str">
            <v>in millions</v>
          </cell>
          <cell r="J3" t="str">
            <v>in millions</v>
          </cell>
          <cell r="L3" t="str">
            <v>in millions</v>
          </cell>
          <cell r="N3" t="str">
            <v>Balance</v>
          </cell>
          <cell r="O3" t="str">
            <v>Income</v>
          </cell>
        </row>
        <row r="4">
          <cell r="B4" t="str">
            <v>Initial Proceeds</v>
          </cell>
          <cell r="D4">
            <v>3400</v>
          </cell>
          <cell r="F4">
            <v>5.5800000000000002E-2</v>
          </cell>
          <cell r="I4">
            <v>189.72</v>
          </cell>
          <cell r="L4">
            <v>-40</v>
          </cell>
          <cell r="N4">
            <v>3360</v>
          </cell>
        </row>
        <row r="5">
          <cell r="I5">
            <v>0</v>
          </cell>
        </row>
        <row r="6">
          <cell r="B6" t="str">
            <v>CP</v>
          </cell>
          <cell r="D6">
            <v>-272</v>
          </cell>
          <cell r="F6">
            <v>5.1999999999999998E-2</v>
          </cell>
          <cell r="I6">
            <v>-14.144</v>
          </cell>
          <cell r="K6" t="str">
            <v>$43 was originally used in the 8-K</v>
          </cell>
          <cell r="N6">
            <v>3088</v>
          </cell>
        </row>
        <row r="7">
          <cell r="A7" t="str">
            <v>6M shares</v>
          </cell>
          <cell r="B7" t="str">
            <v>Common(1)</v>
          </cell>
          <cell r="D7">
            <v>-230</v>
          </cell>
          <cell r="I7">
            <v>0</v>
          </cell>
          <cell r="K7" t="str">
            <v xml:space="preserve">the amount calc's to $66.5.  What </v>
          </cell>
          <cell r="N7">
            <v>2858</v>
          </cell>
        </row>
        <row r="8">
          <cell r="B8" t="str">
            <v>CP</v>
          </cell>
          <cell r="D8">
            <v>-106.4</v>
          </cell>
          <cell r="F8">
            <v>5.6500000000000002E-2</v>
          </cell>
          <cell r="I8">
            <v>-6.0116000000000005</v>
          </cell>
          <cell r="K8" t="str">
            <v>is the difference?</v>
          </cell>
          <cell r="N8">
            <v>2751.6</v>
          </cell>
        </row>
        <row r="9">
          <cell r="B9" t="str">
            <v>CP</v>
          </cell>
          <cell r="D9">
            <v>-47.3</v>
          </cell>
          <cell r="F9">
            <v>6.2199999999999998E-2</v>
          </cell>
          <cell r="I9">
            <v>-2.9420599999999997</v>
          </cell>
          <cell r="N9">
            <v>2704.2999999999997</v>
          </cell>
        </row>
        <row r="10">
          <cell r="B10" t="str">
            <v>Pref</v>
          </cell>
          <cell r="C10">
            <v>11.519894000000001</v>
          </cell>
          <cell r="D10">
            <v>-534.20000000000005</v>
          </cell>
          <cell r="G10">
            <v>5.78</v>
          </cell>
          <cell r="I10">
            <v>0</v>
          </cell>
          <cell r="J10">
            <v>-43</v>
          </cell>
          <cell r="L10">
            <v>-5.9</v>
          </cell>
          <cell r="N10">
            <v>2164.1999999999994</v>
          </cell>
        </row>
        <row r="11">
          <cell r="B11" t="str">
            <v>LTD</v>
          </cell>
          <cell r="D11">
            <v>-730</v>
          </cell>
          <cell r="F11">
            <v>8.2199999999999995E-2</v>
          </cell>
          <cell r="I11">
            <v>-60.005999999999993</v>
          </cell>
          <cell r="L11">
            <v>-18.5</v>
          </cell>
          <cell r="N11">
            <v>1415.6999999999994</v>
          </cell>
        </row>
        <row r="12">
          <cell r="B12" t="str">
            <v>LTD</v>
          </cell>
          <cell r="D12">
            <v>-30.3</v>
          </cell>
          <cell r="F12">
            <v>9.3799999999999994E-2</v>
          </cell>
          <cell r="I12">
            <v>-2.8421400000000001</v>
          </cell>
          <cell r="L12">
            <v>-1.4</v>
          </cell>
          <cell r="N12">
            <v>1383.9999999999993</v>
          </cell>
        </row>
        <row r="13">
          <cell r="A13">
            <v>36187</v>
          </cell>
          <cell r="B13" t="str">
            <v>Common</v>
          </cell>
          <cell r="D13">
            <v>-6.8</v>
          </cell>
          <cell r="I13">
            <v>0</v>
          </cell>
          <cell r="N13">
            <v>1377.1999999999994</v>
          </cell>
        </row>
        <row r="14">
          <cell r="A14" t="str">
            <v>Forward</v>
          </cell>
          <cell r="B14" t="str">
            <v>Common</v>
          </cell>
          <cell r="D14">
            <v>-495</v>
          </cell>
          <cell r="I14">
            <v>0</v>
          </cell>
          <cell r="N14">
            <v>882.19999999999936</v>
          </cell>
        </row>
        <row r="15">
          <cell r="B15" t="str">
            <v>LTD</v>
          </cell>
          <cell r="D15">
            <v>-198.9</v>
          </cell>
          <cell r="F15">
            <v>9.6500000000000002E-2</v>
          </cell>
          <cell r="I15">
            <v>-19.193850000000001</v>
          </cell>
          <cell r="L15">
            <v>-15</v>
          </cell>
          <cell r="N15">
            <v>668.29999999999939</v>
          </cell>
        </row>
        <row r="16">
          <cell r="B16" t="str">
            <v>CP</v>
          </cell>
          <cell r="D16">
            <v>-65</v>
          </cell>
          <cell r="F16">
            <v>6.2E-2</v>
          </cell>
          <cell r="I16">
            <v>-4.03</v>
          </cell>
          <cell r="N16">
            <v>603.29999999999939</v>
          </cell>
        </row>
        <row r="17">
          <cell r="B17" t="str">
            <v>LTD</v>
          </cell>
          <cell r="D17">
            <v>-58</v>
          </cell>
          <cell r="F17">
            <v>7.6300000000000007E-2</v>
          </cell>
          <cell r="I17">
            <v>-4.4254000000000007</v>
          </cell>
          <cell r="L17">
            <v>-0.06</v>
          </cell>
          <cell r="N17">
            <v>545.23999999999944</v>
          </cell>
        </row>
        <row r="18">
          <cell r="B18" t="str">
            <v>CP</v>
          </cell>
          <cell r="D18">
            <v>-9.3000000000000007</v>
          </cell>
          <cell r="F18">
            <v>6.13E-2</v>
          </cell>
          <cell r="I18">
            <v>-0.5700900000000001</v>
          </cell>
          <cell r="N18">
            <v>535.93999999999949</v>
          </cell>
        </row>
        <row r="19">
          <cell r="A19" t="str">
            <v>March</v>
          </cell>
          <cell r="B19" t="str">
            <v>Common</v>
          </cell>
          <cell r="D19">
            <v>-186.90000000000003</v>
          </cell>
          <cell r="I19">
            <v>0</v>
          </cell>
          <cell r="N19">
            <v>349.03999999999945</v>
          </cell>
        </row>
        <row r="20">
          <cell r="B20" t="str">
            <v>LTD</v>
          </cell>
          <cell r="D20">
            <v>-0.1</v>
          </cell>
          <cell r="F20">
            <v>9.4100000000000003E-2</v>
          </cell>
          <cell r="I20">
            <v>-9.4100000000000017E-3</v>
          </cell>
          <cell r="L20">
            <v>-4.0999999999999996</v>
          </cell>
          <cell r="N20">
            <v>344.83999999999941</v>
          </cell>
        </row>
        <row r="21">
          <cell r="B21" t="str">
            <v>Pref</v>
          </cell>
          <cell r="C21">
            <v>3</v>
          </cell>
          <cell r="D21">
            <v>-75</v>
          </cell>
          <cell r="G21">
            <v>2.4300000000000002</v>
          </cell>
          <cell r="I21">
            <v>0</v>
          </cell>
          <cell r="J21">
            <v>-7.2900000000000009</v>
          </cell>
          <cell r="L21">
            <v>-2.2999999999999998</v>
          </cell>
          <cell r="N21">
            <v>267.5399999999994</v>
          </cell>
        </row>
        <row r="22">
          <cell r="N22">
            <v>267.5399999999994</v>
          </cell>
        </row>
        <row r="23">
          <cell r="B23" t="str">
            <v>Seaway Loan</v>
          </cell>
          <cell r="D23">
            <v>-3.6</v>
          </cell>
          <cell r="F23">
            <v>-0.08</v>
          </cell>
          <cell r="I23">
            <v>0.28800000000000003</v>
          </cell>
          <cell r="N23">
            <v>263.93999999999937</v>
          </cell>
        </row>
        <row r="24">
          <cell r="B24" t="str">
            <v>MTN</v>
          </cell>
          <cell r="D24">
            <v>-140</v>
          </cell>
          <cell r="F24">
            <v>9.0423214285714273E-2</v>
          </cell>
          <cell r="I24">
            <v>-12.659249999999998</v>
          </cell>
          <cell r="L24">
            <v>0</v>
          </cell>
          <cell r="N24">
            <v>123.93999999999937</v>
          </cell>
        </row>
        <row r="25">
          <cell r="O25">
            <v>4.4999999999999998E-2</v>
          </cell>
        </row>
        <row r="26">
          <cell r="B26" t="str">
            <v>Balance</v>
          </cell>
          <cell r="D26">
            <v>211.19999999999953</v>
          </cell>
          <cell r="I26">
            <v>63.174200000000013</v>
          </cell>
          <cell r="J26">
            <v>-50.29</v>
          </cell>
          <cell r="L26">
            <v>-87.26</v>
          </cell>
          <cell r="O26">
            <v>5.5772999999999717</v>
          </cell>
        </row>
        <row r="28">
          <cell r="B28" t="str">
            <v>Fees</v>
          </cell>
          <cell r="D28">
            <v>-87.26</v>
          </cell>
        </row>
        <row r="29">
          <cell r="D29">
            <v>123.93999999999953</v>
          </cell>
        </row>
        <row r="31">
          <cell r="B31" t="str">
            <v>Addback items which</v>
          </cell>
        </row>
        <row r="32">
          <cell r="B32" t="str">
            <v xml:space="preserve">have not happen through </v>
          </cell>
        </row>
        <row r="33">
          <cell r="B33" t="str">
            <v>September 30, 1999</v>
          </cell>
        </row>
        <row r="34">
          <cell r="B34" t="str">
            <v>Common(1)</v>
          </cell>
          <cell r="D34">
            <v>230</v>
          </cell>
        </row>
        <row r="35">
          <cell r="B35" t="str">
            <v>MTN</v>
          </cell>
          <cell r="D35">
            <v>140</v>
          </cell>
        </row>
        <row r="36">
          <cell r="D36">
            <v>493.93999999999954</v>
          </cell>
          <cell r="E36" t="str">
            <v>Ana, I believe this should be the $496M we discussed on the phone.</v>
          </cell>
        </row>
        <row r="37">
          <cell r="E37" t="str">
            <v>Do you know what the difference is?</v>
          </cell>
        </row>
        <row r="39">
          <cell r="A39" t="str">
            <v>"(1)  represents estimate of additional shares to be repurchases due to merger other than the $750M.</v>
          </cell>
        </row>
        <row r="43">
          <cell r="A43" t="str">
            <v>PER INFORMATION ABOVE</v>
          </cell>
        </row>
        <row r="44">
          <cell r="A44" t="str">
            <v>Income Statement Impact</v>
          </cell>
          <cell r="D44" t="str">
            <v>Int Exp/Inc</v>
          </cell>
          <cell r="F44" t="str">
            <v>Fees</v>
          </cell>
          <cell r="H44" t="str">
            <v>Total</v>
          </cell>
        </row>
        <row r="45">
          <cell r="A45" t="str">
            <v>Fees and Premiums</v>
          </cell>
          <cell r="F45">
            <v>39.06</v>
          </cell>
          <cell r="H45">
            <v>39.06</v>
          </cell>
        </row>
        <row r="46">
          <cell r="A46" t="str">
            <v>Increased Interest Expense</v>
          </cell>
          <cell r="D46">
            <v>63.174200000000013</v>
          </cell>
          <cell r="H46">
            <v>63.174200000000013</v>
          </cell>
        </row>
        <row r="47">
          <cell r="A47" t="str">
            <v>Increase Interest Income</v>
          </cell>
          <cell r="D47">
            <v>5.5772999999999717</v>
          </cell>
          <cell r="H47">
            <v>5.5772999999999717</v>
          </cell>
        </row>
        <row r="48">
          <cell r="A48" t="str">
            <v>Change to Taxable Income</v>
          </cell>
          <cell r="D48">
            <v>-57.596900000000041</v>
          </cell>
          <cell r="F48">
            <v>-39.06</v>
          </cell>
          <cell r="H48">
            <v>-96.656900000000036</v>
          </cell>
        </row>
        <row r="49">
          <cell r="A49" t="str">
            <v>Change to income taxes(fed)</v>
          </cell>
          <cell r="D49">
            <v>18.742031260000015</v>
          </cell>
          <cell r="E49">
            <v>0.32540000000000002</v>
          </cell>
          <cell r="F49">
            <v>12.710124000000002</v>
          </cell>
          <cell r="H49">
            <v>31.452155260000019</v>
          </cell>
        </row>
        <row r="50">
          <cell r="A50" t="str">
            <v>Change to income taxes(State)</v>
          </cell>
          <cell r="D50">
            <v>4.0433023800000027</v>
          </cell>
          <cell r="E50">
            <v>7.0199999999999999E-2</v>
          </cell>
          <cell r="F50">
            <v>2.7420119999999999</v>
          </cell>
          <cell r="H50">
            <v>6.7853143800000026</v>
          </cell>
        </row>
        <row r="51">
          <cell r="A51" t="str">
            <v>Incr/(decr) to income</v>
          </cell>
          <cell r="D51">
            <v>-34.811566360000029</v>
          </cell>
          <cell r="F51">
            <v>-23.607864000000003</v>
          </cell>
          <cell r="H51">
            <v>-58.419430360000035</v>
          </cell>
        </row>
        <row r="52">
          <cell r="A52" t="str">
            <v>Decrease Pref Div</v>
          </cell>
          <cell r="D52">
            <v>50.29</v>
          </cell>
          <cell r="F52">
            <v>-8.1999999999999993</v>
          </cell>
          <cell r="H52">
            <v>42.09</v>
          </cell>
        </row>
        <row r="53">
          <cell r="A53" t="str">
            <v xml:space="preserve">Incr/(decr) to inc to common </v>
          </cell>
          <cell r="D53">
            <v>15.47843363999997</v>
          </cell>
          <cell r="H53">
            <v>-16.329430360000032</v>
          </cell>
        </row>
        <row r="55">
          <cell r="A55" t="str">
            <v xml:space="preserve">USE FOR PRESENTATION PURPOSES </v>
          </cell>
        </row>
        <row r="56">
          <cell r="A56" t="str">
            <v>Income Statement Impact</v>
          </cell>
          <cell r="D56" t="str">
            <v>Int Exp/Inc</v>
          </cell>
          <cell r="F56" t="str">
            <v>Fees</v>
          </cell>
          <cell r="H56" t="str">
            <v>Total</v>
          </cell>
        </row>
        <row r="57">
          <cell r="A57" t="str">
            <v>Fees and Premiums</v>
          </cell>
          <cell r="F57">
            <v>45.6</v>
          </cell>
          <cell r="G57" t="str">
            <v>(1)</v>
          </cell>
          <cell r="H57">
            <v>45.6</v>
          </cell>
          <cell r="J57" t="str">
            <v>(1)  use per trial balance extraordinary item, for FERc reporting use account 426</v>
          </cell>
        </row>
        <row r="58">
          <cell r="A58" t="str">
            <v>Increased Interest Expense</v>
          </cell>
          <cell r="D58">
            <v>63.174200000000013</v>
          </cell>
          <cell r="H58">
            <v>63.174200000000013</v>
          </cell>
        </row>
        <row r="59">
          <cell r="A59" t="str">
            <v>Increase Interest Income</v>
          </cell>
          <cell r="D59">
            <v>5.5772999999999717</v>
          </cell>
          <cell r="H59">
            <v>5.5772999999999717</v>
          </cell>
          <cell r="J59" t="str">
            <v>Note: the format for FERC Form 1 reporting does not include provision</v>
          </cell>
        </row>
        <row r="60">
          <cell r="A60" t="str">
            <v>Change to Taxable Income</v>
          </cell>
          <cell r="D60">
            <v>-57.596900000000041</v>
          </cell>
          <cell r="F60">
            <v>-45.6</v>
          </cell>
          <cell r="H60">
            <v>-103.19690000000004</v>
          </cell>
          <cell r="J60" t="str">
            <v>for pref dividends.  Any item affecting the provision is not reflected</v>
          </cell>
        </row>
        <row r="61">
          <cell r="A61" t="str">
            <v>Change to income taxes(fed)</v>
          </cell>
          <cell r="D61">
            <v>18.742031260000015</v>
          </cell>
          <cell r="E61">
            <v>0.32540000000000002</v>
          </cell>
          <cell r="F61">
            <v>14.838240000000001</v>
          </cell>
          <cell r="H61">
            <v>33.580271260000018</v>
          </cell>
          <cell r="J61" t="str">
            <v>in the incomestatement for this filing.</v>
          </cell>
        </row>
        <row r="62">
          <cell r="A62" t="str">
            <v>Change to income taxes(State)</v>
          </cell>
          <cell r="D62">
            <v>4.0433023800000027</v>
          </cell>
          <cell r="E62">
            <v>7.0199999999999999E-2</v>
          </cell>
          <cell r="F62">
            <v>3.20112</v>
          </cell>
          <cell r="H62">
            <v>7.2444223800000032</v>
          </cell>
        </row>
        <row r="63">
          <cell r="A63" t="str">
            <v>Incr/(decr) to income</v>
          </cell>
          <cell r="D63">
            <v>-34.811566360000029</v>
          </cell>
          <cell r="F63">
            <v>-27.560640000000003</v>
          </cell>
          <cell r="H63">
            <v>-62.372206360000035</v>
          </cell>
        </row>
        <row r="64">
          <cell r="A64" t="str">
            <v>Decrease Pref Div</v>
          </cell>
          <cell r="D64">
            <v>50.29</v>
          </cell>
          <cell r="F64">
            <v>-12.3</v>
          </cell>
          <cell r="G64" t="str">
            <v>(2)</v>
          </cell>
          <cell r="H64">
            <v>37.989999999999995</v>
          </cell>
          <cell r="J64" t="str">
            <v>(2)  per Trial balance account 216051</v>
          </cell>
        </row>
        <row r="65">
          <cell r="A65" t="str">
            <v xml:space="preserve">Incr/(decr) to inc to common </v>
          </cell>
          <cell r="D65">
            <v>15.47843363999997</v>
          </cell>
          <cell r="H65">
            <v>-24.38220636000004</v>
          </cell>
        </row>
        <row r="68">
          <cell r="D68" t="str">
            <v>Total from above</v>
          </cell>
          <cell r="H68" t="str">
            <v>Actually Used in 1998</v>
          </cell>
          <cell r="L68" t="str">
            <v>Proceeds used after 1998</v>
          </cell>
          <cell r="O68" t="str">
            <v>Use these #'s for presentation purposes</v>
          </cell>
        </row>
        <row r="69">
          <cell r="C69" t="str">
            <v>Principal</v>
          </cell>
          <cell r="D69" t="str">
            <v>Fees</v>
          </cell>
          <cell r="E69" t="str">
            <v>Total</v>
          </cell>
          <cell r="G69" t="str">
            <v>Principal</v>
          </cell>
          <cell r="H69" t="str">
            <v>Fees</v>
          </cell>
          <cell r="I69" t="str">
            <v>Total</v>
          </cell>
          <cell r="K69" t="str">
            <v>Principal</v>
          </cell>
          <cell r="L69" t="str">
            <v>Fees</v>
          </cell>
          <cell r="M69" t="str">
            <v>Total</v>
          </cell>
          <cell r="O69" t="str">
            <v>Principal</v>
          </cell>
          <cell r="Q69" t="str">
            <v>Fees</v>
          </cell>
          <cell r="R69" t="str">
            <v>Total</v>
          </cell>
        </row>
        <row r="70">
          <cell r="A70" t="str">
            <v>CP</v>
          </cell>
          <cell r="C70">
            <v>-500</v>
          </cell>
          <cell r="D70">
            <v>0</v>
          </cell>
          <cell r="E70">
            <v>-500</v>
          </cell>
          <cell r="G70">
            <v>-332</v>
          </cell>
          <cell r="I70">
            <v>-332</v>
          </cell>
          <cell r="K70">
            <v>-168</v>
          </cell>
          <cell r="L70">
            <v>0</v>
          </cell>
          <cell r="M70">
            <v>-168</v>
          </cell>
          <cell r="O70">
            <v>-168</v>
          </cell>
          <cell r="Q70">
            <v>0</v>
          </cell>
          <cell r="R70">
            <v>-168</v>
          </cell>
        </row>
        <row r="71">
          <cell r="A71" t="str">
            <v>Common</v>
          </cell>
          <cell r="C71">
            <v>-918.7</v>
          </cell>
          <cell r="D71">
            <v>0</v>
          </cell>
          <cell r="E71">
            <v>-918.7</v>
          </cell>
          <cell r="G71">
            <v>0</v>
          </cell>
          <cell r="H71">
            <v>0</v>
          </cell>
          <cell r="I71">
            <v>0</v>
          </cell>
          <cell r="K71">
            <v>-918.7</v>
          </cell>
          <cell r="L71">
            <v>0</v>
          </cell>
          <cell r="M71">
            <v>-918.7</v>
          </cell>
          <cell r="O71">
            <v>-1020.973024</v>
          </cell>
          <cell r="P71" t="str">
            <v xml:space="preserve">(3)  </v>
          </cell>
          <cell r="Q71">
            <v>0</v>
          </cell>
          <cell r="R71">
            <v>-1021</v>
          </cell>
        </row>
        <row r="72">
          <cell r="A72" t="str">
            <v>LTD</v>
          </cell>
          <cell r="C72">
            <v>-1160.9000000000001</v>
          </cell>
          <cell r="D72">
            <v>-39.06</v>
          </cell>
          <cell r="E72">
            <v>-1199.96</v>
          </cell>
          <cell r="G72">
            <v>0</v>
          </cell>
          <cell r="I72">
            <v>0</v>
          </cell>
          <cell r="K72">
            <v>-1160.9000000000001</v>
          </cell>
          <cell r="L72">
            <v>-39.06</v>
          </cell>
          <cell r="M72">
            <v>-1199.96</v>
          </cell>
          <cell r="O72">
            <v>-1160.9000000000001</v>
          </cell>
          <cell r="Q72">
            <v>-45.6</v>
          </cell>
          <cell r="R72">
            <v>-1206.5</v>
          </cell>
        </row>
        <row r="73">
          <cell r="A73" t="str">
            <v>Pref</v>
          </cell>
          <cell r="C73">
            <v>-609.20000000000005</v>
          </cell>
          <cell r="D73">
            <v>-8.1999999999999993</v>
          </cell>
          <cell r="E73">
            <v>-617.40000000000009</v>
          </cell>
          <cell r="G73">
            <v>0</v>
          </cell>
          <cell r="H73">
            <v>0</v>
          </cell>
          <cell r="I73">
            <v>0</v>
          </cell>
          <cell r="K73">
            <v>-609.20000000000005</v>
          </cell>
          <cell r="L73">
            <v>-8.1999999999999993</v>
          </cell>
          <cell r="M73">
            <v>-617.40000000000009</v>
          </cell>
          <cell r="O73">
            <v>-609.20000000000005</v>
          </cell>
          <cell r="Q73">
            <v>12.3</v>
          </cell>
          <cell r="R73">
            <v>-596.9</v>
          </cell>
        </row>
        <row r="74">
          <cell r="C74">
            <v>-3188.8</v>
          </cell>
          <cell r="D74">
            <v>-47.260000000000005</v>
          </cell>
          <cell r="E74">
            <v>-3236.06</v>
          </cell>
          <cell r="G74">
            <v>-332</v>
          </cell>
          <cell r="H74">
            <v>0</v>
          </cell>
          <cell r="I74">
            <v>-332</v>
          </cell>
          <cell r="K74">
            <v>-2856.8</v>
          </cell>
          <cell r="L74">
            <v>-47.260000000000005</v>
          </cell>
          <cell r="M74">
            <v>-2904.06</v>
          </cell>
          <cell r="O74">
            <v>-2959.0730240000003</v>
          </cell>
          <cell r="Q74">
            <v>-33.299999999999997</v>
          </cell>
          <cell r="R74">
            <v>-2992.4</v>
          </cell>
        </row>
        <row r="75">
          <cell r="A75" t="str">
            <v>Other uses</v>
          </cell>
        </row>
        <row r="76">
          <cell r="A76" t="str">
            <v>Initail Fees</v>
          </cell>
          <cell r="E76">
            <v>-40</v>
          </cell>
          <cell r="I76">
            <v>-40</v>
          </cell>
          <cell r="M76">
            <v>0</v>
          </cell>
          <cell r="O76">
            <v>0</v>
          </cell>
          <cell r="R76">
            <v>0</v>
          </cell>
        </row>
        <row r="77">
          <cell r="E77">
            <v>-3276.06</v>
          </cell>
          <cell r="I77">
            <v>-372</v>
          </cell>
          <cell r="M77">
            <v>-2904.06</v>
          </cell>
          <cell r="O77">
            <v>-2959.0730240000003</v>
          </cell>
          <cell r="R77">
            <v>-2992.4</v>
          </cell>
        </row>
        <row r="78">
          <cell r="A78" t="str">
            <v>Initail Proceeds</v>
          </cell>
          <cell r="E78">
            <v>3400</v>
          </cell>
        </row>
        <row r="79">
          <cell r="A79" t="str">
            <v>Remaining proceeds</v>
          </cell>
          <cell r="E79">
            <v>123.94000000000005</v>
          </cell>
        </row>
        <row r="81">
          <cell r="O81" t="str">
            <v>(3)    See UCM Share Repurchase tab.    This is</v>
          </cell>
        </row>
        <row r="82">
          <cell r="A82" t="str">
            <v>F:\STAFF\jdm\KMH\Merge\FERC Filing\[FERC stmts2.XLS]TFI use</v>
          </cell>
          <cell r="O82" t="str">
            <v xml:space="preserve">         the same amount that was use in the 8-K </v>
          </cell>
        </row>
        <row r="83">
          <cell r="O83" t="str">
            <v xml:space="preserve">          filing for the merger.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TD EOY 08"/>
      <sheetName val="LTD EOY 06"/>
      <sheetName val="ST Debt WP per AEE RTTY"/>
      <sheetName val="ST Debt"/>
      <sheetName val="ST Debt WP"/>
      <sheetName val="P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TACHMENT E"/>
      <sheetName val="ATTACHMENT D"/>
      <sheetName val="ATTACHMENT C"/>
      <sheetName val="ATTACHMENT B"/>
      <sheetName val="ATTACHMENT A"/>
      <sheetName val="SUM BY GROUP BY SITE BY YEAR"/>
      <sheetName val="CRC SCENARIO 1"/>
      <sheetName val="CRC SCENARIO 1 (BY SITE)"/>
      <sheetName val="CRC SCENARIO 2"/>
      <sheetName val="CRC SCENARIO 2 (BY SITE)"/>
      <sheetName val="IDR 15"/>
      <sheetName val="SAMPLE WORKSHEET"/>
      <sheetName val="REVISED 1998 SUM BY GROUP"/>
      <sheetName val="LEGACY SUM BY GROUP BY LOCATION"/>
      <sheetName val="CBMS SUM BY GROUP BY LOCATION"/>
      <sheetName val="Sample"/>
      <sheetName val="REVISED"/>
      <sheetName val="NH 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A1" t="str">
            <v>GROUP</v>
          </cell>
          <cell r="B1" t="str">
            <v>PROJECT GROUP NAME</v>
          </cell>
          <cell r="C1" t="str">
            <v>PRE-CBMS IRC 41 QREs</v>
          </cell>
          <cell r="D1" t="str">
            <v>CBMS CAPX QREs</v>
          </cell>
          <cell r="E1" t="str">
            <v>CBMS O&amp;M QREs</v>
          </cell>
          <cell r="F1" t="str">
            <v>prelim 300 AND 302</v>
          </cell>
          <cell r="G1" t="str">
            <v>IRC 41 QREs FROM 300 AND 302</v>
          </cell>
          <cell r="H1" t="str">
            <v>TOTAL QREs</v>
          </cell>
        </row>
        <row r="2">
          <cell r="A2">
            <v>0</v>
          </cell>
          <cell r="B2" t="str">
            <v>Improve Reliability of the Digital Rod Position Indication (DRPI) System</v>
          </cell>
          <cell r="C2">
            <v>0</v>
          </cell>
          <cell r="D2">
            <v>0</v>
          </cell>
          <cell r="E2">
            <v>0</v>
          </cell>
          <cell r="F2">
            <v>469225.70474999992</v>
          </cell>
          <cell r="G2">
            <v>469225.70474999992</v>
          </cell>
          <cell r="H2">
            <v>469225.70474999992</v>
          </cell>
        </row>
        <row r="3">
          <cell r="A3">
            <v>1</v>
          </cell>
          <cell r="B3" t="str">
            <v>Wastewater Treatment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</row>
        <row r="4">
          <cell r="A4">
            <v>2</v>
          </cell>
          <cell r="B4" t="str">
            <v>Rod Cluster Control Assembly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</row>
        <row r="5">
          <cell r="A5">
            <v>3</v>
          </cell>
          <cell r="B5" t="str">
            <v>Station Battery Capability Upgrade</v>
          </cell>
          <cell r="C5">
            <v>3360903.7711475077</v>
          </cell>
          <cell r="D5">
            <v>17890.14499999999</v>
          </cell>
          <cell r="E5">
            <v>463.30500000000001</v>
          </cell>
          <cell r="F5">
            <v>0</v>
          </cell>
          <cell r="G5">
            <v>0</v>
          </cell>
          <cell r="H5">
            <v>3379257.2211475079</v>
          </cell>
        </row>
        <row r="6">
          <cell r="A6">
            <v>4</v>
          </cell>
          <cell r="B6" t="str">
            <v>Chemical Treatment of Cooling Water</v>
          </cell>
          <cell r="C6">
            <v>834502.35657199821</v>
          </cell>
          <cell r="D6">
            <v>0</v>
          </cell>
          <cell r="E6">
            <v>0</v>
          </cell>
          <cell r="F6">
            <v>9677.2200525000007</v>
          </cell>
          <cell r="G6">
            <v>9677.2200525000007</v>
          </cell>
          <cell r="H6">
            <v>844179.57662449824</v>
          </cell>
        </row>
        <row r="7">
          <cell r="A7">
            <v>5</v>
          </cell>
          <cell r="B7" t="str">
            <v>Moisture Separator Reheater Upgrade</v>
          </cell>
          <cell r="C7">
            <v>475777.60129650001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475777.60129650001</v>
          </cell>
        </row>
        <row r="8">
          <cell r="A8">
            <v>6</v>
          </cell>
          <cell r="B8" t="str">
            <v>Roof Improvements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</row>
        <row r="9">
          <cell r="A9">
            <v>7</v>
          </cell>
          <cell r="B9" t="str">
            <v>Reactor Cooling Pump Vibration Monitoring</v>
          </cell>
          <cell r="C9">
            <v>277472.73547499999</v>
          </cell>
          <cell r="D9">
            <v>178061.17750000031</v>
          </cell>
          <cell r="E9">
            <v>0</v>
          </cell>
          <cell r="F9">
            <v>0</v>
          </cell>
          <cell r="G9">
            <v>0</v>
          </cell>
          <cell r="H9">
            <v>455533.91297500033</v>
          </cell>
        </row>
        <row r="10">
          <cell r="A10">
            <v>8</v>
          </cell>
          <cell r="B10" t="str">
            <v>Main Condenser Bellows Improvements</v>
          </cell>
          <cell r="C10">
            <v>522.52200000000005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522.52200000000005</v>
          </cell>
        </row>
        <row r="11">
          <cell r="A11">
            <v>9</v>
          </cell>
          <cell r="B11" t="str">
            <v>Improvements to Butterfly Valves</v>
          </cell>
          <cell r="C11">
            <v>170344.74020000003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170344.74020000003</v>
          </cell>
        </row>
        <row r="12">
          <cell r="A12">
            <v>10</v>
          </cell>
          <cell r="B12" t="str">
            <v>Steam Generator Improvements Initiatives</v>
          </cell>
          <cell r="C12">
            <v>24395807.685359348</v>
          </cell>
          <cell r="D12">
            <v>-11.885200000000001</v>
          </cell>
          <cell r="E12">
            <v>219.69700000000006</v>
          </cell>
          <cell r="F12">
            <v>0</v>
          </cell>
          <cell r="G12">
            <v>0</v>
          </cell>
          <cell r="H12">
            <v>24396015.497159347</v>
          </cell>
        </row>
        <row r="13">
          <cell r="A13">
            <v>11</v>
          </cell>
          <cell r="B13" t="str">
            <v>Increase Capacity of Steam Generator System</v>
          </cell>
          <cell r="C13">
            <v>1431971.0863485013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1431971.0863485013</v>
          </cell>
        </row>
        <row r="14">
          <cell r="A14">
            <v>12</v>
          </cell>
          <cell r="B14" t="str">
            <v>Intermediate Radwaste Storage Facilities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A15">
            <v>13</v>
          </cell>
          <cell r="B15" t="str">
            <v>Low Level Radwaste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</row>
        <row r="16">
          <cell r="A16">
            <v>14</v>
          </cell>
          <cell r="B16" t="str">
            <v>Improvements to Plant Security Barriers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</row>
        <row r="17">
          <cell r="A17">
            <v>15</v>
          </cell>
          <cell r="B17" t="str">
            <v>Main Power Transformer Replacement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8">
          <cell r="A18">
            <v>16</v>
          </cell>
          <cell r="B18" t="str">
            <v>Replacement of Plant Security Computers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</row>
        <row r="19">
          <cell r="A19">
            <v>17</v>
          </cell>
          <cell r="B19" t="str">
            <v>Land or Right-of-Way Acquisition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</row>
        <row r="20">
          <cell r="A20">
            <v>18</v>
          </cell>
          <cell r="B20" t="str">
            <v>Transmission Lines and Substation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A21">
            <v>19</v>
          </cell>
          <cell r="B21" t="str">
            <v>Radioactive Gas Effluent Monitoring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</row>
        <row r="22">
          <cell r="A22">
            <v>20</v>
          </cell>
          <cell r="B22" t="str">
            <v>High Density Spent Fuel Storage</v>
          </cell>
          <cell r="C22">
            <v>12781500.192131486</v>
          </cell>
          <cell r="D22">
            <v>30293.232999999997</v>
          </cell>
          <cell r="E22">
            <v>0</v>
          </cell>
          <cell r="F22">
            <v>0</v>
          </cell>
          <cell r="G22">
            <v>0</v>
          </cell>
          <cell r="H22">
            <v>12811793.425131485</v>
          </cell>
        </row>
        <row r="23">
          <cell r="A23">
            <v>21</v>
          </cell>
          <cell r="B23" t="str">
            <v>ATWS (Alternative Transient Without SCRAM) - Turbine Modification</v>
          </cell>
          <cell r="C23">
            <v>1550.2695000000001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1550.2695000000001</v>
          </cell>
        </row>
        <row r="24">
          <cell r="A24">
            <v>22</v>
          </cell>
          <cell r="B24" t="str">
            <v>ATWS (Alternative Transient Without SCRAM) - Modification for BWRs</v>
          </cell>
          <cell r="C24">
            <v>27326.500479999999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27326.500479999999</v>
          </cell>
        </row>
        <row r="25">
          <cell r="A25">
            <v>23</v>
          </cell>
          <cell r="B25" t="str">
            <v>Resistance Temperature Detectors</v>
          </cell>
          <cell r="C25">
            <v>2780508.612500486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2780508.612500486</v>
          </cell>
        </row>
        <row r="26">
          <cell r="A26">
            <v>24</v>
          </cell>
          <cell r="B26" t="str">
            <v>Process Computer Upgrades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  <row r="27">
          <cell r="A27">
            <v>25</v>
          </cell>
          <cell r="B27" t="str">
            <v>Resolution of Human Engineering Discrepancy</v>
          </cell>
          <cell r="C27">
            <v>24137874.168085158</v>
          </cell>
          <cell r="D27">
            <v>0</v>
          </cell>
          <cell r="E27">
            <v>0</v>
          </cell>
          <cell r="F27">
            <v>15973.404466</v>
          </cell>
          <cell r="G27">
            <v>15973.404466</v>
          </cell>
          <cell r="H27">
            <v>24153847.572551157</v>
          </cell>
        </row>
        <row r="28">
          <cell r="A28">
            <v>26</v>
          </cell>
          <cell r="B28" t="str">
            <v>Snubber Reduction Program</v>
          </cell>
          <cell r="C28">
            <v>13127568.183722457</v>
          </cell>
          <cell r="D28">
            <v>0</v>
          </cell>
          <cell r="E28">
            <v>-7686.3409999999994</v>
          </cell>
          <cell r="F28">
            <v>0</v>
          </cell>
          <cell r="G28">
            <v>0</v>
          </cell>
          <cell r="H28">
            <v>13119881.842722457</v>
          </cell>
        </row>
        <row r="29">
          <cell r="A29">
            <v>27</v>
          </cell>
          <cell r="B29" t="str">
            <v>Safety-Related Valves</v>
          </cell>
          <cell r="C29">
            <v>18425084.325985558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18425084.325985558</v>
          </cell>
        </row>
        <row r="30">
          <cell r="A30">
            <v>28</v>
          </cell>
          <cell r="B30" t="str">
            <v>Events Recorder System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</row>
        <row r="31">
          <cell r="A31">
            <v>29</v>
          </cell>
          <cell r="B31" t="str">
            <v>Metal Diaphragm Valves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2">
          <cell r="A32">
            <v>30</v>
          </cell>
          <cell r="B32" t="str">
            <v>Installation of Safe Shutdown Cables/ Appendix R</v>
          </cell>
          <cell r="C32">
            <v>3762243.059191498</v>
          </cell>
          <cell r="D32">
            <v>0</v>
          </cell>
          <cell r="E32">
            <v>5006763.6900000004</v>
          </cell>
          <cell r="F32">
            <v>1025408.2609840003</v>
          </cell>
          <cell r="G32">
            <v>1025408.2609840003</v>
          </cell>
          <cell r="H32">
            <v>9794415.0101754963</v>
          </cell>
        </row>
        <row r="33">
          <cell r="A33">
            <v>31</v>
          </cell>
          <cell r="B33" t="str">
            <v>Steam Generator Level Instrumentation</v>
          </cell>
          <cell r="C33">
            <v>434393.14029049978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434393.14029049978</v>
          </cell>
        </row>
        <row r="34">
          <cell r="A34">
            <v>32</v>
          </cell>
          <cell r="B34" t="str">
            <v>Radioactive Chemical Laboratory Expansion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A35">
            <v>33</v>
          </cell>
          <cell r="B35" t="str">
            <v>Replacement of Generator Retaining Rings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</row>
        <row r="36">
          <cell r="A36">
            <v>34</v>
          </cell>
          <cell r="B36" t="str">
            <v>Extraction Steam Piping</v>
          </cell>
          <cell r="C36">
            <v>50585.731599999999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50585.731599999999</v>
          </cell>
        </row>
        <row r="37">
          <cell r="A37">
            <v>35</v>
          </cell>
          <cell r="B37" t="str">
            <v>Dynamic Rod Worth Measurement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</row>
        <row r="38">
          <cell r="A38">
            <v>36</v>
          </cell>
          <cell r="B38" t="str">
            <v>Reactor Core Monitor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</row>
        <row r="39">
          <cell r="A39">
            <v>37</v>
          </cell>
          <cell r="B39" t="str">
            <v>Design and Installation of Clamps to Mitigate Cracking due to IGSCC in Reactor Internals of Exelon’s BWR Stations</v>
          </cell>
          <cell r="C39">
            <v>5780734.6282879934</v>
          </cell>
          <cell r="D39">
            <v>142000</v>
          </cell>
          <cell r="E39">
            <v>267930</v>
          </cell>
          <cell r="F39">
            <v>87945.965479000035</v>
          </cell>
          <cell r="G39">
            <v>87945.965479000035</v>
          </cell>
          <cell r="H39">
            <v>6278610.5937669938</v>
          </cell>
        </row>
        <row r="40">
          <cell r="A40">
            <v>38</v>
          </cell>
          <cell r="B40" t="str">
            <v>Natural Draft Cooling Tower Conversion</v>
          </cell>
          <cell r="C40">
            <v>1248943.3491729998</v>
          </cell>
          <cell r="D40">
            <v>210102.15850000002</v>
          </cell>
          <cell r="E40">
            <v>0</v>
          </cell>
          <cell r="F40">
            <v>0</v>
          </cell>
          <cell r="G40">
            <v>0</v>
          </cell>
          <cell r="H40">
            <v>1459045.507673</v>
          </cell>
        </row>
        <row r="41">
          <cell r="A41">
            <v>39</v>
          </cell>
          <cell r="B41" t="str">
            <v>Service Water Cooling Pipe Material Re-Evaluation</v>
          </cell>
          <cell r="C41">
            <v>342111.6126680001</v>
          </cell>
          <cell r="D41">
            <v>17705.734200000028</v>
          </cell>
          <cell r="E41">
            <v>1930.2850000000001</v>
          </cell>
          <cell r="F41">
            <v>223.90114999999935</v>
          </cell>
          <cell r="G41">
            <v>223.90114999999935</v>
          </cell>
          <cell r="H41">
            <v>361971.53301800007</v>
          </cell>
        </row>
        <row r="42">
          <cell r="A42">
            <v>40</v>
          </cell>
          <cell r="B42" t="str">
            <v>River Silt Control System</v>
          </cell>
          <cell r="C42">
            <v>219439.13403399996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219439.13403399996</v>
          </cell>
        </row>
        <row r="43">
          <cell r="A43">
            <v>41</v>
          </cell>
          <cell r="B43" t="str">
            <v>Pressurized Water Reactor Simulator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A44">
            <v>42</v>
          </cell>
          <cell r="B44" t="str">
            <v>Joint Public Information Center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A45">
            <v>43</v>
          </cell>
          <cell r="B45" t="str">
            <v>Low Pressure Turbine Rotor</v>
          </cell>
          <cell r="C45">
            <v>8286018.9971264862</v>
          </cell>
          <cell r="D45">
            <v>39995.110999999983</v>
          </cell>
          <cell r="E45">
            <v>0</v>
          </cell>
          <cell r="F45">
            <v>0</v>
          </cell>
          <cell r="G45">
            <v>0</v>
          </cell>
          <cell r="H45">
            <v>8326014.1081264857</v>
          </cell>
        </row>
        <row r="46">
          <cell r="A46">
            <v>44</v>
          </cell>
          <cell r="B46" t="str">
            <v>Replace Asbestos Insulation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</row>
        <row r="47">
          <cell r="A47">
            <v>45</v>
          </cell>
          <cell r="B47" t="str">
            <v>Piping Susceptible to Intergranular Stress Corrosion Cracking</v>
          </cell>
          <cell r="C47">
            <v>7622676.0753580006</v>
          </cell>
          <cell r="D47">
            <v>0</v>
          </cell>
          <cell r="E47">
            <v>78279.864000000001</v>
          </cell>
          <cell r="F47">
            <v>-424.06976600000002</v>
          </cell>
          <cell r="G47">
            <v>-424.06976600000002</v>
          </cell>
          <cell r="H47">
            <v>7700531.8695920007</v>
          </cell>
        </row>
        <row r="48">
          <cell r="A48">
            <v>46</v>
          </cell>
          <cell r="B48" t="str">
            <v>24 Month Operating Cycle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A49">
            <v>47</v>
          </cell>
          <cell r="B49" t="str">
            <v>GENERIC LETTER 96-01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A50">
            <v>48</v>
          </cell>
          <cell r="B50" t="str">
            <v>Reactor Building Cooling</v>
          </cell>
          <cell r="C50">
            <v>0</v>
          </cell>
          <cell r="D50">
            <v>0</v>
          </cell>
          <cell r="E50">
            <v>0</v>
          </cell>
          <cell r="F50">
            <v>2625168.6260374971</v>
          </cell>
          <cell r="G50">
            <v>2625168.6260374971</v>
          </cell>
          <cell r="H50">
            <v>2625168.6260374971</v>
          </cell>
        </row>
        <row r="51">
          <cell r="A51">
            <v>49</v>
          </cell>
          <cell r="B51" t="str">
            <v>Upgrade Standby Gas Treatment</v>
          </cell>
          <cell r="C51">
            <v>16183.827659999999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16183.827659999999</v>
          </cell>
        </row>
        <row r="52">
          <cell r="A52">
            <v>50</v>
          </cell>
          <cell r="B52" t="str">
            <v>Pipe Ventilation System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</row>
        <row r="53">
          <cell r="A53">
            <v>51</v>
          </cell>
          <cell r="B53" t="str">
            <v>Control Rod Shield</v>
          </cell>
          <cell r="C53">
            <v>94.988615500002652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94.988615500002652</v>
          </cell>
        </row>
        <row r="54">
          <cell r="A54">
            <v>52</v>
          </cell>
          <cell r="B54" t="str">
            <v>Feedwater System Revision</v>
          </cell>
          <cell r="C54">
            <v>2470602.9960524933</v>
          </cell>
          <cell r="D54">
            <v>0</v>
          </cell>
          <cell r="E54">
            <v>124902.74849999996</v>
          </cell>
          <cell r="F54">
            <v>71071.540150000015</v>
          </cell>
          <cell r="G54">
            <v>71071.540150000015</v>
          </cell>
          <cell r="H54">
            <v>2666577.2847024929</v>
          </cell>
        </row>
        <row r="55">
          <cell r="A55">
            <v>53</v>
          </cell>
          <cell r="B55" t="str">
            <v>Off-Gas Hydrogen Combustion Design Basis Accident</v>
          </cell>
          <cell r="C55">
            <v>293810.51034050016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293810.51034050016</v>
          </cell>
        </row>
        <row r="56">
          <cell r="A56">
            <v>54</v>
          </cell>
          <cell r="B56" t="str">
            <v>Dry Tube Assembly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</row>
        <row r="57">
          <cell r="A57">
            <v>55</v>
          </cell>
          <cell r="B57" t="str">
            <v>Batteries &amp; Chargers</v>
          </cell>
          <cell r="C57">
            <v>35899.804804500047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35899.804804500047</v>
          </cell>
        </row>
        <row r="58">
          <cell r="A58">
            <v>56</v>
          </cell>
          <cell r="B58" t="str">
            <v>Technical Support Facility &amp; Emergency Offsite Facility</v>
          </cell>
          <cell r="C58">
            <v>3328731.3317375039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3328731.3317375039</v>
          </cell>
        </row>
        <row r="59">
          <cell r="A59">
            <v>57</v>
          </cell>
          <cell r="B59" t="str">
            <v>TMI Accident Review Modifications</v>
          </cell>
          <cell r="C59">
            <v>2435227.3810010017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2435227.3810010017</v>
          </cell>
        </row>
        <row r="60">
          <cell r="A60">
            <v>58</v>
          </cell>
          <cell r="B60" t="str">
            <v>Canal Cooling Bank Improvements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</row>
        <row r="61">
          <cell r="A61">
            <v>59</v>
          </cell>
          <cell r="B61" t="str">
            <v>Corner Room Modifications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</row>
        <row r="62">
          <cell r="A62">
            <v>60</v>
          </cell>
          <cell r="B62" t="str">
            <v>Lubricating System Diesel Generator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</row>
        <row r="63">
          <cell r="A63">
            <v>61</v>
          </cell>
          <cell r="B63" t="str">
            <v>Reactor Protection Indication System Cables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</row>
        <row r="64">
          <cell r="A64">
            <v>62</v>
          </cell>
          <cell r="B64" t="str">
            <v>Physical Support of Safety Related Piping</v>
          </cell>
          <cell r="C64">
            <v>16559147.049991027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16559147.049991027</v>
          </cell>
        </row>
        <row r="65">
          <cell r="A65">
            <v>63</v>
          </cell>
          <cell r="B65" t="str">
            <v>Zion Safety Improvements: Service Water</v>
          </cell>
          <cell r="C65">
            <v>12321386.974367017</v>
          </cell>
          <cell r="D65">
            <v>0</v>
          </cell>
          <cell r="E65">
            <v>42250</v>
          </cell>
          <cell r="F65">
            <v>0</v>
          </cell>
          <cell r="G65">
            <v>0</v>
          </cell>
          <cell r="H65">
            <v>12363636.974367017</v>
          </cell>
        </row>
        <row r="66">
          <cell r="A66">
            <v>64</v>
          </cell>
          <cell r="B66" t="str">
            <v>Liquid Radwaste System Improvement</v>
          </cell>
          <cell r="C66">
            <v>5535100.5601999518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5535100.5601999518</v>
          </cell>
        </row>
        <row r="67">
          <cell r="A67">
            <v>65</v>
          </cell>
          <cell r="B67" t="str">
            <v>Installation of Nitrogen Containment Air Dilution (NCAD) System</v>
          </cell>
          <cell r="C67">
            <v>35957.199778500006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35957.199778500006</v>
          </cell>
        </row>
        <row r="68">
          <cell r="A68">
            <v>66</v>
          </cell>
          <cell r="B68" t="str">
            <v>Initial Coatings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67</v>
          </cell>
          <cell r="B69" t="str">
            <v>Reactor Head Removal Tool Replacement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68</v>
          </cell>
          <cell r="B70" t="str">
            <v>Refueling Bridges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69</v>
          </cell>
          <cell r="B71" t="str">
            <v>Long Term SCRAM Reduction Modifications</v>
          </cell>
          <cell r="C71">
            <v>1424704.0773214989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1424704.0773214989</v>
          </cell>
        </row>
        <row r="72">
          <cell r="A72">
            <v>70</v>
          </cell>
          <cell r="B72" t="str">
            <v>Containment Penetration Bellows</v>
          </cell>
          <cell r="C72">
            <v>3100391.3995104958</v>
          </cell>
          <cell r="D72">
            <v>0</v>
          </cell>
          <cell r="E72">
            <v>0</v>
          </cell>
          <cell r="F72">
            <v>14080.054377999999</v>
          </cell>
          <cell r="G72">
            <v>14080.054377999999</v>
          </cell>
          <cell r="H72">
            <v>3114471.4538884959</v>
          </cell>
        </row>
        <row r="73">
          <cell r="A73">
            <v>71</v>
          </cell>
          <cell r="B73" t="str">
            <v>Hydrogen Water Chemistry</v>
          </cell>
          <cell r="C73">
            <v>6456934.386208945</v>
          </cell>
          <cell r="D73">
            <v>492271.18150000024</v>
          </cell>
          <cell r="E73">
            <v>24319.434500000003</v>
          </cell>
          <cell r="F73">
            <v>0</v>
          </cell>
          <cell r="G73">
            <v>0</v>
          </cell>
          <cell r="H73">
            <v>6973525.0022089453</v>
          </cell>
        </row>
        <row r="74">
          <cell r="A74">
            <v>72</v>
          </cell>
          <cell r="B74" t="str">
            <v>Water Chemistry Improvement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73</v>
          </cell>
          <cell r="B75" t="str">
            <v>Upgrade of 4kV Auxiliary Power Distribution</v>
          </cell>
          <cell r="C75">
            <v>5410273.2812494943</v>
          </cell>
          <cell r="D75">
            <v>3370.44</v>
          </cell>
          <cell r="E75">
            <v>0</v>
          </cell>
          <cell r="F75">
            <v>275809.88305100007</v>
          </cell>
          <cell r="G75">
            <v>275809.88305100007</v>
          </cell>
          <cell r="H75">
            <v>5689453.6043004952</v>
          </cell>
        </row>
        <row r="76">
          <cell r="A76">
            <v>74</v>
          </cell>
          <cell r="B76" t="str">
            <v>Environmental Qualification</v>
          </cell>
          <cell r="C76">
            <v>6172933.5758940028</v>
          </cell>
          <cell r="D76">
            <v>0</v>
          </cell>
          <cell r="E76">
            <v>0</v>
          </cell>
          <cell r="F76">
            <v>1448869.0340864984</v>
          </cell>
          <cell r="G76">
            <v>1448869.0340864984</v>
          </cell>
          <cell r="H76">
            <v>7621802.6099805012</v>
          </cell>
        </row>
        <row r="77">
          <cell r="A77">
            <v>75</v>
          </cell>
          <cell r="B77" t="str">
            <v>Water Level Measurement and Instrumentation Design Flaw Correction</v>
          </cell>
          <cell r="C77">
            <v>7338772.0479360241</v>
          </cell>
          <cell r="D77">
            <v>0</v>
          </cell>
          <cell r="E77">
            <v>0</v>
          </cell>
          <cell r="F77">
            <v>909147.52974650043</v>
          </cell>
          <cell r="G77">
            <v>909147.52974650043</v>
          </cell>
          <cell r="H77">
            <v>8247919.5776825249</v>
          </cell>
        </row>
        <row r="78">
          <cell r="A78">
            <v>76</v>
          </cell>
          <cell r="B78" t="str">
            <v>Replace Main Generator Voltage Regulator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77</v>
          </cell>
          <cell r="B79" t="str">
            <v>Masonry Block Wall Study and Upgrades</v>
          </cell>
          <cell r="C79">
            <v>137678.07331450004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137678.07331450004</v>
          </cell>
        </row>
        <row r="80">
          <cell r="A80">
            <v>78</v>
          </cell>
          <cell r="B80" t="str">
            <v>Zinc Injection System</v>
          </cell>
          <cell r="C80">
            <v>669467.16093000013</v>
          </cell>
          <cell r="D80">
            <v>94926.161999999982</v>
          </cell>
          <cell r="E80">
            <v>0</v>
          </cell>
          <cell r="F80">
            <v>243441.9640025002</v>
          </cell>
          <cell r="G80">
            <v>243441.9640025002</v>
          </cell>
          <cell r="H80">
            <v>1007835.2869325003</v>
          </cell>
        </row>
        <row r="81">
          <cell r="A81">
            <v>79</v>
          </cell>
          <cell r="B81" t="str">
            <v>Disposal of Reactor Core Components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80</v>
          </cell>
          <cell r="B82" t="str">
            <v>Rotating Assemblies and Monitoring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81</v>
          </cell>
          <cell r="B83" t="str">
            <v>Reactor Water Level Trip System</v>
          </cell>
          <cell r="C83">
            <v>1917055.5237000026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1917055.5237000026</v>
          </cell>
        </row>
        <row r="84">
          <cell r="A84">
            <v>82</v>
          </cell>
          <cell r="B84" t="str">
            <v>Isolation Condenser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83</v>
          </cell>
          <cell r="B85" t="str">
            <v>Auxiliary Building Ventilation Fan Motor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84</v>
          </cell>
          <cell r="B86" t="str">
            <v>High Pressure Turbine Blades</v>
          </cell>
          <cell r="C86">
            <v>142787.30346300008</v>
          </cell>
          <cell r="D86">
            <v>190482.72399999999</v>
          </cell>
          <cell r="E86">
            <v>21164.72050000001</v>
          </cell>
          <cell r="F86">
            <v>0</v>
          </cell>
          <cell r="G86">
            <v>0</v>
          </cell>
          <cell r="H86">
            <v>354434.74796300003</v>
          </cell>
        </row>
        <row r="87">
          <cell r="A87">
            <v>85</v>
          </cell>
          <cell r="B87" t="str">
            <v>Public Notification System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86</v>
          </cell>
          <cell r="B88" t="str">
            <v>Replace Masonelian Control Valves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87</v>
          </cell>
          <cell r="B89" t="str">
            <v>Installation of PWR Core Monitoring System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88</v>
          </cell>
          <cell r="B90" t="str">
            <v>Fuel Sipping Equipment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89</v>
          </cell>
          <cell r="B91" t="str">
            <v>Systematic Evaluation Program</v>
          </cell>
          <cell r="C91">
            <v>35920.537986999989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35920.537986999989</v>
          </cell>
        </row>
        <row r="92">
          <cell r="A92">
            <v>90</v>
          </cell>
          <cell r="B92" t="str">
            <v>Decommissioning</v>
          </cell>
          <cell r="C92">
            <v>16211313.825114895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16211313.825114895</v>
          </cell>
        </row>
        <row r="93">
          <cell r="A93">
            <v>91</v>
          </cell>
          <cell r="B93" t="str">
            <v>Traveling In Core Probe System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92</v>
          </cell>
          <cell r="B94" t="str">
            <v>Reactor Recirculation Pump Routine Replacement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93</v>
          </cell>
          <cell r="B95" t="str">
            <v>Replace Recirculation Pump Element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94</v>
          </cell>
          <cell r="B96" t="str">
            <v>Station Blackout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95</v>
          </cell>
          <cell r="B97" t="str">
            <v>Mark 1 Containment Modifications</v>
          </cell>
          <cell r="C97">
            <v>4207685.7743880004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4207685.7743880004</v>
          </cell>
        </row>
        <row r="98">
          <cell r="A98">
            <v>96</v>
          </cell>
          <cell r="B98" t="str">
            <v>Feedwater Flow Measurement Instrumentation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97</v>
          </cell>
          <cell r="B99" t="str">
            <v>Computer Upgrades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98</v>
          </cell>
          <cell r="B100" t="str">
            <v>Heat Tracing System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99</v>
          </cell>
          <cell r="B101" t="str">
            <v>Reactor Building High Temperatures (LOCA)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100</v>
          </cell>
          <cell r="B102" t="str">
            <v>Emergency Lighting &amp; Fire Protection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102</v>
          </cell>
          <cell r="B103" t="str">
            <v>HPCS/RCIC System Piping Modification</v>
          </cell>
          <cell r="C103">
            <v>1921658.2284705006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1921658.2284705006</v>
          </cell>
        </row>
        <row r="104">
          <cell r="A104">
            <v>103</v>
          </cell>
          <cell r="B104" t="str">
            <v>Drywell Ventilation System Improvements</v>
          </cell>
          <cell r="C104">
            <v>4548794.1199649917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4548794.1199649917</v>
          </cell>
        </row>
        <row r="105">
          <cell r="A105">
            <v>104</v>
          </cell>
          <cell r="B105" t="str">
            <v>Containment Vent &amp; Purge Valves</v>
          </cell>
          <cell r="C105">
            <v>1548941.2891409989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1548941.2891409989</v>
          </cell>
        </row>
        <row r="106">
          <cell r="A106">
            <v>105</v>
          </cell>
          <cell r="B106" t="str">
            <v>Spare Exciter Unit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106</v>
          </cell>
          <cell r="B107" t="str">
            <v>Extend Discharge Canal to Eliminate Fog</v>
          </cell>
          <cell r="C107">
            <v>229375.38934450003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229375.38934450003</v>
          </cell>
        </row>
        <row r="108">
          <cell r="A108">
            <v>107</v>
          </cell>
          <cell r="B108" t="str">
            <v>NGG Year 2000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108</v>
          </cell>
          <cell r="B109" t="str">
            <v>Radiation Monitor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109</v>
          </cell>
          <cell r="B110" t="str">
            <v>DBI Issues/Resolution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110</v>
          </cell>
          <cell r="B111" t="str">
            <v>Feedwater Bypass Line &amp; Valves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111</v>
          </cell>
          <cell r="B112" t="str">
            <v>Diesel Generator System Upgrade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112</v>
          </cell>
          <cell r="B113" t="str">
            <v>Main Generator Revision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113</v>
          </cell>
          <cell r="B114" t="str">
            <v>Control Power Supply Upgrade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114</v>
          </cell>
          <cell r="B115" t="str">
            <v>Pump Supporting System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115</v>
          </cell>
          <cell r="B116" t="str">
            <v>Radio System Upgrade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116</v>
          </cell>
          <cell r="B117" t="str">
            <v>Layer Separators for Generator Rotor Windings</v>
          </cell>
          <cell r="C117">
            <v>421042.45862250018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421042.45862250018</v>
          </cell>
        </row>
        <row r="118">
          <cell r="A118">
            <v>117</v>
          </cell>
          <cell r="B118" t="str">
            <v>Emergency Core Cooling System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118</v>
          </cell>
          <cell r="B119" t="str">
            <v>Main Steam Safety Relief Valves</v>
          </cell>
          <cell r="C119">
            <v>718928.8564939996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718928.8564939996</v>
          </cell>
        </row>
        <row r="120">
          <cell r="A120">
            <v>119</v>
          </cell>
          <cell r="B120" t="str">
            <v>Upgrade Feedwater Regulating Valves</v>
          </cell>
          <cell r="C120">
            <v>408641.92150150071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408641.92150150071</v>
          </cell>
        </row>
        <row r="121">
          <cell r="A121">
            <v>120</v>
          </cell>
          <cell r="B121" t="str">
            <v>LaSalle High Energy Line Break Issue</v>
          </cell>
          <cell r="C121">
            <v>0</v>
          </cell>
          <cell r="D121">
            <v>1508405.1394999998</v>
          </cell>
          <cell r="E121">
            <v>0</v>
          </cell>
          <cell r="F121">
            <v>0</v>
          </cell>
          <cell r="G121">
            <v>0</v>
          </cell>
          <cell r="H121">
            <v>1508405.1394999998</v>
          </cell>
        </row>
        <row r="122">
          <cell r="A122">
            <v>121</v>
          </cell>
          <cell r="B122" t="str">
            <v>Post Accident Sampling System</v>
          </cell>
          <cell r="C122">
            <v>24097.073375999989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24097.073375999989</v>
          </cell>
        </row>
        <row r="123">
          <cell r="A123">
            <v>122</v>
          </cell>
          <cell r="B123" t="str">
            <v>Water Pump Vault Ventilation</v>
          </cell>
          <cell r="C123">
            <v>-79.635484500000075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-79.635484500000075</v>
          </cell>
        </row>
        <row r="124">
          <cell r="A124">
            <v>123</v>
          </cell>
          <cell r="B124" t="str">
            <v>Drywell/Torus Purge Valves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124</v>
          </cell>
          <cell r="B125" t="str">
            <v>Safety Related Cables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125</v>
          </cell>
          <cell r="B126" t="str">
            <v>Residual Heat Removal Pump Monitoring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126</v>
          </cell>
          <cell r="B127" t="str">
            <v>MSIV Actuators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127</v>
          </cell>
          <cell r="B128" t="str">
            <v>Improvements to Reactor Building Sumps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128</v>
          </cell>
          <cell r="B129" t="str">
            <v>Data Communications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129</v>
          </cell>
          <cell r="B130" t="str">
            <v>Remove Makeup Demineralizer System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130</v>
          </cell>
          <cell r="B131" t="str">
            <v>Stability of the 4kV Power Distribution System</v>
          </cell>
          <cell r="C131">
            <v>480825.67796999984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480825.67796999984</v>
          </cell>
        </row>
        <row r="132">
          <cell r="A132">
            <v>131</v>
          </cell>
          <cell r="B132" t="str">
            <v>Vacco Filter System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132</v>
          </cell>
          <cell r="B133" t="str">
            <v>Local Leak Rate Test Taps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133</v>
          </cell>
          <cell r="B134" t="str">
            <v>Main Control Room Recorders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134</v>
          </cell>
          <cell r="B135" t="str">
            <v>Upgrade Relay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135</v>
          </cell>
          <cell r="B136" t="str">
            <v>Zion TMI Accident Review Modifications</v>
          </cell>
          <cell r="C136">
            <v>9583.2991860000075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9583.2991860000075</v>
          </cell>
        </row>
        <row r="137">
          <cell r="A137">
            <v>136</v>
          </cell>
          <cell r="B137" t="str">
            <v>Improvements to Drywell Monitoring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137</v>
          </cell>
          <cell r="B138" t="str">
            <v>Rerouting of Residual Heat Removal Service Water Line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138</v>
          </cell>
          <cell r="B139" t="str">
            <v>Residual Heat Removal System Check Valves</v>
          </cell>
          <cell r="C139">
            <v>87988.445150000014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87988.445150000014</v>
          </cell>
        </row>
        <row r="140">
          <cell r="A140">
            <v>139</v>
          </cell>
          <cell r="B140" t="str">
            <v>Installation of LUC &amp; GIX Relays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140</v>
          </cell>
          <cell r="B141" t="str">
            <v>Secondary Water Recycle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141</v>
          </cell>
          <cell r="B142" t="str">
            <v>Condensate PreFilter Modification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142</v>
          </cell>
          <cell r="B143" t="str">
            <v>Analytical Instrumentation Upgrade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143</v>
          </cell>
          <cell r="B144" t="str">
            <v>Radiation Monitoring System</v>
          </cell>
          <cell r="C144">
            <v>369104.92891499982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369104.92891499982</v>
          </cell>
        </row>
        <row r="145">
          <cell r="A145">
            <v>144</v>
          </cell>
          <cell r="B145" t="str">
            <v>Air Compressor Instrumentation Upgrade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145</v>
          </cell>
          <cell r="B146" t="str">
            <v>Three Charging Pumps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146</v>
          </cell>
          <cell r="B147" t="str">
            <v>Steam Generators J Nozzles</v>
          </cell>
          <cell r="C147">
            <v>600519.49831600022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600519.49831600022</v>
          </cell>
        </row>
        <row r="148">
          <cell r="A148">
            <v>147</v>
          </cell>
          <cell r="B148" t="str">
            <v>Diesel Generator Air Systems</v>
          </cell>
          <cell r="C148">
            <v>9585136.7747708261</v>
          </cell>
          <cell r="D148">
            <v>10586.316000000001</v>
          </cell>
          <cell r="E148">
            <v>0</v>
          </cell>
          <cell r="F148">
            <v>0</v>
          </cell>
          <cell r="G148">
            <v>0</v>
          </cell>
          <cell r="H148">
            <v>9595723.0907708257</v>
          </cell>
        </row>
        <row r="149">
          <cell r="A149">
            <v>148</v>
          </cell>
          <cell r="B149" t="str">
            <v>Regulatory Guide 1.97 Modification</v>
          </cell>
          <cell r="C149">
            <v>3363292.2030064682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3363292.2030064682</v>
          </cell>
        </row>
        <row r="150">
          <cell r="A150">
            <v>149</v>
          </cell>
          <cell r="B150" t="str">
            <v>Feedwater Pump Discharge Valves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150</v>
          </cell>
          <cell r="B151" t="str">
            <v>Reactor Coolant Pump Motor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151</v>
          </cell>
          <cell r="B152" t="str">
            <v>Radwaste System Modification</v>
          </cell>
          <cell r="C152">
            <v>592682.79408450006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592682.79408450006</v>
          </cell>
        </row>
        <row r="153">
          <cell r="A153">
            <v>152</v>
          </cell>
          <cell r="B153" t="str">
            <v>Computer Inverters Modification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153</v>
          </cell>
          <cell r="B154" t="str">
            <v>Reactor Vessel Integrity Program</v>
          </cell>
          <cell r="C154">
            <v>186057.81024750002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186057.81024750002</v>
          </cell>
        </row>
        <row r="155">
          <cell r="A155">
            <v>154</v>
          </cell>
          <cell r="B155" t="str">
            <v>New Rod Worth Minimizer</v>
          </cell>
          <cell r="C155">
            <v>730160.13136549934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730160.13136549934</v>
          </cell>
        </row>
        <row r="156">
          <cell r="A156">
            <v>155</v>
          </cell>
          <cell r="B156" t="str">
            <v>Drain Controller Replacement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156</v>
          </cell>
          <cell r="B157" t="str">
            <v>Non-Essential Station Load</v>
          </cell>
          <cell r="C157">
            <v>3660.6971664999996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3660.6971664999996</v>
          </cell>
        </row>
        <row r="158">
          <cell r="A158">
            <v>157</v>
          </cell>
          <cell r="B158" t="str">
            <v>Throttle Valve Upgrade</v>
          </cell>
          <cell r="C158">
            <v>495823.38470949954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495823.38470949954</v>
          </cell>
        </row>
        <row r="159">
          <cell r="A159">
            <v>158</v>
          </cell>
          <cell r="B159" t="str">
            <v>Fan Cooler Modification</v>
          </cell>
          <cell r="C159">
            <v>503120.84740799991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503120.84740799991</v>
          </cell>
        </row>
        <row r="160">
          <cell r="A160">
            <v>159</v>
          </cell>
          <cell r="B160" t="str">
            <v>Integration of Anti-Vibration Bars</v>
          </cell>
          <cell r="C160">
            <v>831663.02032349992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831663.02032349992</v>
          </cell>
        </row>
        <row r="161">
          <cell r="A161">
            <v>160</v>
          </cell>
          <cell r="B161" t="str">
            <v>Hydrogen Cooler Modification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161</v>
          </cell>
          <cell r="B162" t="str">
            <v>PICV Test System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162</v>
          </cell>
          <cell r="B163" t="str">
            <v>Upgrade Auxiliary Feedwater Steam Traps</v>
          </cell>
          <cell r="C163">
            <v>96673.793453999984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96673.793453999984</v>
          </cell>
        </row>
        <row r="164">
          <cell r="A164">
            <v>163</v>
          </cell>
          <cell r="B164" t="str">
            <v>Reactor Plant Capital DCPs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164</v>
          </cell>
          <cell r="B165" t="str">
            <v>Reactor Vessel Water Level System</v>
          </cell>
          <cell r="C165">
            <v>49951.873790500002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49951.873790500002</v>
          </cell>
        </row>
        <row r="166">
          <cell r="A166">
            <v>165</v>
          </cell>
          <cell r="B166" t="str">
            <v>Independent Reactor Vessel</v>
          </cell>
          <cell r="C166">
            <v>167511.32158200009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167511.32158200009</v>
          </cell>
        </row>
        <row r="167">
          <cell r="A167">
            <v>166</v>
          </cell>
          <cell r="B167" t="str">
            <v>Decontamination Project</v>
          </cell>
          <cell r="C167">
            <v>3642063.3115664981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3642063.3115664981</v>
          </cell>
        </row>
        <row r="168">
          <cell r="A168">
            <v>167</v>
          </cell>
          <cell r="B168" t="str">
            <v>Install Addition to Fab Shop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168</v>
          </cell>
          <cell r="B169" t="str">
            <v>Two Unloading Heat Exchangers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169</v>
          </cell>
          <cell r="B170" t="str">
            <v>Pneumatic Actuators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170</v>
          </cell>
          <cell r="B171" t="str">
            <v>L2R01 Design Changes</v>
          </cell>
          <cell r="C171">
            <v>0</v>
          </cell>
          <cell r="D171">
            <v>0</v>
          </cell>
          <cell r="E171">
            <v>105867.60458625005</v>
          </cell>
          <cell r="F171">
            <v>0</v>
          </cell>
          <cell r="G171">
            <v>0</v>
          </cell>
          <cell r="H171">
            <v>105867.60458625005</v>
          </cell>
        </row>
        <row r="172">
          <cell r="A172">
            <v>171</v>
          </cell>
          <cell r="B172" t="str">
            <v>Spare Diesel Generator Engine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172</v>
          </cell>
          <cell r="B173" t="str">
            <v>Drywell Cooling System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173</v>
          </cell>
          <cell r="B174" t="str">
            <v>Auxiliary Feed Pump Modification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174</v>
          </cell>
          <cell r="B175" t="str">
            <v>Alternative Intake to Lab Ventilation</v>
          </cell>
          <cell r="C175">
            <v>0</v>
          </cell>
          <cell r="D175">
            <v>61763.097500000003</v>
          </cell>
          <cell r="E175">
            <v>6862.57</v>
          </cell>
          <cell r="F175">
            <v>0</v>
          </cell>
          <cell r="G175">
            <v>0</v>
          </cell>
          <cell r="H175">
            <v>68625.66750000001</v>
          </cell>
        </row>
        <row r="176">
          <cell r="A176">
            <v>175</v>
          </cell>
          <cell r="B176" t="str">
            <v>Digital Rod Position Indication Cable/Connect</v>
          </cell>
          <cell r="C176">
            <v>0</v>
          </cell>
          <cell r="D176">
            <v>0</v>
          </cell>
          <cell r="E176">
            <v>0</v>
          </cell>
          <cell r="F176">
            <v>265089.67189899995</v>
          </cell>
          <cell r="G176">
            <v>265089.67189899995</v>
          </cell>
          <cell r="H176">
            <v>265089.67189899995</v>
          </cell>
        </row>
        <row r="177">
          <cell r="A177">
            <v>176</v>
          </cell>
          <cell r="B177" t="str">
            <v>Power Uprate</v>
          </cell>
          <cell r="C177">
            <v>0</v>
          </cell>
          <cell r="D177">
            <v>319374.96500000003</v>
          </cell>
          <cell r="E177">
            <v>0</v>
          </cell>
          <cell r="F177">
            <v>0</v>
          </cell>
          <cell r="G177">
            <v>0</v>
          </cell>
          <cell r="H177">
            <v>319374.96500000003</v>
          </cell>
        </row>
        <row r="178">
          <cell r="A178">
            <v>177</v>
          </cell>
          <cell r="B178" t="str">
            <v>Seismic Monitor Replacement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178</v>
          </cell>
          <cell r="B179" t="str">
            <v>EHC Elect SCRAM Reduction</v>
          </cell>
          <cell r="C179">
            <v>0</v>
          </cell>
          <cell r="D179">
            <v>0</v>
          </cell>
          <cell r="E179">
            <v>0</v>
          </cell>
          <cell r="F179">
            <v>33649.136253000011</v>
          </cell>
          <cell r="G179">
            <v>33649.136253000011</v>
          </cell>
          <cell r="H179">
            <v>33649.136253000011</v>
          </cell>
        </row>
        <row r="180">
          <cell r="A180">
            <v>179</v>
          </cell>
          <cell r="B180" t="str">
            <v>DCP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180</v>
          </cell>
          <cell r="B181" t="str">
            <v>Source Range ENuclear Instrumentation Upgrade</v>
          </cell>
          <cell r="C181">
            <v>0</v>
          </cell>
          <cell r="D181">
            <v>3065.82</v>
          </cell>
          <cell r="E181">
            <v>0</v>
          </cell>
          <cell r="F181">
            <v>0</v>
          </cell>
          <cell r="G181">
            <v>0</v>
          </cell>
          <cell r="H181">
            <v>3065.82</v>
          </cell>
        </row>
        <row r="182">
          <cell r="A182">
            <v>181</v>
          </cell>
          <cell r="B182" t="str">
            <v>Cathodic Protection of Underground Piping</v>
          </cell>
          <cell r="C182">
            <v>0</v>
          </cell>
          <cell r="D182">
            <v>64694.41</v>
          </cell>
          <cell r="E182">
            <v>0</v>
          </cell>
          <cell r="F182">
            <v>0</v>
          </cell>
          <cell r="G182">
            <v>0</v>
          </cell>
          <cell r="H182">
            <v>64694.41</v>
          </cell>
        </row>
        <row r="183">
          <cell r="A183">
            <v>183</v>
          </cell>
          <cell r="B183" t="str">
            <v>RSH Ice Boom/Blow Down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184</v>
          </cell>
          <cell r="B184" t="str">
            <v>Crane Upgrade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185</v>
          </cell>
          <cell r="B185" t="str">
            <v>Reactor Water Cleanup System High Energy Line Break</v>
          </cell>
          <cell r="C185">
            <v>0</v>
          </cell>
          <cell r="D185">
            <v>963588.49050000019</v>
          </cell>
          <cell r="E185">
            <v>35192.727500000008</v>
          </cell>
          <cell r="F185">
            <v>204901.11359899997</v>
          </cell>
          <cell r="G185">
            <v>204901.11359899997</v>
          </cell>
          <cell r="H185">
            <v>1203682.3315990001</v>
          </cell>
        </row>
        <row r="186">
          <cell r="A186">
            <v>186</v>
          </cell>
          <cell r="B186" t="str">
            <v>SQUG Outliers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187</v>
          </cell>
          <cell r="B187" t="str">
            <v>Maintaining ECCS Flow Path Following a Loss of Coolant Accident</v>
          </cell>
          <cell r="C187">
            <v>0</v>
          </cell>
          <cell r="D187">
            <v>407222.47100000008</v>
          </cell>
          <cell r="E187">
            <v>-4165.46</v>
          </cell>
          <cell r="F187">
            <v>122399.95749999997</v>
          </cell>
          <cell r="G187">
            <v>122399.95749999997</v>
          </cell>
          <cell r="H187">
            <v>525456.96850000008</v>
          </cell>
        </row>
        <row r="188">
          <cell r="A188">
            <v>188</v>
          </cell>
          <cell r="B188" t="str">
            <v>Drywell Insulation Replacement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189</v>
          </cell>
          <cell r="B189" t="str">
            <v>Installation of Cooling Towers at Dresden Nuclear Station</v>
          </cell>
          <cell r="C189">
            <v>0</v>
          </cell>
          <cell r="D189">
            <v>8958.6224999999977</v>
          </cell>
          <cell r="E189">
            <v>54981.734499999999</v>
          </cell>
          <cell r="F189">
            <v>0</v>
          </cell>
          <cell r="G189">
            <v>0</v>
          </cell>
          <cell r="H189">
            <v>63940.356999999996</v>
          </cell>
        </row>
        <row r="190">
          <cell r="A190">
            <v>190</v>
          </cell>
          <cell r="B190" t="str">
            <v>Installation of EHC Isolation Valves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191</v>
          </cell>
          <cell r="B191" t="str">
            <v>Noble Metals Modification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192</v>
          </cell>
          <cell r="B192" t="str">
            <v>Reactor SCRAM Switches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193</v>
          </cell>
          <cell r="B193" t="str">
            <v>Condenser Demineralizer</v>
          </cell>
          <cell r="C193">
            <v>0</v>
          </cell>
          <cell r="D193">
            <v>341146.84350000008</v>
          </cell>
          <cell r="E193">
            <v>102361.78850000002</v>
          </cell>
          <cell r="F193">
            <v>16709.676375999996</v>
          </cell>
          <cell r="G193">
            <v>16709.676375999996</v>
          </cell>
          <cell r="H193">
            <v>460218.30837600009</v>
          </cell>
        </row>
        <row r="194">
          <cell r="A194">
            <v>194</v>
          </cell>
          <cell r="B194" t="str">
            <v>ECCS Suction Strainer Redesign at the BWRs</v>
          </cell>
          <cell r="C194">
            <v>53717.675472999996</v>
          </cell>
          <cell r="D194">
            <v>171291.24849999993</v>
          </cell>
          <cell r="E194">
            <v>42972.8675</v>
          </cell>
          <cell r="F194">
            <v>2555564.7782804999</v>
          </cell>
          <cell r="G194">
            <v>2555564.7782804999</v>
          </cell>
          <cell r="H194">
            <v>2823546.5697534997</v>
          </cell>
        </row>
        <row r="195">
          <cell r="A195">
            <v>195</v>
          </cell>
          <cell r="B195" t="str">
            <v>Installation of Filter Skids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196</v>
          </cell>
          <cell r="B196" t="str">
            <v>Reactor Water Cleanup (RWCU) System Upgrades at LaSalle</v>
          </cell>
          <cell r="C196">
            <v>12326985.85625145</v>
          </cell>
          <cell r="D196">
            <v>4442554.8064999981</v>
          </cell>
          <cell r="E196">
            <v>1183022.5914999994</v>
          </cell>
          <cell r="F196">
            <v>0</v>
          </cell>
          <cell r="G196">
            <v>0</v>
          </cell>
          <cell r="H196">
            <v>17952563.254251447</v>
          </cell>
        </row>
        <row r="197">
          <cell r="A197">
            <v>197</v>
          </cell>
          <cell r="B197" t="str">
            <v>Installation of Isolation Valves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198</v>
          </cell>
          <cell r="B198" t="str">
            <v>Installation of RHR Vacuum Breaker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199</v>
          </cell>
          <cell r="B199" t="str">
            <v>Reactor Recirculation Pump Seals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200</v>
          </cell>
          <cell r="B200" t="str">
            <v>Recirculation Pump Motor Rewind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201</v>
          </cell>
          <cell r="B201" t="str">
            <v>Reactor Recirc MG Set Brush Replacement at Quad Cities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202</v>
          </cell>
          <cell r="B202" t="str">
            <v>Reactivity Management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203</v>
          </cell>
          <cell r="B203" t="str">
            <v>Replacement of Safety Injection Accumulator Transmitter</v>
          </cell>
          <cell r="C203">
            <v>0</v>
          </cell>
          <cell r="D203">
            <v>0</v>
          </cell>
          <cell r="E203">
            <v>0</v>
          </cell>
          <cell r="F203">
            <v>535951.429</v>
          </cell>
          <cell r="G203">
            <v>535951.429</v>
          </cell>
          <cell r="H203">
            <v>535951.429</v>
          </cell>
        </row>
        <row r="204">
          <cell r="A204">
            <v>204</v>
          </cell>
          <cell r="B204" t="str">
            <v>Synchronous Condenser - Zion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205</v>
          </cell>
          <cell r="B205" t="str">
            <v>High Pressure Core Injection Gland Seal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206</v>
          </cell>
          <cell r="B206" t="str">
            <v>Replacement of Valves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207</v>
          </cell>
          <cell r="B207" t="str">
            <v>Replacement of Valves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208</v>
          </cell>
          <cell r="B208" t="str">
            <v>Primary Containment Drain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209</v>
          </cell>
          <cell r="B209" t="str">
            <v>Managed Task to Support L1RO8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300</v>
          </cell>
          <cell r="B210" t="str">
            <v>Plant Completion</v>
          </cell>
          <cell r="C210">
            <v>2454314.658735496</v>
          </cell>
          <cell r="D210">
            <v>0</v>
          </cell>
          <cell r="E210">
            <v>0</v>
          </cell>
          <cell r="F210">
            <v>0</v>
          </cell>
          <cell r="G210">
            <v>-2454314.658735496</v>
          </cell>
          <cell r="H210">
            <v>0</v>
          </cell>
        </row>
        <row r="211">
          <cell r="A211">
            <v>301</v>
          </cell>
          <cell r="B211" t="str">
            <v>Reactor Coolant Sampling System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302</v>
          </cell>
          <cell r="B212" t="str">
            <v>Pending Approval</v>
          </cell>
          <cell r="C212">
            <v>8475570.122739451</v>
          </cell>
          <cell r="D212">
            <v>0</v>
          </cell>
          <cell r="E212">
            <v>0</v>
          </cell>
          <cell r="F212">
            <v>0</v>
          </cell>
          <cell r="G212">
            <v>-8475570.122739451</v>
          </cell>
          <cell r="H212">
            <v>0</v>
          </cell>
        </row>
        <row r="213">
          <cell r="B213" t="str">
            <v>TOTALS</v>
          </cell>
          <cell r="C213">
            <v>281161727.89774144</v>
          </cell>
          <cell r="D213">
            <v>9719738.4119999986</v>
          </cell>
          <cell r="E213">
            <v>7087633.8275862504</v>
          </cell>
          <cell r="F213">
            <v>10929884.781474996</v>
          </cell>
          <cell r="G213">
            <v>5.029141902923584E-8</v>
          </cell>
          <cell r="H213">
            <v>297969100.13732791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S Charges by Target"/>
      <sheetName val="PivotByMajMin"/>
      <sheetName val="AMS Charges by RT-All"/>
      <sheetName val="Pivot-CILCO"/>
      <sheetName val="CILCO"/>
      <sheetName val="CIPS"/>
      <sheetName val="IPC"/>
      <sheetName val="Projects 2006"/>
      <sheetName val="RMC-Descrip"/>
      <sheetName val="Resource Types"/>
      <sheetName val="Functions"/>
      <sheetName val="2005-SR-AllocFactors"/>
      <sheetName val="AllocFactors"/>
      <sheetName val="UnknownProj#"/>
      <sheetName val="IndirectAllocFac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6">
          <cell r="B6" t="str">
            <v>0E203</v>
          </cell>
          <cell r="C6" t="str">
            <v>CIP</v>
          </cell>
          <cell r="D6" t="str">
            <v>N</v>
          </cell>
          <cell r="E6" t="str">
            <v>C</v>
          </cell>
          <cell r="F6" t="str">
            <v>02/12/1999</v>
          </cell>
        </row>
        <row r="7">
          <cell r="B7" t="str">
            <v>0E204</v>
          </cell>
          <cell r="C7" t="str">
            <v>CIP</v>
          </cell>
          <cell r="D7" t="str">
            <v>N</v>
          </cell>
          <cell r="E7" t="str">
            <v>C</v>
          </cell>
          <cell r="F7" t="str">
            <v>02/12/1999</v>
          </cell>
        </row>
        <row r="8">
          <cell r="B8" t="str">
            <v>02963</v>
          </cell>
          <cell r="C8" t="str">
            <v>UEC</v>
          </cell>
          <cell r="D8" t="str">
            <v>N</v>
          </cell>
          <cell r="E8" t="str">
            <v>A</v>
          </cell>
          <cell r="F8" t="str">
            <v>11/04/1997</v>
          </cell>
        </row>
        <row r="9">
          <cell r="B9" t="str">
            <v>02990</v>
          </cell>
          <cell r="C9" t="str">
            <v>CIL</v>
          </cell>
          <cell r="D9" t="str">
            <v>N</v>
          </cell>
          <cell r="E9" t="str">
            <v>A</v>
          </cell>
          <cell r="F9" t="str">
            <v>12/21/2003</v>
          </cell>
        </row>
        <row r="10">
          <cell r="B10" t="str">
            <v>03246</v>
          </cell>
          <cell r="C10" t="str">
            <v>CIL</v>
          </cell>
          <cell r="D10" t="str">
            <v>N</v>
          </cell>
          <cell r="E10" t="str">
            <v>A</v>
          </cell>
          <cell r="F10" t="str">
            <v>12/21/2003</v>
          </cell>
        </row>
        <row r="11">
          <cell r="B11" t="str">
            <v>03993</v>
          </cell>
          <cell r="C11" t="str">
            <v>ARG</v>
          </cell>
          <cell r="D11" t="str">
            <v>N</v>
          </cell>
          <cell r="E11" t="str">
            <v>A</v>
          </cell>
          <cell r="F11" t="str">
            <v>12/22/2003</v>
          </cell>
        </row>
        <row r="12">
          <cell r="B12" t="str">
            <v>03994</v>
          </cell>
          <cell r="C12" t="str">
            <v>UEC</v>
          </cell>
          <cell r="D12" t="str">
            <v>N</v>
          </cell>
          <cell r="E12" t="str">
            <v>A</v>
          </cell>
          <cell r="F12" t="str">
            <v>01/06/2004</v>
          </cell>
        </row>
        <row r="13">
          <cell r="B13" t="str">
            <v>05491</v>
          </cell>
          <cell r="C13" t="str">
            <v>UEC</v>
          </cell>
          <cell r="D13" t="str">
            <v>N</v>
          </cell>
          <cell r="E13" t="str">
            <v>C</v>
          </cell>
          <cell r="F13" t="str">
            <v>12/11/1997</v>
          </cell>
        </row>
        <row r="14">
          <cell r="B14" t="str">
            <v>08051</v>
          </cell>
          <cell r="C14" t="str">
            <v>UEC</v>
          </cell>
          <cell r="D14" t="str">
            <v>N</v>
          </cell>
          <cell r="E14" t="str">
            <v>C</v>
          </cell>
          <cell r="F14" t="str">
            <v>11/19/1997</v>
          </cell>
        </row>
        <row r="15">
          <cell r="B15" t="str">
            <v>08937</v>
          </cell>
          <cell r="C15" t="str">
            <v>UEC</v>
          </cell>
          <cell r="D15" t="str">
            <v>N</v>
          </cell>
          <cell r="E15" t="str">
            <v>C</v>
          </cell>
          <cell r="F15" t="str">
            <v>12/11/1997</v>
          </cell>
        </row>
        <row r="16">
          <cell r="B16" t="str">
            <v>09047</v>
          </cell>
          <cell r="C16" t="str">
            <v>UEC</v>
          </cell>
          <cell r="D16" t="str">
            <v>N</v>
          </cell>
          <cell r="E16" t="str">
            <v>C</v>
          </cell>
          <cell r="F16" t="str">
            <v>12/11/1997</v>
          </cell>
        </row>
        <row r="17">
          <cell r="B17" t="str">
            <v>09280</v>
          </cell>
          <cell r="C17" t="str">
            <v>UEC</v>
          </cell>
          <cell r="D17" t="str">
            <v>N</v>
          </cell>
          <cell r="E17" t="str">
            <v>C</v>
          </cell>
          <cell r="F17" t="str">
            <v>11/17/1997</v>
          </cell>
        </row>
        <row r="18">
          <cell r="B18" t="str">
            <v>09288</v>
          </cell>
          <cell r="C18" t="str">
            <v>UEC</v>
          </cell>
          <cell r="D18" t="str">
            <v>N</v>
          </cell>
          <cell r="E18" t="str">
            <v>C</v>
          </cell>
          <cell r="F18" t="str">
            <v>12/02/1997</v>
          </cell>
        </row>
        <row r="19">
          <cell r="B19" t="str">
            <v>09289</v>
          </cell>
          <cell r="C19" t="str">
            <v>UEC</v>
          </cell>
          <cell r="D19" t="str">
            <v>N</v>
          </cell>
          <cell r="E19" t="str">
            <v>C</v>
          </cell>
          <cell r="F19" t="str">
            <v>12/02/1997</v>
          </cell>
        </row>
        <row r="20">
          <cell r="B20" t="str">
            <v>09290</v>
          </cell>
          <cell r="C20" t="str">
            <v>UEC</v>
          </cell>
          <cell r="D20" t="str">
            <v>N</v>
          </cell>
          <cell r="E20" t="str">
            <v>C</v>
          </cell>
          <cell r="F20" t="str">
            <v>12/02/1997</v>
          </cell>
        </row>
        <row r="21">
          <cell r="B21" t="str">
            <v>09432</v>
          </cell>
          <cell r="C21" t="str">
            <v>UEC</v>
          </cell>
          <cell r="D21" t="str">
            <v>N</v>
          </cell>
          <cell r="E21" t="str">
            <v>A</v>
          </cell>
          <cell r="F21" t="str">
            <v>12/11/1998</v>
          </cell>
        </row>
        <row r="22">
          <cell r="B22" t="str">
            <v>09444</v>
          </cell>
          <cell r="C22" t="str">
            <v>UEC</v>
          </cell>
          <cell r="D22" t="str">
            <v>N</v>
          </cell>
          <cell r="E22" t="str">
            <v>C</v>
          </cell>
          <cell r="F22" t="str">
            <v>12/02/1997</v>
          </cell>
        </row>
        <row r="23">
          <cell r="B23" t="str">
            <v>09499</v>
          </cell>
          <cell r="C23" t="str">
            <v>UEC</v>
          </cell>
          <cell r="D23" t="str">
            <v>N</v>
          </cell>
          <cell r="E23" t="str">
            <v>C</v>
          </cell>
          <cell r="F23" t="str">
            <v>12/02/1997</v>
          </cell>
        </row>
        <row r="24">
          <cell r="B24" t="str">
            <v>09501</v>
          </cell>
          <cell r="C24" t="str">
            <v>UEC</v>
          </cell>
          <cell r="D24" t="str">
            <v>N</v>
          </cell>
          <cell r="E24" t="str">
            <v>A</v>
          </cell>
          <cell r="F24" t="str">
            <v>01/13/1998</v>
          </cell>
        </row>
        <row r="25">
          <cell r="B25" t="str">
            <v>09515</v>
          </cell>
          <cell r="C25" t="str">
            <v>UEC</v>
          </cell>
          <cell r="D25" t="str">
            <v>N</v>
          </cell>
          <cell r="E25" t="str">
            <v>C</v>
          </cell>
          <cell r="F25" t="str">
            <v>12/02/1997</v>
          </cell>
        </row>
        <row r="26">
          <cell r="B26" t="str">
            <v>09571</v>
          </cell>
          <cell r="C26" t="str">
            <v>UEC</v>
          </cell>
          <cell r="D26" t="str">
            <v>N</v>
          </cell>
          <cell r="E26" t="str">
            <v>C</v>
          </cell>
          <cell r="F26" t="str">
            <v>12/03/1997</v>
          </cell>
        </row>
        <row r="27">
          <cell r="B27" t="str">
            <v>09704</v>
          </cell>
          <cell r="C27" t="str">
            <v>UEC</v>
          </cell>
          <cell r="D27" t="str">
            <v>N</v>
          </cell>
          <cell r="E27" t="str">
            <v>C</v>
          </cell>
          <cell r="F27" t="str">
            <v>12/03/1997</v>
          </cell>
        </row>
        <row r="28">
          <cell r="B28" t="str">
            <v>09795</v>
          </cell>
          <cell r="C28" t="str">
            <v>UEC</v>
          </cell>
          <cell r="D28" t="str">
            <v>N</v>
          </cell>
          <cell r="E28" t="str">
            <v>C</v>
          </cell>
          <cell r="F28" t="str">
            <v>01/07/1998</v>
          </cell>
        </row>
        <row r="29">
          <cell r="B29" t="str">
            <v>09826</v>
          </cell>
          <cell r="C29" t="str">
            <v>UEC</v>
          </cell>
          <cell r="D29" t="str">
            <v>N</v>
          </cell>
          <cell r="E29" t="str">
            <v>C</v>
          </cell>
          <cell r="F29" t="str">
            <v>12/22/1997</v>
          </cell>
        </row>
        <row r="30">
          <cell r="B30" t="str">
            <v>09889</v>
          </cell>
          <cell r="C30" t="str">
            <v>CIP</v>
          </cell>
          <cell r="D30" t="str">
            <v>N</v>
          </cell>
          <cell r="E30" t="str">
            <v>I</v>
          </cell>
          <cell r="F30" t="str">
            <v>12/12/2001</v>
          </cell>
        </row>
        <row r="31">
          <cell r="B31" t="str">
            <v>09905</v>
          </cell>
          <cell r="C31" t="str">
            <v>GEN</v>
          </cell>
          <cell r="D31" t="str">
            <v>N</v>
          </cell>
          <cell r="E31" t="str">
            <v>C</v>
          </cell>
          <cell r="F31" t="str">
            <v>01/09/1998</v>
          </cell>
        </row>
        <row r="32">
          <cell r="B32" t="str">
            <v>09907</v>
          </cell>
          <cell r="C32" t="str">
            <v>UEC</v>
          </cell>
          <cell r="D32" t="str">
            <v>N</v>
          </cell>
          <cell r="E32" t="str">
            <v>C</v>
          </cell>
          <cell r="F32" t="str">
            <v>03/25/1998</v>
          </cell>
        </row>
        <row r="33">
          <cell r="B33" t="str">
            <v>09923</v>
          </cell>
          <cell r="C33" t="str">
            <v>UEC</v>
          </cell>
          <cell r="D33" t="str">
            <v>N</v>
          </cell>
          <cell r="E33" t="str">
            <v>C</v>
          </cell>
          <cell r="F33" t="str">
            <v>06/11/1998</v>
          </cell>
        </row>
        <row r="34">
          <cell r="B34" t="str">
            <v>09924</v>
          </cell>
          <cell r="C34" t="str">
            <v>UEC</v>
          </cell>
          <cell r="D34" t="str">
            <v>N</v>
          </cell>
          <cell r="E34" t="str">
            <v>C</v>
          </cell>
          <cell r="F34" t="str">
            <v>10/02/2000</v>
          </cell>
        </row>
        <row r="35">
          <cell r="B35" t="str">
            <v>09941</v>
          </cell>
          <cell r="C35" t="str">
            <v>GEN</v>
          </cell>
          <cell r="D35" t="str">
            <v>N</v>
          </cell>
          <cell r="E35" t="str">
            <v>A</v>
          </cell>
          <cell r="F35" t="str">
            <v>01/15/1998</v>
          </cell>
        </row>
        <row r="36">
          <cell r="B36" t="str">
            <v>09944</v>
          </cell>
          <cell r="C36" t="str">
            <v>GEN</v>
          </cell>
          <cell r="D36" t="str">
            <v>N</v>
          </cell>
          <cell r="E36" t="str">
            <v>C</v>
          </cell>
          <cell r="F36" t="str">
            <v>03/12/1998</v>
          </cell>
        </row>
        <row r="37">
          <cell r="B37" t="str">
            <v>09959</v>
          </cell>
          <cell r="C37" t="str">
            <v>UEC</v>
          </cell>
          <cell r="D37" t="str">
            <v>N</v>
          </cell>
          <cell r="E37" t="str">
            <v>C</v>
          </cell>
          <cell r="F37" t="str">
            <v>01/21/1998</v>
          </cell>
        </row>
        <row r="38">
          <cell r="B38" t="str">
            <v>09964</v>
          </cell>
          <cell r="C38" t="str">
            <v>UEC</v>
          </cell>
          <cell r="D38" t="str">
            <v>N</v>
          </cell>
          <cell r="E38" t="str">
            <v>C</v>
          </cell>
          <cell r="F38" t="str">
            <v>01/23/1998</v>
          </cell>
        </row>
        <row r="39">
          <cell r="B39" t="str">
            <v>09976</v>
          </cell>
          <cell r="C39" t="str">
            <v>UEC</v>
          </cell>
          <cell r="D39" t="str">
            <v>N</v>
          </cell>
          <cell r="E39" t="str">
            <v>C</v>
          </cell>
          <cell r="F39" t="str">
            <v>01/28/1998</v>
          </cell>
        </row>
        <row r="40">
          <cell r="B40" t="str">
            <v>09994</v>
          </cell>
          <cell r="C40" t="str">
            <v>UEC</v>
          </cell>
          <cell r="D40" t="str">
            <v>N</v>
          </cell>
          <cell r="E40" t="str">
            <v>C</v>
          </cell>
          <cell r="F40" t="str">
            <v>03/23/1998</v>
          </cell>
        </row>
        <row r="41">
          <cell r="B41" t="str">
            <v>10024</v>
          </cell>
          <cell r="C41" t="str">
            <v>UEC</v>
          </cell>
          <cell r="D41" t="str">
            <v>N</v>
          </cell>
          <cell r="E41" t="str">
            <v>C</v>
          </cell>
          <cell r="F41" t="str">
            <v>04/15/1998</v>
          </cell>
        </row>
        <row r="42">
          <cell r="B42" t="str">
            <v>10026</v>
          </cell>
          <cell r="C42" t="str">
            <v>UEC</v>
          </cell>
          <cell r="D42" t="str">
            <v>N</v>
          </cell>
          <cell r="E42" t="str">
            <v>A</v>
          </cell>
          <cell r="F42" t="str">
            <v>04/15/1998</v>
          </cell>
        </row>
        <row r="43">
          <cell r="B43" t="str">
            <v>10028</v>
          </cell>
          <cell r="C43" t="str">
            <v>UEC</v>
          </cell>
          <cell r="D43" t="str">
            <v>N</v>
          </cell>
          <cell r="E43" t="str">
            <v>C</v>
          </cell>
          <cell r="F43" t="str">
            <v>07/07/1998</v>
          </cell>
        </row>
        <row r="44">
          <cell r="B44" t="str">
            <v>10036</v>
          </cell>
          <cell r="C44" t="str">
            <v>UEC</v>
          </cell>
          <cell r="D44" t="str">
            <v>N</v>
          </cell>
          <cell r="E44" t="str">
            <v>C</v>
          </cell>
          <cell r="F44" t="str">
            <v>06/12/1998</v>
          </cell>
        </row>
        <row r="45">
          <cell r="B45" t="str">
            <v>10053</v>
          </cell>
          <cell r="C45" t="str">
            <v>UEC</v>
          </cell>
          <cell r="D45" t="str">
            <v>N</v>
          </cell>
          <cell r="E45" t="str">
            <v>C</v>
          </cell>
          <cell r="F45" t="str">
            <v>06/02/1998</v>
          </cell>
        </row>
        <row r="46">
          <cell r="B46" t="str">
            <v>10054</v>
          </cell>
          <cell r="C46" t="str">
            <v>UEC</v>
          </cell>
          <cell r="D46" t="str">
            <v>N</v>
          </cell>
          <cell r="E46" t="str">
            <v>C</v>
          </cell>
          <cell r="F46" t="str">
            <v>01/11/2002</v>
          </cell>
        </row>
        <row r="47">
          <cell r="B47" t="str">
            <v>10055</v>
          </cell>
          <cell r="C47" t="str">
            <v>UEC</v>
          </cell>
          <cell r="D47" t="str">
            <v>N</v>
          </cell>
          <cell r="E47" t="str">
            <v>C</v>
          </cell>
          <cell r="F47" t="str">
            <v>06/15/1998</v>
          </cell>
        </row>
        <row r="48">
          <cell r="B48" t="str">
            <v>10069</v>
          </cell>
          <cell r="C48" t="str">
            <v>UEC</v>
          </cell>
          <cell r="D48" t="str">
            <v>N</v>
          </cell>
          <cell r="E48" t="str">
            <v>C</v>
          </cell>
          <cell r="F48" t="str">
            <v>07/09/1998</v>
          </cell>
        </row>
        <row r="49">
          <cell r="B49" t="str">
            <v>10087</v>
          </cell>
          <cell r="C49" t="str">
            <v>UEC</v>
          </cell>
          <cell r="D49" t="str">
            <v>N</v>
          </cell>
          <cell r="E49" t="str">
            <v>C</v>
          </cell>
          <cell r="F49" t="str">
            <v>10/06/1998</v>
          </cell>
        </row>
        <row r="50">
          <cell r="B50" t="str">
            <v>10094</v>
          </cell>
          <cell r="C50" t="str">
            <v>UEC</v>
          </cell>
          <cell r="D50" t="str">
            <v>N</v>
          </cell>
          <cell r="E50" t="str">
            <v>C</v>
          </cell>
          <cell r="F50" t="str">
            <v>10/06/1998</v>
          </cell>
        </row>
        <row r="51">
          <cell r="B51" t="str">
            <v>10100</v>
          </cell>
          <cell r="C51" t="str">
            <v>UEC</v>
          </cell>
          <cell r="D51" t="str">
            <v>N</v>
          </cell>
          <cell r="E51" t="str">
            <v>C</v>
          </cell>
          <cell r="F51" t="str">
            <v>10/06/1998</v>
          </cell>
        </row>
        <row r="52">
          <cell r="B52" t="str">
            <v>10101</v>
          </cell>
          <cell r="C52" t="str">
            <v>UEC</v>
          </cell>
          <cell r="D52" t="str">
            <v>N</v>
          </cell>
          <cell r="E52" t="str">
            <v>C</v>
          </cell>
          <cell r="F52" t="str">
            <v>07/24/1998</v>
          </cell>
        </row>
        <row r="53">
          <cell r="B53" t="str">
            <v>10104</v>
          </cell>
          <cell r="C53" t="str">
            <v>UEC</v>
          </cell>
          <cell r="D53" t="str">
            <v>N</v>
          </cell>
          <cell r="E53" t="str">
            <v>C</v>
          </cell>
          <cell r="F53" t="str">
            <v>08/17/1998</v>
          </cell>
        </row>
        <row r="54">
          <cell r="B54" t="str">
            <v>10115</v>
          </cell>
          <cell r="C54" t="str">
            <v>UEC</v>
          </cell>
          <cell r="D54" t="str">
            <v>N</v>
          </cell>
          <cell r="E54" t="str">
            <v>C</v>
          </cell>
          <cell r="F54" t="str">
            <v>07/29/1998</v>
          </cell>
        </row>
        <row r="55">
          <cell r="B55" t="str">
            <v>10125</v>
          </cell>
          <cell r="C55" t="str">
            <v>UEC</v>
          </cell>
          <cell r="D55" t="str">
            <v>N</v>
          </cell>
          <cell r="E55" t="str">
            <v>C</v>
          </cell>
          <cell r="F55" t="str">
            <v>08/03/1998</v>
          </cell>
        </row>
        <row r="56">
          <cell r="B56" t="str">
            <v>10127</v>
          </cell>
          <cell r="C56" t="str">
            <v>GEN</v>
          </cell>
          <cell r="D56" t="str">
            <v>N</v>
          </cell>
          <cell r="E56" t="str">
            <v>C</v>
          </cell>
          <cell r="F56" t="str">
            <v>08/03/1998</v>
          </cell>
        </row>
        <row r="57">
          <cell r="B57" t="str">
            <v>10149</v>
          </cell>
          <cell r="C57" t="str">
            <v>UEC</v>
          </cell>
          <cell r="D57" t="str">
            <v>N</v>
          </cell>
          <cell r="E57" t="str">
            <v>C</v>
          </cell>
          <cell r="F57" t="str">
            <v>09/01/1998</v>
          </cell>
        </row>
        <row r="58">
          <cell r="B58" t="str">
            <v>10170</v>
          </cell>
          <cell r="C58" t="str">
            <v>UEC</v>
          </cell>
          <cell r="D58" t="str">
            <v>N</v>
          </cell>
          <cell r="E58" t="str">
            <v>C</v>
          </cell>
          <cell r="F58" t="str">
            <v>09/21/1998</v>
          </cell>
        </row>
        <row r="59">
          <cell r="B59" t="str">
            <v>10174</v>
          </cell>
          <cell r="C59" t="str">
            <v>UEC</v>
          </cell>
          <cell r="D59" t="str">
            <v>N</v>
          </cell>
          <cell r="E59" t="str">
            <v>C</v>
          </cell>
          <cell r="F59" t="str">
            <v>10/15/1998</v>
          </cell>
        </row>
        <row r="60">
          <cell r="B60" t="str">
            <v>10175</v>
          </cell>
          <cell r="C60" t="str">
            <v>UEC</v>
          </cell>
          <cell r="D60" t="str">
            <v>N</v>
          </cell>
          <cell r="E60" t="str">
            <v>C</v>
          </cell>
          <cell r="F60" t="str">
            <v>10/15/1998</v>
          </cell>
        </row>
        <row r="61">
          <cell r="B61" t="str">
            <v>10180</v>
          </cell>
          <cell r="C61" t="str">
            <v>UEC</v>
          </cell>
          <cell r="D61" t="str">
            <v>N</v>
          </cell>
          <cell r="E61" t="str">
            <v>C</v>
          </cell>
          <cell r="F61" t="str">
            <v>10/16/1998</v>
          </cell>
        </row>
        <row r="62">
          <cell r="B62" t="str">
            <v>10186</v>
          </cell>
          <cell r="C62" t="str">
            <v>UEC</v>
          </cell>
          <cell r="D62" t="str">
            <v>N</v>
          </cell>
          <cell r="E62" t="str">
            <v>C</v>
          </cell>
          <cell r="F62" t="str">
            <v>10/19/1998</v>
          </cell>
        </row>
        <row r="63">
          <cell r="B63" t="str">
            <v>10187</v>
          </cell>
          <cell r="C63" t="str">
            <v>UEC</v>
          </cell>
          <cell r="D63" t="str">
            <v>N</v>
          </cell>
          <cell r="E63" t="str">
            <v>C</v>
          </cell>
          <cell r="F63" t="str">
            <v>10/19/1998</v>
          </cell>
        </row>
        <row r="64">
          <cell r="B64" t="str">
            <v>10199</v>
          </cell>
          <cell r="C64" t="str">
            <v>CIP</v>
          </cell>
          <cell r="D64" t="str">
            <v>N</v>
          </cell>
          <cell r="E64" t="str">
            <v>C</v>
          </cell>
          <cell r="F64" t="str">
            <v>10/12/1998</v>
          </cell>
        </row>
        <row r="65">
          <cell r="B65" t="str">
            <v>10206</v>
          </cell>
          <cell r="C65" t="str">
            <v>UEC</v>
          </cell>
          <cell r="D65" t="str">
            <v>N</v>
          </cell>
          <cell r="E65" t="str">
            <v>C</v>
          </cell>
          <cell r="F65" t="str">
            <v>10/21/1998</v>
          </cell>
        </row>
        <row r="66">
          <cell r="B66" t="str">
            <v>10211</v>
          </cell>
          <cell r="C66" t="str">
            <v>UEC</v>
          </cell>
          <cell r="D66" t="str">
            <v>N</v>
          </cell>
          <cell r="E66" t="str">
            <v>C</v>
          </cell>
          <cell r="F66" t="str">
            <v>10/27/1998</v>
          </cell>
        </row>
        <row r="67">
          <cell r="B67" t="str">
            <v>10230</v>
          </cell>
          <cell r="C67" t="str">
            <v>CIP</v>
          </cell>
          <cell r="D67" t="str">
            <v>N</v>
          </cell>
          <cell r="E67" t="str">
            <v>C</v>
          </cell>
          <cell r="F67" t="str">
            <v>10/30/1998</v>
          </cell>
        </row>
        <row r="68">
          <cell r="B68" t="str">
            <v>10231</v>
          </cell>
          <cell r="C68" t="str">
            <v>CIP</v>
          </cell>
          <cell r="D68" t="str">
            <v>N</v>
          </cell>
          <cell r="E68" t="str">
            <v>C</v>
          </cell>
          <cell r="F68" t="str">
            <v>10/30/1998</v>
          </cell>
        </row>
        <row r="69">
          <cell r="B69" t="str">
            <v>10233</v>
          </cell>
          <cell r="C69" t="str">
            <v>GEN</v>
          </cell>
          <cell r="D69" t="str">
            <v>N</v>
          </cell>
          <cell r="E69" t="str">
            <v>C</v>
          </cell>
          <cell r="F69" t="str">
            <v>12/01/1998</v>
          </cell>
        </row>
        <row r="70">
          <cell r="B70" t="str">
            <v>10235</v>
          </cell>
          <cell r="C70" t="str">
            <v>UEC</v>
          </cell>
          <cell r="D70" t="str">
            <v>N</v>
          </cell>
          <cell r="E70" t="str">
            <v>C</v>
          </cell>
          <cell r="F70" t="str">
            <v>11/24/1998</v>
          </cell>
        </row>
        <row r="71">
          <cell r="B71" t="str">
            <v>10237</v>
          </cell>
          <cell r="C71" t="str">
            <v>UEC</v>
          </cell>
          <cell r="D71" t="str">
            <v>N</v>
          </cell>
          <cell r="E71" t="str">
            <v>C</v>
          </cell>
          <cell r="F71" t="str">
            <v>04/14/1999</v>
          </cell>
        </row>
        <row r="72">
          <cell r="B72" t="str">
            <v>10247</v>
          </cell>
          <cell r="C72" t="str">
            <v>UEC</v>
          </cell>
          <cell r="D72" t="str">
            <v>N</v>
          </cell>
          <cell r="E72" t="str">
            <v>C</v>
          </cell>
          <cell r="F72" t="str">
            <v>12/02/1998</v>
          </cell>
        </row>
        <row r="73">
          <cell r="B73" t="str">
            <v>10262</v>
          </cell>
          <cell r="C73" t="str">
            <v>UEC</v>
          </cell>
          <cell r="D73" t="str">
            <v>N</v>
          </cell>
          <cell r="E73" t="str">
            <v>C</v>
          </cell>
          <cell r="F73" t="str">
            <v>10/04/2000</v>
          </cell>
        </row>
        <row r="74">
          <cell r="B74" t="str">
            <v>10266</v>
          </cell>
          <cell r="C74" t="str">
            <v>UEC</v>
          </cell>
          <cell r="D74" t="str">
            <v>N</v>
          </cell>
          <cell r="E74" t="str">
            <v>C</v>
          </cell>
          <cell r="F74" t="str">
            <v>12/09/1998</v>
          </cell>
        </row>
        <row r="75">
          <cell r="B75" t="str">
            <v>10268</v>
          </cell>
          <cell r="C75" t="str">
            <v>UEC</v>
          </cell>
          <cell r="D75" t="str">
            <v>N</v>
          </cell>
          <cell r="E75" t="str">
            <v>C</v>
          </cell>
          <cell r="F75" t="str">
            <v>12/09/1998</v>
          </cell>
        </row>
        <row r="76">
          <cell r="B76" t="str">
            <v>10282</v>
          </cell>
          <cell r="C76" t="str">
            <v>GEN</v>
          </cell>
          <cell r="D76" t="str">
            <v>N</v>
          </cell>
          <cell r="E76" t="str">
            <v>C</v>
          </cell>
          <cell r="F76" t="str">
            <v>01/15/1999</v>
          </cell>
        </row>
        <row r="77">
          <cell r="B77" t="str">
            <v>10291</v>
          </cell>
          <cell r="C77" t="str">
            <v>GEN</v>
          </cell>
          <cell r="D77" t="str">
            <v>N</v>
          </cell>
          <cell r="E77" t="str">
            <v>C</v>
          </cell>
          <cell r="F77" t="str">
            <v>01/30/2001</v>
          </cell>
        </row>
        <row r="78">
          <cell r="B78" t="str">
            <v>10292</v>
          </cell>
          <cell r="C78" t="str">
            <v>GEN</v>
          </cell>
          <cell r="D78" t="str">
            <v>N</v>
          </cell>
          <cell r="E78" t="str">
            <v>C</v>
          </cell>
          <cell r="F78" t="str">
            <v>01/30/2001</v>
          </cell>
        </row>
        <row r="79">
          <cell r="B79" t="str">
            <v>10305</v>
          </cell>
          <cell r="C79" t="str">
            <v>UEC</v>
          </cell>
          <cell r="D79" t="str">
            <v>N</v>
          </cell>
          <cell r="E79" t="str">
            <v>C</v>
          </cell>
          <cell r="F79" t="str">
            <v>04/08/1999</v>
          </cell>
        </row>
        <row r="80">
          <cell r="B80" t="str">
            <v>10316</v>
          </cell>
          <cell r="C80" t="str">
            <v>GEN</v>
          </cell>
          <cell r="D80" t="str">
            <v>N</v>
          </cell>
          <cell r="E80" t="str">
            <v>C</v>
          </cell>
          <cell r="F80" t="str">
            <v>01/21/1999</v>
          </cell>
        </row>
        <row r="81">
          <cell r="B81" t="str">
            <v>10317</v>
          </cell>
          <cell r="C81" t="str">
            <v>GEN</v>
          </cell>
          <cell r="D81" t="str">
            <v>N</v>
          </cell>
          <cell r="E81" t="str">
            <v>A</v>
          </cell>
          <cell r="F81" t="str">
            <v>01/21/1999</v>
          </cell>
        </row>
        <row r="82">
          <cell r="B82" t="str">
            <v>10318</v>
          </cell>
          <cell r="C82" t="str">
            <v>UEC</v>
          </cell>
          <cell r="D82" t="str">
            <v>N</v>
          </cell>
          <cell r="E82" t="str">
            <v>A</v>
          </cell>
          <cell r="F82" t="str">
            <v>01/21/1999</v>
          </cell>
        </row>
        <row r="83">
          <cell r="B83" t="str">
            <v>10320</v>
          </cell>
          <cell r="C83" t="str">
            <v>UEC</v>
          </cell>
          <cell r="D83" t="str">
            <v>N</v>
          </cell>
          <cell r="E83" t="str">
            <v>A</v>
          </cell>
          <cell r="F83" t="str">
            <v>01/21/1999</v>
          </cell>
        </row>
        <row r="84">
          <cell r="B84" t="str">
            <v>10348</v>
          </cell>
          <cell r="C84" t="str">
            <v>UEC</v>
          </cell>
          <cell r="D84" t="str">
            <v>N</v>
          </cell>
          <cell r="E84" t="str">
            <v>C</v>
          </cell>
          <cell r="F84" t="str">
            <v>01/04/1999</v>
          </cell>
        </row>
        <row r="85">
          <cell r="B85" t="str">
            <v>10370</v>
          </cell>
          <cell r="C85" t="str">
            <v>GEN</v>
          </cell>
          <cell r="D85" t="str">
            <v>N</v>
          </cell>
          <cell r="E85" t="str">
            <v>C</v>
          </cell>
          <cell r="F85" t="str">
            <v>01/30/2001</v>
          </cell>
        </row>
        <row r="86">
          <cell r="B86" t="str">
            <v>10374</v>
          </cell>
          <cell r="C86" t="str">
            <v>GEN</v>
          </cell>
          <cell r="D86" t="str">
            <v>N</v>
          </cell>
          <cell r="E86" t="str">
            <v>C</v>
          </cell>
          <cell r="F86" t="str">
            <v>01/30/2001</v>
          </cell>
        </row>
        <row r="87">
          <cell r="B87" t="str">
            <v>10375</v>
          </cell>
          <cell r="C87" t="str">
            <v>UEC</v>
          </cell>
          <cell r="D87" t="str">
            <v>N</v>
          </cell>
          <cell r="E87" t="str">
            <v>C</v>
          </cell>
          <cell r="F87" t="str">
            <v>01/07/1999</v>
          </cell>
        </row>
        <row r="88">
          <cell r="B88" t="str">
            <v>10387</v>
          </cell>
          <cell r="C88" t="str">
            <v>UEC</v>
          </cell>
          <cell r="D88" t="str">
            <v>N</v>
          </cell>
          <cell r="E88" t="str">
            <v>A</v>
          </cell>
          <cell r="F88" t="str">
            <v>01/28/1999</v>
          </cell>
        </row>
        <row r="89">
          <cell r="B89" t="str">
            <v>10389</v>
          </cell>
          <cell r="C89" t="str">
            <v>UEC</v>
          </cell>
          <cell r="D89" t="str">
            <v>N</v>
          </cell>
          <cell r="E89" t="str">
            <v>C</v>
          </cell>
          <cell r="F89" t="str">
            <v>01/29/1999</v>
          </cell>
        </row>
        <row r="90">
          <cell r="B90" t="str">
            <v>10390</v>
          </cell>
          <cell r="C90" t="str">
            <v>GEN</v>
          </cell>
          <cell r="D90" t="str">
            <v>N</v>
          </cell>
          <cell r="E90" t="str">
            <v>A</v>
          </cell>
          <cell r="F90" t="str">
            <v>02/01/1999</v>
          </cell>
        </row>
        <row r="91">
          <cell r="B91" t="str">
            <v>10391</v>
          </cell>
          <cell r="C91" t="str">
            <v>UEC</v>
          </cell>
          <cell r="D91" t="str">
            <v>N</v>
          </cell>
          <cell r="E91" t="str">
            <v>C</v>
          </cell>
          <cell r="F91" t="str">
            <v>04/28/1999</v>
          </cell>
        </row>
        <row r="92">
          <cell r="B92" t="str">
            <v>10395</v>
          </cell>
          <cell r="C92" t="str">
            <v>UEC</v>
          </cell>
          <cell r="D92" t="str">
            <v>N</v>
          </cell>
          <cell r="E92" t="str">
            <v>C</v>
          </cell>
          <cell r="F92" t="str">
            <v>02/08/1999</v>
          </cell>
        </row>
        <row r="93">
          <cell r="B93" t="str">
            <v>10401</v>
          </cell>
          <cell r="C93" t="str">
            <v>UEC</v>
          </cell>
          <cell r="D93" t="str">
            <v>N</v>
          </cell>
          <cell r="E93" t="str">
            <v>C</v>
          </cell>
          <cell r="F93" t="str">
            <v>05/13/1999</v>
          </cell>
        </row>
        <row r="94">
          <cell r="B94" t="str">
            <v>10402</v>
          </cell>
          <cell r="C94" t="str">
            <v>UEC</v>
          </cell>
          <cell r="D94" t="str">
            <v>N</v>
          </cell>
          <cell r="E94" t="str">
            <v>C</v>
          </cell>
          <cell r="F94" t="str">
            <v>08/13/1999</v>
          </cell>
        </row>
        <row r="95">
          <cell r="B95" t="str">
            <v>10406</v>
          </cell>
          <cell r="C95" t="str">
            <v>UEC</v>
          </cell>
          <cell r="D95" t="str">
            <v>N</v>
          </cell>
          <cell r="E95" t="str">
            <v>C</v>
          </cell>
          <cell r="F95" t="str">
            <v>05/12/1999</v>
          </cell>
        </row>
        <row r="96">
          <cell r="B96" t="str">
            <v>10411</v>
          </cell>
          <cell r="C96" t="str">
            <v>UEC</v>
          </cell>
          <cell r="D96" t="str">
            <v>N</v>
          </cell>
          <cell r="E96" t="str">
            <v>C</v>
          </cell>
          <cell r="F96" t="str">
            <v>02/05/1999</v>
          </cell>
        </row>
        <row r="97">
          <cell r="B97" t="str">
            <v>10421</v>
          </cell>
          <cell r="C97" t="str">
            <v>UEC</v>
          </cell>
          <cell r="D97" t="str">
            <v>N</v>
          </cell>
          <cell r="E97" t="str">
            <v>C</v>
          </cell>
          <cell r="F97" t="str">
            <v>02/11/1999</v>
          </cell>
        </row>
        <row r="98">
          <cell r="B98" t="str">
            <v>10422</v>
          </cell>
          <cell r="C98" t="str">
            <v>UEC</v>
          </cell>
          <cell r="D98" t="str">
            <v>N</v>
          </cell>
          <cell r="E98" t="str">
            <v>C</v>
          </cell>
          <cell r="F98" t="str">
            <v>02/11/1999</v>
          </cell>
        </row>
        <row r="99">
          <cell r="B99" t="str">
            <v>10423</v>
          </cell>
          <cell r="C99" t="str">
            <v>UEC</v>
          </cell>
          <cell r="D99" t="str">
            <v>N</v>
          </cell>
          <cell r="E99" t="str">
            <v>C</v>
          </cell>
          <cell r="F99" t="str">
            <v>02/11/1999</v>
          </cell>
        </row>
        <row r="100">
          <cell r="B100" t="str">
            <v>10424</v>
          </cell>
          <cell r="C100" t="str">
            <v>UEC</v>
          </cell>
          <cell r="D100" t="str">
            <v>N</v>
          </cell>
          <cell r="E100" t="str">
            <v>C</v>
          </cell>
          <cell r="F100" t="str">
            <v>02/11/1999</v>
          </cell>
        </row>
        <row r="101">
          <cell r="B101" t="str">
            <v>10432</v>
          </cell>
          <cell r="C101" t="str">
            <v>UEC</v>
          </cell>
          <cell r="D101" t="str">
            <v>N</v>
          </cell>
          <cell r="E101" t="str">
            <v>C</v>
          </cell>
          <cell r="F101" t="str">
            <v>05/07/1999</v>
          </cell>
        </row>
        <row r="102">
          <cell r="B102" t="str">
            <v>10433</v>
          </cell>
          <cell r="C102" t="str">
            <v>UEC</v>
          </cell>
          <cell r="D102" t="str">
            <v>N</v>
          </cell>
          <cell r="E102" t="str">
            <v>C</v>
          </cell>
          <cell r="F102" t="str">
            <v>05/07/1999</v>
          </cell>
        </row>
        <row r="103">
          <cell r="B103" t="str">
            <v>10434</v>
          </cell>
          <cell r="C103" t="str">
            <v>UEC</v>
          </cell>
          <cell r="D103" t="str">
            <v>N</v>
          </cell>
          <cell r="E103" t="str">
            <v>C</v>
          </cell>
          <cell r="F103" t="str">
            <v>02/12/1999</v>
          </cell>
        </row>
        <row r="104">
          <cell r="B104" t="str">
            <v>10441</v>
          </cell>
          <cell r="C104" t="str">
            <v>CIP</v>
          </cell>
          <cell r="D104" t="str">
            <v>N</v>
          </cell>
          <cell r="E104" t="str">
            <v>C</v>
          </cell>
          <cell r="F104" t="str">
            <v>07/18/2000</v>
          </cell>
        </row>
        <row r="105">
          <cell r="B105" t="str">
            <v>10462</v>
          </cell>
          <cell r="C105" t="str">
            <v>CIP</v>
          </cell>
          <cell r="D105" t="str">
            <v>N</v>
          </cell>
          <cell r="E105" t="str">
            <v>C</v>
          </cell>
          <cell r="F105" t="str">
            <v>04/26/1999</v>
          </cell>
        </row>
        <row r="106">
          <cell r="B106" t="str">
            <v>10465</v>
          </cell>
          <cell r="C106" t="str">
            <v>UEC</v>
          </cell>
          <cell r="D106" t="str">
            <v>N</v>
          </cell>
          <cell r="E106" t="str">
            <v>C</v>
          </cell>
          <cell r="F106" t="str">
            <v>02/26/1999</v>
          </cell>
        </row>
        <row r="107">
          <cell r="B107" t="str">
            <v>10467</v>
          </cell>
          <cell r="C107" t="str">
            <v>UEC</v>
          </cell>
          <cell r="D107" t="str">
            <v>N</v>
          </cell>
          <cell r="E107" t="str">
            <v>A</v>
          </cell>
          <cell r="F107" t="str">
            <v>12/20/2000</v>
          </cell>
        </row>
        <row r="108">
          <cell r="B108" t="str">
            <v>10468</v>
          </cell>
          <cell r="C108" t="str">
            <v>CIP</v>
          </cell>
          <cell r="D108" t="str">
            <v>N</v>
          </cell>
          <cell r="E108" t="str">
            <v>C</v>
          </cell>
          <cell r="F108" t="str">
            <v>05/11/1999</v>
          </cell>
        </row>
        <row r="109">
          <cell r="B109" t="str">
            <v>10477</v>
          </cell>
          <cell r="C109" t="str">
            <v>CIP</v>
          </cell>
          <cell r="D109" t="str">
            <v>N</v>
          </cell>
          <cell r="E109" t="str">
            <v>C</v>
          </cell>
          <cell r="F109" t="str">
            <v>03/10/1999</v>
          </cell>
        </row>
        <row r="110">
          <cell r="B110" t="str">
            <v>10488</v>
          </cell>
          <cell r="C110" t="str">
            <v>UEC</v>
          </cell>
          <cell r="D110" t="str">
            <v>N</v>
          </cell>
          <cell r="E110" t="str">
            <v>C</v>
          </cell>
          <cell r="F110" t="str">
            <v>08/04/1999</v>
          </cell>
        </row>
        <row r="111">
          <cell r="B111" t="str">
            <v>10489</v>
          </cell>
          <cell r="C111" t="str">
            <v>UEC</v>
          </cell>
          <cell r="D111" t="str">
            <v>N</v>
          </cell>
          <cell r="E111" t="str">
            <v>C</v>
          </cell>
          <cell r="F111" t="str">
            <v>08/05/1999</v>
          </cell>
        </row>
        <row r="112">
          <cell r="B112" t="str">
            <v>10494</v>
          </cell>
          <cell r="C112" t="str">
            <v>UEC</v>
          </cell>
          <cell r="D112" t="str">
            <v>N</v>
          </cell>
          <cell r="E112" t="str">
            <v>C</v>
          </cell>
          <cell r="F112" t="str">
            <v>05/12/1999</v>
          </cell>
        </row>
        <row r="113">
          <cell r="B113" t="str">
            <v>10504</v>
          </cell>
          <cell r="C113" t="str">
            <v>UEC</v>
          </cell>
          <cell r="D113" t="str">
            <v>N</v>
          </cell>
          <cell r="E113" t="str">
            <v>C</v>
          </cell>
          <cell r="F113" t="str">
            <v>03/31/1999</v>
          </cell>
        </row>
        <row r="114">
          <cell r="B114" t="str">
            <v>10516</v>
          </cell>
          <cell r="C114" t="str">
            <v>GEN</v>
          </cell>
          <cell r="D114" t="str">
            <v>N</v>
          </cell>
          <cell r="E114" t="str">
            <v>C</v>
          </cell>
          <cell r="F114" t="str">
            <v>02/22/2001</v>
          </cell>
        </row>
        <row r="115">
          <cell r="B115" t="str">
            <v>10517</v>
          </cell>
          <cell r="C115" t="str">
            <v>CIP</v>
          </cell>
          <cell r="D115" t="str">
            <v>N</v>
          </cell>
          <cell r="E115" t="str">
            <v>C</v>
          </cell>
          <cell r="F115" t="str">
            <v>08/10/1999</v>
          </cell>
        </row>
        <row r="116">
          <cell r="B116" t="str">
            <v>10519</v>
          </cell>
          <cell r="C116" t="str">
            <v>UEC</v>
          </cell>
          <cell r="D116" t="str">
            <v>N</v>
          </cell>
          <cell r="E116" t="str">
            <v>C</v>
          </cell>
          <cell r="F116" t="str">
            <v>05/26/1999</v>
          </cell>
        </row>
        <row r="117">
          <cell r="B117" t="str">
            <v>10524</v>
          </cell>
          <cell r="C117" t="str">
            <v>UEC</v>
          </cell>
          <cell r="D117" t="str">
            <v>N</v>
          </cell>
          <cell r="E117" t="str">
            <v>C</v>
          </cell>
          <cell r="F117" t="str">
            <v>08/10/1999</v>
          </cell>
        </row>
        <row r="118">
          <cell r="B118" t="str">
            <v>10528</v>
          </cell>
          <cell r="C118" t="str">
            <v>UEC</v>
          </cell>
          <cell r="D118" t="str">
            <v>N</v>
          </cell>
          <cell r="E118" t="str">
            <v>C</v>
          </cell>
          <cell r="F118" t="str">
            <v>06/02/1999</v>
          </cell>
        </row>
        <row r="119">
          <cell r="B119" t="str">
            <v>10529</v>
          </cell>
          <cell r="C119" t="str">
            <v>UEC</v>
          </cell>
          <cell r="D119" t="str">
            <v>N</v>
          </cell>
          <cell r="E119" t="str">
            <v>C</v>
          </cell>
          <cell r="F119" t="str">
            <v>06/02/1999</v>
          </cell>
        </row>
        <row r="120">
          <cell r="B120" t="str">
            <v>10534</v>
          </cell>
          <cell r="C120" t="str">
            <v>UEC</v>
          </cell>
          <cell r="D120" t="str">
            <v>N</v>
          </cell>
          <cell r="E120" t="str">
            <v>C</v>
          </cell>
          <cell r="F120" t="str">
            <v>06/08/1999</v>
          </cell>
        </row>
        <row r="121">
          <cell r="B121" t="str">
            <v>10535</v>
          </cell>
          <cell r="C121" t="str">
            <v>UEC</v>
          </cell>
          <cell r="D121" t="str">
            <v>N</v>
          </cell>
          <cell r="E121" t="str">
            <v>C</v>
          </cell>
          <cell r="F121" t="str">
            <v>06/08/1999</v>
          </cell>
        </row>
        <row r="122">
          <cell r="B122" t="str">
            <v>10536</v>
          </cell>
          <cell r="C122"/>
          <cell r="D122"/>
          <cell r="E122"/>
          <cell r="F122"/>
        </row>
        <row r="123">
          <cell r="B123" t="str">
            <v>10542</v>
          </cell>
          <cell r="C123" t="str">
            <v>UEC</v>
          </cell>
          <cell r="D123" t="str">
            <v>N</v>
          </cell>
          <cell r="E123" t="str">
            <v>C</v>
          </cell>
          <cell r="F123" t="str">
            <v>06/09/1999</v>
          </cell>
        </row>
        <row r="124">
          <cell r="B124" t="str">
            <v>10543</v>
          </cell>
          <cell r="C124" t="str">
            <v>ADC</v>
          </cell>
          <cell r="D124" t="str">
            <v>N</v>
          </cell>
          <cell r="E124" t="str">
            <v>C</v>
          </cell>
          <cell r="F124" t="str">
            <v>07/27/2000</v>
          </cell>
        </row>
        <row r="125">
          <cell r="B125" t="str">
            <v>10551</v>
          </cell>
          <cell r="C125" t="str">
            <v>UEC</v>
          </cell>
          <cell r="D125" t="str">
            <v>N</v>
          </cell>
          <cell r="E125" t="str">
            <v>C</v>
          </cell>
          <cell r="F125" t="str">
            <v>06/10/1999</v>
          </cell>
        </row>
        <row r="126">
          <cell r="B126" t="str">
            <v>10557</v>
          </cell>
          <cell r="C126" t="str">
            <v>GEN</v>
          </cell>
          <cell r="D126" t="str">
            <v>N</v>
          </cell>
          <cell r="E126" t="str">
            <v>C</v>
          </cell>
          <cell r="F126" t="str">
            <v>01/30/2001</v>
          </cell>
        </row>
        <row r="127">
          <cell r="B127" t="str">
            <v>10558</v>
          </cell>
          <cell r="C127" t="str">
            <v>GEN</v>
          </cell>
          <cell r="D127" t="str">
            <v>N</v>
          </cell>
          <cell r="E127" t="str">
            <v>C</v>
          </cell>
          <cell r="F127" t="str">
            <v>01/30/2001</v>
          </cell>
        </row>
        <row r="128">
          <cell r="B128" t="str">
            <v>10559</v>
          </cell>
          <cell r="C128" t="str">
            <v>UEC</v>
          </cell>
          <cell r="D128" t="str">
            <v>N</v>
          </cell>
          <cell r="E128" t="str">
            <v>C</v>
          </cell>
          <cell r="F128" t="str">
            <v>06/14/1999</v>
          </cell>
        </row>
        <row r="129">
          <cell r="B129" t="str">
            <v>10561</v>
          </cell>
          <cell r="C129" t="str">
            <v>UEC</v>
          </cell>
          <cell r="D129" t="str">
            <v>N</v>
          </cell>
          <cell r="E129" t="str">
            <v>C</v>
          </cell>
          <cell r="F129" t="str">
            <v>06/15/1999</v>
          </cell>
        </row>
        <row r="130">
          <cell r="B130" t="str">
            <v>10565</v>
          </cell>
          <cell r="C130" t="str">
            <v>UEC</v>
          </cell>
          <cell r="D130" t="str">
            <v>N</v>
          </cell>
          <cell r="E130" t="str">
            <v>C</v>
          </cell>
          <cell r="F130" t="str">
            <v>06/16/1999</v>
          </cell>
        </row>
        <row r="131">
          <cell r="B131" t="str">
            <v>10572</v>
          </cell>
          <cell r="C131" t="str">
            <v>UEC</v>
          </cell>
          <cell r="D131" t="str">
            <v>N</v>
          </cell>
          <cell r="E131" t="str">
            <v>C</v>
          </cell>
          <cell r="F131" t="str">
            <v>06/22/1999</v>
          </cell>
        </row>
        <row r="132">
          <cell r="B132" t="str">
            <v>10603</v>
          </cell>
          <cell r="C132" t="str">
            <v>UEC</v>
          </cell>
          <cell r="D132" t="str">
            <v>N</v>
          </cell>
          <cell r="E132" t="str">
            <v>C</v>
          </cell>
          <cell r="F132" t="str">
            <v>07/02/1999</v>
          </cell>
        </row>
        <row r="133">
          <cell r="B133" t="str">
            <v>10605</v>
          </cell>
          <cell r="C133" t="str">
            <v>CIP</v>
          </cell>
          <cell r="D133" t="str">
            <v>N</v>
          </cell>
          <cell r="E133" t="str">
            <v>C</v>
          </cell>
          <cell r="F133" t="str">
            <v>07/08/1999</v>
          </cell>
        </row>
        <row r="134">
          <cell r="B134" t="str">
            <v>10628</v>
          </cell>
          <cell r="C134" t="str">
            <v>UEC</v>
          </cell>
          <cell r="D134" t="str">
            <v>N</v>
          </cell>
          <cell r="E134" t="str">
            <v>C</v>
          </cell>
          <cell r="F134" t="str">
            <v>09/21/1999</v>
          </cell>
        </row>
        <row r="135">
          <cell r="B135" t="str">
            <v>10630</v>
          </cell>
          <cell r="C135" t="str">
            <v>UEC</v>
          </cell>
          <cell r="D135" t="str">
            <v>N</v>
          </cell>
          <cell r="E135" t="str">
            <v>C</v>
          </cell>
          <cell r="F135" t="str">
            <v>07/20/1999</v>
          </cell>
        </row>
        <row r="136">
          <cell r="B136" t="str">
            <v>10632</v>
          </cell>
          <cell r="C136" t="str">
            <v>UEC</v>
          </cell>
          <cell r="D136" t="str">
            <v>N</v>
          </cell>
          <cell r="E136" t="str">
            <v>C</v>
          </cell>
          <cell r="F136" t="str">
            <v>08/18/1999</v>
          </cell>
        </row>
        <row r="137">
          <cell r="B137" t="str">
            <v>10634</v>
          </cell>
          <cell r="C137" t="str">
            <v>GEN</v>
          </cell>
          <cell r="D137" t="str">
            <v>N</v>
          </cell>
          <cell r="E137" t="str">
            <v>C</v>
          </cell>
          <cell r="F137" t="str">
            <v>08/20/1999</v>
          </cell>
        </row>
        <row r="138">
          <cell r="B138" t="str">
            <v>10636</v>
          </cell>
          <cell r="C138" t="str">
            <v>GEN</v>
          </cell>
          <cell r="D138" t="str">
            <v>N</v>
          </cell>
          <cell r="E138" t="str">
            <v>C</v>
          </cell>
          <cell r="F138" t="str">
            <v>08/20/1999</v>
          </cell>
        </row>
        <row r="139">
          <cell r="B139" t="str">
            <v>10637</v>
          </cell>
          <cell r="C139" t="str">
            <v>CIP</v>
          </cell>
          <cell r="D139" t="str">
            <v>N</v>
          </cell>
          <cell r="E139" t="str">
            <v>C</v>
          </cell>
          <cell r="F139" t="str">
            <v>07/22/1999</v>
          </cell>
        </row>
        <row r="140">
          <cell r="B140" t="str">
            <v>10638</v>
          </cell>
          <cell r="C140" t="str">
            <v>GEN</v>
          </cell>
          <cell r="D140" t="str">
            <v>N</v>
          </cell>
          <cell r="E140" t="str">
            <v>C</v>
          </cell>
          <cell r="F140" t="str">
            <v>08/20/1999</v>
          </cell>
        </row>
        <row r="141">
          <cell r="B141" t="str">
            <v>10640</v>
          </cell>
          <cell r="C141" t="str">
            <v>GEN</v>
          </cell>
          <cell r="D141" t="str">
            <v>N</v>
          </cell>
          <cell r="E141" t="str">
            <v>C</v>
          </cell>
          <cell r="F141" t="str">
            <v>08/20/1999</v>
          </cell>
        </row>
        <row r="142">
          <cell r="B142" t="str">
            <v>10645</v>
          </cell>
          <cell r="C142" t="str">
            <v>UEC</v>
          </cell>
          <cell r="D142" t="str">
            <v>N</v>
          </cell>
          <cell r="E142" t="str">
            <v>C</v>
          </cell>
          <cell r="F142" t="str">
            <v>09/14/2000</v>
          </cell>
        </row>
        <row r="143">
          <cell r="B143" t="str">
            <v>10654</v>
          </cell>
          <cell r="C143" t="str">
            <v>UEC</v>
          </cell>
          <cell r="D143" t="str">
            <v>N</v>
          </cell>
          <cell r="E143" t="str">
            <v>C</v>
          </cell>
          <cell r="F143" t="str">
            <v>10/28/1999</v>
          </cell>
        </row>
        <row r="144">
          <cell r="B144" t="str">
            <v>10665</v>
          </cell>
          <cell r="C144" t="str">
            <v>UEC</v>
          </cell>
          <cell r="D144" t="str">
            <v>N</v>
          </cell>
          <cell r="E144" t="str">
            <v>C</v>
          </cell>
          <cell r="F144" t="str">
            <v>10/12/1999</v>
          </cell>
        </row>
        <row r="145">
          <cell r="B145" t="str">
            <v>10682</v>
          </cell>
          <cell r="C145" t="str">
            <v>UEC</v>
          </cell>
          <cell r="D145" t="str">
            <v>N</v>
          </cell>
          <cell r="E145" t="str">
            <v>C</v>
          </cell>
          <cell r="F145" t="str">
            <v>11/18/1999</v>
          </cell>
        </row>
        <row r="146">
          <cell r="B146" t="str">
            <v>10685</v>
          </cell>
          <cell r="C146" t="str">
            <v>UEC</v>
          </cell>
          <cell r="D146" t="str">
            <v>N</v>
          </cell>
          <cell r="E146" t="str">
            <v>C</v>
          </cell>
          <cell r="F146" t="str">
            <v>08/26/1999</v>
          </cell>
        </row>
        <row r="147">
          <cell r="B147" t="str">
            <v>10691</v>
          </cell>
          <cell r="C147" t="str">
            <v>AED</v>
          </cell>
          <cell r="D147" t="str">
            <v>N</v>
          </cell>
          <cell r="E147" t="str">
            <v>C</v>
          </cell>
          <cell r="F147" t="str">
            <v>01/30/2001</v>
          </cell>
        </row>
        <row r="148">
          <cell r="B148" t="str">
            <v>10692</v>
          </cell>
          <cell r="C148" t="str">
            <v>UEC</v>
          </cell>
          <cell r="D148" t="str">
            <v>N</v>
          </cell>
          <cell r="E148" t="str">
            <v>C</v>
          </cell>
          <cell r="F148" t="str">
            <v>01/07/2000</v>
          </cell>
        </row>
        <row r="149">
          <cell r="B149" t="str">
            <v>10693</v>
          </cell>
          <cell r="C149" t="str">
            <v>AED</v>
          </cell>
          <cell r="D149" t="str">
            <v>N</v>
          </cell>
          <cell r="E149" t="str">
            <v>C</v>
          </cell>
          <cell r="F149" t="str">
            <v>01/30/2001</v>
          </cell>
        </row>
        <row r="150">
          <cell r="B150" t="str">
            <v>10694</v>
          </cell>
          <cell r="C150" t="str">
            <v>GEN</v>
          </cell>
          <cell r="D150" t="str">
            <v>N</v>
          </cell>
          <cell r="E150" t="str">
            <v>C</v>
          </cell>
          <cell r="F150" t="str">
            <v>01/30/2001</v>
          </cell>
        </row>
        <row r="151">
          <cell r="B151" t="str">
            <v>10695</v>
          </cell>
          <cell r="C151" t="str">
            <v>AED</v>
          </cell>
          <cell r="D151" t="str">
            <v>N</v>
          </cell>
          <cell r="E151" t="str">
            <v>C</v>
          </cell>
          <cell r="F151" t="str">
            <v>01/30/2001</v>
          </cell>
        </row>
        <row r="152">
          <cell r="B152" t="str">
            <v>10697</v>
          </cell>
          <cell r="C152" t="str">
            <v>UEC</v>
          </cell>
          <cell r="D152" t="str">
            <v>N</v>
          </cell>
          <cell r="E152" t="str">
            <v>C</v>
          </cell>
          <cell r="F152" t="str">
            <v>08/31/1999</v>
          </cell>
        </row>
        <row r="153">
          <cell r="B153" t="str">
            <v>10700</v>
          </cell>
          <cell r="C153" t="str">
            <v>UEC</v>
          </cell>
          <cell r="D153" t="str">
            <v>N</v>
          </cell>
          <cell r="E153" t="str">
            <v>A</v>
          </cell>
          <cell r="F153" t="str">
            <v>09/02/1999</v>
          </cell>
        </row>
        <row r="154">
          <cell r="B154" t="str">
            <v>10705</v>
          </cell>
          <cell r="C154" t="str">
            <v>UEC</v>
          </cell>
          <cell r="D154" t="str">
            <v>N</v>
          </cell>
          <cell r="E154" t="str">
            <v>C</v>
          </cell>
          <cell r="F154" t="str">
            <v>09/10/1999</v>
          </cell>
        </row>
        <row r="155">
          <cell r="B155" t="str">
            <v>10710</v>
          </cell>
          <cell r="C155" t="str">
            <v>UEC</v>
          </cell>
          <cell r="D155" t="str">
            <v>N</v>
          </cell>
          <cell r="E155" t="str">
            <v>C</v>
          </cell>
          <cell r="F155" t="str">
            <v>09/13/1999</v>
          </cell>
        </row>
        <row r="156">
          <cell r="B156" t="str">
            <v>10715</v>
          </cell>
          <cell r="C156" t="str">
            <v>UEC</v>
          </cell>
          <cell r="D156" t="str">
            <v>N</v>
          </cell>
          <cell r="E156" t="str">
            <v>C</v>
          </cell>
          <cell r="F156" t="str">
            <v>09/13/1999</v>
          </cell>
        </row>
        <row r="157">
          <cell r="B157" t="str">
            <v>10717</v>
          </cell>
          <cell r="C157" t="str">
            <v>UEC</v>
          </cell>
          <cell r="D157" t="str">
            <v>N</v>
          </cell>
          <cell r="E157" t="str">
            <v>C</v>
          </cell>
          <cell r="F157" t="str">
            <v>09/14/1999</v>
          </cell>
        </row>
        <row r="158">
          <cell r="B158" t="str">
            <v>10745</v>
          </cell>
          <cell r="C158" t="str">
            <v>UEC</v>
          </cell>
          <cell r="D158" t="str">
            <v>N</v>
          </cell>
          <cell r="E158" t="str">
            <v>C</v>
          </cell>
          <cell r="F158" t="str">
            <v>09/30/1999</v>
          </cell>
        </row>
        <row r="159">
          <cell r="B159" t="str">
            <v>10746</v>
          </cell>
          <cell r="C159" t="str">
            <v>CIP</v>
          </cell>
          <cell r="D159" t="str">
            <v>N</v>
          </cell>
          <cell r="E159" t="str">
            <v>C</v>
          </cell>
          <cell r="F159" t="str">
            <v>10/20/1999</v>
          </cell>
        </row>
        <row r="160">
          <cell r="B160" t="str">
            <v>10748</v>
          </cell>
          <cell r="C160"/>
          <cell r="D160"/>
          <cell r="E160"/>
          <cell r="F160"/>
        </row>
        <row r="161">
          <cell r="B161" t="str">
            <v>10752</v>
          </cell>
          <cell r="C161" t="str">
            <v>UEC</v>
          </cell>
          <cell r="D161" t="str">
            <v>N</v>
          </cell>
          <cell r="E161" t="str">
            <v>C</v>
          </cell>
          <cell r="F161" t="str">
            <v>10/21/1999</v>
          </cell>
        </row>
        <row r="162">
          <cell r="B162" t="str">
            <v>10761</v>
          </cell>
          <cell r="C162" t="str">
            <v>UEC</v>
          </cell>
          <cell r="D162" t="str">
            <v>N</v>
          </cell>
          <cell r="E162" t="str">
            <v>C</v>
          </cell>
          <cell r="F162" t="str">
            <v>10/25/1999</v>
          </cell>
        </row>
        <row r="163">
          <cell r="B163" t="str">
            <v>10770</v>
          </cell>
          <cell r="C163" t="str">
            <v>UEC</v>
          </cell>
          <cell r="D163" t="str">
            <v>N</v>
          </cell>
          <cell r="E163" t="str">
            <v>C</v>
          </cell>
          <cell r="F163" t="str">
            <v>10/27/1999</v>
          </cell>
        </row>
        <row r="164">
          <cell r="B164" t="str">
            <v>10771</v>
          </cell>
          <cell r="C164" t="str">
            <v>UEC</v>
          </cell>
          <cell r="D164" t="str">
            <v>N</v>
          </cell>
          <cell r="E164" t="str">
            <v>C</v>
          </cell>
          <cell r="F164" t="str">
            <v>10/28/1999</v>
          </cell>
        </row>
        <row r="165">
          <cell r="B165" t="str">
            <v>10775</v>
          </cell>
          <cell r="C165" t="str">
            <v>UEC</v>
          </cell>
          <cell r="D165" t="str">
            <v>N</v>
          </cell>
          <cell r="E165" t="str">
            <v>C</v>
          </cell>
          <cell r="F165" t="str">
            <v>10/28/1999</v>
          </cell>
        </row>
        <row r="166">
          <cell r="B166" t="str">
            <v>10784</v>
          </cell>
          <cell r="C166" t="str">
            <v>UEC</v>
          </cell>
          <cell r="D166" t="str">
            <v>N</v>
          </cell>
          <cell r="E166" t="str">
            <v>C</v>
          </cell>
          <cell r="F166" t="str">
            <v>02/14/2000</v>
          </cell>
        </row>
        <row r="167">
          <cell r="B167" t="str">
            <v>10788</v>
          </cell>
          <cell r="C167" t="str">
            <v>UEC</v>
          </cell>
          <cell r="D167" t="str">
            <v>N</v>
          </cell>
          <cell r="E167" t="str">
            <v>C</v>
          </cell>
          <cell r="F167" t="str">
            <v>11/15/1999</v>
          </cell>
        </row>
        <row r="168">
          <cell r="B168" t="str">
            <v>10799</v>
          </cell>
          <cell r="C168" t="str">
            <v>CIP</v>
          </cell>
          <cell r="D168" t="str">
            <v>N</v>
          </cell>
          <cell r="E168" t="str">
            <v>C</v>
          </cell>
          <cell r="F168" t="str">
            <v>11/19/1999</v>
          </cell>
        </row>
        <row r="169">
          <cell r="B169" t="str">
            <v>10802</v>
          </cell>
          <cell r="C169" t="str">
            <v>UEC</v>
          </cell>
          <cell r="D169" t="str">
            <v>N</v>
          </cell>
          <cell r="E169" t="str">
            <v>C</v>
          </cell>
          <cell r="F169" t="str">
            <v>06/05/2000</v>
          </cell>
        </row>
        <row r="170">
          <cell r="B170" t="str">
            <v>10803</v>
          </cell>
          <cell r="C170" t="str">
            <v>UEC</v>
          </cell>
          <cell r="D170" t="str">
            <v>N</v>
          </cell>
          <cell r="E170" t="str">
            <v>C</v>
          </cell>
          <cell r="F170" t="str">
            <v>08/19/2002</v>
          </cell>
        </row>
        <row r="171">
          <cell r="B171" t="str">
            <v>10807</v>
          </cell>
          <cell r="C171" t="str">
            <v>UEC</v>
          </cell>
          <cell r="D171" t="str">
            <v>N</v>
          </cell>
          <cell r="E171" t="str">
            <v>C</v>
          </cell>
          <cell r="F171" t="str">
            <v>03/08/2000</v>
          </cell>
        </row>
        <row r="172">
          <cell r="B172" t="str">
            <v>10809</v>
          </cell>
          <cell r="C172" t="str">
            <v>UEC</v>
          </cell>
          <cell r="D172" t="str">
            <v>N</v>
          </cell>
          <cell r="E172" t="str">
            <v>C</v>
          </cell>
          <cell r="F172" t="str">
            <v>03/08/2000</v>
          </cell>
        </row>
        <row r="173">
          <cell r="B173" t="str">
            <v>10810</v>
          </cell>
          <cell r="C173" t="str">
            <v>AEC</v>
          </cell>
          <cell r="D173" t="str">
            <v>N</v>
          </cell>
          <cell r="E173" t="str">
            <v>A</v>
          </cell>
          <cell r="F173" t="str">
            <v>03/08/2000</v>
          </cell>
        </row>
        <row r="174">
          <cell r="B174" t="str">
            <v>10811</v>
          </cell>
          <cell r="C174" t="str">
            <v>UEC</v>
          </cell>
          <cell r="D174" t="str">
            <v>N</v>
          </cell>
          <cell r="E174" t="str">
            <v>A</v>
          </cell>
          <cell r="F174" t="str">
            <v>03/09/2001</v>
          </cell>
        </row>
        <row r="175">
          <cell r="B175" t="str">
            <v>10824</v>
          </cell>
          <cell r="C175" t="str">
            <v>UEC</v>
          </cell>
          <cell r="D175" t="str">
            <v>N</v>
          </cell>
          <cell r="E175" t="str">
            <v>C</v>
          </cell>
          <cell r="F175" t="str">
            <v>11/26/1999</v>
          </cell>
        </row>
        <row r="176">
          <cell r="B176" t="str">
            <v>10825</v>
          </cell>
          <cell r="C176" t="str">
            <v>UEC</v>
          </cell>
          <cell r="D176" t="str">
            <v>N</v>
          </cell>
          <cell r="E176" t="str">
            <v>C</v>
          </cell>
          <cell r="F176" t="str">
            <v>11/26/1999</v>
          </cell>
        </row>
        <row r="177">
          <cell r="B177" t="str">
            <v>10826</v>
          </cell>
          <cell r="C177" t="str">
            <v>UEC</v>
          </cell>
          <cell r="D177" t="str">
            <v>N</v>
          </cell>
          <cell r="E177" t="str">
            <v>C</v>
          </cell>
          <cell r="F177" t="str">
            <v>11/29/1999</v>
          </cell>
        </row>
        <row r="178">
          <cell r="B178" t="str">
            <v>10832</v>
          </cell>
          <cell r="C178" t="str">
            <v>UEC</v>
          </cell>
          <cell r="D178" t="str">
            <v>N</v>
          </cell>
          <cell r="E178" t="str">
            <v>C</v>
          </cell>
          <cell r="F178" t="str">
            <v>03/13/2000</v>
          </cell>
        </row>
        <row r="179">
          <cell r="B179" t="str">
            <v>10841</v>
          </cell>
          <cell r="C179" t="str">
            <v>UEC</v>
          </cell>
          <cell r="D179" t="str">
            <v>N</v>
          </cell>
          <cell r="E179" t="str">
            <v>C</v>
          </cell>
          <cell r="F179" t="str">
            <v>06/06/2000</v>
          </cell>
        </row>
        <row r="180">
          <cell r="B180" t="str">
            <v>10845</v>
          </cell>
          <cell r="C180" t="str">
            <v>GEN</v>
          </cell>
          <cell r="D180" t="str">
            <v>N</v>
          </cell>
          <cell r="E180" t="str">
            <v>C</v>
          </cell>
          <cell r="F180" t="str">
            <v>12/02/1999</v>
          </cell>
        </row>
        <row r="181">
          <cell r="B181" t="str">
            <v>10846</v>
          </cell>
          <cell r="C181" t="str">
            <v>UEC</v>
          </cell>
          <cell r="D181" t="str">
            <v>N</v>
          </cell>
          <cell r="E181" t="str">
            <v>C</v>
          </cell>
          <cell r="F181" t="str">
            <v>12/02/1999</v>
          </cell>
        </row>
        <row r="182">
          <cell r="B182" t="str">
            <v>10847</v>
          </cell>
          <cell r="C182" t="str">
            <v>UEC</v>
          </cell>
          <cell r="D182" t="str">
            <v>N</v>
          </cell>
          <cell r="E182" t="str">
            <v>C</v>
          </cell>
          <cell r="F182" t="str">
            <v>12/02/1999</v>
          </cell>
        </row>
        <row r="183">
          <cell r="B183" t="str">
            <v>10854</v>
          </cell>
          <cell r="C183" t="str">
            <v>UEC</v>
          </cell>
          <cell r="D183" t="str">
            <v>N</v>
          </cell>
          <cell r="E183" t="str">
            <v>A</v>
          </cell>
          <cell r="F183" t="str">
            <v>12/08/1999</v>
          </cell>
        </row>
        <row r="184">
          <cell r="B184" t="str">
            <v>10855</v>
          </cell>
          <cell r="C184" t="str">
            <v>CIP</v>
          </cell>
          <cell r="D184" t="str">
            <v>N</v>
          </cell>
          <cell r="E184" t="str">
            <v>C</v>
          </cell>
          <cell r="F184" t="str">
            <v>12/08/1999</v>
          </cell>
        </row>
        <row r="185">
          <cell r="B185" t="str">
            <v>10859</v>
          </cell>
          <cell r="C185" t="str">
            <v>UEC</v>
          </cell>
          <cell r="D185" t="str">
            <v>N</v>
          </cell>
          <cell r="E185" t="str">
            <v>C</v>
          </cell>
          <cell r="F185" t="str">
            <v>12/14/1999</v>
          </cell>
        </row>
        <row r="186">
          <cell r="B186" t="str">
            <v>10862</v>
          </cell>
          <cell r="C186" t="str">
            <v>UEC</v>
          </cell>
          <cell r="D186" t="str">
            <v>N</v>
          </cell>
          <cell r="E186" t="str">
            <v>C</v>
          </cell>
          <cell r="F186" t="str">
            <v>12/14/1999</v>
          </cell>
        </row>
        <row r="187">
          <cell r="B187" t="str">
            <v>10863</v>
          </cell>
          <cell r="C187" t="str">
            <v>UEC</v>
          </cell>
          <cell r="D187" t="str">
            <v>N</v>
          </cell>
          <cell r="E187" t="str">
            <v>C</v>
          </cell>
          <cell r="F187" t="str">
            <v>03/21/2000</v>
          </cell>
        </row>
        <row r="188">
          <cell r="B188" t="str">
            <v>10865</v>
          </cell>
          <cell r="C188" t="str">
            <v>UEC</v>
          </cell>
          <cell r="D188" t="str">
            <v>N</v>
          </cell>
          <cell r="E188" t="str">
            <v>C</v>
          </cell>
          <cell r="F188" t="str">
            <v>12/14/1999</v>
          </cell>
        </row>
        <row r="189">
          <cell r="B189" t="str">
            <v>10870</v>
          </cell>
          <cell r="C189" t="str">
            <v>UEC</v>
          </cell>
          <cell r="D189" t="str">
            <v>N</v>
          </cell>
          <cell r="E189" t="str">
            <v>A</v>
          </cell>
          <cell r="F189" t="str">
            <v>03/22/2000</v>
          </cell>
        </row>
        <row r="190">
          <cell r="B190" t="str">
            <v>10871</v>
          </cell>
          <cell r="C190" t="str">
            <v>UEC</v>
          </cell>
          <cell r="D190" t="str">
            <v>N</v>
          </cell>
          <cell r="E190" t="str">
            <v>C</v>
          </cell>
          <cell r="F190" t="str">
            <v>03/21/2000</v>
          </cell>
        </row>
        <row r="191">
          <cell r="B191" t="str">
            <v>10874</v>
          </cell>
          <cell r="C191" t="str">
            <v>UEC</v>
          </cell>
          <cell r="D191" t="str">
            <v>N</v>
          </cell>
          <cell r="E191" t="str">
            <v>C</v>
          </cell>
          <cell r="F191" t="str">
            <v>03/24/2000</v>
          </cell>
        </row>
        <row r="192">
          <cell r="B192" t="str">
            <v>10879</v>
          </cell>
          <cell r="C192" t="str">
            <v>UEC</v>
          </cell>
          <cell r="D192" t="str">
            <v>N</v>
          </cell>
          <cell r="E192" t="str">
            <v>C</v>
          </cell>
          <cell r="F192" t="str">
            <v>05/05/2000</v>
          </cell>
        </row>
        <row r="193">
          <cell r="B193" t="str">
            <v>10883</v>
          </cell>
          <cell r="C193" t="str">
            <v>UEC</v>
          </cell>
          <cell r="D193" t="str">
            <v>N</v>
          </cell>
          <cell r="E193" t="str">
            <v>A</v>
          </cell>
          <cell r="F193" t="str">
            <v>03/29/2000</v>
          </cell>
        </row>
        <row r="194">
          <cell r="B194" t="str">
            <v>10885</v>
          </cell>
          <cell r="C194" t="str">
            <v>UEC</v>
          </cell>
          <cell r="D194" t="str">
            <v>N</v>
          </cell>
          <cell r="E194" t="str">
            <v>C</v>
          </cell>
          <cell r="F194" t="str">
            <v>03/29/2000</v>
          </cell>
        </row>
        <row r="195">
          <cell r="B195" t="str">
            <v>10887</v>
          </cell>
          <cell r="C195" t="str">
            <v>UEC</v>
          </cell>
          <cell r="D195" t="str">
            <v>N</v>
          </cell>
          <cell r="E195" t="str">
            <v>C</v>
          </cell>
          <cell r="F195" t="str">
            <v>12/27/1999</v>
          </cell>
        </row>
        <row r="196">
          <cell r="B196" t="str">
            <v>10888</v>
          </cell>
          <cell r="C196" t="str">
            <v>UEC</v>
          </cell>
          <cell r="D196" t="str">
            <v>N</v>
          </cell>
          <cell r="E196" t="str">
            <v>C</v>
          </cell>
          <cell r="F196" t="str">
            <v>01/30/2001</v>
          </cell>
        </row>
        <row r="197">
          <cell r="B197" t="str">
            <v>10890</v>
          </cell>
          <cell r="C197" t="str">
            <v>UEC</v>
          </cell>
          <cell r="D197" t="str">
            <v>N</v>
          </cell>
          <cell r="E197" t="str">
            <v>C</v>
          </cell>
          <cell r="F197" t="str">
            <v>12/29/1999</v>
          </cell>
        </row>
        <row r="198">
          <cell r="B198" t="str">
            <v>10892</v>
          </cell>
          <cell r="C198" t="str">
            <v>GEN</v>
          </cell>
          <cell r="D198" t="str">
            <v>N</v>
          </cell>
          <cell r="E198" t="str">
            <v>C</v>
          </cell>
          <cell r="F198" t="str">
            <v>01/03/2000</v>
          </cell>
        </row>
        <row r="199">
          <cell r="B199" t="str">
            <v>10895</v>
          </cell>
          <cell r="C199" t="str">
            <v>UEC</v>
          </cell>
          <cell r="D199" t="str">
            <v>N</v>
          </cell>
          <cell r="E199" t="str">
            <v>A</v>
          </cell>
          <cell r="F199" t="str">
            <v>01/04/2000</v>
          </cell>
        </row>
        <row r="200">
          <cell r="B200" t="str">
            <v>10896</v>
          </cell>
          <cell r="C200" t="str">
            <v>UEC</v>
          </cell>
          <cell r="D200" t="str">
            <v>N</v>
          </cell>
          <cell r="E200" t="str">
            <v>C</v>
          </cell>
          <cell r="F200" t="str">
            <v>01/04/2000</v>
          </cell>
        </row>
        <row r="201">
          <cell r="B201" t="str">
            <v>10898</v>
          </cell>
          <cell r="C201" t="str">
            <v>UEC</v>
          </cell>
          <cell r="D201" t="str">
            <v>N</v>
          </cell>
          <cell r="E201" t="str">
            <v>C</v>
          </cell>
          <cell r="F201" t="str">
            <v>01/05/2000</v>
          </cell>
        </row>
        <row r="202">
          <cell r="B202" t="str">
            <v>10901</v>
          </cell>
          <cell r="C202" t="str">
            <v>UEC</v>
          </cell>
          <cell r="D202" t="str">
            <v>N</v>
          </cell>
          <cell r="E202" t="str">
            <v>C</v>
          </cell>
          <cell r="F202" t="str">
            <v>01/06/2000</v>
          </cell>
        </row>
        <row r="203">
          <cell r="B203" t="str">
            <v>10902</v>
          </cell>
          <cell r="C203" t="str">
            <v>UEC</v>
          </cell>
          <cell r="D203" t="str">
            <v>N</v>
          </cell>
          <cell r="E203" t="str">
            <v>C</v>
          </cell>
          <cell r="F203" t="str">
            <v>01/06/2000</v>
          </cell>
        </row>
        <row r="204">
          <cell r="B204" t="str">
            <v>10909</v>
          </cell>
          <cell r="C204" t="str">
            <v>UEC</v>
          </cell>
          <cell r="D204" t="str">
            <v>N</v>
          </cell>
          <cell r="E204" t="str">
            <v>C</v>
          </cell>
          <cell r="F204" t="str">
            <v>01/07/2000</v>
          </cell>
        </row>
        <row r="205">
          <cell r="B205" t="str">
            <v>10912</v>
          </cell>
          <cell r="C205" t="str">
            <v>CIP</v>
          </cell>
          <cell r="D205" t="str">
            <v>N</v>
          </cell>
          <cell r="E205" t="str">
            <v>C</v>
          </cell>
          <cell r="F205" t="str">
            <v>01/10/2000</v>
          </cell>
        </row>
        <row r="206">
          <cell r="B206" t="str">
            <v>10916</v>
          </cell>
          <cell r="C206" t="str">
            <v>CIP</v>
          </cell>
          <cell r="D206" t="str">
            <v>N</v>
          </cell>
          <cell r="E206" t="str">
            <v>C</v>
          </cell>
          <cell r="F206" t="str">
            <v>01/11/2000</v>
          </cell>
        </row>
        <row r="207">
          <cell r="B207" t="str">
            <v>10924</v>
          </cell>
          <cell r="C207" t="str">
            <v>UEC</v>
          </cell>
          <cell r="D207" t="str">
            <v>N</v>
          </cell>
          <cell r="E207" t="str">
            <v>C</v>
          </cell>
          <cell r="F207" t="str">
            <v>01/13/2000</v>
          </cell>
        </row>
        <row r="208">
          <cell r="B208" t="str">
            <v>10930</v>
          </cell>
          <cell r="C208" t="str">
            <v>UEC</v>
          </cell>
          <cell r="D208" t="str">
            <v>N</v>
          </cell>
          <cell r="E208" t="str">
            <v>C</v>
          </cell>
          <cell r="F208" t="str">
            <v>01/19/2000</v>
          </cell>
        </row>
        <row r="209">
          <cell r="B209" t="str">
            <v>10935</v>
          </cell>
          <cell r="C209" t="str">
            <v>UEC</v>
          </cell>
          <cell r="D209" t="str">
            <v>N</v>
          </cell>
          <cell r="E209" t="str">
            <v>C</v>
          </cell>
          <cell r="F209" t="str">
            <v>01/20/2000</v>
          </cell>
        </row>
        <row r="210">
          <cell r="B210" t="str">
            <v>10941</v>
          </cell>
          <cell r="C210" t="str">
            <v>GEN</v>
          </cell>
          <cell r="D210" t="str">
            <v>N</v>
          </cell>
          <cell r="E210" t="str">
            <v>C</v>
          </cell>
          <cell r="F210" t="str">
            <v>01/26/2000</v>
          </cell>
        </row>
        <row r="211">
          <cell r="B211" t="str">
            <v>10942</v>
          </cell>
          <cell r="C211" t="str">
            <v>GEN</v>
          </cell>
          <cell r="D211" t="str">
            <v>N</v>
          </cell>
          <cell r="E211" t="str">
            <v>C</v>
          </cell>
          <cell r="F211" t="str">
            <v>01/26/2000</v>
          </cell>
        </row>
        <row r="212">
          <cell r="B212" t="str">
            <v>10943</v>
          </cell>
          <cell r="C212" t="str">
            <v>UEC</v>
          </cell>
          <cell r="D212" t="str">
            <v>N</v>
          </cell>
          <cell r="E212" t="str">
            <v>A</v>
          </cell>
          <cell r="F212" t="str">
            <v>01/26/2000</v>
          </cell>
        </row>
        <row r="213">
          <cell r="B213" t="str">
            <v>10944</v>
          </cell>
          <cell r="C213" t="str">
            <v>UEC</v>
          </cell>
          <cell r="D213" t="str">
            <v>N</v>
          </cell>
          <cell r="E213" t="str">
            <v>A</v>
          </cell>
          <cell r="F213" t="str">
            <v>01/26/2000</v>
          </cell>
        </row>
        <row r="214">
          <cell r="B214" t="str">
            <v>10945</v>
          </cell>
          <cell r="C214" t="str">
            <v>UEC</v>
          </cell>
          <cell r="D214" t="str">
            <v>N</v>
          </cell>
          <cell r="E214" t="str">
            <v>A</v>
          </cell>
          <cell r="F214" t="str">
            <v>01/26/2000</v>
          </cell>
        </row>
        <row r="215">
          <cell r="B215" t="str">
            <v>10946</v>
          </cell>
          <cell r="C215" t="str">
            <v>UEC</v>
          </cell>
          <cell r="D215" t="str">
            <v>N</v>
          </cell>
          <cell r="E215" t="str">
            <v>A</v>
          </cell>
          <cell r="F215" t="str">
            <v>01/26/2000</v>
          </cell>
        </row>
        <row r="216">
          <cell r="B216" t="str">
            <v>10947</v>
          </cell>
          <cell r="C216" t="str">
            <v>CIP</v>
          </cell>
          <cell r="D216" t="str">
            <v>N</v>
          </cell>
          <cell r="E216" t="str">
            <v>C</v>
          </cell>
          <cell r="F216" t="str">
            <v>01/26/2000</v>
          </cell>
        </row>
        <row r="217">
          <cell r="B217" t="str">
            <v>10951</v>
          </cell>
          <cell r="C217" t="str">
            <v>UEC</v>
          </cell>
          <cell r="D217" t="str">
            <v>N</v>
          </cell>
          <cell r="E217" t="str">
            <v>C</v>
          </cell>
          <cell r="F217" t="str">
            <v>01/31/2000</v>
          </cell>
        </row>
        <row r="218">
          <cell r="B218" t="str">
            <v>10954</v>
          </cell>
          <cell r="C218" t="str">
            <v>UEC</v>
          </cell>
          <cell r="D218" t="str">
            <v>N</v>
          </cell>
          <cell r="E218" t="str">
            <v>C</v>
          </cell>
          <cell r="F218" t="str">
            <v>02/01/2000</v>
          </cell>
        </row>
        <row r="219">
          <cell r="B219" t="str">
            <v>10955</v>
          </cell>
          <cell r="C219" t="str">
            <v>UEC</v>
          </cell>
          <cell r="D219" t="str">
            <v>N</v>
          </cell>
          <cell r="E219" t="str">
            <v>C</v>
          </cell>
          <cell r="F219" t="str">
            <v>02/01/2000</v>
          </cell>
        </row>
        <row r="220">
          <cell r="B220" t="str">
            <v>10960</v>
          </cell>
          <cell r="C220" t="str">
            <v>UEC</v>
          </cell>
          <cell r="D220" t="str">
            <v>N</v>
          </cell>
          <cell r="E220" t="str">
            <v>C</v>
          </cell>
          <cell r="F220" t="str">
            <v>02/07/2000</v>
          </cell>
        </row>
        <row r="221">
          <cell r="B221" t="str">
            <v>10966</v>
          </cell>
          <cell r="C221" t="str">
            <v>UEC</v>
          </cell>
          <cell r="D221" t="str">
            <v>N</v>
          </cell>
          <cell r="E221" t="str">
            <v>C</v>
          </cell>
          <cell r="F221" t="str">
            <v>02/08/2000</v>
          </cell>
        </row>
        <row r="222">
          <cell r="B222" t="str">
            <v>10967</v>
          </cell>
          <cell r="C222" t="str">
            <v>CIP</v>
          </cell>
          <cell r="D222" t="str">
            <v>N</v>
          </cell>
          <cell r="E222" t="str">
            <v>C</v>
          </cell>
          <cell r="F222" t="str">
            <v>02/08/2000</v>
          </cell>
        </row>
        <row r="223">
          <cell r="B223" t="str">
            <v>10968</v>
          </cell>
          <cell r="C223" t="str">
            <v>CIP</v>
          </cell>
          <cell r="D223" t="str">
            <v>N</v>
          </cell>
          <cell r="E223" t="str">
            <v>C</v>
          </cell>
          <cell r="F223" t="str">
            <v>04/04/2000</v>
          </cell>
        </row>
        <row r="224">
          <cell r="B224" t="str">
            <v>10969</v>
          </cell>
          <cell r="C224" t="str">
            <v>UEC</v>
          </cell>
          <cell r="D224" t="str">
            <v>N</v>
          </cell>
          <cell r="E224" t="str">
            <v>C</v>
          </cell>
          <cell r="F224" t="str">
            <v>02/09/2000</v>
          </cell>
        </row>
        <row r="225">
          <cell r="B225" t="str">
            <v>10970</v>
          </cell>
          <cell r="C225" t="str">
            <v>GEN</v>
          </cell>
          <cell r="D225" t="str">
            <v>N</v>
          </cell>
          <cell r="E225" t="str">
            <v>C</v>
          </cell>
          <cell r="F225" t="str">
            <v>02/10/2000</v>
          </cell>
        </row>
        <row r="226">
          <cell r="B226" t="str">
            <v>10971</v>
          </cell>
          <cell r="C226" t="str">
            <v>GEN</v>
          </cell>
          <cell r="D226" t="str">
            <v>N</v>
          </cell>
          <cell r="E226" t="str">
            <v>C</v>
          </cell>
          <cell r="F226" t="str">
            <v>02/10/2000</v>
          </cell>
        </row>
        <row r="227">
          <cell r="B227" t="str">
            <v>10972</v>
          </cell>
          <cell r="C227" t="str">
            <v>UEC</v>
          </cell>
          <cell r="D227" t="str">
            <v>N</v>
          </cell>
          <cell r="E227" t="str">
            <v>C</v>
          </cell>
          <cell r="F227" t="str">
            <v>02/11/2000</v>
          </cell>
        </row>
        <row r="228">
          <cell r="B228" t="str">
            <v>10973</v>
          </cell>
          <cell r="C228" t="str">
            <v>UEC</v>
          </cell>
          <cell r="D228" t="str">
            <v>N</v>
          </cell>
          <cell r="E228" t="str">
            <v>C</v>
          </cell>
          <cell r="F228" t="str">
            <v>02/11/2000</v>
          </cell>
        </row>
        <row r="229">
          <cell r="B229" t="str">
            <v>10975</v>
          </cell>
          <cell r="C229" t="str">
            <v>UEC</v>
          </cell>
          <cell r="D229" t="str">
            <v>N</v>
          </cell>
          <cell r="E229" t="str">
            <v>C</v>
          </cell>
          <cell r="F229" t="str">
            <v>02/14/2000</v>
          </cell>
        </row>
        <row r="230">
          <cell r="B230" t="str">
            <v>10976</v>
          </cell>
          <cell r="C230" t="str">
            <v>GEN</v>
          </cell>
          <cell r="D230" t="str">
            <v>N</v>
          </cell>
          <cell r="E230" t="str">
            <v>C</v>
          </cell>
          <cell r="F230" t="str">
            <v>01/30/2001</v>
          </cell>
        </row>
        <row r="231">
          <cell r="B231" t="str">
            <v>10985</v>
          </cell>
          <cell r="C231" t="str">
            <v>GEN</v>
          </cell>
          <cell r="D231" t="str">
            <v>N</v>
          </cell>
          <cell r="E231" t="str">
            <v>A</v>
          </cell>
          <cell r="F231" t="str">
            <v>02/17/2000</v>
          </cell>
        </row>
        <row r="232">
          <cell r="B232" t="str">
            <v>10989</v>
          </cell>
          <cell r="C232" t="str">
            <v>UEC</v>
          </cell>
          <cell r="D232" t="str">
            <v>N</v>
          </cell>
          <cell r="E232" t="str">
            <v>C</v>
          </cell>
          <cell r="F232" t="str">
            <v>02/18/2000</v>
          </cell>
        </row>
        <row r="233">
          <cell r="B233" t="str">
            <v>10990</v>
          </cell>
          <cell r="C233" t="str">
            <v>UEC</v>
          </cell>
          <cell r="D233" t="str">
            <v>N</v>
          </cell>
          <cell r="E233" t="str">
            <v>C</v>
          </cell>
          <cell r="F233" t="str">
            <v>04/04/2000</v>
          </cell>
        </row>
        <row r="234">
          <cell r="B234" t="str">
            <v>10992</v>
          </cell>
          <cell r="C234" t="str">
            <v>UEC</v>
          </cell>
          <cell r="D234" t="str">
            <v>N</v>
          </cell>
          <cell r="E234" t="str">
            <v>C</v>
          </cell>
          <cell r="F234" t="str">
            <v>02/22/2000</v>
          </cell>
        </row>
        <row r="235">
          <cell r="B235" t="str">
            <v>10996</v>
          </cell>
          <cell r="C235"/>
          <cell r="D235"/>
          <cell r="E235"/>
          <cell r="F235"/>
        </row>
        <row r="236">
          <cell r="B236" t="str">
            <v>10997</v>
          </cell>
          <cell r="C236" t="str">
            <v>UEC</v>
          </cell>
          <cell r="D236" t="str">
            <v>N</v>
          </cell>
          <cell r="E236" t="str">
            <v>A</v>
          </cell>
          <cell r="F236" t="str">
            <v>02/23/2000</v>
          </cell>
        </row>
        <row r="237">
          <cell r="B237" t="str">
            <v>10999</v>
          </cell>
          <cell r="C237" t="str">
            <v>CIP</v>
          </cell>
          <cell r="D237" t="str">
            <v>N</v>
          </cell>
          <cell r="E237" t="str">
            <v>C</v>
          </cell>
          <cell r="F237" t="str">
            <v>02/23/2000</v>
          </cell>
        </row>
        <row r="238">
          <cell r="B238" t="str">
            <v>11000</v>
          </cell>
          <cell r="C238" t="str">
            <v>UEC</v>
          </cell>
          <cell r="D238" t="str">
            <v>N</v>
          </cell>
          <cell r="E238" t="str">
            <v>C</v>
          </cell>
          <cell r="F238" t="str">
            <v>02/23/2000</v>
          </cell>
        </row>
        <row r="239">
          <cell r="B239" t="str">
            <v>11005</v>
          </cell>
          <cell r="C239" t="str">
            <v>UEC</v>
          </cell>
          <cell r="D239" t="str">
            <v>N</v>
          </cell>
          <cell r="E239" t="str">
            <v>C</v>
          </cell>
          <cell r="F239" t="str">
            <v>10/02/2000</v>
          </cell>
        </row>
        <row r="240">
          <cell r="B240" t="str">
            <v>11007</v>
          </cell>
          <cell r="C240" t="str">
            <v>UEC</v>
          </cell>
          <cell r="D240" t="str">
            <v>N</v>
          </cell>
          <cell r="E240" t="str">
            <v>A</v>
          </cell>
          <cell r="F240" t="str">
            <v>02/28/2000</v>
          </cell>
        </row>
        <row r="241">
          <cell r="B241" t="str">
            <v>11014</v>
          </cell>
          <cell r="C241" t="str">
            <v>UEC</v>
          </cell>
          <cell r="D241" t="str">
            <v>N</v>
          </cell>
          <cell r="E241" t="str">
            <v>C</v>
          </cell>
          <cell r="F241" t="str">
            <v>04/07/2000</v>
          </cell>
        </row>
        <row r="242">
          <cell r="B242" t="str">
            <v>11025</v>
          </cell>
          <cell r="C242" t="str">
            <v>UEC</v>
          </cell>
          <cell r="D242" t="str">
            <v>N</v>
          </cell>
          <cell r="E242" t="str">
            <v>C</v>
          </cell>
          <cell r="F242" t="str">
            <v>04/13/2000</v>
          </cell>
        </row>
        <row r="243">
          <cell r="B243" t="str">
            <v>11026</v>
          </cell>
          <cell r="C243" t="str">
            <v>GEN</v>
          </cell>
          <cell r="D243" t="str">
            <v>N</v>
          </cell>
          <cell r="E243" t="str">
            <v>C</v>
          </cell>
          <cell r="F243" t="str">
            <v>04/13/2000</v>
          </cell>
        </row>
        <row r="244">
          <cell r="B244" t="str">
            <v>11033</v>
          </cell>
          <cell r="C244" t="str">
            <v>GEN</v>
          </cell>
          <cell r="D244" t="str">
            <v>N</v>
          </cell>
          <cell r="E244" t="str">
            <v>C</v>
          </cell>
          <cell r="F244" t="str">
            <v>04/17/2000</v>
          </cell>
        </row>
        <row r="245">
          <cell r="B245" t="str">
            <v>11035</v>
          </cell>
          <cell r="C245" t="str">
            <v>UEC</v>
          </cell>
          <cell r="D245" t="str">
            <v>N</v>
          </cell>
          <cell r="E245" t="str">
            <v>C</v>
          </cell>
          <cell r="F245" t="str">
            <v>04/18/2000</v>
          </cell>
        </row>
        <row r="246">
          <cell r="B246" t="str">
            <v>11038</v>
          </cell>
          <cell r="C246" t="str">
            <v>UEC</v>
          </cell>
          <cell r="D246" t="str">
            <v>N</v>
          </cell>
          <cell r="E246" t="str">
            <v>C</v>
          </cell>
          <cell r="F246" t="str">
            <v>04/24/2000</v>
          </cell>
        </row>
        <row r="247">
          <cell r="B247" t="str">
            <v>11047</v>
          </cell>
          <cell r="C247" t="str">
            <v>UEC</v>
          </cell>
          <cell r="D247" t="str">
            <v>N</v>
          </cell>
          <cell r="E247" t="str">
            <v>C</v>
          </cell>
          <cell r="F247" t="str">
            <v>04/25/2000</v>
          </cell>
        </row>
        <row r="248">
          <cell r="B248" t="str">
            <v>11055</v>
          </cell>
          <cell r="C248" t="str">
            <v>UEC</v>
          </cell>
          <cell r="D248" t="str">
            <v>N</v>
          </cell>
          <cell r="E248" t="str">
            <v>C</v>
          </cell>
          <cell r="F248" t="str">
            <v>04/28/2000</v>
          </cell>
        </row>
        <row r="249">
          <cell r="B249" t="str">
            <v>11057</v>
          </cell>
          <cell r="C249" t="str">
            <v>UEC</v>
          </cell>
          <cell r="D249" t="str">
            <v>N</v>
          </cell>
          <cell r="E249" t="str">
            <v>C</v>
          </cell>
          <cell r="F249" t="str">
            <v>05/19/2000</v>
          </cell>
        </row>
        <row r="250">
          <cell r="B250" t="str">
            <v>11060</v>
          </cell>
          <cell r="C250" t="str">
            <v>UEC</v>
          </cell>
          <cell r="D250" t="str">
            <v>N</v>
          </cell>
          <cell r="E250" t="str">
            <v>A</v>
          </cell>
          <cell r="F250" t="str">
            <v>10/02/2000</v>
          </cell>
        </row>
        <row r="251">
          <cell r="B251" t="str">
            <v>11063</v>
          </cell>
          <cell r="C251" t="str">
            <v>UEC</v>
          </cell>
          <cell r="D251" t="str">
            <v>N</v>
          </cell>
          <cell r="E251" t="str">
            <v>I</v>
          </cell>
          <cell r="F251" t="str">
            <v>05/24/2000</v>
          </cell>
        </row>
        <row r="252">
          <cell r="B252" t="str">
            <v>11068</v>
          </cell>
          <cell r="C252" t="str">
            <v>UEC</v>
          </cell>
          <cell r="D252" t="str">
            <v>N</v>
          </cell>
          <cell r="E252" t="str">
            <v>C</v>
          </cell>
          <cell r="F252" t="str">
            <v>05/26/2000</v>
          </cell>
        </row>
        <row r="253">
          <cell r="B253" t="str">
            <v>11073</v>
          </cell>
          <cell r="C253" t="str">
            <v>UEC</v>
          </cell>
          <cell r="D253" t="str">
            <v>N</v>
          </cell>
          <cell r="E253" t="str">
            <v>C</v>
          </cell>
          <cell r="F253" t="str">
            <v>05/31/2000</v>
          </cell>
        </row>
        <row r="254">
          <cell r="B254" t="str">
            <v>11074</v>
          </cell>
          <cell r="C254" t="str">
            <v>UEC</v>
          </cell>
          <cell r="D254" t="str">
            <v>N</v>
          </cell>
          <cell r="E254" t="str">
            <v>C</v>
          </cell>
          <cell r="F254" t="str">
            <v>05/31/2000</v>
          </cell>
        </row>
        <row r="255">
          <cell r="B255" t="str">
            <v>11075</v>
          </cell>
          <cell r="C255" t="str">
            <v>GEN</v>
          </cell>
          <cell r="D255" t="str">
            <v>N</v>
          </cell>
          <cell r="E255" t="str">
            <v>C</v>
          </cell>
          <cell r="F255" t="str">
            <v>06/01/2000</v>
          </cell>
        </row>
        <row r="256">
          <cell r="B256" t="str">
            <v>11080</v>
          </cell>
          <cell r="C256" t="str">
            <v>UEC</v>
          </cell>
          <cell r="D256" t="str">
            <v>N</v>
          </cell>
          <cell r="E256" t="str">
            <v>C</v>
          </cell>
          <cell r="F256" t="str">
            <v>06/12/2000</v>
          </cell>
        </row>
        <row r="257">
          <cell r="B257" t="str">
            <v>11084</v>
          </cell>
          <cell r="C257" t="str">
            <v>UEC</v>
          </cell>
          <cell r="D257" t="str">
            <v>N</v>
          </cell>
          <cell r="E257" t="str">
            <v>C</v>
          </cell>
          <cell r="F257" t="str">
            <v>06/12/2000</v>
          </cell>
        </row>
        <row r="258">
          <cell r="B258" t="str">
            <v>11099</v>
          </cell>
          <cell r="C258" t="str">
            <v>UEC</v>
          </cell>
          <cell r="D258" t="str">
            <v>N</v>
          </cell>
          <cell r="E258" t="str">
            <v>C</v>
          </cell>
          <cell r="F258" t="str">
            <v>08/07/2000</v>
          </cell>
        </row>
        <row r="259">
          <cell r="B259" t="str">
            <v>11107</v>
          </cell>
          <cell r="C259" t="str">
            <v>UEC</v>
          </cell>
          <cell r="D259" t="str">
            <v>N</v>
          </cell>
          <cell r="E259" t="str">
            <v>A</v>
          </cell>
          <cell r="F259" t="str">
            <v>06/19/2000</v>
          </cell>
        </row>
        <row r="260">
          <cell r="B260" t="str">
            <v>11108</v>
          </cell>
          <cell r="C260" t="str">
            <v>UEC</v>
          </cell>
          <cell r="D260" t="str">
            <v>N</v>
          </cell>
          <cell r="E260" t="str">
            <v>C</v>
          </cell>
          <cell r="F260" t="str">
            <v>06/19/2000</v>
          </cell>
        </row>
        <row r="261">
          <cell r="B261" t="str">
            <v>11109</v>
          </cell>
          <cell r="C261" t="str">
            <v>UEC</v>
          </cell>
          <cell r="D261" t="str">
            <v>N</v>
          </cell>
          <cell r="E261" t="str">
            <v>A</v>
          </cell>
          <cell r="F261" t="str">
            <v>06/19/2000</v>
          </cell>
        </row>
        <row r="262">
          <cell r="B262" t="str">
            <v>11112</v>
          </cell>
          <cell r="C262" t="str">
            <v>UEC</v>
          </cell>
          <cell r="D262" t="str">
            <v>N</v>
          </cell>
          <cell r="E262" t="str">
            <v>C</v>
          </cell>
          <cell r="F262" t="str">
            <v>03/13/2001</v>
          </cell>
        </row>
        <row r="263">
          <cell r="B263" t="str">
            <v>11117</v>
          </cell>
          <cell r="C263" t="str">
            <v>CIP</v>
          </cell>
          <cell r="D263" t="str">
            <v>N</v>
          </cell>
          <cell r="E263" t="str">
            <v>C</v>
          </cell>
          <cell r="F263" t="str">
            <v>06/22/2000</v>
          </cell>
        </row>
        <row r="264">
          <cell r="B264" t="str">
            <v>11126</v>
          </cell>
          <cell r="C264" t="str">
            <v>UEC</v>
          </cell>
          <cell r="D264" t="str">
            <v>N</v>
          </cell>
          <cell r="E264" t="str">
            <v>C</v>
          </cell>
          <cell r="F264" t="str">
            <v>06/29/2000</v>
          </cell>
        </row>
        <row r="265">
          <cell r="B265" t="str">
            <v>11127</v>
          </cell>
          <cell r="C265" t="str">
            <v>UEC</v>
          </cell>
          <cell r="D265" t="str">
            <v>N</v>
          </cell>
          <cell r="E265" t="str">
            <v>C</v>
          </cell>
          <cell r="F265" t="str">
            <v>06/29/2000</v>
          </cell>
        </row>
        <row r="266">
          <cell r="B266" t="str">
            <v>11128</v>
          </cell>
          <cell r="C266" t="str">
            <v>UEC</v>
          </cell>
          <cell r="D266" t="str">
            <v>N</v>
          </cell>
          <cell r="E266" t="str">
            <v>C</v>
          </cell>
          <cell r="F266" t="str">
            <v>06/30/2000</v>
          </cell>
        </row>
        <row r="267">
          <cell r="B267" t="str">
            <v>11129</v>
          </cell>
          <cell r="C267" t="str">
            <v>UEC</v>
          </cell>
          <cell r="D267" t="str">
            <v>N</v>
          </cell>
          <cell r="E267" t="str">
            <v>C</v>
          </cell>
          <cell r="F267" t="str">
            <v>07/05/2000</v>
          </cell>
        </row>
        <row r="268">
          <cell r="B268" t="str">
            <v>11130</v>
          </cell>
          <cell r="C268" t="str">
            <v>CIP</v>
          </cell>
          <cell r="D268" t="str">
            <v>N</v>
          </cell>
          <cell r="E268" t="str">
            <v>C</v>
          </cell>
          <cell r="F268" t="str">
            <v>07/05/2000</v>
          </cell>
        </row>
        <row r="269">
          <cell r="B269" t="str">
            <v>11131</v>
          </cell>
          <cell r="C269" t="str">
            <v>GEN</v>
          </cell>
          <cell r="D269" t="str">
            <v>N</v>
          </cell>
          <cell r="E269" t="str">
            <v>C</v>
          </cell>
          <cell r="F269" t="str">
            <v>07/05/2000</v>
          </cell>
        </row>
        <row r="270">
          <cell r="B270" t="str">
            <v>11135</v>
          </cell>
          <cell r="C270" t="str">
            <v>GEN</v>
          </cell>
          <cell r="D270" t="str">
            <v>N</v>
          </cell>
          <cell r="E270" t="str">
            <v>C</v>
          </cell>
          <cell r="F270" t="str">
            <v>07/05/2000</v>
          </cell>
        </row>
        <row r="271">
          <cell r="B271" t="str">
            <v>11136</v>
          </cell>
          <cell r="C271" t="str">
            <v>GEN</v>
          </cell>
          <cell r="D271" t="str">
            <v>N</v>
          </cell>
          <cell r="E271" t="str">
            <v>C</v>
          </cell>
          <cell r="F271" t="str">
            <v>07/05/2000</v>
          </cell>
        </row>
        <row r="272">
          <cell r="B272" t="str">
            <v>11137</v>
          </cell>
          <cell r="C272" t="str">
            <v>GEN</v>
          </cell>
          <cell r="D272" t="str">
            <v>N</v>
          </cell>
          <cell r="E272" t="str">
            <v>C</v>
          </cell>
          <cell r="F272" t="str">
            <v>07/05/2000</v>
          </cell>
        </row>
        <row r="273">
          <cell r="B273" t="str">
            <v>11138</v>
          </cell>
          <cell r="C273" t="str">
            <v>GEN</v>
          </cell>
          <cell r="D273" t="str">
            <v>N</v>
          </cell>
          <cell r="E273" t="str">
            <v>C</v>
          </cell>
          <cell r="F273" t="str">
            <v>07/05/2000</v>
          </cell>
        </row>
        <row r="274">
          <cell r="B274" t="str">
            <v>11142</v>
          </cell>
          <cell r="C274" t="str">
            <v>UEC</v>
          </cell>
          <cell r="D274" t="str">
            <v>N</v>
          </cell>
          <cell r="E274" t="str">
            <v>C</v>
          </cell>
          <cell r="F274" t="str">
            <v>07/06/2000</v>
          </cell>
        </row>
        <row r="275">
          <cell r="B275" t="str">
            <v>11143</v>
          </cell>
          <cell r="C275" t="str">
            <v>UEC</v>
          </cell>
          <cell r="D275" t="str">
            <v>N</v>
          </cell>
          <cell r="E275" t="str">
            <v>C</v>
          </cell>
          <cell r="F275" t="str">
            <v>08/08/2000</v>
          </cell>
        </row>
        <row r="276">
          <cell r="B276" t="str">
            <v>11144</v>
          </cell>
          <cell r="C276" t="str">
            <v>UEC</v>
          </cell>
          <cell r="D276" t="str">
            <v>N</v>
          </cell>
          <cell r="E276" t="str">
            <v>C</v>
          </cell>
          <cell r="F276" t="str">
            <v>08/08/2000</v>
          </cell>
        </row>
        <row r="277">
          <cell r="B277" t="str">
            <v>11150</v>
          </cell>
          <cell r="C277" t="str">
            <v>CIP</v>
          </cell>
          <cell r="D277" t="str">
            <v>N</v>
          </cell>
          <cell r="E277" t="str">
            <v>C</v>
          </cell>
          <cell r="F277" t="str">
            <v>11/08/2000</v>
          </cell>
        </row>
        <row r="278">
          <cell r="B278" t="str">
            <v>11152</v>
          </cell>
          <cell r="C278" t="str">
            <v>UEC</v>
          </cell>
          <cell r="D278" t="str">
            <v>N</v>
          </cell>
          <cell r="E278" t="str">
            <v>I</v>
          </cell>
          <cell r="F278" t="str">
            <v>08/01/2002</v>
          </cell>
        </row>
        <row r="279">
          <cell r="B279" t="str">
            <v>11159</v>
          </cell>
          <cell r="C279" t="str">
            <v>CIP</v>
          </cell>
          <cell r="D279" t="str">
            <v>N</v>
          </cell>
          <cell r="E279" t="str">
            <v>A</v>
          </cell>
          <cell r="F279" t="str">
            <v>11/08/2000</v>
          </cell>
        </row>
        <row r="280">
          <cell r="B280" t="str">
            <v>11166</v>
          </cell>
          <cell r="C280" t="str">
            <v>UEC</v>
          </cell>
          <cell r="D280" t="str">
            <v>N</v>
          </cell>
          <cell r="E280" t="str">
            <v>A</v>
          </cell>
          <cell r="F280" t="str">
            <v>08/05/2002</v>
          </cell>
        </row>
        <row r="281">
          <cell r="B281" t="str">
            <v>11167</v>
          </cell>
          <cell r="C281" t="str">
            <v>UEC</v>
          </cell>
          <cell r="D281" t="str">
            <v>N</v>
          </cell>
          <cell r="E281" t="str">
            <v>C</v>
          </cell>
          <cell r="F281" t="str">
            <v>10/16/2000</v>
          </cell>
        </row>
        <row r="282">
          <cell r="B282" t="str">
            <v>11179</v>
          </cell>
          <cell r="C282" t="str">
            <v>CIP</v>
          </cell>
          <cell r="D282" t="str">
            <v>N</v>
          </cell>
          <cell r="E282" t="str">
            <v>C</v>
          </cell>
          <cell r="F282" t="str">
            <v>11/20/2000</v>
          </cell>
        </row>
        <row r="283">
          <cell r="B283" t="str">
            <v>11191</v>
          </cell>
          <cell r="C283" t="str">
            <v>CIP</v>
          </cell>
          <cell r="D283" t="str">
            <v>N</v>
          </cell>
          <cell r="E283" t="str">
            <v>C</v>
          </cell>
          <cell r="F283" t="str">
            <v>11/21/2000</v>
          </cell>
        </row>
        <row r="284">
          <cell r="B284" t="str">
            <v>11192</v>
          </cell>
          <cell r="C284" t="str">
            <v>CIP</v>
          </cell>
          <cell r="D284" t="str">
            <v>N</v>
          </cell>
          <cell r="E284" t="str">
            <v>C</v>
          </cell>
          <cell r="F284" t="str">
            <v>11/21/2000</v>
          </cell>
        </row>
        <row r="285">
          <cell r="B285" t="str">
            <v>11202</v>
          </cell>
          <cell r="C285" t="str">
            <v>CIP</v>
          </cell>
          <cell r="D285" t="str">
            <v>N</v>
          </cell>
          <cell r="E285" t="str">
            <v>C</v>
          </cell>
          <cell r="F285" t="str">
            <v>11/27/2000</v>
          </cell>
        </row>
        <row r="286">
          <cell r="B286" t="str">
            <v>11203</v>
          </cell>
          <cell r="C286" t="str">
            <v>CIP</v>
          </cell>
          <cell r="D286" t="str">
            <v>N</v>
          </cell>
          <cell r="E286" t="str">
            <v>C</v>
          </cell>
          <cell r="F286" t="str">
            <v>11/21/2000</v>
          </cell>
        </row>
        <row r="287">
          <cell r="B287" t="str">
            <v>11211</v>
          </cell>
          <cell r="C287" t="str">
            <v>UEC</v>
          </cell>
          <cell r="D287" t="str">
            <v>N</v>
          </cell>
          <cell r="E287" t="str">
            <v>C</v>
          </cell>
          <cell r="F287" t="str">
            <v>08/11/2000</v>
          </cell>
        </row>
        <row r="288">
          <cell r="B288" t="str">
            <v>11216</v>
          </cell>
          <cell r="C288" t="str">
            <v>UEC</v>
          </cell>
          <cell r="D288" t="str">
            <v>N</v>
          </cell>
          <cell r="E288" t="str">
            <v>A</v>
          </cell>
          <cell r="F288" t="str">
            <v>11/20/2000</v>
          </cell>
        </row>
        <row r="289">
          <cell r="B289" t="str">
            <v>11225</v>
          </cell>
          <cell r="C289" t="str">
            <v>UEC</v>
          </cell>
          <cell r="D289" t="str">
            <v>N</v>
          </cell>
          <cell r="E289" t="str">
            <v>C</v>
          </cell>
          <cell r="F289" t="str">
            <v>11/13/2000</v>
          </cell>
        </row>
        <row r="290">
          <cell r="B290" t="str">
            <v>11229</v>
          </cell>
          <cell r="C290" t="str">
            <v>UEC</v>
          </cell>
          <cell r="D290" t="str">
            <v>N</v>
          </cell>
          <cell r="E290" t="str">
            <v>A</v>
          </cell>
          <cell r="F290" t="str">
            <v>11/14/2000</v>
          </cell>
        </row>
        <row r="291">
          <cell r="B291" t="str">
            <v>11243</v>
          </cell>
          <cell r="C291" t="str">
            <v>UEC</v>
          </cell>
          <cell r="D291" t="str">
            <v>N</v>
          </cell>
          <cell r="E291" t="str">
            <v>C</v>
          </cell>
          <cell r="F291" t="str">
            <v>01/22/2002</v>
          </cell>
        </row>
        <row r="292">
          <cell r="B292" t="str">
            <v>11245</v>
          </cell>
          <cell r="C292" t="str">
            <v>UEC</v>
          </cell>
          <cell r="D292" t="str">
            <v>Y</v>
          </cell>
          <cell r="E292" t="str">
            <v>C</v>
          </cell>
          <cell r="F292" t="str">
            <v>07/13/2001</v>
          </cell>
        </row>
        <row r="293">
          <cell r="B293" t="str">
            <v>11258</v>
          </cell>
          <cell r="C293" t="str">
            <v>CIP</v>
          </cell>
          <cell r="D293" t="str">
            <v>N</v>
          </cell>
          <cell r="E293" t="str">
            <v>C</v>
          </cell>
          <cell r="F293" t="str">
            <v>03/13/2001</v>
          </cell>
        </row>
        <row r="294">
          <cell r="B294" t="str">
            <v>11280</v>
          </cell>
          <cell r="C294" t="str">
            <v>CIP</v>
          </cell>
          <cell r="D294" t="str">
            <v>N</v>
          </cell>
          <cell r="E294" t="str">
            <v>C</v>
          </cell>
          <cell r="F294" t="str">
            <v>11/22/2000</v>
          </cell>
        </row>
        <row r="295">
          <cell r="B295" t="str">
            <v>11291</v>
          </cell>
          <cell r="C295" t="str">
            <v>UEC</v>
          </cell>
          <cell r="D295" t="str">
            <v>N</v>
          </cell>
          <cell r="E295" t="str">
            <v>C</v>
          </cell>
          <cell r="F295" t="str">
            <v>10/04/2000</v>
          </cell>
        </row>
        <row r="296">
          <cell r="B296" t="str">
            <v>11295</v>
          </cell>
          <cell r="C296" t="str">
            <v>UEC</v>
          </cell>
          <cell r="D296" t="str">
            <v>N</v>
          </cell>
          <cell r="E296" t="str">
            <v>C</v>
          </cell>
          <cell r="F296" t="str">
            <v>11/24/2000</v>
          </cell>
        </row>
        <row r="297">
          <cell r="B297" t="str">
            <v>11299</v>
          </cell>
          <cell r="C297" t="str">
            <v>UEC</v>
          </cell>
          <cell r="D297" t="str">
            <v>N</v>
          </cell>
          <cell r="E297" t="str">
            <v>C</v>
          </cell>
          <cell r="F297" t="str">
            <v>03/01/2001</v>
          </cell>
        </row>
        <row r="298">
          <cell r="B298" t="str">
            <v>11303</v>
          </cell>
          <cell r="C298" t="str">
            <v>UEC</v>
          </cell>
          <cell r="D298" t="str">
            <v>N</v>
          </cell>
          <cell r="E298" t="str">
            <v>A</v>
          </cell>
          <cell r="F298" t="str">
            <v>03/01/2001</v>
          </cell>
        </row>
        <row r="299">
          <cell r="B299" t="str">
            <v>11304</v>
          </cell>
          <cell r="C299" t="str">
            <v>UEC</v>
          </cell>
          <cell r="D299" t="str">
            <v>N</v>
          </cell>
          <cell r="E299" t="str">
            <v>A</v>
          </cell>
          <cell r="F299" t="str">
            <v>03/07/2001</v>
          </cell>
        </row>
        <row r="300">
          <cell r="B300" t="str">
            <v>11305</v>
          </cell>
          <cell r="C300" t="str">
            <v>UEC</v>
          </cell>
          <cell r="D300" t="str">
            <v>N</v>
          </cell>
          <cell r="E300" t="str">
            <v>A</v>
          </cell>
          <cell r="F300" t="str">
            <v>03/26/2001</v>
          </cell>
        </row>
        <row r="301">
          <cell r="B301" t="str">
            <v>11306</v>
          </cell>
          <cell r="C301" t="str">
            <v>UEC</v>
          </cell>
          <cell r="D301" t="str">
            <v>N</v>
          </cell>
          <cell r="E301" t="str">
            <v>A</v>
          </cell>
          <cell r="F301" t="str">
            <v>10/19/2000</v>
          </cell>
        </row>
        <row r="302">
          <cell r="B302" t="str">
            <v>11323</v>
          </cell>
          <cell r="C302" t="str">
            <v>CIP</v>
          </cell>
          <cell r="D302" t="str">
            <v>N</v>
          </cell>
          <cell r="E302" t="str">
            <v>I</v>
          </cell>
          <cell r="F302" t="str">
            <v>08/21/2000</v>
          </cell>
        </row>
        <row r="303">
          <cell r="B303" t="str">
            <v>11341</v>
          </cell>
          <cell r="C303" t="str">
            <v>UEC</v>
          </cell>
          <cell r="D303" t="str">
            <v>N</v>
          </cell>
          <cell r="E303" t="str">
            <v>C</v>
          </cell>
          <cell r="F303" t="str">
            <v>10/10/2000</v>
          </cell>
        </row>
        <row r="304">
          <cell r="B304" t="str">
            <v>11344</v>
          </cell>
          <cell r="C304" t="str">
            <v>UEC</v>
          </cell>
          <cell r="D304" t="str">
            <v>N</v>
          </cell>
          <cell r="E304" t="str">
            <v>C</v>
          </cell>
          <cell r="F304" t="str">
            <v>08/22/2000</v>
          </cell>
        </row>
        <row r="305">
          <cell r="B305" t="str">
            <v>11346</v>
          </cell>
          <cell r="C305" t="str">
            <v>CIP</v>
          </cell>
          <cell r="D305" t="str">
            <v>N</v>
          </cell>
          <cell r="E305" t="str">
            <v>A</v>
          </cell>
          <cell r="F305" t="str">
            <v>04/11/2003</v>
          </cell>
        </row>
        <row r="306">
          <cell r="B306" t="str">
            <v>11347</v>
          </cell>
          <cell r="C306" t="str">
            <v>UEC</v>
          </cell>
          <cell r="D306" t="str">
            <v>Y</v>
          </cell>
          <cell r="E306" t="str">
            <v>C</v>
          </cell>
          <cell r="F306" t="str">
            <v>07/13/2001</v>
          </cell>
        </row>
        <row r="307">
          <cell r="B307" t="str">
            <v>11348</v>
          </cell>
          <cell r="C307" t="str">
            <v>CIP</v>
          </cell>
          <cell r="D307" t="str">
            <v>N</v>
          </cell>
          <cell r="E307" t="str">
            <v>C</v>
          </cell>
          <cell r="F307" t="str">
            <v>03/15/2001</v>
          </cell>
        </row>
        <row r="308">
          <cell r="B308" t="str">
            <v>11351</v>
          </cell>
          <cell r="C308" t="str">
            <v>UEC</v>
          </cell>
          <cell r="D308" t="str">
            <v>N</v>
          </cell>
          <cell r="E308" t="str">
            <v>C</v>
          </cell>
          <cell r="F308" t="str">
            <v>09/15/2000</v>
          </cell>
        </row>
        <row r="309">
          <cell r="B309" t="str">
            <v>11354</v>
          </cell>
          <cell r="C309" t="str">
            <v>UEC</v>
          </cell>
          <cell r="D309" t="str">
            <v>N</v>
          </cell>
          <cell r="E309" t="str">
            <v>A</v>
          </cell>
          <cell r="F309" t="str">
            <v>06/13/2001</v>
          </cell>
        </row>
        <row r="310">
          <cell r="B310" t="str">
            <v>11358</v>
          </cell>
          <cell r="C310" t="str">
            <v>UEC</v>
          </cell>
          <cell r="D310" t="str">
            <v>N</v>
          </cell>
          <cell r="E310" t="str">
            <v>C</v>
          </cell>
          <cell r="F310" t="str">
            <v>02/01/2001</v>
          </cell>
        </row>
        <row r="311">
          <cell r="B311" t="str">
            <v>11363</v>
          </cell>
          <cell r="C311" t="str">
            <v>UEC</v>
          </cell>
          <cell r="D311" t="str">
            <v>N</v>
          </cell>
          <cell r="E311" t="str">
            <v>A</v>
          </cell>
          <cell r="F311" t="str">
            <v>12/27/2001</v>
          </cell>
        </row>
        <row r="312">
          <cell r="B312" t="str">
            <v>11366</v>
          </cell>
          <cell r="C312" t="str">
            <v>CIP</v>
          </cell>
          <cell r="D312" t="str">
            <v>N</v>
          </cell>
          <cell r="E312" t="str">
            <v>C</v>
          </cell>
          <cell r="F312" t="str">
            <v>09/08/2000</v>
          </cell>
        </row>
        <row r="313">
          <cell r="B313" t="str">
            <v>11367</v>
          </cell>
          <cell r="C313" t="str">
            <v>UEC</v>
          </cell>
          <cell r="D313" t="str">
            <v>N</v>
          </cell>
          <cell r="E313" t="str">
            <v>C</v>
          </cell>
          <cell r="F313" t="str">
            <v>03/13/2001</v>
          </cell>
        </row>
        <row r="314">
          <cell r="B314" t="str">
            <v>11370</v>
          </cell>
          <cell r="C314" t="str">
            <v>UEC</v>
          </cell>
          <cell r="D314" t="str">
            <v>N</v>
          </cell>
          <cell r="E314" t="str">
            <v>A</v>
          </cell>
          <cell r="F314" t="str">
            <v>04/11/2001</v>
          </cell>
        </row>
        <row r="315">
          <cell r="B315" t="str">
            <v>11378</v>
          </cell>
          <cell r="C315" t="str">
            <v>UEC</v>
          </cell>
          <cell r="D315" t="str">
            <v>N</v>
          </cell>
          <cell r="E315" t="str">
            <v>C</v>
          </cell>
          <cell r="F315" t="str">
            <v>09/07/2000</v>
          </cell>
        </row>
        <row r="316">
          <cell r="B316" t="str">
            <v>11383</v>
          </cell>
          <cell r="C316" t="str">
            <v>UEC</v>
          </cell>
          <cell r="D316" t="str">
            <v>N</v>
          </cell>
          <cell r="E316" t="str">
            <v>A</v>
          </cell>
          <cell r="F316" t="str">
            <v>09/20/2001</v>
          </cell>
        </row>
        <row r="317">
          <cell r="B317" t="str">
            <v>11399</v>
          </cell>
          <cell r="C317" t="str">
            <v>UEC</v>
          </cell>
          <cell r="D317" t="str">
            <v>N</v>
          </cell>
          <cell r="E317" t="str">
            <v>C</v>
          </cell>
          <cell r="F317" t="str">
            <v>07/29/2002</v>
          </cell>
        </row>
        <row r="318">
          <cell r="B318" t="str">
            <v>11406</v>
          </cell>
          <cell r="C318" t="str">
            <v>UEC</v>
          </cell>
          <cell r="D318" t="str">
            <v>N</v>
          </cell>
          <cell r="E318" t="str">
            <v>C</v>
          </cell>
          <cell r="F318" t="str">
            <v>08/25/2000</v>
          </cell>
        </row>
        <row r="319">
          <cell r="B319" t="str">
            <v>11407</v>
          </cell>
          <cell r="C319" t="str">
            <v>UEC</v>
          </cell>
          <cell r="D319" t="str">
            <v>N</v>
          </cell>
          <cell r="E319" t="str">
            <v>C</v>
          </cell>
          <cell r="F319" t="str">
            <v>08/25/2000</v>
          </cell>
        </row>
        <row r="320">
          <cell r="B320" t="str">
            <v>11408</v>
          </cell>
          <cell r="C320" t="str">
            <v>UEC</v>
          </cell>
          <cell r="D320" t="str">
            <v>N</v>
          </cell>
          <cell r="E320" t="str">
            <v>A</v>
          </cell>
          <cell r="F320" t="str">
            <v>08/25/2000</v>
          </cell>
        </row>
        <row r="321">
          <cell r="B321" t="str">
            <v>11409</v>
          </cell>
          <cell r="C321" t="str">
            <v>UEC</v>
          </cell>
          <cell r="D321" t="str">
            <v>N</v>
          </cell>
          <cell r="E321" t="str">
            <v>A</v>
          </cell>
          <cell r="F321" t="str">
            <v>08/25/2000</v>
          </cell>
        </row>
        <row r="322">
          <cell r="B322" t="str">
            <v>11412</v>
          </cell>
          <cell r="C322" t="str">
            <v>UEC</v>
          </cell>
          <cell r="D322" t="str">
            <v>N</v>
          </cell>
          <cell r="E322" t="str">
            <v>C</v>
          </cell>
          <cell r="F322" t="str">
            <v>05/04/2001</v>
          </cell>
        </row>
        <row r="323">
          <cell r="B323" t="str">
            <v>11414</v>
          </cell>
          <cell r="C323" t="str">
            <v>UEC</v>
          </cell>
          <cell r="D323" t="str">
            <v>N</v>
          </cell>
          <cell r="E323" t="str">
            <v>C</v>
          </cell>
          <cell r="F323" t="str">
            <v>03/14/2001</v>
          </cell>
        </row>
        <row r="324">
          <cell r="B324" t="str">
            <v>11415</v>
          </cell>
          <cell r="C324" t="str">
            <v>UEC</v>
          </cell>
          <cell r="D324" t="str">
            <v>N</v>
          </cell>
          <cell r="E324" t="str">
            <v>C</v>
          </cell>
          <cell r="F324" t="str">
            <v>10/17/2000</v>
          </cell>
        </row>
        <row r="325">
          <cell r="B325" t="str">
            <v>11418</v>
          </cell>
          <cell r="C325" t="str">
            <v>UEC</v>
          </cell>
          <cell r="D325" t="str">
            <v>N</v>
          </cell>
          <cell r="E325" t="str">
            <v>C</v>
          </cell>
          <cell r="F325" t="str">
            <v>10/02/2000</v>
          </cell>
        </row>
        <row r="326">
          <cell r="B326" t="str">
            <v>11419</v>
          </cell>
          <cell r="C326" t="str">
            <v>UEC</v>
          </cell>
          <cell r="D326" t="str">
            <v>N</v>
          </cell>
          <cell r="E326" t="str">
            <v>C</v>
          </cell>
          <cell r="F326" t="str">
            <v>11/01/2000</v>
          </cell>
        </row>
        <row r="327">
          <cell r="B327" t="str">
            <v>11421</v>
          </cell>
          <cell r="C327" t="str">
            <v>UEC</v>
          </cell>
          <cell r="D327" t="str">
            <v>N</v>
          </cell>
          <cell r="E327" t="str">
            <v>C</v>
          </cell>
          <cell r="F327" t="str">
            <v>09/06/2000</v>
          </cell>
        </row>
        <row r="328">
          <cell r="B328" t="str">
            <v>11424</v>
          </cell>
          <cell r="C328" t="str">
            <v>UEC</v>
          </cell>
          <cell r="D328" t="str">
            <v>N</v>
          </cell>
          <cell r="E328" t="str">
            <v>A</v>
          </cell>
          <cell r="F328" t="str">
            <v>03/12/2002</v>
          </cell>
        </row>
        <row r="329">
          <cell r="B329" t="str">
            <v>11427</v>
          </cell>
          <cell r="C329" t="str">
            <v>UEC</v>
          </cell>
          <cell r="D329" t="str">
            <v>N</v>
          </cell>
          <cell r="E329" t="str">
            <v>A</v>
          </cell>
          <cell r="F329" t="str">
            <v>05/25/2001</v>
          </cell>
        </row>
        <row r="330">
          <cell r="B330" t="str">
            <v>11439</v>
          </cell>
          <cell r="C330" t="str">
            <v>UEC</v>
          </cell>
          <cell r="D330" t="str">
            <v>N</v>
          </cell>
          <cell r="E330" t="str">
            <v>C</v>
          </cell>
          <cell r="F330" t="str">
            <v>03/15/2001</v>
          </cell>
        </row>
        <row r="331">
          <cell r="B331" t="str">
            <v>11444</v>
          </cell>
          <cell r="C331" t="str">
            <v>CIP</v>
          </cell>
          <cell r="D331" t="str">
            <v>N</v>
          </cell>
          <cell r="E331" t="str">
            <v>C</v>
          </cell>
          <cell r="F331" t="str">
            <v>08/29/2000</v>
          </cell>
        </row>
        <row r="332">
          <cell r="B332" t="str">
            <v>11445</v>
          </cell>
          <cell r="C332" t="str">
            <v>CIP</v>
          </cell>
          <cell r="D332" t="str">
            <v>N</v>
          </cell>
          <cell r="E332" t="str">
            <v>C</v>
          </cell>
          <cell r="F332" t="str">
            <v>08/29/2000</v>
          </cell>
        </row>
        <row r="333">
          <cell r="B333" t="str">
            <v>11447</v>
          </cell>
          <cell r="C333" t="str">
            <v>UEC</v>
          </cell>
          <cell r="D333" t="str">
            <v>N</v>
          </cell>
          <cell r="E333" t="str">
            <v>A</v>
          </cell>
          <cell r="F333" t="str">
            <v>06/12/2002</v>
          </cell>
        </row>
        <row r="334">
          <cell r="B334" t="str">
            <v>11453</v>
          </cell>
          <cell r="C334" t="str">
            <v>UEC</v>
          </cell>
          <cell r="D334" t="str">
            <v>N</v>
          </cell>
          <cell r="E334" t="str">
            <v>C</v>
          </cell>
          <cell r="F334" t="str">
            <v>05/24/2002</v>
          </cell>
        </row>
        <row r="335">
          <cell r="B335" t="str">
            <v>11454</v>
          </cell>
          <cell r="C335" t="str">
            <v>UEC</v>
          </cell>
          <cell r="D335" t="str">
            <v>N</v>
          </cell>
          <cell r="E335" t="str">
            <v>C</v>
          </cell>
          <cell r="F335" t="str">
            <v>03/06/2002</v>
          </cell>
        </row>
        <row r="336">
          <cell r="B336" t="str">
            <v>11464</v>
          </cell>
          <cell r="C336" t="str">
            <v>UEC</v>
          </cell>
          <cell r="D336" t="str">
            <v>N</v>
          </cell>
          <cell r="E336" t="str">
            <v>C</v>
          </cell>
          <cell r="F336" t="str">
            <v>12/21/2000</v>
          </cell>
        </row>
        <row r="337">
          <cell r="B337" t="str">
            <v>11465</v>
          </cell>
          <cell r="C337" t="str">
            <v>UEC</v>
          </cell>
          <cell r="D337" t="str">
            <v>N</v>
          </cell>
          <cell r="E337" t="str">
            <v>C</v>
          </cell>
          <cell r="F337" t="str">
            <v>09/06/2001</v>
          </cell>
        </row>
        <row r="338">
          <cell r="B338" t="str">
            <v>11466</v>
          </cell>
          <cell r="C338" t="str">
            <v>UEC</v>
          </cell>
          <cell r="D338" t="str">
            <v>N</v>
          </cell>
          <cell r="E338" t="str">
            <v>C</v>
          </cell>
          <cell r="F338" t="str">
            <v>08/21/2001</v>
          </cell>
        </row>
        <row r="339">
          <cell r="B339" t="str">
            <v>11473</v>
          </cell>
          <cell r="C339" t="str">
            <v>UEC</v>
          </cell>
          <cell r="D339" t="str">
            <v>N</v>
          </cell>
          <cell r="E339" t="str">
            <v>C</v>
          </cell>
          <cell r="F339" t="str">
            <v>03/20/2001</v>
          </cell>
        </row>
        <row r="340">
          <cell r="B340" t="str">
            <v>11474</v>
          </cell>
          <cell r="C340" t="str">
            <v>UEC</v>
          </cell>
          <cell r="D340" t="str">
            <v>N</v>
          </cell>
          <cell r="E340" t="str">
            <v>C</v>
          </cell>
          <cell r="F340" t="str">
            <v>09/25/2000</v>
          </cell>
        </row>
        <row r="341">
          <cell r="B341" t="str">
            <v>11478</v>
          </cell>
          <cell r="C341" t="str">
            <v>UEC</v>
          </cell>
          <cell r="D341" t="str">
            <v>N</v>
          </cell>
          <cell r="E341" t="str">
            <v>C</v>
          </cell>
          <cell r="F341" t="str">
            <v>12/27/2000</v>
          </cell>
        </row>
        <row r="342">
          <cell r="B342" t="str">
            <v>11488</v>
          </cell>
          <cell r="C342" t="str">
            <v>UEC</v>
          </cell>
          <cell r="D342" t="str">
            <v>N</v>
          </cell>
          <cell r="E342" t="str">
            <v>C</v>
          </cell>
          <cell r="F342" t="str">
            <v>01/03/2001</v>
          </cell>
        </row>
        <row r="343">
          <cell r="B343" t="str">
            <v>11491</v>
          </cell>
          <cell r="C343" t="str">
            <v>UEC</v>
          </cell>
          <cell r="D343" t="str">
            <v>N</v>
          </cell>
          <cell r="E343" t="str">
            <v>A</v>
          </cell>
          <cell r="F343" t="str">
            <v>01/03/2001</v>
          </cell>
        </row>
        <row r="344">
          <cell r="B344" t="str">
            <v>11499</v>
          </cell>
          <cell r="C344" t="str">
            <v>UEC</v>
          </cell>
          <cell r="D344" t="str">
            <v>N</v>
          </cell>
          <cell r="E344" t="str">
            <v>C</v>
          </cell>
          <cell r="F344" t="str">
            <v>03/16/2001</v>
          </cell>
        </row>
        <row r="345">
          <cell r="B345" t="str">
            <v>11500</v>
          </cell>
          <cell r="C345" t="str">
            <v>UEC</v>
          </cell>
          <cell r="D345" t="str">
            <v>N</v>
          </cell>
          <cell r="E345" t="str">
            <v>C</v>
          </cell>
          <cell r="F345" t="str">
            <v>01/03/2001</v>
          </cell>
        </row>
        <row r="346">
          <cell r="B346" t="str">
            <v>11504</v>
          </cell>
          <cell r="C346" t="str">
            <v>UEC</v>
          </cell>
          <cell r="D346" t="str">
            <v>N</v>
          </cell>
          <cell r="E346" t="str">
            <v>C</v>
          </cell>
          <cell r="F346" t="str">
            <v>03/23/2001</v>
          </cell>
        </row>
        <row r="347">
          <cell r="B347" t="str">
            <v>11505</v>
          </cell>
          <cell r="C347" t="str">
            <v>UEC</v>
          </cell>
          <cell r="D347" t="str">
            <v>N</v>
          </cell>
          <cell r="E347" t="str">
            <v>I</v>
          </cell>
          <cell r="F347" t="str">
            <v>10/07/2002</v>
          </cell>
        </row>
        <row r="348">
          <cell r="B348" t="str">
            <v>11505</v>
          </cell>
          <cell r="C348" t="str">
            <v>UEC</v>
          </cell>
          <cell r="D348" t="str">
            <v>N</v>
          </cell>
          <cell r="E348" t="str">
            <v>I</v>
          </cell>
          <cell r="F348" t="str">
            <v>10/07/2002</v>
          </cell>
        </row>
        <row r="349">
          <cell r="B349" t="str">
            <v>11506</v>
          </cell>
          <cell r="C349" t="str">
            <v>UEC</v>
          </cell>
          <cell r="D349" t="str">
            <v>N</v>
          </cell>
          <cell r="E349" t="str">
            <v>A</v>
          </cell>
          <cell r="F349" t="str">
            <v>09/12/2003</v>
          </cell>
        </row>
        <row r="350">
          <cell r="B350" t="str">
            <v>11507</v>
          </cell>
          <cell r="C350" t="str">
            <v>UEC</v>
          </cell>
          <cell r="D350" t="str">
            <v>N</v>
          </cell>
          <cell r="E350" t="str">
            <v>A</v>
          </cell>
          <cell r="F350" t="str">
            <v>01/16/2003</v>
          </cell>
        </row>
        <row r="351">
          <cell r="B351" t="str">
            <v>11508</v>
          </cell>
          <cell r="C351" t="str">
            <v>UEC</v>
          </cell>
          <cell r="D351" t="str">
            <v>N</v>
          </cell>
          <cell r="E351" t="str">
            <v>C</v>
          </cell>
          <cell r="F351" t="str">
            <v>02/09/2001</v>
          </cell>
        </row>
        <row r="352">
          <cell r="B352" t="str">
            <v>11514</v>
          </cell>
          <cell r="C352" t="str">
            <v>UEC</v>
          </cell>
          <cell r="D352" t="str">
            <v>N</v>
          </cell>
          <cell r="E352" t="str">
            <v>C</v>
          </cell>
          <cell r="F352" t="str">
            <v>06/21/2001</v>
          </cell>
        </row>
        <row r="353">
          <cell r="B353" t="str">
            <v>11515</v>
          </cell>
          <cell r="C353" t="str">
            <v>UEC</v>
          </cell>
          <cell r="D353" t="str">
            <v>N</v>
          </cell>
          <cell r="E353" t="str">
            <v>A</v>
          </cell>
          <cell r="F353" t="str">
            <v>01/28/2003</v>
          </cell>
        </row>
        <row r="354">
          <cell r="B354" t="str">
            <v>11524</v>
          </cell>
          <cell r="C354" t="str">
            <v>UEC</v>
          </cell>
          <cell r="D354" t="str">
            <v>N</v>
          </cell>
          <cell r="E354" t="str">
            <v>C</v>
          </cell>
          <cell r="F354" t="str">
            <v>10/03/2001</v>
          </cell>
        </row>
        <row r="355">
          <cell r="B355" t="str">
            <v>11525</v>
          </cell>
          <cell r="C355" t="str">
            <v>UEC</v>
          </cell>
          <cell r="D355" t="str">
            <v>N</v>
          </cell>
          <cell r="E355" t="str">
            <v>C</v>
          </cell>
          <cell r="F355" t="str">
            <v>01/30/2001</v>
          </cell>
        </row>
        <row r="356">
          <cell r="B356" t="str">
            <v>11528</v>
          </cell>
          <cell r="C356" t="str">
            <v>UEC</v>
          </cell>
          <cell r="D356" t="str">
            <v>N</v>
          </cell>
          <cell r="E356" t="str">
            <v>C</v>
          </cell>
          <cell r="F356" t="str">
            <v>04/22/2002</v>
          </cell>
        </row>
        <row r="357">
          <cell r="B357" t="str">
            <v>11528</v>
          </cell>
          <cell r="C357" t="str">
            <v>UEC</v>
          </cell>
          <cell r="D357" t="str">
            <v>N</v>
          </cell>
          <cell r="E357" t="str">
            <v>C</v>
          </cell>
          <cell r="F357" t="str">
            <v>04/22/2002</v>
          </cell>
        </row>
        <row r="358">
          <cell r="B358" t="str">
            <v>11531</v>
          </cell>
          <cell r="C358" t="str">
            <v>UEC</v>
          </cell>
          <cell r="D358" t="str">
            <v>N</v>
          </cell>
          <cell r="E358" t="str">
            <v>C</v>
          </cell>
          <cell r="F358" t="str">
            <v>09/27/2000</v>
          </cell>
        </row>
        <row r="359">
          <cell r="B359" t="str">
            <v>11534</v>
          </cell>
          <cell r="C359" t="str">
            <v>UEC</v>
          </cell>
          <cell r="D359" t="str">
            <v>N</v>
          </cell>
          <cell r="E359" t="str">
            <v>C</v>
          </cell>
          <cell r="F359" t="str">
            <v>11/02/2000</v>
          </cell>
        </row>
        <row r="360">
          <cell r="B360" t="str">
            <v>11566</v>
          </cell>
          <cell r="C360" t="str">
            <v>UEC</v>
          </cell>
          <cell r="D360" t="str">
            <v>N</v>
          </cell>
          <cell r="E360" t="str">
            <v>A</v>
          </cell>
          <cell r="F360" t="str">
            <v>09/12/2003</v>
          </cell>
        </row>
        <row r="361">
          <cell r="B361" t="str">
            <v>11581</v>
          </cell>
          <cell r="C361" t="str">
            <v>UEC</v>
          </cell>
          <cell r="D361" t="str">
            <v>N</v>
          </cell>
          <cell r="E361" t="str">
            <v>A</v>
          </cell>
          <cell r="F361" t="str">
            <v>08/07/2002</v>
          </cell>
        </row>
        <row r="362">
          <cell r="B362" t="str">
            <v>11583</v>
          </cell>
          <cell r="C362" t="str">
            <v>UEC</v>
          </cell>
          <cell r="D362" t="str">
            <v>N</v>
          </cell>
          <cell r="E362" t="str">
            <v>C</v>
          </cell>
          <cell r="F362" t="str">
            <v>10/21/2002</v>
          </cell>
        </row>
        <row r="363">
          <cell r="B363" t="str">
            <v>11586</v>
          </cell>
          <cell r="C363" t="str">
            <v>UEC</v>
          </cell>
          <cell r="D363" t="str">
            <v>N</v>
          </cell>
          <cell r="E363" t="str">
            <v>A</v>
          </cell>
          <cell r="F363" t="str">
            <v>10/07/2003</v>
          </cell>
        </row>
        <row r="364">
          <cell r="B364" t="str">
            <v>11587</v>
          </cell>
          <cell r="C364" t="str">
            <v>UEC</v>
          </cell>
          <cell r="D364" t="str">
            <v>N</v>
          </cell>
          <cell r="E364" t="str">
            <v>C</v>
          </cell>
          <cell r="F364" t="str">
            <v>10/24/2000</v>
          </cell>
        </row>
        <row r="365">
          <cell r="B365" t="str">
            <v>11589</v>
          </cell>
          <cell r="C365" t="str">
            <v>UEC</v>
          </cell>
          <cell r="D365" t="str">
            <v>N</v>
          </cell>
          <cell r="E365" t="str">
            <v>C</v>
          </cell>
          <cell r="F365" t="str">
            <v>10/08/2001</v>
          </cell>
        </row>
        <row r="366">
          <cell r="B366" t="str">
            <v>11593</v>
          </cell>
          <cell r="C366" t="str">
            <v>UEC</v>
          </cell>
          <cell r="D366" t="str">
            <v>N</v>
          </cell>
          <cell r="E366" t="str">
            <v>A</v>
          </cell>
          <cell r="F366" t="str">
            <v>12/13/2001</v>
          </cell>
        </row>
        <row r="367">
          <cell r="B367" t="str">
            <v>11594</v>
          </cell>
          <cell r="C367" t="str">
            <v>UEC</v>
          </cell>
          <cell r="D367" t="str">
            <v>N</v>
          </cell>
          <cell r="E367" t="str">
            <v>A</v>
          </cell>
          <cell r="F367" t="str">
            <v>10/08/2003</v>
          </cell>
        </row>
        <row r="368">
          <cell r="B368" t="str">
            <v>11596</v>
          </cell>
          <cell r="C368" t="str">
            <v>UEC</v>
          </cell>
          <cell r="D368" t="str">
            <v>N</v>
          </cell>
          <cell r="E368" t="str">
            <v>C</v>
          </cell>
          <cell r="F368" t="str">
            <v>08/31/2000</v>
          </cell>
        </row>
        <row r="369">
          <cell r="B369" t="str">
            <v>11599</v>
          </cell>
          <cell r="C369" t="str">
            <v>UEC</v>
          </cell>
          <cell r="D369" t="str">
            <v>N</v>
          </cell>
          <cell r="E369" t="str">
            <v>A</v>
          </cell>
          <cell r="F369" t="str">
            <v>09/26/2003</v>
          </cell>
        </row>
        <row r="370">
          <cell r="B370" t="str">
            <v>11601</v>
          </cell>
          <cell r="C370" t="str">
            <v>UEC</v>
          </cell>
          <cell r="D370" t="str">
            <v>N</v>
          </cell>
          <cell r="E370" t="str">
            <v>A</v>
          </cell>
          <cell r="F370" t="str">
            <v>09/04/2003</v>
          </cell>
        </row>
        <row r="371">
          <cell r="B371" t="str">
            <v>11610</v>
          </cell>
          <cell r="C371" t="str">
            <v>UEC</v>
          </cell>
          <cell r="D371" t="str">
            <v>N</v>
          </cell>
          <cell r="E371" t="str">
            <v>C</v>
          </cell>
          <cell r="F371" t="str">
            <v>07/19/2001</v>
          </cell>
        </row>
        <row r="372">
          <cell r="B372" t="str">
            <v>11613</v>
          </cell>
          <cell r="C372" t="str">
            <v>UEC</v>
          </cell>
          <cell r="D372" t="str">
            <v>N</v>
          </cell>
          <cell r="E372" t="str">
            <v>C</v>
          </cell>
          <cell r="F372" t="str">
            <v>08/02/2001</v>
          </cell>
        </row>
        <row r="373">
          <cell r="B373" t="str">
            <v>11618</v>
          </cell>
          <cell r="C373" t="str">
            <v>UEC</v>
          </cell>
          <cell r="D373" t="str">
            <v>N</v>
          </cell>
          <cell r="E373" t="str">
            <v>A</v>
          </cell>
          <cell r="F373" t="str">
            <v>01/15/2002</v>
          </cell>
        </row>
        <row r="374">
          <cell r="B374" t="str">
            <v>11619</v>
          </cell>
          <cell r="C374" t="str">
            <v>UEC</v>
          </cell>
          <cell r="D374" t="str">
            <v>N</v>
          </cell>
          <cell r="E374" t="str">
            <v>A</v>
          </cell>
          <cell r="F374" t="str">
            <v>08/01/2002</v>
          </cell>
        </row>
        <row r="375">
          <cell r="B375" t="str">
            <v>11620</v>
          </cell>
          <cell r="C375" t="str">
            <v>UEC</v>
          </cell>
          <cell r="D375" t="str">
            <v>N</v>
          </cell>
          <cell r="E375" t="str">
            <v>A</v>
          </cell>
          <cell r="F375" t="str">
            <v>08/01/2002</v>
          </cell>
        </row>
        <row r="376">
          <cell r="B376" t="str">
            <v>11626</v>
          </cell>
          <cell r="C376" t="str">
            <v>UEC</v>
          </cell>
          <cell r="D376" t="str">
            <v>N</v>
          </cell>
          <cell r="E376" t="str">
            <v>C</v>
          </cell>
          <cell r="F376" t="str">
            <v>03/26/2001</v>
          </cell>
        </row>
        <row r="377">
          <cell r="B377" t="str">
            <v>11643</v>
          </cell>
          <cell r="C377" t="str">
            <v>UEC</v>
          </cell>
          <cell r="D377" t="str">
            <v>N</v>
          </cell>
          <cell r="E377" t="str">
            <v>C</v>
          </cell>
          <cell r="F377" t="str">
            <v>09/20/2000</v>
          </cell>
        </row>
        <row r="378">
          <cell r="B378" t="str">
            <v>11644</v>
          </cell>
          <cell r="C378" t="str">
            <v>UEC</v>
          </cell>
          <cell r="D378" t="str">
            <v>N</v>
          </cell>
          <cell r="E378" t="str">
            <v>C</v>
          </cell>
          <cell r="F378" t="str">
            <v>11/28/2001</v>
          </cell>
        </row>
        <row r="379">
          <cell r="B379" t="str">
            <v>11645</v>
          </cell>
          <cell r="C379" t="str">
            <v>UEC</v>
          </cell>
          <cell r="D379" t="str">
            <v>N</v>
          </cell>
          <cell r="E379" t="str">
            <v>A</v>
          </cell>
          <cell r="F379" t="str">
            <v>08/01/2002</v>
          </cell>
        </row>
        <row r="380">
          <cell r="B380" t="str">
            <v>11647</v>
          </cell>
          <cell r="C380" t="str">
            <v>UEC</v>
          </cell>
          <cell r="D380" t="str">
            <v>N</v>
          </cell>
          <cell r="E380" t="str">
            <v>A</v>
          </cell>
          <cell r="F380" t="str">
            <v>05/12/2003</v>
          </cell>
        </row>
        <row r="381">
          <cell r="B381" t="str">
            <v>11650</v>
          </cell>
          <cell r="C381" t="str">
            <v>UEC</v>
          </cell>
          <cell r="D381" t="str">
            <v>N</v>
          </cell>
          <cell r="E381" t="str">
            <v>A</v>
          </cell>
          <cell r="F381" t="str">
            <v>10/12/2001</v>
          </cell>
        </row>
        <row r="382">
          <cell r="B382" t="str">
            <v>11652</v>
          </cell>
          <cell r="C382" t="str">
            <v>UEC</v>
          </cell>
          <cell r="D382" t="str">
            <v>N</v>
          </cell>
          <cell r="E382" t="str">
            <v>C</v>
          </cell>
          <cell r="F382" t="str">
            <v>01/11/2001</v>
          </cell>
        </row>
        <row r="383">
          <cell r="B383" t="str">
            <v>11663</v>
          </cell>
          <cell r="C383" t="str">
            <v>UEC</v>
          </cell>
          <cell r="D383" t="str">
            <v>N</v>
          </cell>
          <cell r="E383" t="str">
            <v>C</v>
          </cell>
          <cell r="F383" t="str">
            <v>12/13/2000</v>
          </cell>
        </row>
        <row r="384">
          <cell r="B384" t="str">
            <v>11665</v>
          </cell>
          <cell r="C384" t="str">
            <v>UEC</v>
          </cell>
          <cell r="D384" t="str">
            <v>N</v>
          </cell>
          <cell r="E384" t="str">
            <v>A</v>
          </cell>
          <cell r="F384" t="str">
            <v>07/15/2002</v>
          </cell>
        </row>
        <row r="385">
          <cell r="B385" t="str">
            <v>11674</v>
          </cell>
          <cell r="C385" t="str">
            <v>UEC</v>
          </cell>
          <cell r="D385" t="str">
            <v>N</v>
          </cell>
          <cell r="E385" t="str">
            <v>A</v>
          </cell>
          <cell r="F385" t="str">
            <v>04/17/2002</v>
          </cell>
        </row>
        <row r="386">
          <cell r="B386" t="str">
            <v>11675</v>
          </cell>
          <cell r="C386" t="str">
            <v>UEC</v>
          </cell>
          <cell r="D386" t="str">
            <v>N</v>
          </cell>
          <cell r="E386" t="str">
            <v>A</v>
          </cell>
          <cell r="F386" t="str">
            <v>06/12/2002</v>
          </cell>
        </row>
        <row r="387">
          <cell r="B387" t="str">
            <v>11682</v>
          </cell>
          <cell r="C387" t="str">
            <v>UEC</v>
          </cell>
          <cell r="D387" t="str">
            <v>N</v>
          </cell>
          <cell r="E387" t="str">
            <v>C</v>
          </cell>
          <cell r="F387" t="str">
            <v>01/11/2001</v>
          </cell>
        </row>
        <row r="388">
          <cell r="B388" t="str">
            <v>11685</v>
          </cell>
          <cell r="C388" t="str">
            <v>UEC</v>
          </cell>
          <cell r="D388" t="str">
            <v>N</v>
          </cell>
          <cell r="E388" t="str">
            <v>A</v>
          </cell>
          <cell r="F388" t="str">
            <v>03/29/2001</v>
          </cell>
        </row>
        <row r="389">
          <cell r="B389" t="str">
            <v>11747</v>
          </cell>
          <cell r="C389" t="str">
            <v>UEC</v>
          </cell>
          <cell r="D389" t="str">
            <v>N</v>
          </cell>
          <cell r="E389" t="str">
            <v>A</v>
          </cell>
          <cell r="F389" t="str">
            <v>11/25/2003</v>
          </cell>
        </row>
        <row r="390">
          <cell r="B390" t="str">
            <v>11753</v>
          </cell>
          <cell r="C390" t="str">
            <v>UEC</v>
          </cell>
          <cell r="D390" t="str">
            <v>N</v>
          </cell>
          <cell r="E390" t="str">
            <v>A</v>
          </cell>
          <cell r="F390" t="str">
            <v>09/05/2003</v>
          </cell>
        </row>
        <row r="391">
          <cell r="B391" t="str">
            <v>11754</v>
          </cell>
          <cell r="C391" t="str">
            <v>UEC</v>
          </cell>
          <cell r="D391" t="str">
            <v>N</v>
          </cell>
          <cell r="E391" t="str">
            <v>C</v>
          </cell>
          <cell r="F391" t="str">
            <v>11/01/2002</v>
          </cell>
        </row>
        <row r="392">
          <cell r="B392" t="str">
            <v>11756</v>
          </cell>
          <cell r="C392" t="str">
            <v>UEC</v>
          </cell>
          <cell r="D392" t="str">
            <v>N</v>
          </cell>
          <cell r="E392" t="str">
            <v>C</v>
          </cell>
          <cell r="F392" t="str">
            <v>05/07/2001</v>
          </cell>
        </row>
        <row r="393">
          <cell r="B393" t="str">
            <v>11757</v>
          </cell>
          <cell r="C393" t="str">
            <v>UEC</v>
          </cell>
          <cell r="D393" t="str">
            <v>N</v>
          </cell>
          <cell r="E393" t="str">
            <v>A</v>
          </cell>
          <cell r="F393" t="str">
            <v>05/09/2002</v>
          </cell>
        </row>
        <row r="394">
          <cell r="B394" t="str">
            <v>11758</v>
          </cell>
          <cell r="C394" t="str">
            <v>UEC</v>
          </cell>
          <cell r="D394" t="str">
            <v>N</v>
          </cell>
          <cell r="E394" t="str">
            <v>A</v>
          </cell>
          <cell r="F394" t="str">
            <v>05/09/2003</v>
          </cell>
        </row>
        <row r="395">
          <cell r="B395" t="str">
            <v>11760</v>
          </cell>
          <cell r="C395" t="str">
            <v>UEC</v>
          </cell>
          <cell r="D395" t="str">
            <v>N</v>
          </cell>
          <cell r="E395" t="str">
            <v>A</v>
          </cell>
          <cell r="F395" t="str">
            <v>10/02/2002</v>
          </cell>
        </row>
        <row r="396">
          <cell r="B396" t="str">
            <v>11761</v>
          </cell>
          <cell r="C396" t="str">
            <v>UEC</v>
          </cell>
          <cell r="D396" t="str">
            <v>N</v>
          </cell>
          <cell r="E396" t="str">
            <v>A</v>
          </cell>
          <cell r="F396" t="str">
            <v>09/05/2003</v>
          </cell>
        </row>
        <row r="397">
          <cell r="B397" t="str">
            <v>11768</v>
          </cell>
          <cell r="C397" t="str">
            <v>CIP</v>
          </cell>
          <cell r="D397" t="str">
            <v>N</v>
          </cell>
          <cell r="E397" t="str">
            <v>C</v>
          </cell>
          <cell r="F397" t="str">
            <v>01/19/2001</v>
          </cell>
        </row>
        <row r="398">
          <cell r="B398" t="str">
            <v>11777</v>
          </cell>
          <cell r="C398" t="str">
            <v>UEC</v>
          </cell>
          <cell r="D398" t="str">
            <v>N</v>
          </cell>
          <cell r="E398" t="str">
            <v>C</v>
          </cell>
          <cell r="F398" t="str">
            <v>09/19/2000</v>
          </cell>
        </row>
        <row r="399">
          <cell r="B399" t="str">
            <v>11781</v>
          </cell>
          <cell r="C399" t="str">
            <v>UEC</v>
          </cell>
          <cell r="D399" t="str">
            <v>N</v>
          </cell>
          <cell r="E399" t="str">
            <v>A</v>
          </cell>
          <cell r="F399" t="str">
            <v>01/16/2003</v>
          </cell>
        </row>
        <row r="400">
          <cell r="B400" t="str">
            <v>11783</v>
          </cell>
          <cell r="C400" t="str">
            <v>UEC</v>
          </cell>
          <cell r="D400" t="str">
            <v>N</v>
          </cell>
          <cell r="E400" t="str">
            <v>C</v>
          </cell>
          <cell r="F400" t="str">
            <v>07/23/2001</v>
          </cell>
        </row>
        <row r="401">
          <cell r="B401" t="str">
            <v>11785</v>
          </cell>
          <cell r="C401" t="str">
            <v>UEC</v>
          </cell>
          <cell r="D401" t="str">
            <v>N</v>
          </cell>
          <cell r="E401" t="str">
            <v>A</v>
          </cell>
          <cell r="F401" t="str">
            <v>10/01/2001</v>
          </cell>
        </row>
        <row r="402">
          <cell r="B402" t="str">
            <v>11786</v>
          </cell>
          <cell r="C402" t="str">
            <v>UEC</v>
          </cell>
          <cell r="D402" t="str">
            <v>N</v>
          </cell>
          <cell r="E402" t="str">
            <v>A</v>
          </cell>
          <cell r="F402" t="str">
            <v>03/22/2002</v>
          </cell>
        </row>
        <row r="403">
          <cell r="B403" t="str">
            <v>11788</v>
          </cell>
          <cell r="C403" t="str">
            <v>UEC</v>
          </cell>
          <cell r="D403" t="str">
            <v>N</v>
          </cell>
          <cell r="E403" t="str">
            <v>A</v>
          </cell>
          <cell r="F403" t="str">
            <v>05/31/2001</v>
          </cell>
        </row>
        <row r="404">
          <cell r="B404" t="str">
            <v>11789</v>
          </cell>
          <cell r="C404" t="str">
            <v>UEC</v>
          </cell>
          <cell r="D404" t="str">
            <v>N</v>
          </cell>
          <cell r="E404" t="str">
            <v>A</v>
          </cell>
          <cell r="F404" t="str">
            <v>10/28/2003</v>
          </cell>
        </row>
        <row r="405">
          <cell r="B405" t="str">
            <v>11794</v>
          </cell>
          <cell r="C405" t="str">
            <v>CIP</v>
          </cell>
          <cell r="D405" t="str">
            <v>N</v>
          </cell>
          <cell r="E405" t="str">
            <v>C</v>
          </cell>
          <cell r="F405" t="str">
            <v>01/19/2001</v>
          </cell>
        </row>
        <row r="406">
          <cell r="B406" t="str">
            <v>11799</v>
          </cell>
          <cell r="C406" t="str">
            <v>UEC</v>
          </cell>
          <cell r="D406" t="str">
            <v>N</v>
          </cell>
          <cell r="E406" t="str">
            <v>C</v>
          </cell>
          <cell r="F406" t="str">
            <v>09/19/2000</v>
          </cell>
        </row>
        <row r="407">
          <cell r="B407" t="str">
            <v>11800</v>
          </cell>
          <cell r="C407" t="str">
            <v>UEC</v>
          </cell>
          <cell r="D407" t="str">
            <v>N</v>
          </cell>
          <cell r="E407" t="str">
            <v>A</v>
          </cell>
          <cell r="F407" t="str">
            <v>01/19/2001</v>
          </cell>
        </row>
        <row r="408">
          <cell r="B408" t="str">
            <v>11801</v>
          </cell>
          <cell r="C408" t="str">
            <v>UEC</v>
          </cell>
          <cell r="D408" t="str">
            <v>N</v>
          </cell>
          <cell r="E408" t="str">
            <v>A</v>
          </cell>
          <cell r="F408" t="str">
            <v>01/30/2001</v>
          </cell>
        </row>
        <row r="409">
          <cell r="B409" t="str">
            <v>11803</v>
          </cell>
          <cell r="C409" t="str">
            <v>UEC</v>
          </cell>
          <cell r="D409" t="str">
            <v>N</v>
          </cell>
          <cell r="E409" t="str">
            <v>C</v>
          </cell>
          <cell r="F409" t="str">
            <v>09/19/2000</v>
          </cell>
        </row>
        <row r="410">
          <cell r="B410" t="str">
            <v>11805</v>
          </cell>
          <cell r="C410" t="str">
            <v>UEC</v>
          </cell>
          <cell r="D410" t="str">
            <v>N</v>
          </cell>
          <cell r="E410" t="str">
            <v>C</v>
          </cell>
          <cell r="F410" t="str">
            <v>01/30/2001</v>
          </cell>
        </row>
        <row r="411">
          <cell r="B411" t="str">
            <v>11815</v>
          </cell>
          <cell r="C411" t="str">
            <v>UEC</v>
          </cell>
          <cell r="D411" t="str">
            <v>N</v>
          </cell>
          <cell r="E411" t="str">
            <v>C</v>
          </cell>
          <cell r="F411" t="str">
            <v>06/01/2001</v>
          </cell>
        </row>
        <row r="412">
          <cell r="B412" t="str">
            <v>11818</v>
          </cell>
          <cell r="C412" t="str">
            <v>UEC</v>
          </cell>
          <cell r="D412" t="str">
            <v>N</v>
          </cell>
          <cell r="E412" t="str">
            <v>C</v>
          </cell>
          <cell r="F412" t="str">
            <v>07/31/2001</v>
          </cell>
        </row>
        <row r="413">
          <cell r="B413" t="str">
            <v>11819</v>
          </cell>
          <cell r="C413" t="str">
            <v>UEC</v>
          </cell>
          <cell r="D413" t="str">
            <v>N</v>
          </cell>
          <cell r="E413" t="str">
            <v>A</v>
          </cell>
          <cell r="F413" t="str">
            <v>01/09/2002</v>
          </cell>
        </row>
        <row r="414">
          <cell r="B414" t="str">
            <v>11822</v>
          </cell>
          <cell r="C414" t="str">
            <v>UEC</v>
          </cell>
          <cell r="D414" t="str">
            <v>N</v>
          </cell>
          <cell r="E414" t="str">
            <v>C</v>
          </cell>
          <cell r="F414" t="str">
            <v>05/09/2002</v>
          </cell>
        </row>
        <row r="415">
          <cell r="B415" t="str">
            <v>11825</v>
          </cell>
          <cell r="C415" t="str">
            <v>UEC</v>
          </cell>
          <cell r="D415" t="str">
            <v>N</v>
          </cell>
          <cell r="E415" t="str">
            <v>C</v>
          </cell>
          <cell r="F415" t="str">
            <v>08/01/2001</v>
          </cell>
        </row>
        <row r="416">
          <cell r="B416" t="str">
            <v>11826</v>
          </cell>
          <cell r="C416" t="str">
            <v>UEC</v>
          </cell>
          <cell r="D416" t="str">
            <v>N</v>
          </cell>
          <cell r="E416" t="str">
            <v>C</v>
          </cell>
          <cell r="F416" t="str">
            <v>07/15/2002</v>
          </cell>
        </row>
        <row r="417">
          <cell r="B417" t="str">
            <v>11847</v>
          </cell>
          <cell r="C417" t="str">
            <v>UEC</v>
          </cell>
          <cell r="D417" t="str">
            <v>N</v>
          </cell>
          <cell r="E417" t="str">
            <v>C</v>
          </cell>
          <cell r="F417" t="str">
            <v>01/02/2002</v>
          </cell>
        </row>
        <row r="418">
          <cell r="B418" t="str">
            <v>11848</v>
          </cell>
          <cell r="C418" t="str">
            <v>UEC</v>
          </cell>
          <cell r="D418" t="str">
            <v>N</v>
          </cell>
          <cell r="E418" t="str">
            <v>C</v>
          </cell>
          <cell r="F418" t="str">
            <v>09/25/2000</v>
          </cell>
        </row>
        <row r="419">
          <cell r="B419" t="str">
            <v>11853</v>
          </cell>
          <cell r="C419" t="str">
            <v>UEC</v>
          </cell>
          <cell r="D419" t="str">
            <v>N</v>
          </cell>
          <cell r="E419" t="str">
            <v>C</v>
          </cell>
          <cell r="F419" t="str">
            <v>09/21/2000</v>
          </cell>
        </row>
        <row r="420">
          <cell r="B420" t="str">
            <v>11855</v>
          </cell>
          <cell r="C420" t="str">
            <v>UEC</v>
          </cell>
          <cell r="D420" t="str">
            <v>N</v>
          </cell>
          <cell r="E420" t="str">
            <v>C</v>
          </cell>
          <cell r="F420" t="str">
            <v>08/26/2002</v>
          </cell>
        </row>
        <row r="421">
          <cell r="B421" t="str">
            <v>11865</v>
          </cell>
          <cell r="C421" t="str">
            <v>UEC</v>
          </cell>
          <cell r="D421" t="str">
            <v>N</v>
          </cell>
          <cell r="E421" t="str">
            <v>C</v>
          </cell>
          <cell r="F421" t="str">
            <v>03/22/2001</v>
          </cell>
        </row>
        <row r="422">
          <cell r="B422" t="str">
            <v>11876</v>
          </cell>
          <cell r="C422" t="str">
            <v>UEC</v>
          </cell>
          <cell r="D422" t="str">
            <v>N</v>
          </cell>
          <cell r="E422" t="str">
            <v>C</v>
          </cell>
          <cell r="F422" t="str">
            <v>12/09/2002</v>
          </cell>
        </row>
        <row r="423">
          <cell r="B423" t="str">
            <v>11880</v>
          </cell>
          <cell r="C423" t="str">
            <v>UEC</v>
          </cell>
          <cell r="D423" t="str">
            <v>N</v>
          </cell>
          <cell r="E423" t="str">
            <v>C</v>
          </cell>
          <cell r="F423" t="str">
            <v>08/23/2001</v>
          </cell>
        </row>
        <row r="424">
          <cell r="B424" t="str">
            <v>11884</v>
          </cell>
          <cell r="C424" t="str">
            <v>UEC</v>
          </cell>
          <cell r="D424" t="str">
            <v>N</v>
          </cell>
          <cell r="E424" t="str">
            <v>C</v>
          </cell>
          <cell r="F424" t="str">
            <v>08/23/2001</v>
          </cell>
        </row>
        <row r="425">
          <cell r="B425" t="str">
            <v>11887</v>
          </cell>
          <cell r="C425" t="str">
            <v>UEC</v>
          </cell>
          <cell r="D425" t="str">
            <v>N</v>
          </cell>
          <cell r="E425" t="str">
            <v>C</v>
          </cell>
          <cell r="F425" t="str">
            <v>05/09/2002</v>
          </cell>
        </row>
        <row r="426">
          <cell r="B426" t="str">
            <v>11888</v>
          </cell>
          <cell r="C426" t="str">
            <v>UEC</v>
          </cell>
          <cell r="D426" t="str">
            <v>N</v>
          </cell>
          <cell r="E426" t="str">
            <v>C</v>
          </cell>
          <cell r="F426" t="str">
            <v>08/23/2001</v>
          </cell>
        </row>
        <row r="427">
          <cell r="B427" t="str">
            <v>11889</v>
          </cell>
          <cell r="C427" t="str">
            <v>UEC</v>
          </cell>
          <cell r="D427" t="str">
            <v>N</v>
          </cell>
          <cell r="E427" t="str">
            <v>C</v>
          </cell>
          <cell r="F427" t="str">
            <v>04/09/2002</v>
          </cell>
        </row>
        <row r="428">
          <cell r="B428" t="str">
            <v>11891</v>
          </cell>
          <cell r="C428" t="str">
            <v>UEC</v>
          </cell>
          <cell r="D428" t="str">
            <v>N</v>
          </cell>
          <cell r="E428" t="str">
            <v>C</v>
          </cell>
          <cell r="F428" t="str">
            <v>09/20/2000</v>
          </cell>
        </row>
        <row r="429">
          <cell r="B429" t="str">
            <v>11892</v>
          </cell>
          <cell r="C429" t="str">
            <v>UEC</v>
          </cell>
          <cell r="D429" t="str">
            <v>N</v>
          </cell>
          <cell r="E429" t="str">
            <v>C</v>
          </cell>
          <cell r="F429" t="str">
            <v>04/09/2001</v>
          </cell>
        </row>
        <row r="430">
          <cell r="B430" t="str">
            <v>11906</v>
          </cell>
          <cell r="C430" t="str">
            <v>CIP</v>
          </cell>
          <cell r="D430" t="str">
            <v>N</v>
          </cell>
          <cell r="E430" t="str">
            <v>C</v>
          </cell>
          <cell r="F430" t="str">
            <v>05/21/2002</v>
          </cell>
        </row>
        <row r="431">
          <cell r="B431" t="str">
            <v>11911</v>
          </cell>
          <cell r="C431" t="str">
            <v>CIP</v>
          </cell>
          <cell r="D431" t="str">
            <v>N</v>
          </cell>
          <cell r="E431" t="str">
            <v>C</v>
          </cell>
          <cell r="F431" t="str">
            <v>05/21/2002</v>
          </cell>
        </row>
        <row r="432">
          <cell r="B432" t="str">
            <v>11915</v>
          </cell>
          <cell r="C432" t="str">
            <v>UEC</v>
          </cell>
          <cell r="D432" t="str">
            <v>N</v>
          </cell>
          <cell r="E432" t="str">
            <v>C</v>
          </cell>
          <cell r="F432" t="str">
            <v>09/25/2000</v>
          </cell>
        </row>
        <row r="433">
          <cell r="B433" t="str">
            <v>11916</v>
          </cell>
          <cell r="C433" t="str">
            <v>UEC</v>
          </cell>
          <cell r="D433" t="str">
            <v>N</v>
          </cell>
          <cell r="E433" t="str">
            <v>C</v>
          </cell>
          <cell r="F433" t="str">
            <v>09/06/2001</v>
          </cell>
        </row>
        <row r="434">
          <cell r="B434" t="str">
            <v>11917</v>
          </cell>
          <cell r="C434" t="str">
            <v>UEC</v>
          </cell>
          <cell r="D434" t="str">
            <v>N</v>
          </cell>
          <cell r="E434" t="str">
            <v>A</v>
          </cell>
          <cell r="F434" t="str">
            <v>04/04/2002</v>
          </cell>
        </row>
        <row r="435">
          <cell r="B435" t="str">
            <v>11918</v>
          </cell>
          <cell r="C435" t="str">
            <v>UEC</v>
          </cell>
          <cell r="D435" t="str">
            <v>N</v>
          </cell>
          <cell r="E435" t="str">
            <v>C</v>
          </cell>
          <cell r="F435" t="str">
            <v>06/25/2001</v>
          </cell>
        </row>
        <row r="436">
          <cell r="B436" t="str">
            <v>11919</v>
          </cell>
          <cell r="C436" t="str">
            <v>UEC</v>
          </cell>
          <cell r="D436" t="str">
            <v>N</v>
          </cell>
          <cell r="E436" t="str">
            <v>A</v>
          </cell>
          <cell r="F436" t="str">
            <v>02/27/2002</v>
          </cell>
        </row>
        <row r="437">
          <cell r="B437" t="str">
            <v>11922</v>
          </cell>
          <cell r="C437" t="str">
            <v>UEC</v>
          </cell>
          <cell r="D437" t="str">
            <v>N</v>
          </cell>
          <cell r="E437" t="str">
            <v>C</v>
          </cell>
          <cell r="F437" t="str">
            <v>10/02/2001</v>
          </cell>
        </row>
        <row r="438">
          <cell r="B438" t="str">
            <v>11927</v>
          </cell>
          <cell r="C438" t="str">
            <v>UEC</v>
          </cell>
          <cell r="D438" t="str">
            <v>Y</v>
          </cell>
          <cell r="E438" t="str">
            <v>C</v>
          </cell>
          <cell r="F438" t="str">
            <v>07/13/2001</v>
          </cell>
        </row>
        <row r="439">
          <cell r="B439" t="str">
            <v>11928</v>
          </cell>
          <cell r="C439" t="str">
            <v>UEC</v>
          </cell>
          <cell r="D439" t="str">
            <v>N</v>
          </cell>
          <cell r="E439" t="str">
            <v>C</v>
          </cell>
          <cell r="F439" t="str">
            <v>01/30/2001</v>
          </cell>
        </row>
        <row r="440">
          <cell r="B440" t="str">
            <v>11931</v>
          </cell>
          <cell r="C440" t="str">
            <v>UEC</v>
          </cell>
          <cell r="D440" t="str">
            <v>N</v>
          </cell>
          <cell r="E440" t="str">
            <v>C</v>
          </cell>
          <cell r="F440" t="str">
            <v>02/01/2001</v>
          </cell>
        </row>
        <row r="441">
          <cell r="B441" t="str">
            <v>11948</v>
          </cell>
          <cell r="C441" t="str">
            <v>UEC</v>
          </cell>
          <cell r="D441" t="str">
            <v>N</v>
          </cell>
          <cell r="E441" t="str">
            <v>C</v>
          </cell>
          <cell r="F441" t="str">
            <v>10/05/2001</v>
          </cell>
        </row>
        <row r="442">
          <cell r="B442" t="str">
            <v>11958</v>
          </cell>
          <cell r="C442" t="str">
            <v>UEC</v>
          </cell>
          <cell r="D442" t="str">
            <v>N</v>
          </cell>
          <cell r="E442" t="str">
            <v>C</v>
          </cell>
          <cell r="F442" t="str">
            <v>07/20/2001</v>
          </cell>
        </row>
        <row r="443">
          <cell r="B443" t="str">
            <v>11966</v>
          </cell>
          <cell r="C443" t="str">
            <v>UEC</v>
          </cell>
          <cell r="D443" t="str">
            <v>N</v>
          </cell>
          <cell r="E443" t="str">
            <v>C</v>
          </cell>
          <cell r="F443" t="str">
            <v>11/05/2001</v>
          </cell>
        </row>
        <row r="444">
          <cell r="B444" t="str">
            <v>11968</v>
          </cell>
          <cell r="C444" t="str">
            <v>UEC</v>
          </cell>
          <cell r="D444" t="str">
            <v>N</v>
          </cell>
          <cell r="E444" t="str">
            <v>C</v>
          </cell>
          <cell r="F444" t="str">
            <v>04/10/2001</v>
          </cell>
        </row>
        <row r="445">
          <cell r="B445" t="str">
            <v>11986</v>
          </cell>
          <cell r="C445" t="str">
            <v>CIP</v>
          </cell>
          <cell r="D445" t="str">
            <v>N</v>
          </cell>
          <cell r="E445" t="str">
            <v>C</v>
          </cell>
          <cell r="F445" t="str">
            <v>10/20/2000</v>
          </cell>
        </row>
        <row r="446">
          <cell r="B446" t="str">
            <v>11987</v>
          </cell>
          <cell r="C446" t="str">
            <v>UEC</v>
          </cell>
          <cell r="D446" t="str">
            <v>N</v>
          </cell>
          <cell r="E446" t="str">
            <v>C</v>
          </cell>
          <cell r="F446" t="str">
            <v>09/19/2001</v>
          </cell>
        </row>
        <row r="447">
          <cell r="B447" t="str">
            <v>11989</v>
          </cell>
          <cell r="C447" t="str">
            <v>UEC</v>
          </cell>
          <cell r="D447" t="str">
            <v>N</v>
          </cell>
          <cell r="E447" t="str">
            <v>C</v>
          </cell>
          <cell r="F447" t="str">
            <v>04/24/2001</v>
          </cell>
        </row>
        <row r="448">
          <cell r="B448" t="str">
            <v>11990</v>
          </cell>
          <cell r="C448" t="str">
            <v>UEC</v>
          </cell>
          <cell r="D448" t="str">
            <v>N</v>
          </cell>
          <cell r="E448" t="str">
            <v>A</v>
          </cell>
          <cell r="F448" t="str">
            <v>03/07/2002</v>
          </cell>
        </row>
        <row r="449">
          <cell r="B449" t="str">
            <v>11994</v>
          </cell>
          <cell r="C449" t="str">
            <v>UEC</v>
          </cell>
          <cell r="D449" t="str">
            <v>N</v>
          </cell>
          <cell r="E449" t="str">
            <v>C</v>
          </cell>
          <cell r="F449" t="str">
            <v>05/13/2002</v>
          </cell>
        </row>
        <row r="450">
          <cell r="B450" t="str">
            <v>11995</v>
          </cell>
          <cell r="C450" t="str">
            <v>UEC</v>
          </cell>
          <cell r="D450" t="str">
            <v>N</v>
          </cell>
          <cell r="E450" t="str">
            <v>I</v>
          </cell>
          <cell r="F450" t="str">
            <v>12/19/2003</v>
          </cell>
        </row>
        <row r="451">
          <cell r="B451" t="str">
            <v>11995</v>
          </cell>
          <cell r="C451" t="str">
            <v>UEC</v>
          </cell>
          <cell r="D451" t="str">
            <v>N</v>
          </cell>
          <cell r="E451" t="str">
            <v>I</v>
          </cell>
          <cell r="F451" t="str">
            <v>12/19/2003</v>
          </cell>
        </row>
        <row r="452">
          <cell r="B452" t="str">
            <v>12000</v>
          </cell>
          <cell r="C452" t="str">
            <v>UEC</v>
          </cell>
          <cell r="D452" t="str">
            <v>N</v>
          </cell>
          <cell r="E452" t="str">
            <v>C</v>
          </cell>
          <cell r="F452" t="str">
            <v>08/15/2002</v>
          </cell>
        </row>
        <row r="453">
          <cell r="B453" t="str">
            <v>12001</v>
          </cell>
          <cell r="C453" t="str">
            <v>UEC</v>
          </cell>
          <cell r="D453" t="str">
            <v>N</v>
          </cell>
          <cell r="E453" t="str">
            <v>A</v>
          </cell>
          <cell r="F453" t="str">
            <v>09/05/2003</v>
          </cell>
        </row>
        <row r="454">
          <cell r="B454" t="str">
            <v>12006</v>
          </cell>
          <cell r="C454" t="str">
            <v>UEC</v>
          </cell>
          <cell r="D454" t="str">
            <v>N</v>
          </cell>
          <cell r="E454" t="str">
            <v>C</v>
          </cell>
          <cell r="F454" t="str">
            <v>04/30/2002</v>
          </cell>
        </row>
        <row r="455">
          <cell r="B455" t="str">
            <v>12008</v>
          </cell>
          <cell r="C455" t="str">
            <v>UEC</v>
          </cell>
          <cell r="D455" t="str">
            <v>N</v>
          </cell>
          <cell r="E455" t="str">
            <v>C</v>
          </cell>
          <cell r="F455" t="str">
            <v>04/30/2002</v>
          </cell>
        </row>
        <row r="456">
          <cell r="B456" t="str">
            <v>12015</v>
          </cell>
          <cell r="C456" t="str">
            <v>UEC</v>
          </cell>
          <cell r="D456" t="str">
            <v>N</v>
          </cell>
          <cell r="E456" t="str">
            <v>A</v>
          </cell>
          <cell r="F456" t="str">
            <v>11/16/2000</v>
          </cell>
        </row>
        <row r="457">
          <cell r="B457" t="str">
            <v>12016</v>
          </cell>
          <cell r="C457" t="str">
            <v>UEC</v>
          </cell>
          <cell r="D457" t="str">
            <v>N</v>
          </cell>
          <cell r="E457" t="str">
            <v>A</v>
          </cell>
          <cell r="F457" t="str">
            <v>08/04/2003</v>
          </cell>
        </row>
        <row r="458">
          <cell r="B458" t="str">
            <v>12038</v>
          </cell>
          <cell r="C458" t="str">
            <v>UEC</v>
          </cell>
          <cell r="D458" t="str">
            <v>N</v>
          </cell>
          <cell r="E458" t="str">
            <v>C</v>
          </cell>
          <cell r="F458" t="str">
            <v>05/17/2001</v>
          </cell>
        </row>
        <row r="459">
          <cell r="B459" t="str">
            <v>12040</v>
          </cell>
          <cell r="C459" t="str">
            <v>UEC</v>
          </cell>
          <cell r="D459" t="str">
            <v>N</v>
          </cell>
          <cell r="E459" t="str">
            <v>C</v>
          </cell>
          <cell r="F459" t="str">
            <v>08/30/2001</v>
          </cell>
        </row>
        <row r="460">
          <cell r="B460" t="str">
            <v>12041</v>
          </cell>
          <cell r="C460" t="str">
            <v>CIP</v>
          </cell>
          <cell r="D460" t="str">
            <v>N</v>
          </cell>
          <cell r="E460" t="str">
            <v>A</v>
          </cell>
          <cell r="F460" t="str">
            <v>02/02/2001</v>
          </cell>
        </row>
        <row r="461">
          <cell r="B461" t="str">
            <v>12046</v>
          </cell>
          <cell r="C461" t="str">
            <v>CIP</v>
          </cell>
          <cell r="D461" t="str">
            <v>N</v>
          </cell>
          <cell r="E461" t="str">
            <v>C</v>
          </cell>
          <cell r="F461" t="str">
            <v>10/03/2000</v>
          </cell>
        </row>
        <row r="462">
          <cell r="B462" t="str">
            <v>12059</v>
          </cell>
          <cell r="C462" t="str">
            <v>UEC</v>
          </cell>
          <cell r="D462" t="str">
            <v>N</v>
          </cell>
          <cell r="E462" t="str">
            <v>A</v>
          </cell>
          <cell r="F462" t="str">
            <v>03/28/2001</v>
          </cell>
        </row>
        <row r="463">
          <cell r="B463" t="str">
            <v>12063</v>
          </cell>
          <cell r="C463" t="str">
            <v>UEC</v>
          </cell>
          <cell r="D463" t="str">
            <v>N</v>
          </cell>
          <cell r="E463" t="str">
            <v>A</v>
          </cell>
          <cell r="F463" t="str">
            <v>10/17/2002</v>
          </cell>
        </row>
        <row r="464">
          <cell r="B464" t="str">
            <v>12066</v>
          </cell>
          <cell r="C464" t="str">
            <v>UEC</v>
          </cell>
          <cell r="D464" t="str">
            <v>N</v>
          </cell>
          <cell r="E464" t="str">
            <v>C</v>
          </cell>
          <cell r="F464" t="str">
            <v>09/28/2000</v>
          </cell>
        </row>
        <row r="465">
          <cell r="B465" t="str">
            <v>12067</v>
          </cell>
          <cell r="C465" t="str">
            <v>CIP</v>
          </cell>
          <cell r="D465" t="str">
            <v>N</v>
          </cell>
          <cell r="E465" t="str">
            <v>C</v>
          </cell>
          <cell r="F465" t="str">
            <v>09/28/2000</v>
          </cell>
        </row>
        <row r="466">
          <cell r="B466" t="str">
            <v>12068</v>
          </cell>
          <cell r="C466" t="str">
            <v>UEC</v>
          </cell>
          <cell r="D466" t="str">
            <v>N</v>
          </cell>
          <cell r="E466" t="str">
            <v>C</v>
          </cell>
          <cell r="F466" t="str">
            <v>02/22/2001</v>
          </cell>
        </row>
        <row r="467">
          <cell r="B467" t="str">
            <v>12071</v>
          </cell>
          <cell r="C467" t="str">
            <v>CIP</v>
          </cell>
          <cell r="D467" t="str">
            <v>N</v>
          </cell>
          <cell r="E467" t="str">
            <v>C</v>
          </cell>
          <cell r="F467" t="str">
            <v>10/31/2001</v>
          </cell>
        </row>
        <row r="468">
          <cell r="B468" t="str">
            <v>12073</v>
          </cell>
          <cell r="C468" t="str">
            <v>CIP</v>
          </cell>
          <cell r="D468" t="str">
            <v>N</v>
          </cell>
          <cell r="E468" t="str">
            <v>C</v>
          </cell>
          <cell r="F468" t="str">
            <v>01/10/2003</v>
          </cell>
        </row>
        <row r="469">
          <cell r="B469" t="str">
            <v>12162</v>
          </cell>
          <cell r="C469" t="str">
            <v>UEC</v>
          </cell>
          <cell r="D469" t="str">
            <v>N</v>
          </cell>
          <cell r="E469" t="str">
            <v>C</v>
          </cell>
          <cell r="F469" t="str">
            <v>04/09/2001</v>
          </cell>
        </row>
        <row r="470">
          <cell r="B470" t="str">
            <v>12170</v>
          </cell>
          <cell r="C470" t="str">
            <v>UEC</v>
          </cell>
          <cell r="D470" t="str">
            <v>N</v>
          </cell>
          <cell r="E470" t="str">
            <v>A</v>
          </cell>
          <cell r="F470" t="str">
            <v>02/13/2001</v>
          </cell>
        </row>
        <row r="471">
          <cell r="B471" t="str">
            <v>12171</v>
          </cell>
          <cell r="C471" t="str">
            <v>UEC</v>
          </cell>
          <cell r="D471" t="str">
            <v>N</v>
          </cell>
          <cell r="E471" t="str">
            <v>A</v>
          </cell>
          <cell r="F471" t="str">
            <v>02/20/2001</v>
          </cell>
        </row>
        <row r="472">
          <cell r="B472" t="str">
            <v>12183</v>
          </cell>
          <cell r="C472" t="str">
            <v>UEC</v>
          </cell>
          <cell r="D472" t="str">
            <v>N</v>
          </cell>
          <cell r="E472" t="str">
            <v>C</v>
          </cell>
          <cell r="F472" t="str">
            <v>05/22/2001</v>
          </cell>
        </row>
        <row r="473">
          <cell r="B473" t="str">
            <v>12207</v>
          </cell>
          <cell r="C473" t="str">
            <v>CIP</v>
          </cell>
          <cell r="D473" t="str">
            <v>N</v>
          </cell>
          <cell r="E473" t="str">
            <v>A</v>
          </cell>
          <cell r="F473" t="str">
            <v>01/30/2001</v>
          </cell>
        </row>
        <row r="474">
          <cell r="B474" t="str">
            <v>12208</v>
          </cell>
          <cell r="C474" t="str">
            <v>CIP</v>
          </cell>
          <cell r="D474" t="str">
            <v>N</v>
          </cell>
          <cell r="E474" t="str">
            <v>C</v>
          </cell>
          <cell r="F474" t="str">
            <v>10/26/2000</v>
          </cell>
        </row>
        <row r="475">
          <cell r="B475" t="str">
            <v>12211</v>
          </cell>
          <cell r="C475" t="str">
            <v>UEC</v>
          </cell>
          <cell r="D475" t="str">
            <v>N</v>
          </cell>
          <cell r="E475" t="str">
            <v>A</v>
          </cell>
          <cell r="F475" t="str">
            <v>01/30/2001</v>
          </cell>
        </row>
        <row r="476">
          <cell r="B476" t="str">
            <v>12212</v>
          </cell>
          <cell r="C476" t="str">
            <v>UEC</v>
          </cell>
          <cell r="D476" t="str">
            <v>N</v>
          </cell>
          <cell r="E476" t="str">
            <v>C</v>
          </cell>
          <cell r="F476" t="str">
            <v>03/05/2001</v>
          </cell>
        </row>
        <row r="477">
          <cell r="B477" t="str">
            <v>12218</v>
          </cell>
          <cell r="C477" t="str">
            <v>UEC</v>
          </cell>
          <cell r="D477" t="str">
            <v>N</v>
          </cell>
          <cell r="E477" t="str">
            <v>A</v>
          </cell>
          <cell r="F477" t="str">
            <v>04/15/2002</v>
          </cell>
        </row>
        <row r="478">
          <cell r="B478" t="str">
            <v>12224</v>
          </cell>
          <cell r="C478" t="str">
            <v>UEC</v>
          </cell>
          <cell r="D478" t="str">
            <v>N</v>
          </cell>
          <cell r="E478" t="str">
            <v>A</v>
          </cell>
          <cell r="F478" t="str">
            <v>05/22/2001</v>
          </cell>
        </row>
        <row r="479">
          <cell r="B479" t="str">
            <v>12226</v>
          </cell>
          <cell r="C479" t="str">
            <v>UEC</v>
          </cell>
          <cell r="D479" t="str">
            <v>N</v>
          </cell>
          <cell r="E479" t="str">
            <v>C</v>
          </cell>
          <cell r="F479" t="str">
            <v>02/20/2001</v>
          </cell>
        </row>
        <row r="480">
          <cell r="B480" t="str">
            <v>12238</v>
          </cell>
          <cell r="C480" t="str">
            <v>UEC</v>
          </cell>
          <cell r="D480" t="str">
            <v>N</v>
          </cell>
          <cell r="E480" t="str">
            <v>I</v>
          </cell>
          <cell r="F480" t="str">
            <v>04/26/2001</v>
          </cell>
        </row>
        <row r="481">
          <cell r="B481" t="str">
            <v>12250</v>
          </cell>
          <cell r="C481" t="str">
            <v>UEC</v>
          </cell>
          <cell r="D481" t="str">
            <v>N</v>
          </cell>
          <cell r="E481" t="str">
            <v>I</v>
          </cell>
          <cell r="F481" t="str">
            <v>02/27/2001</v>
          </cell>
        </row>
        <row r="482">
          <cell r="B482" t="str">
            <v>12298</v>
          </cell>
          <cell r="C482" t="str">
            <v>CIP</v>
          </cell>
          <cell r="D482" t="str">
            <v>N</v>
          </cell>
          <cell r="E482" t="str">
            <v>A</v>
          </cell>
          <cell r="F482" t="str">
            <v>04/18/2001</v>
          </cell>
        </row>
        <row r="483">
          <cell r="B483" t="str">
            <v>12299</v>
          </cell>
          <cell r="C483" t="str">
            <v>UEC</v>
          </cell>
          <cell r="D483" t="str">
            <v>N</v>
          </cell>
          <cell r="E483" t="str">
            <v>A</v>
          </cell>
          <cell r="F483" t="str">
            <v>03/01/2001</v>
          </cell>
        </row>
        <row r="484">
          <cell r="B484" t="str">
            <v>12300</v>
          </cell>
          <cell r="C484" t="str">
            <v>UEC</v>
          </cell>
          <cell r="D484" t="str">
            <v>N</v>
          </cell>
          <cell r="E484" t="str">
            <v>A</v>
          </cell>
          <cell r="F484" t="str">
            <v>03/01/2001</v>
          </cell>
        </row>
        <row r="485">
          <cell r="B485" t="str">
            <v>12308</v>
          </cell>
          <cell r="C485" t="str">
            <v>CIP</v>
          </cell>
          <cell r="D485" t="str">
            <v>N</v>
          </cell>
          <cell r="E485" t="str">
            <v>C</v>
          </cell>
          <cell r="F485" t="str">
            <v>10/10/2000</v>
          </cell>
        </row>
        <row r="486">
          <cell r="B486" t="str">
            <v>12330</v>
          </cell>
          <cell r="C486" t="str">
            <v>UEC</v>
          </cell>
          <cell r="D486" t="str">
            <v>N</v>
          </cell>
          <cell r="E486" t="str">
            <v>C</v>
          </cell>
          <cell r="F486" t="str">
            <v>10/26/2000</v>
          </cell>
        </row>
        <row r="487">
          <cell r="B487" t="str">
            <v>12338</v>
          </cell>
          <cell r="C487" t="str">
            <v>AED</v>
          </cell>
          <cell r="D487" t="str">
            <v>N</v>
          </cell>
          <cell r="E487" t="str">
            <v>A</v>
          </cell>
          <cell r="F487" t="str">
            <v>11/01/2000</v>
          </cell>
        </row>
        <row r="488">
          <cell r="B488" t="str">
            <v>12344</v>
          </cell>
          <cell r="C488" t="str">
            <v>UEC</v>
          </cell>
          <cell r="D488" t="str">
            <v>N</v>
          </cell>
          <cell r="E488" t="str">
            <v>C</v>
          </cell>
          <cell r="F488" t="str">
            <v>05/09/2001</v>
          </cell>
        </row>
        <row r="489">
          <cell r="B489" t="str">
            <v>12345</v>
          </cell>
          <cell r="C489" t="str">
            <v>UEC</v>
          </cell>
          <cell r="D489" t="str">
            <v>N</v>
          </cell>
          <cell r="E489" t="str">
            <v>C</v>
          </cell>
          <cell r="F489" t="str">
            <v>05/09/2001</v>
          </cell>
        </row>
        <row r="490">
          <cell r="B490" t="str">
            <v>12358</v>
          </cell>
          <cell r="C490" t="str">
            <v>CIP</v>
          </cell>
          <cell r="D490" t="str">
            <v>N</v>
          </cell>
          <cell r="E490" t="str">
            <v>C</v>
          </cell>
          <cell r="F490" t="str">
            <v>04/30/2001</v>
          </cell>
        </row>
        <row r="491">
          <cell r="B491" t="str">
            <v>12359</v>
          </cell>
          <cell r="C491" t="str">
            <v>CIP</v>
          </cell>
          <cell r="D491" t="str">
            <v>N</v>
          </cell>
          <cell r="E491" t="str">
            <v>A</v>
          </cell>
          <cell r="F491" t="str">
            <v>04/30/2001</v>
          </cell>
        </row>
        <row r="492">
          <cell r="B492" t="str">
            <v>12363</v>
          </cell>
          <cell r="C492" t="str">
            <v>UEC</v>
          </cell>
          <cell r="D492" t="str">
            <v>N</v>
          </cell>
          <cell r="E492" t="str">
            <v>C</v>
          </cell>
          <cell r="F492" t="str">
            <v>02/22/2002</v>
          </cell>
        </row>
        <row r="493">
          <cell r="B493" t="str">
            <v>12365</v>
          </cell>
          <cell r="C493" t="str">
            <v>UEC</v>
          </cell>
          <cell r="D493" t="str">
            <v>N</v>
          </cell>
          <cell r="E493" t="str">
            <v>C</v>
          </cell>
          <cell r="F493" t="str">
            <v>05/02/2001</v>
          </cell>
        </row>
        <row r="494">
          <cell r="B494" t="str">
            <v>12366</v>
          </cell>
          <cell r="C494" t="str">
            <v>UEC</v>
          </cell>
          <cell r="D494" t="str">
            <v>N</v>
          </cell>
          <cell r="E494" t="str">
            <v>C</v>
          </cell>
          <cell r="F494" t="str">
            <v>05/04/2001</v>
          </cell>
        </row>
        <row r="495">
          <cell r="B495" t="str">
            <v>12370</v>
          </cell>
          <cell r="C495" t="str">
            <v>UEC</v>
          </cell>
          <cell r="D495" t="str">
            <v>N</v>
          </cell>
          <cell r="E495" t="str">
            <v>A</v>
          </cell>
          <cell r="F495" t="str">
            <v>05/07/2001</v>
          </cell>
        </row>
        <row r="496">
          <cell r="B496" t="str">
            <v>12371</v>
          </cell>
          <cell r="C496" t="str">
            <v>UEC</v>
          </cell>
          <cell r="D496" t="str">
            <v>N</v>
          </cell>
          <cell r="E496" t="str">
            <v>C</v>
          </cell>
          <cell r="F496" t="str">
            <v>05/08/2001</v>
          </cell>
        </row>
        <row r="497">
          <cell r="B497" t="str">
            <v>12372</v>
          </cell>
          <cell r="C497" t="str">
            <v>UEC</v>
          </cell>
          <cell r="D497" t="str">
            <v>N</v>
          </cell>
          <cell r="E497" t="str">
            <v>C</v>
          </cell>
          <cell r="F497" t="str">
            <v>05/08/2001</v>
          </cell>
        </row>
        <row r="498">
          <cell r="B498" t="str">
            <v>12373</v>
          </cell>
          <cell r="C498" t="str">
            <v>UEC</v>
          </cell>
          <cell r="D498" t="str">
            <v>N</v>
          </cell>
          <cell r="E498" t="str">
            <v>C</v>
          </cell>
          <cell r="F498" t="str">
            <v>05/08/2001</v>
          </cell>
        </row>
        <row r="499">
          <cell r="B499" t="str">
            <v>12383</v>
          </cell>
          <cell r="C499" t="str">
            <v>UEC</v>
          </cell>
          <cell r="D499" t="str">
            <v>N</v>
          </cell>
          <cell r="E499" t="str">
            <v>C</v>
          </cell>
          <cell r="F499" t="str">
            <v>05/08/2001</v>
          </cell>
        </row>
        <row r="500">
          <cell r="B500" t="str">
            <v>12384</v>
          </cell>
          <cell r="C500" t="str">
            <v>UEC</v>
          </cell>
          <cell r="D500" t="str">
            <v>N</v>
          </cell>
          <cell r="E500" t="str">
            <v>I</v>
          </cell>
          <cell r="F500" t="str">
            <v>05/08/2001</v>
          </cell>
        </row>
        <row r="501">
          <cell r="B501" t="str">
            <v>12385</v>
          </cell>
          <cell r="C501" t="str">
            <v>UEC</v>
          </cell>
          <cell r="D501" t="str">
            <v>N</v>
          </cell>
          <cell r="E501" t="str">
            <v>I</v>
          </cell>
          <cell r="F501" t="str">
            <v>05/08/2001</v>
          </cell>
        </row>
        <row r="502">
          <cell r="B502" t="str">
            <v>12386</v>
          </cell>
          <cell r="C502" t="str">
            <v>UEC</v>
          </cell>
          <cell r="D502" t="str">
            <v>N</v>
          </cell>
          <cell r="E502" t="str">
            <v>I</v>
          </cell>
          <cell r="F502" t="str">
            <v>05/08/2001</v>
          </cell>
        </row>
        <row r="503">
          <cell r="B503" t="str">
            <v>12387</v>
          </cell>
          <cell r="C503" t="str">
            <v>UEC</v>
          </cell>
          <cell r="D503" t="str">
            <v>N</v>
          </cell>
          <cell r="E503" t="str">
            <v>I</v>
          </cell>
          <cell r="F503" t="str">
            <v>05/08/2001</v>
          </cell>
        </row>
        <row r="504">
          <cell r="B504" t="str">
            <v>12390</v>
          </cell>
          <cell r="C504" t="str">
            <v>UEC</v>
          </cell>
          <cell r="D504" t="str">
            <v>N</v>
          </cell>
          <cell r="E504" t="str">
            <v>I</v>
          </cell>
          <cell r="F504" t="str">
            <v>05/08/2001</v>
          </cell>
        </row>
        <row r="505">
          <cell r="B505" t="str">
            <v>12391</v>
          </cell>
          <cell r="C505" t="str">
            <v>UEC</v>
          </cell>
          <cell r="D505" t="str">
            <v>N</v>
          </cell>
          <cell r="E505" t="str">
            <v>C</v>
          </cell>
          <cell r="F505" t="str">
            <v>05/09/2001</v>
          </cell>
        </row>
        <row r="506">
          <cell r="B506" t="str">
            <v>12404</v>
          </cell>
          <cell r="C506" t="str">
            <v>UEC</v>
          </cell>
          <cell r="D506" t="str">
            <v>N</v>
          </cell>
          <cell r="E506" t="str">
            <v>C</v>
          </cell>
          <cell r="F506" t="str">
            <v>07/20/2001</v>
          </cell>
        </row>
        <row r="507">
          <cell r="B507" t="str">
            <v>12408</v>
          </cell>
          <cell r="C507" t="str">
            <v>UEC</v>
          </cell>
          <cell r="D507" t="str">
            <v>N</v>
          </cell>
          <cell r="E507" t="str">
            <v>C</v>
          </cell>
          <cell r="F507" t="str">
            <v>07/20/2001</v>
          </cell>
        </row>
        <row r="508">
          <cell r="B508" t="str">
            <v>12412</v>
          </cell>
          <cell r="C508" t="str">
            <v>CIP</v>
          </cell>
          <cell r="D508" t="str">
            <v>N</v>
          </cell>
          <cell r="E508" t="str">
            <v>C</v>
          </cell>
          <cell r="F508" t="str">
            <v>07/27/2001</v>
          </cell>
        </row>
        <row r="509">
          <cell r="B509" t="str">
            <v>12428</v>
          </cell>
          <cell r="C509" t="str">
            <v>UEC</v>
          </cell>
          <cell r="D509" t="str">
            <v>N</v>
          </cell>
          <cell r="E509" t="str">
            <v>A</v>
          </cell>
          <cell r="F509" t="str">
            <v>05/23/2001</v>
          </cell>
        </row>
        <row r="510">
          <cell r="B510" t="str">
            <v>12432</v>
          </cell>
          <cell r="C510" t="str">
            <v>CIP</v>
          </cell>
          <cell r="D510" t="str">
            <v>N</v>
          </cell>
          <cell r="E510" t="str">
            <v>C</v>
          </cell>
          <cell r="F510" t="str">
            <v>10/12/2001</v>
          </cell>
        </row>
        <row r="511">
          <cell r="B511" t="str">
            <v>12440</v>
          </cell>
          <cell r="C511" t="str">
            <v>CIP</v>
          </cell>
          <cell r="D511" t="str">
            <v>N</v>
          </cell>
          <cell r="E511" t="str">
            <v>C</v>
          </cell>
          <cell r="F511" t="str">
            <v>02/04/2002</v>
          </cell>
        </row>
        <row r="512">
          <cell r="B512" t="str">
            <v>12443</v>
          </cell>
          <cell r="C512" t="str">
            <v>UEC</v>
          </cell>
          <cell r="D512" t="str">
            <v>N</v>
          </cell>
          <cell r="E512" t="str">
            <v>A</v>
          </cell>
          <cell r="F512" t="str">
            <v>05/17/2001</v>
          </cell>
        </row>
        <row r="513">
          <cell r="B513" t="str">
            <v>12444</v>
          </cell>
          <cell r="C513" t="str">
            <v>UEC</v>
          </cell>
          <cell r="D513" t="str">
            <v>N</v>
          </cell>
          <cell r="E513" t="str">
            <v>A</v>
          </cell>
          <cell r="F513" t="str">
            <v>05/24/2001</v>
          </cell>
        </row>
        <row r="514">
          <cell r="B514" t="str">
            <v>12449</v>
          </cell>
          <cell r="C514" t="str">
            <v>UEC</v>
          </cell>
          <cell r="D514" t="str">
            <v>N</v>
          </cell>
          <cell r="E514" t="str">
            <v>A</v>
          </cell>
          <cell r="F514" t="str">
            <v>07/13/2001</v>
          </cell>
        </row>
        <row r="515">
          <cell r="B515" t="str">
            <v>12455</v>
          </cell>
          <cell r="C515" t="str">
            <v>CIP</v>
          </cell>
          <cell r="D515" t="str">
            <v>N</v>
          </cell>
          <cell r="E515" t="str">
            <v>C</v>
          </cell>
          <cell r="F515" t="str">
            <v>07/20/2001</v>
          </cell>
        </row>
        <row r="516">
          <cell r="B516" t="str">
            <v>12477</v>
          </cell>
          <cell r="C516" t="str">
            <v>UEC</v>
          </cell>
          <cell r="D516" t="str">
            <v>N</v>
          </cell>
          <cell r="E516" t="str">
            <v>C</v>
          </cell>
          <cell r="F516" t="str">
            <v>02/26/2003</v>
          </cell>
        </row>
        <row r="517">
          <cell r="B517" t="str">
            <v>12483</v>
          </cell>
          <cell r="C517" t="str">
            <v>UEC</v>
          </cell>
          <cell r="D517" t="str">
            <v>N</v>
          </cell>
          <cell r="E517" t="str">
            <v>A</v>
          </cell>
          <cell r="F517" t="str">
            <v>06/13/2001</v>
          </cell>
        </row>
        <row r="518">
          <cell r="B518" t="str">
            <v>12484</v>
          </cell>
          <cell r="C518" t="str">
            <v>UEC</v>
          </cell>
          <cell r="D518" t="str">
            <v>N</v>
          </cell>
          <cell r="E518" t="str">
            <v>A</v>
          </cell>
          <cell r="F518" t="str">
            <v>06/13/2001</v>
          </cell>
        </row>
        <row r="519">
          <cell r="B519" t="str">
            <v>12485</v>
          </cell>
          <cell r="C519" t="str">
            <v>UEC</v>
          </cell>
          <cell r="D519" t="str">
            <v>N</v>
          </cell>
          <cell r="E519" t="str">
            <v>A</v>
          </cell>
          <cell r="F519" t="str">
            <v>06/13/2001</v>
          </cell>
        </row>
        <row r="520">
          <cell r="B520" t="str">
            <v>12486</v>
          </cell>
          <cell r="C520" t="str">
            <v>UEC</v>
          </cell>
          <cell r="D520" t="str">
            <v>N</v>
          </cell>
          <cell r="E520" t="str">
            <v>A</v>
          </cell>
          <cell r="F520" t="str">
            <v>06/13/2001</v>
          </cell>
        </row>
        <row r="521">
          <cell r="B521" t="str">
            <v>12488</v>
          </cell>
          <cell r="C521" t="str">
            <v>UEC</v>
          </cell>
          <cell r="D521" t="str">
            <v>N</v>
          </cell>
          <cell r="E521" t="str">
            <v>C</v>
          </cell>
          <cell r="F521" t="str">
            <v>05/01/2002</v>
          </cell>
        </row>
        <row r="522">
          <cell r="B522" t="str">
            <v>12490</v>
          </cell>
          <cell r="C522" t="str">
            <v>UEC</v>
          </cell>
          <cell r="D522" t="str">
            <v>N</v>
          </cell>
          <cell r="E522" t="str">
            <v>C</v>
          </cell>
          <cell r="F522" t="str">
            <v>11/25/2002</v>
          </cell>
        </row>
        <row r="523">
          <cell r="B523" t="str">
            <v>12494</v>
          </cell>
          <cell r="C523" t="str">
            <v>UEC</v>
          </cell>
          <cell r="D523" t="str">
            <v>N</v>
          </cell>
          <cell r="E523" t="str">
            <v>A</v>
          </cell>
          <cell r="F523" t="str">
            <v>05/29/2001</v>
          </cell>
        </row>
        <row r="524">
          <cell r="B524" t="str">
            <v>12495</v>
          </cell>
          <cell r="C524" t="str">
            <v>AEC</v>
          </cell>
          <cell r="D524" t="str">
            <v>N</v>
          </cell>
          <cell r="E524" t="str">
            <v>C</v>
          </cell>
          <cell r="F524" t="str">
            <v>06/01/2001</v>
          </cell>
        </row>
        <row r="525">
          <cell r="B525" t="str">
            <v>12522</v>
          </cell>
          <cell r="C525" t="str">
            <v>UEC</v>
          </cell>
          <cell r="D525" t="str">
            <v>N</v>
          </cell>
          <cell r="E525" t="str">
            <v>A</v>
          </cell>
          <cell r="F525" t="str">
            <v>10/31/2002</v>
          </cell>
        </row>
        <row r="526">
          <cell r="B526" t="str">
            <v>12523</v>
          </cell>
          <cell r="C526" t="str">
            <v>UEC</v>
          </cell>
          <cell r="D526" t="str">
            <v>N</v>
          </cell>
          <cell r="E526" t="str">
            <v>A</v>
          </cell>
          <cell r="F526" t="str">
            <v>10/31/2002</v>
          </cell>
        </row>
        <row r="527">
          <cell r="B527" t="str">
            <v>12524</v>
          </cell>
          <cell r="C527" t="str">
            <v>UEC</v>
          </cell>
          <cell r="D527" t="str">
            <v>N</v>
          </cell>
          <cell r="E527" t="str">
            <v>C</v>
          </cell>
          <cell r="F527" t="str">
            <v>12/03/2001</v>
          </cell>
        </row>
        <row r="528">
          <cell r="B528" t="str">
            <v>12525</v>
          </cell>
          <cell r="C528" t="str">
            <v>UEC</v>
          </cell>
          <cell r="D528" t="str">
            <v>N</v>
          </cell>
          <cell r="E528" t="str">
            <v>A</v>
          </cell>
          <cell r="F528" t="str">
            <v>06/01/2001</v>
          </cell>
        </row>
        <row r="529">
          <cell r="B529" t="str">
            <v>12526</v>
          </cell>
          <cell r="C529" t="str">
            <v>GEN</v>
          </cell>
          <cell r="D529" t="str">
            <v>N</v>
          </cell>
          <cell r="E529" t="str">
            <v>A</v>
          </cell>
          <cell r="F529" t="str">
            <v>06/18/2001</v>
          </cell>
        </row>
        <row r="530">
          <cell r="B530" t="str">
            <v>12527</v>
          </cell>
          <cell r="C530" t="str">
            <v>UEC</v>
          </cell>
          <cell r="D530" t="str">
            <v>N</v>
          </cell>
          <cell r="E530" t="str">
            <v>C</v>
          </cell>
          <cell r="F530" t="str">
            <v>07/16/2001</v>
          </cell>
        </row>
        <row r="531">
          <cell r="B531" t="str">
            <v>12528</v>
          </cell>
          <cell r="C531" t="str">
            <v>UEC</v>
          </cell>
          <cell r="D531" t="str">
            <v>N</v>
          </cell>
          <cell r="E531" t="str">
            <v>C</v>
          </cell>
          <cell r="F531" t="str">
            <v>02/07/2002</v>
          </cell>
        </row>
        <row r="532">
          <cell r="B532" t="str">
            <v>12529</v>
          </cell>
          <cell r="C532" t="str">
            <v>UEC</v>
          </cell>
          <cell r="D532" t="str">
            <v>N</v>
          </cell>
          <cell r="E532" t="str">
            <v>C</v>
          </cell>
          <cell r="F532" t="str">
            <v>07/10/2002</v>
          </cell>
        </row>
        <row r="533">
          <cell r="B533" t="str">
            <v>12532</v>
          </cell>
          <cell r="C533" t="str">
            <v>UEC</v>
          </cell>
          <cell r="D533" t="str">
            <v>N</v>
          </cell>
          <cell r="E533" t="str">
            <v>C</v>
          </cell>
          <cell r="F533" t="str">
            <v>06/13/2001</v>
          </cell>
        </row>
        <row r="534">
          <cell r="B534" t="str">
            <v>12540</v>
          </cell>
          <cell r="C534" t="str">
            <v>UEC</v>
          </cell>
          <cell r="D534" t="str">
            <v>N</v>
          </cell>
          <cell r="E534" t="str">
            <v>C</v>
          </cell>
          <cell r="F534" t="str">
            <v>06/14/2001</v>
          </cell>
        </row>
        <row r="535">
          <cell r="B535" t="str">
            <v>12546</v>
          </cell>
          <cell r="C535" t="str">
            <v>CIP</v>
          </cell>
          <cell r="D535" t="str">
            <v>N</v>
          </cell>
          <cell r="E535" t="str">
            <v>A</v>
          </cell>
          <cell r="F535" t="str">
            <v>06/19/2001</v>
          </cell>
        </row>
        <row r="536">
          <cell r="B536" t="str">
            <v>12548</v>
          </cell>
          <cell r="C536" t="str">
            <v>UEC</v>
          </cell>
          <cell r="D536" t="str">
            <v>N</v>
          </cell>
          <cell r="E536" t="str">
            <v>A</v>
          </cell>
          <cell r="F536" t="str">
            <v>06/19/2001</v>
          </cell>
        </row>
        <row r="537">
          <cell r="B537" t="str">
            <v>12562</v>
          </cell>
          <cell r="C537" t="str">
            <v>UEC</v>
          </cell>
          <cell r="D537" t="str">
            <v>N</v>
          </cell>
          <cell r="E537" t="str">
            <v>A</v>
          </cell>
          <cell r="F537" t="str">
            <v>02/20/2003</v>
          </cell>
        </row>
        <row r="538">
          <cell r="B538" t="str">
            <v>12565</v>
          </cell>
          <cell r="C538" t="str">
            <v>UEC</v>
          </cell>
          <cell r="D538" t="str">
            <v>N</v>
          </cell>
          <cell r="E538" t="str">
            <v>A</v>
          </cell>
          <cell r="F538" t="str">
            <v>03/26/2002</v>
          </cell>
        </row>
        <row r="539">
          <cell r="B539" t="str">
            <v>12571</v>
          </cell>
          <cell r="C539" t="str">
            <v>CIP</v>
          </cell>
          <cell r="D539" t="str">
            <v>N</v>
          </cell>
          <cell r="E539" t="str">
            <v>C</v>
          </cell>
          <cell r="F539" t="str">
            <v>06/27/2001</v>
          </cell>
        </row>
        <row r="540">
          <cell r="B540" t="str">
            <v>12582</v>
          </cell>
          <cell r="C540" t="str">
            <v>UEC</v>
          </cell>
          <cell r="D540" t="str">
            <v>N</v>
          </cell>
          <cell r="E540" t="str">
            <v>A</v>
          </cell>
          <cell r="F540" t="str">
            <v>07/02/2001</v>
          </cell>
        </row>
        <row r="541">
          <cell r="B541" t="str">
            <v>12592</v>
          </cell>
          <cell r="C541" t="str">
            <v>UEC</v>
          </cell>
          <cell r="D541" t="str">
            <v>N</v>
          </cell>
          <cell r="E541" t="str">
            <v>C</v>
          </cell>
          <cell r="F541" t="str">
            <v>10/08/2001</v>
          </cell>
        </row>
        <row r="542">
          <cell r="B542" t="str">
            <v>12610</v>
          </cell>
          <cell r="C542" t="str">
            <v>UEC</v>
          </cell>
          <cell r="D542" t="str">
            <v>N</v>
          </cell>
          <cell r="E542" t="str">
            <v>A</v>
          </cell>
          <cell r="F542" t="str">
            <v>09/17/2001</v>
          </cell>
        </row>
        <row r="543">
          <cell r="B543" t="str">
            <v>12611</v>
          </cell>
          <cell r="C543" t="str">
            <v>UEC</v>
          </cell>
          <cell r="D543" t="str">
            <v>N</v>
          </cell>
          <cell r="E543" t="str">
            <v>C</v>
          </cell>
          <cell r="F543" t="str">
            <v>09/17/2001</v>
          </cell>
        </row>
        <row r="544">
          <cell r="B544" t="str">
            <v>12612</v>
          </cell>
          <cell r="C544" t="str">
            <v>UEC</v>
          </cell>
          <cell r="D544" t="str">
            <v>N</v>
          </cell>
          <cell r="E544" t="str">
            <v>C</v>
          </cell>
          <cell r="F544" t="str">
            <v>09/17/2001</v>
          </cell>
        </row>
        <row r="545">
          <cell r="B545" t="str">
            <v>12618</v>
          </cell>
          <cell r="C545" t="str">
            <v>UEC</v>
          </cell>
          <cell r="D545" t="str">
            <v>N</v>
          </cell>
          <cell r="E545" t="str">
            <v>A</v>
          </cell>
          <cell r="F545" t="str">
            <v>07/27/2001</v>
          </cell>
        </row>
        <row r="546">
          <cell r="B546" t="str">
            <v>12627</v>
          </cell>
          <cell r="C546" t="str">
            <v>UEC</v>
          </cell>
          <cell r="D546" t="str">
            <v>N</v>
          </cell>
          <cell r="E546" t="str">
            <v>C</v>
          </cell>
          <cell r="F546" t="str">
            <v>07/15/2002</v>
          </cell>
        </row>
        <row r="547">
          <cell r="B547" t="str">
            <v>12635</v>
          </cell>
          <cell r="C547" t="str">
            <v>UEC</v>
          </cell>
          <cell r="D547" t="str">
            <v>N</v>
          </cell>
          <cell r="E547" t="str">
            <v>A</v>
          </cell>
          <cell r="F547" t="str">
            <v>08/03/2001</v>
          </cell>
        </row>
        <row r="548">
          <cell r="B548" t="str">
            <v>12637</v>
          </cell>
          <cell r="C548" t="str">
            <v>UEC</v>
          </cell>
          <cell r="D548" t="str">
            <v>N</v>
          </cell>
          <cell r="E548" t="str">
            <v>A</v>
          </cell>
          <cell r="F548" t="str">
            <v>08/09/2001</v>
          </cell>
        </row>
        <row r="549">
          <cell r="B549" t="str">
            <v>12640</v>
          </cell>
          <cell r="C549" t="str">
            <v>UEC</v>
          </cell>
          <cell r="D549" t="str">
            <v>N</v>
          </cell>
          <cell r="E549" t="str">
            <v>C</v>
          </cell>
          <cell r="F549" t="str">
            <v>12/04/2001</v>
          </cell>
        </row>
        <row r="550">
          <cell r="B550" t="str">
            <v>12643</v>
          </cell>
          <cell r="C550" t="str">
            <v>UEC</v>
          </cell>
          <cell r="D550" t="str">
            <v>N</v>
          </cell>
          <cell r="E550" t="str">
            <v>A</v>
          </cell>
          <cell r="F550" t="str">
            <v>11/29/2001</v>
          </cell>
        </row>
        <row r="551">
          <cell r="B551" t="str">
            <v>12645</v>
          </cell>
          <cell r="C551" t="str">
            <v>UEC</v>
          </cell>
          <cell r="D551" t="str">
            <v>N</v>
          </cell>
          <cell r="E551" t="str">
            <v>A</v>
          </cell>
          <cell r="F551" t="str">
            <v>03/27/2003</v>
          </cell>
        </row>
        <row r="552">
          <cell r="B552" t="str">
            <v>12676</v>
          </cell>
          <cell r="C552" t="str">
            <v>CIP</v>
          </cell>
          <cell r="D552" t="str">
            <v>N</v>
          </cell>
          <cell r="E552" t="str">
            <v>A</v>
          </cell>
          <cell r="F552" t="str">
            <v>09/18/2001</v>
          </cell>
        </row>
        <row r="553">
          <cell r="B553" t="str">
            <v>12680</v>
          </cell>
          <cell r="C553" t="str">
            <v>CIP</v>
          </cell>
          <cell r="D553" t="str">
            <v>N</v>
          </cell>
          <cell r="E553" t="str">
            <v>A</v>
          </cell>
          <cell r="F553" t="str">
            <v>10/02/2001</v>
          </cell>
        </row>
        <row r="554">
          <cell r="B554" t="str">
            <v>12682</v>
          </cell>
          <cell r="C554" t="str">
            <v>UEC</v>
          </cell>
          <cell r="D554" t="str">
            <v>N</v>
          </cell>
          <cell r="E554" t="str">
            <v>C</v>
          </cell>
          <cell r="F554" t="str">
            <v>02/05/2002</v>
          </cell>
        </row>
        <row r="555">
          <cell r="B555" t="str">
            <v>12683</v>
          </cell>
          <cell r="C555" t="str">
            <v>UEC</v>
          </cell>
          <cell r="D555" t="str">
            <v>N</v>
          </cell>
          <cell r="E555" t="str">
            <v>A</v>
          </cell>
          <cell r="F555" t="str">
            <v>08/30/2001</v>
          </cell>
        </row>
        <row r="556">
          <cell r="B556" t="str">
            <v>12684</v>
          </cell>
          <cell r="C556" t="str">
            <v>UEC</v>
          </cell>
          <cell r="D556" t="str">
            <v>N</v>
          </cell>
          <cell r="E556" t="str">
            <v>A</v>
          </cell>
          <cell r="F556" t="str">
            <v>12/20/2001</v>
          </cell>
        </row>
        <row r="557">
          <cell r="B557" t="str">
            <v>12687</v>
          </cell>
          <cell r="C557" t="str">
            <v>UEC</v>
          </cell>
          <cell r="D557" t="str">
            <v>N</v>
          </cell>
          <cell r="E557" t="str">
            <v>C</v>
          </cell>
          <cell r="F557" t="str">
            <v>08/28/2003</v>
          </cell>
        </row>
        <row r="558">
          <cell r="B558" t="str">
            <v>12689</v>
          </cell>
          <cell r="C558" t="str">
            <v>UEC</v>
          </cell>
          <cell r="D558" t="str">
            <v>N</v>
          </cell>
          <cell r="E558" t="str">
            <v>A</v>
          </cell>
          <cell r="F558" t="str">
            <v>11/14/2001</v>
          </cell>
        </row>
        <row r="559">
          <cell r="B559" t="str">
            <v>12692</v>
          </cell>
          <cell r="C559" t="str">
            <v>UEC</v>
          </cell>
          <cell r="D559" t="str">
            <v>N</v>
          </cell>
          <cell r="E559" t="str">
            <v>C</v>
          </cell>
          <cell r="F559" t="str">
            <v>07/30/2002</v>
          </cell>
        </row>
        <row r="560">
          <cell r="B560" t="str">
            <v>12701</v>
          </cell>
          <cell r="C560" t="str">
            <v>UEC</v>
          </cell>
          <cell r="D560" t="str">
            <v>N</v>
          </cell>
          <cell r="E560" t="str">
            <v>A</v>
          </cell>
          <cell r="F560" t="str">
            <v>07/16/2003</v>
          </cell>
        </row>
        <row r="561">
          <cell r="B561" t="str">
            <v>12705</v>
          </cell>
          <cell r="C561" t="str">
            <v>UEC</v>
          </cell>
          <cell r="D561" t="str">
            <v>N</v>
          </cell>
          <cell r="E561" t="str">
            <v>A</v>
          </cell>
          <cell r="F561" t="str">
            <v>04/21/2003</v>
          </cell>
        </row>
        <row r="562">
          <cell r="B562" t="str">
            <v>12707</v>
          </cell>
          <cell r="C562" t="str">
            <v>UEC</v>
          </cell>
          <cell r="D562" t="str">
            <v>N</v>
          </cell>
          <cell r="E562" t="str">
            <v>A</v>
          </cell>
          <cell r="F562" t="str">
            <v>04/03/2003</v>
          </cell>
        </row>
        <row r="563">
          <cell r="B563" t="str">
            <v>12711</v>
          </cell>
          <cell r="C563" t="str">
            <v>UEC</v>
          </cell>
          <cell r="D563" t="str">
            <v>N</v>
          </cell>
          <cell r="E563" t="str">
            <v>A</v>
          </cell>
          <cell r="F563" t="str">
            <v>12/19/2001</v>
          </cell>
        </row>
        <row r="564">
          <cell r="B564" t="str">
            <v>12712</v>
          </cell>
          <cell r="C564" t="str">
            <v>UEC</v>
          </cell>
          <cell r="D564" t="str">
            <v>N</v>
          </cell>
          <cell r="E564" t="str">
            <v>C</v>
          </cell>
          <cell r="F564" t="str">
            <v>03/13/2003</v>
          </cell>
        </row>
        <row r="565">
          <cell r="B565" t="str">
            <v>12714</v>
          </cell>
          <cell r="C565" t="str">
            <v>UEC</v>
          </cell>
          <cell r="D565" t="str">
            <v>N</v>
          </cell>
          <cell r="E565" t="str">
            <v>A</v>
          </cell>
          <cell r="F565" t="str">
            <v>09/04/2001</v>
          </cell>
        </row>
        <row r="566">
          <cell r="B566" t="str">
            <v>12720</v>
          </cell>
          <cell r="C566" t="str">
            <v>UEC</v>
          </cell>
          <cell r="D566" t="str">
            <v>N</v>
          </cell>
          <cell r="E566" t="str">
            <v>C</v>
          </cell>
          <cell r="F566" t="str">
            <v>08/23/2001</v>
          </cell>
        </row>
        <row r="567">
          <cell r="B567" t="str">
            <v>12726</v>
          </cell>
          <cell r="C567" t="str">
            <v>UEC</v>
          </cell>
          <cell r="D567" t="str">
            <v>N</v>
          </cell>
          <cell r="E567" t="str">
            <v>C</v>
          </cell>
          <cell r="F567" t="str">
            <v>04/01/2002</v>
          </cell>
        </row>
        <row r="568">
          <cell r="B568" t="str">
            <v>12729</v>
          </cell>
          <cell r="C568" t="str">
            <v>UEC</v>
          </cell>
          <cell r="D568" t="str">
            <v>N</v>
          </cell>
          <cell r="E568" t="str">
            <v>A</v>
          </cell>
          <cell r="F568" t="str">
            <v>03/17/2003</v>
          </cell>
        </row>
        <row r="569">
          <cell r="B569" t="str">
            <v>12739</v>
          </cell>
          <cell r="C569" t="str">
            <v>UEC</v>
          </cell>
          <cell r="D569" t="str">
            <v>N</v>
          </cell>
          <cell r="E569" t="str">
            <v>C</v>
          </cell>
          <cell r="F569" t="str">
            <v>09/30/2002</v>
          </cell>
        </row>
        <row r="570">
          <cell r="B570" t="str">
            <v>12743</v>
          </cell>
          <cell r="C570" t="str">
            <v>UEC</v>
          </cell>
          <cell r="D570" t="str">
            <v>N</v>
          </cell>
          <cell r="E570" t="str">
            <v>C</v>
          </cell>
          <cell r="F570" t="str">
            <v>05/02/2002</v>
          </cell>
        </row>
        <row r="571">
          <cell r="B571" t="str">
            <v>12744</v>
          </cell>
          <cell r="C571" t="str">
            <v>UEC</v>
          </cell>
          <cell r="D571" t="str">
            <v>N</v>
          </cell>
          <cell r="E571" t="str">
            <v>A</v>
          </cell>
          <cell r="F571" t="str">
            <v>02/11/2002</v>
          </cell>
        </row>
        <row r="572">
          <cell r="B572" t="str">
            <v>12746</v>
          </cell>
          <cell r="C572" t="str">
            <v>CIP</v>
          </cell>
          <cell r="D572" t="str">
            <v>N</v>
          </cell>
          <cell r="E572" t="str">
            <v>A</v>
          </cell>
          <cell r="F572" t="str">
            <v>10/29/2001</v>
          </cell>
        </row>
        <row r="573">
          <cell r="B573" t="str">
            <v>12755</v>
          </cell>
          <cell r="C573" t="str">
            <v>CIP</v>
          </cell>
          <cell r="D573" t="str">
            <v>N</v>
          </cell>
          <cell r="E573" t="str">
            <v>C</v>
          </cell>
          <cell r="F573" t="str">
            <v>01/11/2002</v>
          </cell>
        </row>
        <row r="574">
          <cell r="B574" t="str">
            <v>12758</v>
          </cell>
          <cell r="C574" t="str">
            <v>UEC</v>
          </cell>
          <cell r="D574" t="str">
            <v>N</v>
          </cell>
          <cell r="E574" t="str">
            <v>C</v>
          </cell>
          <cell r="F574" t="str">
            <v>11/14/2001</v>
          </cell>
        </row>
        <row r="575">
          <cell r="B575" t="str">
            <v>12767</v>
          </cell>
          <cell r="C575" t="str">
            <v>UEC</v>
          </cell>
          <cell r="D575" t="str">
            <v>N</v>
          </cell>
          <cell r="E575" t="str">
            <v>C</v>
          </cell>
          <cell r="F575" t="str">
            <v>08/15/2002</v>
          </cell>
        </row>
        <row r="576">
          <cell r="B576" t="str">
            <v>12768</v>
          </cell>
          <cell r="C576" t="str">
            <v>UEC</v>
          </cell>
          <cell r="D576" t="str">
            <v>N</v>
          </cell>
          <cell r="E576" t="str">
            <v>A</v>
          </cell>
          <cell r="F576" t="str">
            <v>06/10/2002</v>
          </cell>
        </row>
        <row r="577">
          <cell r="B577" t="str">
            <v>12770</v>
          </cell>
          <cell r="C577" t="str">
            <v>UEC</v>
          </cell>
          <cell r="D577" t="str">
            <v>N</v>
          </cell>
          <cell r="E577" t="str">
            <v>C</v>
          </cell>
          <cell r="F577" t="str">
            <v>09/10/2002</v>
          </cell>
        </row>
        <row r="578">
          <cell r="B578" t="str">
            <v>12771</v>
          </cell>
          <cell r="C578" t="str">
            <v>UEC</v>
          </cell>
          <cell r="D578" t="str">
            <v>N</v>
          </cell>
          <cell r="E578" t="str">
            <v>A</v>
          </cell>
          <cell r="F578" t="str">
            <v>04/15/2003</v>
          </cell>
        </row>
        <row r="579">
          <cell r="B579" t="str">
            <v>12775</v>
          </cell>
          <cell r="C579" t="str">
            <v>UEC</v>
          </cell>
          <cell r="D579" t="str">
            <v>N</v>
          </cell>
          <cell r="E579" t="str">
            <v>A</v>
          </cell>
          <cell r="F579" t="str">
            <v>09/30/2002</v>
          </cell>
        </row>
        <row r="580">
          <cell r="B580" t="str">
            <v>12787</v>
          </cell>
          <cell r="C580" t="str">
            <v>UEC</v>
          </cell>
          <cell r="D580" t="str">
            <v>N</v>
          </cell>
          <cell r="E580" t="str">
            <v>A</v>
          </cell>
          <cell r="F580" t="str">
            <v>08/14/2003</v>
          </cell>
        </row>
        <row r="581">
          <cell r="B581" t="str">
            <v>12788</v>
          </cell>
          <cell r="C581" t="str">
            <v>UEC</v>
          </cell>
          <cell r="D581" t="str">
            <v>N</v>
          </cell>
          <cell r="E581" t="str">
            <v>C</v>
          </cell>
          <cell r="F581" t="str">
            <v>12/28/2001</v>
          </cell>
        </row>
        <row r="582">
          <cell r="B582" t="str">
            <v>12791</v>
          </cell>
          <cell r="C582" t="str">
            <v>UEC</v>
          </cell>
          <cell r="D582" t="str">
            <v>N</v>
          </cell>
          <cell r="E582" t="str">
            <v>C</v>
          </cell>
          <cell r="F582" t="str">
            <v>02/28/2002</v>
          </cell>
        </row>
        <row r="583">
          <cell r="B583" t="str">
            <v>12792</v>
          </cell>
          <cell r="C583" t="str">
            <v>UEC</v>
          </cell>
          <cell r="D583" t="str">
            <v>N</v>
          </cell>
          <cell r="E583" t="str">
            <v>C</v>
          </cell>
          <cell r="F583" t="str">
            <v>07/26/2002</v>
          </cell>
        </row>
        <row r="584">
          <cell r="B584" t="str">
            <v>12794</v>
          </cell>
          <cell r="C584" t="str">
            <v>UEC</v>
          </cell>
          <cell r="D584" t="str">
            <v>N</v>
          </cell>
          <cell r="E584" t="str">
            <v>C</v>
          </cell>
          <cell r="F584" t="str">
            <v>10/26/2001</v>
          </cell>
        </row>
        <row r="585">
          <cell r="B585" t="str">
            <v>12795</v>
          </cell>
          <cell r="C585" t="str">
            <v>UEC</v>
          </cell>
          <cell r="D585" t="str">
            <v>N</v>
          </cell>
          <cell r="E585" t="str">
            <v>A</v>
          </cell>
          <cell r="F585" t="str">
            <v>05/10/2002</v>
          </cell>
        </row>
        <row r="586">
          <cell r="B586" t="str">
            <v>12798</v>
          </cell>
          <cell r="C586" t="str">
            <v>UEC</v>
          </cell>
          <cell r="D586" t="str">
            <v>N</v>
          </cell>
          <cell r="E586" t="str">
            <v>C</v>
          </cell>
          <cell r="F586" t="str">
            <v>09/04/2001</v>
          </cell>
        </row>
        <row r="587">
          <cell r="B587" t="str">
            <v>12803</v>
          </cell>
          <cell r="C587" t="str">
            <v>CIP</v>
          </cell>
          <cell r="D587" t="str">
            <v>N</v>
          </cell>
          <cell r="E587" t="str">
            <v>A</v>
          </cell>
          <cell r="F587" t="str">
            <v>07/19/2002</v>
          </cell>
        </row>
        <row r="588">
          <cell r="B588" t="str">
            <v>12810</v>
          </cell>
          <cell r="C588" t="str">
            <v>UEC</v>
          </cell>
          <cell r="D588" t="str">
            <v>N</v>
          </cell>
          <cell r="E588" t="str">
            <v>A</v>
          </cell>
          <cell r="F588" t="str">
            <v>09/10/2001</v>
          </cell>
        </row>
        <row r="589">
          <cell r="B589" t="str">
            <v>12813</v>
          </cell>
          <cell r="C589" t="str">
            <v>UEC</v>
          </cell>
          <cell r="D589" t="str">
            <v>N</v>
          </cell>
          <cell r="E589" t="str">
            <v>A</v>
          </cell>
          <cell r="F589" t="str">
            <v>09/24/2001</v>
          </cell>
        </row>
        <row r="590">
          <cell r="B590" t="str">
            <v>12816</v>
          </cell>
          <cell r="C590" t="str">
            <v>UEC</v>
          </cell>
          <cell r="D590" t="str">
            <v>N</v>
          </cell>
          <cell r="E590" t="str">
            <v>A</v>
          </cell>
          <cell r="F590" t="str">
            <v>06/14/2002</v>
          </cell>
        </row>
        <row r="591">
          <cell r="B591" t="str">
            <v>12819</v>
          </cell>
          <cell r="C591" t="str">
            <v>UEC</v>
          </cell>
          <cell r="D591" t="str">
            <v>N</v>
          </cell>
          <cell r="E591" t="str">
            <v>A</v>
          </cell>
          <cell r="F591" t="str">
            <v>11/13/2001</v>
          </cell>
        </row>
        <row r="592">
          <cell r="B592" t="str">
            <v>12822</v>
          </cell>
          <cell r="C592" t="str">
            <v>UEC</v>
          </cell>
          <cell r="D592" t="str">
            <v>N</v>
          </cell>
          <cell r="E592" t="str">
            <v>C</v>
          </cell>
          <cell r="F592" t="str">
            <v>12/05/2001</v>
          </cell>
        </row>
        <row r="593">
          <cell r="B593" t="str">
            <v>12824</v>
          </cell>
          <cell r="C593" t="str">
            <v>UEC</v>
          </cell>
          <cell r="D593" t="str">
            <v>N</v>
          </cell>
          <cell r="E593" t="str">
            <v>C</v>
          </cell>
          <cell r="F593" t="str">
            <v>04/19/2002</v>
          </cell>
        </row>
        <row r="594">
          <cell r="B594" t="str">
            <v>12826</v>
          </cell>
          <cell r="C594" t="str">
            <v>UEC</v>
          </cell>
          <cell r="D594" t="str">
            <v>N</v>
          </cell>
          <cell r="E594" t="str">
            <v>C</v>
          </cell>
          <cell r="F594" t="str">
            <v>08/15/2002</v>
          </cell>
        </row>
        <row r="595">
          <cell r="B595" t="str">
            <v>12831</v>
          </cell>
          <cell r="C595" t="str">
            <v>UEC</v>
          </cell>
          <cell r="D595" t="str">
            <v>N</v>
          </cell>
          <cell r="E595" t="str">
            <v>C</v>
          </cell>
          <cell r="F595" t="str">
            <v>03/27/2002</v>
          </cell>
        </row>
        <row r="596">
          <cell r="B596" t="str">
            <v>12839</v>
          </cell>
          <cell r="C596" t="str">
            <v>UEC</v>
          </cell>
          <cell r="D596" t="str">
            <v>N</v>
          </cell>
          <cell r="E596" t="str">
            <v>A</v>
          </cell>
          <cell r="F596" t="str">
            <v>12/31/2001</v>
          </cell>
        </row>
        <row r="597">
          <cell r="B597" t="str">
            <v>12846</v>
          </cell>
          <cell r="C597" t="str">
            <v>UEC</v>
          </cell>
          <cell r="D597" t="str">
            <v>N</v>
          </cell>
          <cell r="E597" t="str">
            <v>C</v>
          </cell>
          <cell r="F597" t="str">
            <v>08/07/2002</v>
          </cell>
        </row>
        <row r="598">
          <cell r="B598" t="str">
            <v>12848</v>
          </cell>
          <cell r="C598" t="str">
            <v>UEC</v>
          </cell>
          <cell r="D598" t="str">
            <v>N</v>
          </cell>
          <cell r="E598" t="str">
            <v>A</v>
          </cell>
          <cell r="F598" t="str">
            <v>08/20/2001</v>
          </cell>
        </row>
        <row r="599">
          <cell r="B599" t="str">
            <v>12849</v>
          </cell>
          <cell r="C599" t="str">
            <v>UEC</v>
          </cell>
          <cell r="D599" t="str">
            <v>N</v>
          </cell>
          <cell r="E599" t="str">
            <v>A</v>
          </cell>
          <cell r="F599" t="str">
            <v>08/20/2001</v>
          </cell>
        </row>
        <row r="600">
          <cell r="B600" t="str">
            <v>12853</v>
          </cell>
          <cell r="C600" t="str">
            <v>UEC</v>
          </cell>
          <cell r="D600" t="str">
            <v>N</v>
          </cell>
          <cell r="E600" t="str">
            <v>A</v>
          </cell>
          <cell r="F600" t="str">
            <v>12/07/2001</v>
          </cell>
        </row>
        <row r="601">
          <cell r="B601" t="str">
            <v>12855</v>
          </cell>
          <cell r="C601" t="str">
            <v>UEC</v>
          </cell>
          <cell r="D601" t="str">
            <v>N</v>
          </cell>
          <cell r="E601" t="str">
            <v>C</v>
          </cell>
          <cell r="F601" t="str">
            <v>04/10/2002</v>
          </cell>
        </row>
        <row r="602">
          <cell r="B602" t="str">
            <v>12856</v>
          </cell>
          <cell r="C602" t="str">
            <v>UEC</v>
          </cell>
          <cell r="D602" t="str">
            <v>N</v>
          </cell>
          <cell r="E602" t="str">
            <v>C</v>
          </cell>
          <cell r="F602" t="str">
            <v>10/23/2001</v>
          </cell>
        </row>
        <row r="603">
          <cell r="B603" t="str">
            <v>12857</v>
          </cell>
          <cell r="C603" t="str">
            <v>UEC</v>
          </cell>
          <cell r="D603" t="str">
            <v>N</v>
          </cell>
          <cell r="E603" t="str">
            <v>C</v>
          </cell>
          <cell r="F603" t="str">
            <v>07/23/2002</v>
          </cell>
        </row>
        <row r="604">
          <cell r="B604" t="str">
            <v>12858</v>
          </cell>
          <cell r="C604" t="str">
            <v>UEC</v>
          </cell>
          <cell r="D604" t="str">
            <v>N</v>
          </cell>
          <cell r="E604" t="str">
            <v>C</v>
          </cell>
          <cell r="F604" t="str">
            <v>01/18/2002</v>
          </cell>
        </row>
        <row r="605">
          <cell r="B605" t="str">
            <v>12859</v>
          </cell>
          <cell r="C605" t="str">
            <v>UEC</v>
          </cell>
          <cell r="D605" t="str">
            <v>N</v>
          </cell>
          <cell r="E605" t="str">
            <v>C</v>
          </cell>
          <cell r="F605" t="str">
            <v>07/26/2002</v>
          </cell>
        </row>
        <row r="606">
          <cell r="B606" t="str">
            <v>12860</v>
          </cell>
          <cell r="C606" t="str">
            <v>UEC</v>
          </cell>
          <cell r="D606" t="str">
            <v>N</v>
          </cell>
          <cell r="E606" t="str">
            <v>A</v>
          </cell>
          <cell r="F606" t="str">
            <v>01/24/2002</v>
          </cell>
        </row>
        <row r="607">
          <cell r="B607" t="str">
            <v>12861</v>
          </cell>
          <cell r="C607" t="str">
            <v>UEC</v>
          </cell>
          <cell r="D607" t="str">
            <v>N</v>
          </cell>
          <cell r="E607" t="str">
            <v>A</v>
          </cell>
          <cell r="F607" t="str">
            <v>09/10/2002</v>
          </cell>
        </row>
        <row r="608">
          <cell r="B608" t="str">
            <v>12862</v>
          </cell>
          <cell r="C608" t="str">
            <v>UEC</v>
          </cell>
          <cell r="D608" t="str">
            <v>N</v>
          </cell>
          <cell r="E608" t="str">
            <v>A</v>
          </cell>
          <cell r="F608" t="str">
            <v>09/11/2002</v>
          </cell>
        </row>
        <row r="609">
          <cell r="B609" t="str">
            <v>12863</v>
          </cell>
          <cell r="C609" t="str">
            <v>UEC</v>
          </cell>
          <cell r="D609" t="str">
            <v>N</v>
          </cell>
          <cell r="E609" t="str">
            <v>C</v>
          </cell>
          <cell r="F609" t="str">
            <v>01/24/2002</v>
          </cell>
        </row>
        <row r="610">
          <cell r="B610" t="str">
            <v>12864</v>
          </cell>
          <cell r="C610" t="str">
            <v>UEC</v>
          </cell>
          <cell r="D610" t="str">
            <v>N</v>
          </cell>
          <cell r="E610" t="str">
            <v>A</v>
          </cell>
          <cell r="F610" t="str">
            <v>02/19/2003</v>
          </cell>
        </row>
        <row r="611">
          <cell r="B611" t="str">
            <v>12865</v>
          </cell>
          <cell r="C611" t="str">
            <v>UEC</v>
          </cell>
          <cell r="D611" t="str">
            <v>N</v>
          </cell>
          <cell r="E611" t="str">
            <v>A</v>
          </cell>
          <cell r="F611" t="str">
            <v>06/05/2003</v>
          </cell>
        </row>
        <row r="612">
          <cell r="B612" t="str">
            <v>12871</v>
          </cell>
          <cell r="C612" t="str">
            <v>UEC</v>
          </cell>
          <cell r="D612" t="str">
            <v>N</v>
          </cell>
          <cell r="E612" t="str">
            <v>C</v>
          </cell>
          <cell r="F612" t="str">
            <v>04/16/2002</v>
          </cell>
        </row>
        <row r="613">
          <cell r="B613" t="str">
            <v>12878</v>
          </cell>
          <cell r="C613" t="str">
            <v>CIP</v>
          </cell>
          <cell r="D613" t="str">
            <v>N</v>
          </cell>
          <cell r="E613" t="str">
            <v>A</v>
          </cell>
          <cell r="F613" t="str">
            <v>09/11/2003</v>
          </cell>
        </row>
        <row r="614">
          <cell r="B614" t="str">
            <v>12881</v>
          </cell>
          <cell r="C614" t="str">
            <v>UEC</v>
          </cell>
          <cell r="D614" t="str">
            <v>N</v>
          </cell>
          <cell r="E614" t="str">
            <v>C</v>
          </cell>
          <cell r="F614" t="str">
            <v>08/24/2001</v>
          </cell>
        </row>
        <row r="615">
          <cell r="B615" t="str">
            <v>12884</v>
          </cell>
          <cell r="C615" t="str">
            <v>UEC</v>
          </cell>
          <cell r="D615" t="str">
            <v>N</v>
          </cell>
          <cell r="E615" t="str">
            <v>C</v>
          </cell>
          <cell r="F615" t="str">
            <v>02/05/2002</v>
          </cell>
        </row>
        <row r="616">
          <cell r="B616" t="str">
            <v>12891</v>
          </cell>
          <cell r="C616" t="str">
            <v>UEC</v>
          </cell>
          <cell r="D616" t="str">
            <v>N</v>
          </cell>
          <cell r="E616" t="str">
            <v>A</v>
          </cell>
          <cell r="F616" t="str">
            <v>06/06/2002</v>
          </cell>
        </row>
        <row r="617">
          <cell r="B617" t="str">
            <v>12892</v>
          </cell>
          <cell r="C617" t="str">
            <v>UEC</v>
          </cell>
          <cell r="D617" t="str">
            <v>N</v>
          </cell>
          <cell r="E617" t="str">
            <v>C</v>
          </cell>
          <cell r="F617" t="str">
            <v>01/02/2002</v>
          </cell>
        </row>
        <row r="618">
          <cell r="B618" t="str">
            <v>12893</v>
          </cell>
          <cell r="C618" t="str">
            <v>UEC</v>
          </cell>
          <cell r="D618" t="str">
            <v>N</v>
          </cell>
          <cell r="E618" t="str">
            <v>A</v>
          </cell>
          <cell r="F618" t="str">
            <v>06/13/2002</v>
          </cell>
        </row>
        <row r="619">
          <cell r="B619" t="str">
            <v>12895</v>
          </cell>
          <cell r="C619" t="str">
            <v>UEC</v>
          </cell>
          <cell r="D619" t="str">
            <v>N</v>
          </cell>
          <cell r="E619" t="str">
            <v>A</v>
          </cell>
          <cell r="F619" t="str">
            <v>06/13/2002</v>
          </cell>
        </row>
        <row r="620">
          <cell r="B620" t="str">
            <v>12896</v>
          </cell>
          <cell r="C620" t="str">
            <v>UEC</v>
          </cell>
          <cell r="D620" t="str">
            <v>N</v>
          </cell>
          <cell r="E620" t="str">
            <v>A</v>
          </cell>
          <cell r="F620" t="str">
            <v>06/13/2002</v>
          </cell>
        </row>
        <row r="621">
          <cell r="B621" t="str">
            <v>12900</v>
          </cell>
          <cell r="C621" t="str">
            <v>UEC</v>
          </cell>
          <cell r="D621" t="str">
            <v>N</v>
          </cell>
          <cell r="E621" t="str">
            <v>A</v>
          </cell>
          <cell r="F621" t="str">
            <v>01/31/2002</v>
          </cell>
        </row>
        <row r="622">
          <cell r="B622" t="str">
            <v>12905</v>
          </cell>
          <cell r="C622" t="str">
            <v>UEC</v>
          </cell>
          <cell r="D622" t="str">
            <v>N</v>
          </cell>
          <cell r="E622" t="str">
            <v>A</v>
          </cell>
          <cell r="F622" t="str">
            <v>09/22/2003</v>
          </cell>
        </row>
        <row r="623">
          <cell r="B623" t="str">
            <v>12909</v>
          </cell>
          <cell r="C623" t="str">
            <v>UEC</v>
          </cell>
          <cell r="D623" t="str">
            <v>N</v>
          </cell>
          <cell r="E623" t="str">
            <v>C</v>
          </cell>
          <cell r="F623" t="str">
            <v>02/21/2002</v>
          </cell>
        </row>
        <row r="624">
          <cell r="B624" t="str">
            <v>12917</v>
          </cell>
          <cell r="C624" t="str">
            <v>UEC</v>
          </cell>
          <cell r="D624" t="str">
            <v>N</v>
          </cell>
          <cell r="E624" t="str">
            <v>A</v>
          </cell>
          <cell r="F624" t="str">
            <v>03/31/2003</v>
          </cell>
        </row>
        <row r="625">
          <cell r="B625" t="str">
            <v>12932</v>
          </cell>
          <cell r="C625" t="str">
            <v>UEC</v>
          </cell>
          <cell r="D625" t="str">
            <v>N</v>
          </cell>
          <cell r="E625" t="str">
            <v>A</v>
          </cell>
          <cell r="F625" t="str">
            <v>05/29/2003</v>
          </cell>
        </row>
        <row r="626">
          <cell r="B626" t="str">
            <v>12942</v>
          </cell>
          <cell r="C626" t="str">
            <v>UEC</v>
          </cell>
          <cell r="D626" t="str">
            <v>N</v>
          </cell>
          <cell r="E626" t="str">
            <v>A</v>
          </cell>
          <cell r="F626" t="str">
            <v>05/01/2002</v>
          </cell>
        </row>
        <row r="627">
          <cell r="B627" t="str">
            <v>12947</v>
          </cell>
          <cell r="C627" t="str">
            <v>UEC</v>
          </cell>
          <cell r="D627" t="str">
            <v>N</v>
          </cell>
          <cell r="E627" t="str">
            <v>A</v>
          </cell>
          <cell r="F627" t="str">
            <v>09/16/2002</v>
          </cell>
        </row>
        <row r="628">
          <cell r="B628" t="str">
            <v>12948</v>
          </cell>
          <cell r="C628" t="str">
            <v>UEC</v>
          </cell>
          <cell r="D628" t="str">
            <v>N</v>
          </cell>
          <cell r="E628" t="str">
            <v>A</v>
          </cell>
          <cell r="F628" t="str">
            <v>12/20/2001</v>
          </cell>
        </row>
        <row r="629">
          <cell r="B629" t="str">
            <v>12949</v>
          </cell>
          <cell r="C629" t="str">
            <v>UEC</v>
          </cell>
          <cell r="D629" t="str">
            <v>N</v>
          </cell>
          <cell r="E629" t="str">
            <v>C</v>
          </cell>
          <cell r="F629" t="str">
            <v>09/16/2002</v>
          </cell>
        </row>
        <row r="630">
          <cell r="B630" t="str">
            <v>12950</v>
          </cell>
          <cell r="C630" t="str">
            <v>UEC</v>
          </cell>
          <cell r="D630" t="str">
            <v>N</v>
          </cell>
          <cell r="E630" t="str">
            <v>A</v>
          </cell>
          <cell r="F630" t="str">
            <v>04/09/2002</v>
          </cell>
        </row>
        <row r="631">
          <cell r="B631" t="str">
            <v>12952</v>
          </cell>
          <cell r="C631" t="str">
            <v>UEC</v>
          </cell>
          <cell r="D631" t="str">
            <v>N</v>
          </cell>
          <cell r="E631" t="str">
            <v>A</v>
          </cell>
          <cell r="F631" t="str">
            <v>08/13/2002</v>
          </cell>
        </row>
        <row r="632">
          <cell r="B632" t="str">
            <v>12954</v>
          </cell>
          <cell r="C632" t="str">
            <v>UEC</v>
          </cell>
          <cell r="D632" t="str">
            <v>N</v>
          </cell>
          <cell r="E632" t="str">
            <v>A</v>
          </cell>
          <cell r="F632" t="str">
            <v>02/26/2002</v>
          </cell>
        </row>
        <row r="633">
          <cell r="B633" t="str">
            <v>12955</v>
          </cell>
          <cell r="C633" t="str">
            <v>UEC</v>
          </cell>
          <cell r="D633" t="str">
            <v>N</v>
          </cell>
          <cell r="E633" t="str">
            <v>A</v>
          </cell>
          <cell r="F633" t="str">
            <v>09/30/2003</v>
          </cell>
        </row>
        <row r="634">
          <cell r="B634" t="str">
            <v>12964</v>
          </cell>
          <cell r="C634" t="str">
            <v>UEC</v>
          </cell>
          <cell r="D634" t="str">
            <v>N</v>
          </cell>
          <cell r="E634" t="str">
            <v>A</v>
          </cell>
          <cell r="F634" t="str">
            <v>12/27/2001</v>
          </cell>
        </row>
        <row r="635">
          <cell r="B635" t="str">
            <v>12973</v>
          </cell>
          <cell r="C635" t="str">
            <v>UEC</v>
          </cell>
          <cell r="D635" t="str">
            <v>N</v>
          </cell>
          <cell r="E635" t="str">
            <v>A</v>
          </cell>
          <cell r="F635" t="str">
            <v>01/15/2004</v>
          </cell>
        </row>
        <row r="636">
          <cell r="B636" t="str">
            <v>12976</v>
          </cell>
          <cell r="C636" t="str">
            <v>UEC</v>
          </cell>
          <cell r="D636" t="str">
            <v>N</v>
          </cell>
          <cell r="E636" t="str">
            <v>A</v>
          </cell>
          <cell r="F636" t="str">
            <v>02/06/2003</v>
          </cell>
        </row>
        <row r="637">
          <cell r="B637" t="str">
            <v>12977</v>
          </cell>
          <cell r="C637" t="str">
            <v>UEC</v>
          </cell>
          <cell r="D637" t="str">
            <v>N</v>
          </cell>
          <cell r="E637" t="str">
            <v>A</v>
          </cell>
          <cell r="F637" t="str">
            <v>01/23/2003</v>
          </cell>
        </row>
        <row r="638">
          <cell r="B638" t="str">
            <v>12988</v>
          </cell>
          <cell r="C638" t="str">
            <v>UEC</v>
          </cell>
          <cell r="D638" t="str">
            <v>N</v>
          </cell>
          <cell r="E638" t="str">
            <v>A</v>
          </cell>
          <cell r="F638" t="str">
            <v>06/13/2002</v>
          </cell>
        </row>
        <row r="639">
          <cell r="B639" t="str">
            <v>12989</v>
          </cell>
          <cell r="C639" t="str">
            <v>UEC</v>
          </cell>
          <cell r="D639" t="str">
            <v>N</v>
          </cell>
          <cell r="E639" t="str">
            <v>A</v>
          </cell>
          <cell r="F639" t="str">
            <v>11/26/2001</v>
          </cell>
        </row>
        <row r="640">
          <cell r="B640" t="str">
            <v>12990</v>
          </cell>
          <cell r="C640" t="str">
            <v>UEC</v>
          </cell>
          <cell r="D640" t="str">
            <v>N</v>
          </cell>
          <cell r="E640" t="str">
            <v>A</v>
          </cell>
          <cell r="F640" t="str">
            <v>05/09/2003</v>
          </cell>
        </row>
        <row r="641">
          <cell r="B641" t="str">
            <v>13040</v>
          </cell>
          <cell r="C641" t="str">
            <v>UEC</v>
          </cell>
          <cell r="D641" t="str">
            <v>N</v>
          </cell>
          <cell r="E641" t="str">
            <v>A</v>
          </cell>
          <cell r="F641" t="str">
            <v>01/14/2002</v>
          </cell>
        </row>
        <row r="642">
          <cell r="B642" t="str">
            <v>13041</v>
          </cell>
          <cell r="C642" t="str">
            <v>UEC</v>
          </cell>
          <cell r="D642" t="str">
            <v>N</v>
          </cell>
          <cell r="E642" t="str">
            <v>A</v>
          </cell>
          <cell r="F642" t="str">
            <v>12/27/2001</v>
          </cell>
        </row>
        <row r="643">
          <cell r="B643" t="str">
            <v>13100</v>
          </cell>
          <cell r="C643" t="str">
            <v>ADC</v>
          </cell>
          <cell r="D643" t="str">
            <v>N</v>
          </cell>
          <cell r="E643" t="str">
            <v>A</v>
          </cell>
          <cell r="F643" t="str">
            <v>11/23/2001</v>
          </cell>
        </row>
        <row r="644">
          <cell r="B644" t="str">
            <v>13101</v>
          </cell>
          <cell r="C644" t="str">
            <v>UEC</v>
          </cell>
          <cell r="D644" t="str">
            <v>N</v>
          </cell>
          <cell r="E644" t="str">
            <v>A</v>
          </cell>
          <cell r="F644" t="str">
            <v>09/21/2001</v>
          </cell>
        </row>
        <row r="645">
          <cell r="B645" t="str">
            <v>13102</v>
          </cell>
          <cell r="C645" t="str">
            <v>UEC</v>
          </cell>
          <cell r="D645" t="str">
            <v>N</v>
          </cell>
          <cell r="E645" t="str">
            <v>A</v>
          </cell>
          <cell r="F645" t="str">
            <v>09/21/2001</v>
          </cell>
        </row>
        <row r="646">
          <cell r="B646" t="str">
            <v>13106</v>
          </cell>
          <cell r="C646" t="str">
            <v>CIP</v>
          </cell>
          <cell r="D646" t="str">
            <v>N</v>
          </cell>
          <cell r="E646" t="str">
            <v>C</v>
          </cell>
          <cell r="F646" t="str">
            <v>09/26/2001</v>
          </cell>
        </row>
        <row r="647">
          <cell r="B647" t="str">
            <v>13107</v>
          </cell>
          <cell r="C647" t="str">
            <v>UEC</v>
          </cell>
          <cell r="D647" t="str">
            <v>N</v>
          </cell>
          <cell r="E647" t="str">
            <v>C</v>
          </cell>
          <cell r="F647" t="str">
            <v>09/27/2001</v>
          </cell>
        </row>
        <row r="648">
          <cell r="B648" t="str">
            <v>13108</v>
          </cell>
          <cell r="C648" t="str">
            <v>UEC</v>
          </cell>
          <cell r="D648" t="str">
            <v>N</v>
          </cell>
          <cell r="E648" t="str">
            <v>C</v>
          </cell>
          <cell r="F648" t="str">
            <v>09/28/2001</v>
          </cell>
        </row>
        <row r="649">
          <cell r="B649" t="str">
            <v>13119</v>
          </cell>
          <cell r="C649" t="str">
            <v>UEC</v>
          </cell>
          <cell r="D649" t="str">
            <v>N</v>
          </cell>
          <cell r="E649" t="str">
            <v>C</v>
          </cell>
          <cell r="F649" t="str">
            <v>06/24/2002</v>
          </cell>
        </row>
        <row r="650">
          <cell r="B650" t="str">
            <v>13125</v>
          </cell>
          <cell r="C650" t="str">
            <v>UEC</v>
          </cell>
          <cell r="D650" t="str">
            <v>N</v>
          </cell>
          <cell r="E650" t="str">
            <v>A</v>
          </cell>
          <cell r="F650" t="str">
            <v>10/17/2001</v>
          </cell>
        </row>
        <row r="651">
          <cell r="B651" t="str">
            <v>13139</v>
          </cell>
          <cell r="C651" t="str">
            <v>CIP</v>
          </cell>
          <cell r="D651" t="str">
            <v>N</v>
          </cell>
          <cell r="E651" t="str">
            <v>A</v>
          </cell>
          <cell r="F651" t="str">
            <v>10/30/2001</v>
          </cell>
        </row>
        <row r="652">
          <cell r="B652" t="str">
            <v>13142</v>
          </cell>
          <cell r="C652" t="str">
            <v>UEC</v>
          </cell>
          <cell r="D652" t="str">
            <v>N</v>
          </cell>
          <cell r="E652" t="str">
            <v>C</v>
          </cell>
          <cell r="F652" t="str">
            <v>12/12/2001</v>
          </cell>
        </row>
        <row r="653">
          <cell r="B653" t="str">
            <v>13154</v>
          </cell>
          <cell r="C653" t="str">
            <v>UEC</v>
          </cell>
          <cell r="D653" t="str">
            <v>N</v>
          </cell>
          <cell r="E653" t="str">
            <v>A</v>
          </cell>
          <cell r="F653" t="str">
            <v>11/16/2001</v>
          </cell>
        </row>
        <row r="654">
          <cell r="B654" t="str">
            <v>13155</v>
          </cell>
          <cell r="C654" t="str">
            <v>UEC</v>
          </cell>
          <cell r="D654" t="str">
            <v>N</v>
          </cell>
          <cell r="E654" t="str">
            <v>A</v>
          </cell>
          <cell r="F654" t="str">
            <v>11/16/2001</v>
          </cell>
        </row>
        <row r="655">
          <cell r="B655" t="str">
            <v>13158</v>
          </cell>
          <cell r="C655" t="str">
            <v>UEC</v>
          </cell>
          <cell r="D655" t="str">
            <v>N</v>
          </cell>
          <cell r="E655" t="str">
            <v>C</v>
          </cell>
          <cell r="F655" t="str">
            <v>01/25/2002</v>
          </cell>
        </row>
        <row r="656">
          <cell r="B656" t="str">
            <v>13174</v>
          </cell>
          <cell r="C656" t="str">
            <v>UEC</v>
          </cell>
          <cell r="D656" t="str">
            <v>N</v>
          </cell>
          <cell r="E656" t="str">
            <v>A</v>
          </cell>
          <cell r="F656" t="str">
            <v>04/01/2003</v>
          </cell>
        </row>
        <row r="657">
          <cell r="B657" t="str">
            <v>13180</v>
          </cell>
          <cell r="C657" t="str">
            <v>UEC</v>
          </cell>
          <cell r="D657" t="str">
            <v>N</v>
          </cell>
          <cell r="E657" t="str">
            <v>A</v>
          </cell>
          <cell r="F657" t="str">
            <v>12/04/2001</v>
          </cell>
        </row>
        <row r="658">
          <cell r="B658" t="str">
            <v>13188</v>
          </cell>
          <cell r="C658" t="str">
            <v>UEC</v>
          </cell>
          <cell r="D658" t="str">
            <v>N</v>
          </cell>
          <cell r="E658" t="str">
            <v>C</v>
          </cell>
          <cell r="F658" t="str">
            <v>01/17/2002</v>
          </cell>
        </row>
        <row r="659">
          <cell r="B659" t="str">
            <v>13196</v>
          </cell>
          <cell r="C659" t="str">
            <v>CIP</v>
          </cell>
          <cell r="D659" t="str">
            <v>N</v>
          </cell>
          <cell r="E659" t="str">
            <v>A</v>
          </cell>
          <cell r="F659" t="str">
            <v>12/20/2001</v>
          </cell>
        </row>
        <row r="660">
          <cell r="B660" t="str">
            <v>13199</v>
          </cell>
          <cell r="C660" t="str">
            <v>AMC</v>
          </cell>
          <cell r="D660" t="str">
            <v>N</v>
          </cell>
          <cell r="E660" t="str">
            <v>C</v>
          </cell>
          <cell r="F660" t="str">
            <v>02/12/2002</v>
          </cell>
        </row>
        <row r="661">
          <cell r="B661" t="str">
            <v>13200</v>
          </cell>
          <cell r="C661" t="str">
            <v>AMC</v>
          </cell>
          <cell r="D661" t="str">
            <v>N</v>
          </cell>
          <cell r="E661" t="str">
            <v>C</v>
          </cell>
          <cell r="F661" t="str">
            <v>02/12/2002</v>
          </cell>
        </row>
        <row r="662">
          <cell r="B662" t="str">
            <v>13205</v>
          </cell>
          <cell r="C662" t="str">
            <v>UEC</v>
          </cell>
          <cell r="D662" t="str">
            <v>N</v>
          </cell>
          <cell r="E662" t="str">
            <v>C</v>
          </cell>
          <cell r="F662" t="str">
            <v>04/18/2002</v>
          </cell>
        </row>
        <row r="663">
          <cell r="B663" t="str">
            <v>13206</v>
          </cell>
          <cell r="C663" t="str">
            <v>UEC</v>
          </cell>
          <cell r="D663" t="str">
            <v>N</v>
          </cell>
          <cell r="E663" t="str">
            <v>C</v>
          </cell>
          <cell r="F663" t="str">
            <v>04/18/2002</v>
          </cell>
        </row>
        <row r="664">
          <cell r="B664" t="str">
            <v>13207</v>
          </cell>
          <cell r="C664" t="str">
            <v>UEC</v>
          </cell>
          <cell r="D664" t="str">
            <v>N</v>
          </cell>
          <cell r="E664" t="str">
            <v>C</v>
          </cell>
          <cell r="F664" t="str">
            <v>03/06/2003</v>
          </cell>
        </row>
        <row r="665">
          <cell r="B665" t="str">
            <v>13208</v>
          </cell>
          <cell r="C665" t="str">
            <v>UEC</v>
          </cell>
          <cell r="D665" t="str">
            <v>N</v>
          </cell>
          <cell r="E665" t="str">
            <v>C</v>
          </cell>
          <cell r="F665" t="str">
            <v>03/06/2003</v>
          </cell>
        </row>
        <row r="666">
          <cell r="B666" t="str">
            <v>13213</v>
          </cell>
          <cell r="C666" t="str">
            <v>UEC</v>
          </cell>
          <cell r="D666" t="str">
            <v>N</v>
          </cell>
          <cell r="E666" t="str">
            <v>C</v>
          </cell>
          <cell r="F666" t="str">
            <v>01/14/2002</v>
          </cell>
        </row>
        <row r="667">
          <cell r="B667" t="str">
            <v>13217</v>
          </cell>
          <cell r="C667" t="str">
            <v>UEC</v>
          </cell>
          <cell r="D667" t="str">
            <v>N</v>
          </cell>
          <cell r="E667" t="str">
            <v>C</v>
          </cell>
          <cell r="F667" t="str">
            <v>01/16/2002</v>
          </cell>
        </row>
        <row r="668">
          <cell r="B668" t="str">
            <v>13218</v>
          </cell>
          <cell r="C668" t="str">
            <v>UEC</v>
          </cell>
          <cell r="D668" t="str">
            <v>N</v>
          </cell>
          <cell r="E668" t="str">
            <v>C</v>
          </cell>
          <cell r="F668" t="str">
            <v>01/16/2002</v>
          </cell>
        </row>
        <row r="669">
          <cell r="B669" t="str">
            <v>13219</v>
          </cell>
          <cell r="C669" t="str">
            <v>UEC</v>
          </cell>
          <cell r="D669" t="str">
            <v>N</v>
          </cell>
          <cell r="E669" t="str">
            <v>C</v>
          </cell>
          <cell r="F669" t="str">
            <v>01/16/2002</v>
          </cell>
        </row>
        <row r="670">
          <cell r="B670" t="str">
            <v>13225</v>
          </cell>
          <cell r="C670" t="str">
            <v>UEC</v>
          </cell>
          <cell r="D670" t="str">
            <v>N</v>
          </cell>
          <cell r="E670" t="str">
            <v>C</v>
          </cell>
          <cell r="F670" t="str">
            <v>01/08/2003</v>
          </cell>
        </row>
        <row r="671">
          <cell r="B671" t="str">
            <v>13227</v>
          </cell>
          <cell r="C671" t="str">
            <v>UEC</v>
          </cell>
          <cell r="D671" t="str">
            <v>N</v>
          </cell>
          <cell r="E671" t="str">
            <v>C</v>
          </cell>
          <cell r="F671" t="str">
            <v>01/30/2002</v>
          </cell>
        </row>
        <row r="672">
          <cell r="B672" t="str">
            <v>13228</v>
          </cell>
          <cell r="C672" t="str">
            <v>UEC</v>
          </cell>
          <cell r="D672" t="str">
            <v>N</v>
          </cell>
          <cell r="E672" t="str">
            <v>C</v>
          </cell>
          <cell r="F672" t="str">
            <v>02/01/2002</v>
          </cell>
        </row>
        <row r="673">
          <cell r="B673" t="str">
            <v>13232</v>
          </cell>
          <cell r="C673" t="str">
            <v>CIP</v>
          </cell>
          <cell r="D673" t="str">
            <v>N</v>
          </cell>
          <cell r="E673" t="str">
            <v>C</v>
          </cell>
          <cell r="F673" t="str">
            <v>02/05/2002</v>
          </cell>
        </row>
        <row r="674">
          <cell r="B674" t="str">
            <v>13238</v>
          </cell>
          <cell r="C674" t="str">
            <v>UEC</v>
          </cell>
          <cell r="D674" t="str">
            <v>N</v>
          </cell>
          <cell r="E674" t="str">
            <v>A</v>
          </cell>
          <cell r="F674" t="str">
            <v>02/15/2002</v>
          </cell>
        </row>
        <row r="675">
          <cell r="B675" t="str">
            <v>13239</v>
          </cell>
          <cell r="C675" t="str">
            <v>UEC</v>
          </cell>
          <cell r="D675" t="str">
            <v>N</v>
          </cell>
          <cell r="E675" t="str">
            <v>C</v>
          </cell>
          <cell r="F675" t="str">
            <v>02/15/2002</v>
          </cell>
        </row>
        <row r="676">
          <cell r="B676" t="str">
            <v>13241</v>
          </cell>
          <cell r="C676" t="str">
            <v>UEC</v>
          </cell>
          <cell r="D676" t="str">
            <v>N</v>
          </cell>
          <cell r="E676" t="str">
            <v>A</v>
          </cell>
          <cell r="F676" t="str">
            <v>02/14/2002</v>
          </cell>
        </row>
        <row r="677">
          <cell r="B677" t="str">
            <v>13242</v>
          </cell>
          <cell r="C677" t="str">
            <v>UEC</v>
          </cell>
          <cell r="D677" t="str">
            <v>N</v>
          </cell>
          <cell r="E677" t="str">
            <v>A</v>
          </cell>
          <cell r="F677" t="str">
            <v>02/14/2002</v>
          </cell>
        </row>
        <row r="678">
          <cell r="B678" t="str">
            <v>13243</v>
          </cell>
          <cell r="C678" t="str">
            <v>UEC</v>
          </cell>
          <cell r="D678" t="str">
            <v>N</v>
          </cell>
          <cell r="E678" t="str">
            <v>I</v>
          </cell>
          <cell r="F678" t="str">
            <v>02/14/2002</v>
          </cell>
        </row>
        <row r="679">
          <cell r="B679" t="str">
            <v>13243</v>
          </cell>
          <cell r="C679" t="str">
            <v>UEC</v>
          </cell>
          <cell r="D679" t="str">
            <v>N</v>
          </cell>
          <cell r="E679" t="str">
            <v>I</v>
          </cell>
          <cell r="F679" t="str">
            <v>02/14/2002</v>
          </cell>
        </row>
        <row r="680">
          <cell r="B680" t="str">
            <v>13246</v>
          </cell>
          <cell r="C680" t="str">
            <v>UEC</v>
          </cell>
          <cell r="D680" t="str">
            <v>N</v>
          </cell>
          <cell r="E680" t="str">
            <v>C</v>
          </cell>
          <cell r="F680" t="str">
            <v>02/25/2002</v>
          </cell>
        </row>
        <row r="681">
          <cell r="B681" t="str">
            <v>13249</v>
          </cell>
          <cell r="C681" t="str">
            <v>UEC</v>
          </cell>
          <cell r="D681" t="str">
            <v>N</v>
          </cell>
          <cell r="E681" t="str">
            <v>A</v>
          </cell>
          <cell r="F681" t="str">
            <v>02/26/2002</v>
          </cell>
        </row>
        <row r="682">
          <cell r="B682" t="str">
            <v>13251</v>
          </cell>
          <cell r="C682" t="str">
            <v>GEN</v>
          </cell>
          <cell r="D682" t="str">
            <v>N</v>
          </cell>
          <cell r="E682" t="str">
            <v>I</v>
          </cell>
          <cell r="F682" t="str">
            <v>02/27/2002</v>
          </cell>
        </row>
        <row r="683">
          <cell r="B683" t="str">
            <v>13259</v>
          </cell>
          <cell r="C683" t="str">
            <v>UEC</v>
          </cell>
          <cell r="D683" t="str">
            <v>N</v>
          </cell>
          <cell r="E683" t="str">
            <v>C</v>
          </cell>
          <cell r="F683" t="str">
            <v>03/06/2002</v>
          </cell>
        </row>
        <row r="684">
          <cell r="B684" t="str">
            <v>13262</v>
          </cell>
          <cell r="C684" t="str">
            <v>UEC</v>
          </cell>
          <cell r="D684" t="str">
            <v>N</v>
          </cell>
          <cell r="E684" t="str">
            <v>A</v>
          </cell>
          <cell r="F684" t="str">
            <v>03/08/2002</v>
          </cell>
        </row>
        <row r="685">
          <cell r="B685" t="str">
            <v>13264</v>
          </cell>
          <cell r="C685" t="str">
            <v>UEC</v>
          </cell>
          <cell r="D685" t="str">
            <v>N</v>
          </cell>
          <cell r="E685" t="str">
            <v>C</v>
          </cell>
          <cell r="F685" t="str">
            <v>06/12/2002</v>
          </cell>
        </row>
        <row r="686">
          <cell r="B686" t="str">
            <v>13265</v>
          </cell>
          <cell r="C686" t="str">
            <v>UEC</v>
          </cell>
          <cell r="D686" t="str">
            <v>N</v>
          </cell>
          <cell r="E686" t="str">
            <v>C</v>
          </cell>
          <cell r="F686" t="str">
            <v>03/14/2002</v>
          </cell>
        </row>
        <row r="687">
          <cell r="B687" t="str">
            <v>13267</v>
          </cell>
          <cell r="C687" t="str">
            <v>UEC</v>
          </cell>
          <cell r="D687" t="str">
            <v>N</v>
          </cell>
          <cell r="E687" t="str">
            <v>C</v>
          </cell>
          <cell r="F687" t="str">
            <v>03/19/2002</v>
          </cell>
        </row>
        <row r="688">
          <cell r="B688" t="str">
            <v>13268</v>
          </cell>
          <cell r="C688" t="str">
            <v>UEC</v>
          </cell>
          <cell r="D688" t="str">
            <v>N</v>
          </cell>
          <cell r="E688" t="str">
            <v>C</v>
          </cell>
          <cell r="F688" t="str">
            <v>03/20/2002</v>
          </cell>
        </row>
        <row r="689">
          <cell r="B689" t="str">
            <v>13269</v>
          </cell>
          <cell r="C689" t="str">
            <v>UEC</v>
          </cell>
          <cell r="D689" t="str">
            <v>N</v>
          </cell>
          <cell r="E689" t="str">
            <v>C</v>
          </cell>
          <cell r="F689" t="str">
            <v>03/21/2002</v>
          </cell>
        </row>
        <row r="690">
          <cell r="B690" t="str">
            <v>13270</v>
          </cell>
          <cell r="C690" t="str">
            <v>UEC</v>
          </cell>
          <cell r="D690" t="str">
            <v>N</v>
          </cell>
          <cell r="E690" t="str">
            <v>A</v>
          </cell>
          <cell r="F690" t="str">
            <v>03/21/2002</v>
          </cell>
        </row>
        <row r="691">
          <cell r="B691" t="str">
            <v>13271</v>
          </cell>
          <cell r="C691" t="str">
            <v>UEC</v>
          </cell>
          <cell r="D691" t="str">
            <v>N</v>
          </cell>
          <cell r="E691" t="str">
            <v>C</v>
          </cell>
          <cell r="F691" t="str">
            <v>03/20/2002</v>
          </cell>
        </row>
        <row r="692">
          <cell r="B692" t="str">
            <v>13274</v>
          </cell>
          <cell r="C692" t="str">
            <v>UEC</v>
          </cell>
          <cell r="D692" t="str">
            <v>N</v>
          </cell>
          <cell r="E692" t="str">
            <v>I</v>
          </cell>
          <cell r="F692" t="str">
            <v>03/22/2002</v>
          </cell>
        </row>
        <row r="693">
          <cell r="B693" t="str">
            <v>13281</v>
          </cell>
          <cell r="C693" t="str">
            <v>GEN</v>
          </cell>
          <cell r="D693" t="str">
            <v>N</v>
          </cell>
          <cell r="E693" t="str">
            <v>C</v>
          </cell>
          <cell r="F693" t="str">
            <v>04/01/2002</v>
          </cell>
        </row>
        <row r="694">
          <cell r="B694" t="str">
            <v>13285</v>
          </cell>
          <cell r="C694" t="str">
            <v>UEC</v>
          </cell>
          <cell r="D694" t="str">
            <v>N</v>
          </cell>
          <cell r="E694" t="str">
            <v>C</v>
          </cell>
          <cell r="F694" t="str">
            <v>07/29/2002</v>
          </cell>
        </row>
        <row r="695">
          <cell r="B695" t="str">
            <v>13287</v>
          </cell>
          <cell r="C695" t="str">
            <v>UEC</v>
          </cell>
          <cell r="D695" t="str">
            <v>N</v>
          </cell>
          <cell r="E695" t="str">
            <v>C</v>
          </cell>
          <cell r="F695" t="str">
            <v>04/05/2002</v>
          </cell>
        </row>
        <row r="696">
          <cell r="B696" t="str">
            <v>13294</v>
          </cell>
          <cell r="C696" t="str">
            <v>UEC</v>
          </cell>
          <cell r="D696" t="str">
            <v>N</v>
          </cell>
          <cell r="E696" t="str">
            <v>C</v>
          </cell>
          <cell r="F696" t="str">
            <v>06/12/2002</v>
          </cell>
        </row>
        <row r="697">
          <cell r="B697" t="str">
            <v>13295</v>
          </cell>
          <cell r="C697" t="str">
            <v>UEC</v>
          </cell>
          <cell r="D697" t="str">
            <v>N</v>
          </cell>
          <cell r="E697" t="str">
            <v>C</v>
          </cell>
          <cell r="F697" t="str">
            <v>04/18/2002</v>
          </cell>
        </row>
        <row r="698">
          <cell r="B698" t="str">
            <v>13296</v>
          </cell>
          <cell r="C698" t="str">
            <v>UEC</v>
          </cell>
          <cell r="D698" t="str">
            <v>N</v>
          </cell>
          <cell r="E698" t="str">
            <v>C</v>
          </cell>
          <cell r="F698" t="str">
            <v>04/18/2002</v>
          </cell>
        </row>
        <row r="699">
          <cell r="B699" t="str">
            <v>13301</v>
          </cell>
          <cell r="C699" t="str">
            <v>UEC</v>
          </cell>
          <cell r="D699" t="str">
            <v>N</v>
          </cell>
          <cell r="E699" t="str">
            <v>I</v>
          </cell>
          <cell r="F699" t="str">
            <v>04/24/2002</v>
          </cell>
        </row>
        <row r="700">
          <cell r="B700" t="str">
            <v>13302</v>
          </cell>
          <cell r="C700" t="str">
            <v>UEC</v>
          </cell>
          <cell r="D700" t="str">
            <v>N</v>
          </cell>
          <cell r="E700" t="str">
            <v>C</v>
          </cell>
          <cell r="F700" t="str">
            <v>04/19/2002</v>
          </cell>
        </row>
        <row r="701">
          <cell r="B701" t="str">
            <v>13303</v>
          </cell>
          <cell r="C701" t="str">
            <v>UEC</v>
          </cell>
          <cell r="D701" t="str">
            <v>N</v>
          </cell>
          <cell r="E701" t="str">
            <v>C</v>
          </cell>
          <cell r="F701" t="str">
            <v>04/19/2002</v>
          </cell>
        </row>
        <row r="702">
          <cell r="B702" t="str">
            <v>13304</v>
          </cell>
          <cell r="C702" t="str">
            <v>UEC</v>
          </cell>
          <cell r="D702" t="str">
            <v>N</v>
          </cell>
          <cell r="E702" t="str">
            <v>C</v>
          </cell>
          <cell r="F702" t="str">
            <v>04/19/2002</v>
          </cell>
        </row>
        <row r="703">
          <cell r="B703" t="str">
            <v>13310</v>
          </cell>
          <cell r="C703" t="str">
            <v>UEC</v>
          </cell>
          <cell r="D703" t="str">
            <v>N</v>
          </cell>
          <cell r="E703" t="str">
            <v>A</v>
          </cell>
          <cell r="F703" t="str">
            <v>09/10/2002</v>
          </cell>
        </row>
        <row r="704">
          <cell r="B704" t="str">
            <v>13312</v>
          </cell>
          <cell r="C704" t="str">
            <v>UEC</v>
          </cell>
          <cell r="D704" t="str">
            <v>N</v>
          </cell>
          <cell r="E704" t="str">
            <v>C</v>
          </cell>
          <cell r="F704" t="str">
            <v>05/02/2002</v>
          </cell>
        </row>
        <row r="705">
          <cell r="B705" t="str">
            <v>13316</v>
          </cell>
          <cell r="C705" t="str">
            <v>UEC</v>
          </cell>
          <cell r="D705" t="str">
            <v>N</v>
          </cell>
          <cell r="E705" t="str">
            <v>A</v>
          </cell>
          <cell r="F705" t="str">
            <v>05/08/2002</v>
          </cell>
        </row>
        <row r="706">
          <cell r="B706" t="str">
            <v>13317</v>
          </cell>
          <cell r="C706" t="str">
            <v>UEC</v>
          </cell>
          <cell r="D706" t="str">
            <v>N</v>
          </cell>
          <cell r="E706" t="str">
            <v>C</v>
          </cell>
          <cell r="F706" t="str">
            <v>01/08/2003</v>
          </cell>
        </row>
        <row r="707">
          <cell r="B707" t="str">
            <v>13326</v>
          </cell>
          <cell r="C707" t="str">
            <v>AMC</v>
          </cell>
          <cell r="D707" t="str">
            <v>N</v>
          </cell>
          <cell r="E707" t="str">
            <v>A</v>
          </cell>
          <cell r="F707" t="str">
            <v>05/24/2002</v>
          </cell>
        </row>
        <row r="708">
          <cell r="B708" t="str">
            <v>13330</v>
          </cell>
          <cell r="C708" t="str">
            <v>CIP</v>
          </cell>
          <cell r="D708" t="str">
            <v>N</v>
          </cell>
          <cell r="E708" t="str">
            <v>C</v>
          </cell>
          <cell r="F708" t="str">
            <v>06/19/2002</v>
          </cell>
        </row>
        <row r="709">
          <cell r="B709" t="str">
            <v>13336</v>
          </cell>
          <cell r="C709" t="str">
            <v>CIP</v>
          </cell>
          <cell r="D709" t="str">
            <v>N</v>
          </cell>
          <cell r="E709" t="str">
            <v>C</v>
          </cell>
          <cell r="F709" t="str">
            <v>08/14/2002</v>
          </cell>
        </row>
        <row r="710">
          <cell r="B710" t="str">
            <v>13337</v>
          </cell>
          <cell r="C710" t="str">
            <v>UDC</v>
          </cell>
          <cell r="D710" t="str">
            <v>N</v>
          </cell>
          <cell r="E710" t="str">
            <v>C</v>
          </cell>
          <cell r="F710" t="str">
            <v>05/24/2002</v>
          </cell>
        </row>
        <row r="711">
          <cell r="B711" t="str">
            <v>13338</v>
          </cell>
          <cell r="C711" t="str">
            <v>UDC</v>
          </cell>
          <cell r="D711" t="str">
            <v>N</v>
          </cell>
          <cell r="E711" t="str">
            <v>C</v>
          </cell>
          <cell r="F711" t="str">
            <v>05/24/2002</v>
          </cell>
        </row>
        <row r="712">
          <cell r="B712" t="str">
            <v>13339</v>
          </cell>
          <cell r="C712" t="str">
            <v>UDC</v>
          </cell>
          <cell r="D712" t="str">
            <v>N</v>
          </cell>
          <cell r="E712" t="str">
            <v>A</v>
          </cell>
          <cell r="F712" t="str">
            <v>05/24/2002</v>
          </cell>
        </row>
        <row r="713">
          <cell r="B713" t="str">
            <v>13341</v>
          </cell>
          <cell r="C713" t="str">
            <v>UDC</v>
          </cell>
          <cell r="D713" t="str">
            <v>N</v>
          </cell>
          <cell r="E713" t="str">
            <v>C</v>
          </cell>
          <cell r="F713" t="str">
            <v>05/24/2002</v>
          </cell>
        </row>
        <row r="714">
          <cell r="B714" t="str">
            <v>13347</v>
          </cell>
          <cell r="C714" t="str">
            <v>UEC</v>
          </cell>
          <cell r="D714" t="str">
            <v>N</v>
          </cell>
          <cell r="E714" t="str">
            <v>C</v>
          </cell>
          <cell r="F714" t="str">
            <v>05/24/2002</v>
          </cell>
        </row>
        <row r="715">
          <cell r="B715" t="str">
            <v>13348</v>
          </cell>
          <cell r="C715" t="str">
            <v>UEC</v>
          </cell>
          <cell r="D715" t="str">
            <v>N</v>
          </cell>
          <cell r="E715" t="str">
            <v>C</v>
          </cell>
          <cell r="F715" t="str">
            <v>09/03/2002</v>
          </cell>
        </row>
        <row r="716">
          <cell r="B716" t="str">
            <v>13353</v>
          </cell>
          <cell r="C716" t="str">
            <v>CIP</v>
          </cell>
          <cell r="D716" t="str">
            <v>N</v>
          </cell>
          <cell r="E716" t="str">
            <v>A</v>
          </cell>
          <cell r="F716" t="str">
            <v>10/24/2003</v>
          </cell>
        </row>
        <row r="717">
          <cell r="B717" t="str">
            <v>13358</v>
          </cell>
          <cell r="C717" t="str">
            <v>UEC</v>
          </cell>
          <cell r="D717" t="str">
            <v>N</v>
          </cell>
          <cell r="E717" t="str">
            <v>C</v>
          </cell>
          <cell r="F717" t="str">
            <v>09/08/2003</v>
          </cell>
        </row>
        <row r="718">
          <cell r="B718" t="str">
            <v>13363</v>
          </cell>
          <cell r="C718" t="str">
            <v>UEC</v>
          </cell>
          <cell r="D718" t="str">
            <v>N</v>
          </cell>
          <cell r="E718" t="str">
            <v>A</v>
          </cell>
          <cell r="F718" t="str">
            <v>05/30/2002</v>
          </cell>
        </row>
        <row r="719">
          <cell r="B719" t="str">
            <v>13364</v>
          </cell>
          <cell r="C719" t="str">
            <v>UEC</v>
          </cell>
          <cell r="D719" t="str">
            <v>N</v>
          </cell>
          <cell r="E719" t="str">
            <v>A</v>
          </cell>
          <cell r="F719" t="str">
            <v>05/30/2002</v>
          </cell>
        </row>
        <row r="720">
          <cell r="B720" t="str">
            <v>13365</v>
          </cell>
          <cell r="C720" t="str">
            <v>UEC</v>
          </cell>
          <cell r="D720" t="str">
            <v>N</v>
          </cell>
          <cell r="E720" t="str">
            <v>A</v>
          </cell>
          <cell r="F720" t="str">
            <v>05/30/2002</v>
          </cell>
        </row>
        <row r="721">
          <cell r="B721" t="str">
            <v>13366</v>
          </cell>
          <cell r="C721" t="str">
            <v>UEC</v>
          </cell>
          <cell r="D721" t="str">
            <v>N</v>
          </cell>
          <cell r="E721" t="str">
            <v>I</v>
          </cell>
          <cell r="F721" t="str">
            <v>05/30/2002</v>
          </cell>
        </row>
        <row r="722">
          <cell r="B722" t="str">
            <v>13367</v>
          </cell>
          <cell r="C722" t="str">
            <v>UEC</v>
          </cell>
          <cell r="D722" t="str">
            <v>N</v>
          </cell>
          <cell r="E722" t="str">
            <v>I</v>
          </cell>
          <cell r="F722" t="str">
            <v>05/30/2002</v>
          </cell>
        </row>
        <row r="723">
          <cell r="B723" t="str">
            <v>13370</v>
          </cell>
          <cell r="C723" t="str">
            <v>UEC</v>
          </cell>
          <cell r="D723" t="str">
            <v>N</v>
          </cell>
          <cell r="E723" t="str">
            <v>A</v>
          </cell>
          <cell r="F723" t="str">
            <v>11/24/2003</v>
          </cell>
        </row>
        <row r="724">
          <cell r="B724" t="str">
            <v>13371</v>
          </cell>
          <cell r="C724" t="str">
            <v>UEC</v>
          </cell>
          <cell r="D724" t="str">
            <v>N</v>
          </cell>
          <cell r="E724" t="str">
            <v>I</v>
          </cell>
          <cell r="F724" t="str">
            <v>09/19/2003</v>
          </cell>
        </row>
        <row r="725">
          <cell r="B725" t="str">
            <v>13372</v>
          </cell>
          <cell r="C725" t="str">
            <v>UEC</v>
          </cell>
          <cell r="D725" t="str">
            <v>N</v>
          </cell>
          <cell r="E725" t="str">
            <v>A</v>
          </cell>
          <cell r="F725" t="str">
            <v>07/25/2002</v>
          </cell>
        </row>
        <row r="726">
          <cell r="B726" t="str">
            <v>13373</v>
          </cell>
          <cell r="C726" t="str">
            <v>UEC</v>
          </cell>
          <cell r="D726" t="str">
            <v>N</v>
          </cell>
          <cell r="E726" t="str">
            <v>C</v>
          </cell>
          <cell r="F726" t="str">
            <v>10/23/2002</v>
          </cell>
        </row>
        <row r="727">
          <cell r="B727" t="str">
            <v>13374</v>
          </cell>
          <cell r="C727" t="str">
            <v>UEC</v>
          </cell>
          <cell r="D727" t="str">
            <v>N</v>
          </cell>
          <cell r="E727" t="str">
            <v>A</v>
          </cell>
          <cell r="F727" t="str">
            <v>07/25/2002</v>
          </cell>
        </row>
        <row r="728">
          <cell r="B728" t="str">
            <v>13376</v>
          </cell>
          <cell r="C728" t="str">
            <v>UEC</v>
          </cell>
          <cell r="D728" t="str">
            <v>N</v>
          </cell>
          <cell r="E728" t="str">
            <v>A</v>
          </cell>
          <cell r="F728" t="str">
            <v>04/14/2003</v>
          </cell>
        </row>
        <row r="729">
          <cell r="B729" t="str">
            <v>13377</v>
          </cell>
          <cell r="C729" t="str">
            <v>UEC</v>
          </cell>
          <cell r="D729" t="str">
            <v>N</v>
          </cell>
          <cell r="E729" t="str">
            <v>A</v>
          </cell>
          <cell r="F729" t="str">
            <v>05/23/2003</v>
          </cell>
        </row>
        <row r="730">
          <cell r="B730" t="str">
            <v>13378</v>
          </cell>
          <cell r="C730" t="str">
            <v>UEC</v>
          </cell>
          <cell r="D730" t="str">
            <v>N</v>
          </cell>
          <cell r="E730" t="str">
            <v>A</v>
          </cell>
          <cell r="F730" t="str">
            <v>05/23/2003</v>
          </cell>
        </row>
        <row r="731">
          <cell r="B731" t="str">
            <v>13389</v>
          </cell>
          <cell r="C731" t="str">
            <v>UEC</v>
          </cell>
          <cell r="D731" t="str">
            <v>N</v>
          </cell>
          <cell r="E731" t="str">
            <v>A</v>
          </cell>
          <cell r="F731" t="str">
            <v>07/21/2003</v>
          </cell>
        </row>
        <row r="732">
          <cell r="B732" t="str">
            <v>13391</v>
          </cell>
          <cell r="C732" t="str">
            <v>UEC</v>
          </cell>
          <cell r="D732" t="str">
            <v>N</v>
          </cell>
          <cell r="E732" t="str">
            <v>A</v>
          </cell>
          <cell r="F732" t="str">
            <v>04/15/2003</v>
          </cell>
        </row>
        <row r="733">
          <cell r="B733" t="str">
            <v>13395</v>
          </cell>
          <cell r="C733" t="str">
            <v>UEC</v>
          </cell>
          <cell r="D733" t="str">
            <v>N</v>
          </cell>
          <cell r="E733" t="str">
            <v>A</v>
          </cell>
          <cell r="F733" t="str">
            <v>09/22/2003</v>
          </cell>
        </row>
        <row r="734">
          <cell r="B734" t="str">
            <v>13403</v>
          </cell>
          <cell r="C734" t="str">
            <v>UEC</v>
          </cell>
          <cell r="D734" t="str">
            <v>N</v>
          </cell>
          <cell r="E734" t="str">
            <v>A</v>
          </cell>
          <cell r="F734" t="str">
            <v>06/17/2002</v>
          </cell>
        </row>
        <row r="735">
          <cell r="B735" t="str">
            <v>13404</v>
          </cell>
          <cell r="C735" t="str">
            <v>UEC</v>
          </cell>
          <cell r="D735" t="str">
            <v>N</v>
          </cell>
          <cell r="E735" t="str">
            <v>A</v>
          </cell>
          <cell r="F735" t="str">
            <v>07/18/2003</v>
          </cell>
        </row>
        <row r="736">
          <cell r="B736" t="str">
            <v>13406</v>
          </cell>
          <cell r="C736" t="str">
            <v>UEC</v>
          </cell>
          <cell r="D736" t="str">
            <v>N</v>
          </cell>
          <cell r="E736" t="str">
            <v>A</v>
          </cell>
          <cell r="F736" t="str">
            <v>09/27/2002</v>
          </cell>
        </row>
        <row r="737">
          <cell r="B737" t="str">
            <v>13407</v>
          </cell>
          <cell r="C737" t="str">
            <v>UEC</v>
          </cell>
          <cell r="D737" t="str">
            <v>N</v>
          </cell>
          <cell r="E737" t="str">
            <v>C</v>
          </cell>
          <cell r="F737" t="str">
            <v>10/01/2002</v>
          </cell>
        </row>
        <row r="738">
          <cell r="B738" t="str">
            <v>13410</v>
          </cell>
          <cell r="C738" t="str">
            <v>UEC</v>
          </cell>
          <cell r="D738" t="str">
            <v>N</v>
          </cell>
          <cell r="E738" t="str">
            <v>A</v>
          </cell>
          <cell r="F738" t="str">
            <v>09/25/2003</v>
          </cell>
        </row>
        <row r="739">
          <cell r="B739" t="str">
            <v>13414</v>
          </cell>
          <cell r="C739" t="str">
            <v>UEC</v>
          </cell>
          <cell r="D739" t="str">
            <v>N</v>
          </cell>
          <cell r="E739" t="str">
            <v>A</v>
          </cell>
          <cell r="F739" t="str">
            <v>06/18/2002</v>
          </cell>
        </row>
        <row r="740">
          <cell r="B740" t="str">
            <v>13421</v>
          </cell>
          <cell r="C740" t="str">
            <v>UEC</v>
          </cell>
          <cell r="D740" t="str">
            <v>N</v>
          </cell>
          <cell r="E740" t="str">
            <v>I</v>
          </cell>
          <cell r="F740" t="str">
            <v>08/11/2003</v>
          </cell>
        </row>
        <row r="741">
          <cell r="B741" t="str">
            <v>13428</v>
          </cell>
          <cell r="C741" t="str">
            <v>UEC</v>
          </cell>
          <cell r="D741" t="str">
            <v>N</v>
          </cell>
          <cell r="E741" t="str">
            <v>A</v>
          </cell>
          <cell r="F741" t="str">
            <v>04/01/2003</v>
          </cell>
        </row>
        <row r="742">
          <cell r="B742" t="str">
            <v>13437</v>
          </cell>
          <cell r="C742" t="str">
            <v>UEC</v>
          </cell>
          <cell r="D742" t="str">
            <v>N</v>
          </cell>
          <cell r="E742" t="str">
            <v>C</v>
          </cell>
          <cell r="F742" t="str">
            <v>09/03/2002</v>
          </cell>
        </row>
        <row r="743">
          <cell r="B743" t="str">
            <v>13443</v>
          </cell>
          <cell r="C743" t="str">
            <v>UEC</v>
          </cell>
          <cell r="D743" t="str">
            <v>N</v>
          </cell>
          <cell r="E743" t="str">
            <v>A</v>
          </cell>
          <cell r="F743" t="str">
            <v>01/17/2003</v>
          </cell>
        </row>
        <row r="744">
          <cell r="B744" t="str">
            <v>13448</v>
          </cell>
          <cell r="C744" t="str">
            <v>UEC</v>
          </cell>
          <cell r="D744" t="str">
            <v>N</v>
          </cell>
          <cell r="E744" t="str">
            <v>C</v>
          </cell>
          <cell r="F744" t="str">
            <v>07/27/2002</v>
          </cell>
        </row>
        <row r="745">
          <cell r="B745" t="str">
            <v>13469</v>
          </cell>
          <cell r="C745" t="str">
            <v>CIP</v>
          </cell>
          <cell r="D745" t="str">
            <v>N</v>
          </cell>
          <cell r="E745" t="str">
            <v>A</v>
          </cell>
          <cell r="F745" t="str">
            <v>07/31/2002</v>
          </cell>
        </row>
        <row r="746">
          <cell r="B746" t="str">
            <v>13477</v>
          </cell>
          <cell r="C746" t="str">
            <v>UEC</v>
          </cell>
          <cell r="D746" t="str">
            <v>N</v>
          </cell>
          <cell r="E746" t="str">
            <v>A</v>
          </cell>
          <cell r="F746" t="str">
            <v>07/29/2002</v>
          </cell>
        </row>
        <row r="747">
          <cell r="B747" t="str">
            <v>13479</v>
          </cell>
          <cell r="C747" t="str">
            <v>UEC</v>
          </cell>
          <cell r="D747" t="str">
            <v>N</v>
          </cell>
          <cell r="E747" t="str">
            <v>A</v>
          </cell>
          <cell r="F747" t="str">
            <v>07/24/2002</v>
          </cell>
        </row>
        <row r="748">
          <cell r="B748" t="str">
            <v>13488</v>
          </cell>
          <cell r="C748" t="str">
            <v>UEC</v>
          </cell>
          <cell r="D748" t="str">
            <v>N</v>
          </cell>
          <cell r="E748" t="str">
            <v>A</v>
          </cell>
          <cell r="F748" t="str">
            <v>04/16/2003</v>
          </cell>
        </row>
        <row r="749">
          <cell r="B749" t="str">
            <v>13492</v>
          </cell>
          <cell r="C749" t="str">
            <v>UEC</v>
          </cell>
          <cell r="D749" t="str">
            <v>N</v>
          </cell>
          <cell r="E749" t="str">
            <v>C</v>
          </cell>
          <cell r="F749" t="str">
            <v>03/06/2003</v>
          </cell>
        </row>
        <row r="750">
          <cell r="B750" t="str">
            <v>13493</v>
          </cell>
          <cell r="C750" t="str">
            <v>UEC</v>
          </cell>
          <cell r="D750" t="str">
            <v>N</v>
          </cell>
          <cell r="E750" t="str">
            <v>A</v>
          </cell>
          <cell r="F750" t="str">
            <v>03/06/2003</v>
          </cell>
        </row>
        <row r="751">
          <cell r="B751" t="str">
            <v>13497</v>
          </cell>
          <cell r="C751" t="str">
            <v>UEC</v>
          </cell>
          <cell r="D751" t="str">
            <v>N</v>
          </cell>
          <cell r="E751" t="str">
            <v>A</v>
          </cell>
          <cell r="F751" t="str">
            <v>01/17/2003</v>
          </cell>
        </row>
        <row r="752">
          <cell r="B752" t="str">
            <v>13502</v>
          </cell>
          <cell r="C752" t="str">
            <v>CIP</v>
          </cell>
          <cell r="D752" t="str">
            <v>N</v>
          </cell>
          <cell r="E752" t="str">
            <v>A</v>
          </cell>
          <cell r="F752" t="str">
            <v>07/29/2002</v>
          </cell>
        </row>
        <row r="753">
          <cell r="B753" t="str">
            <v>13503</v>
          </cell>
          <cell r="C753" t="str">
            <v>CIP</v>
          </cell>
          <cell r="D753" t="str">
            <v>N</v>
          </cell>
          <cell r="E753" t="str">
            <v>A</v>
          </cell>
          <cell r="F753" t="str">
            <v>07/30/2002</v>
          </cell>
        </row>
        <row r="754">
          <cell r="B754" t="str">
            <v>13504</v>
          </cell>
          <cell r="C754" t="str">
            <v>CIP</v>
          </cell>
          <cell r="D754" t="str">
            <v>N</v>
          </cell>
          <cell r="E754" t="str">
            <v>A</v>
          </cell>
          <cell r="F754" t="str">
            <v>01/16/2003</v>
          </cell>
        </row>
        <row r="755">
          <cell r="B755" t="str">
            <v>13505</v>
          </cell>
          <cell r="C755" t="str">
            <v>CIP</v>
          </cell>
          <cell r="D755" t="str">
            <v>N</v>
          </cell>
          <cell r="E755" t="str">
            <v>C</v>
          </cell>
          <cell r="F755" t="str">
            <v>01/14/2003</v>
          </cell>
        </row>
        <row r="756">
          <cell r="B756" t="str">
            <v>13508</v>
          </cell>
          <cell r="C756" t="str">
            <v>CIP</v>
          </cell>
          <cell r="D756" t="str">
            <v>N</v>
          </cell>
          <cell r="E756" t="str">
            <v>A</v>
          </cell>
          <cell r="F756" t="str">
            <v>01/16/2003</v>
          </cell>
        </row>
        <row r="757">
          <cell r="B757" t="str">
            <v>13517</v>
          </cell>
          <cell r="C757" t="str">
            <v>CIP</v>
          </cell>
          <cell r="D757" t="str">
            <v>N</v>
          </cell>
          <cell r="E757" t="str">
            <v>C</v>
          </cell>
          <cell r="F757" t="str">
            <v>03/21/2003</v>
          </cell>
        </row>
        <row r="758">
          <cell r="B758" t="str">
            <v>13522</v>
          </cell>
          <cell r="C758" t="str">
            <v>UEC</v>
          </cell>
          <cell r="D758" t="str">
            <v>N</v>
          </cell>
          <cell r="E758" t="str">
            <v>I</v>
          </cell>
          <cell r="F758" t="str">
            <v>12/09/2002</v>
          </cell>
        </row>
        <row r="759">
          <cell r="B759" t="str">
            <v>13522</v>
          </cell>
          <cell r="C759" t="str">
            <v>UEC</v>
          </cell>
          <cell r="D759" t="str">
            <v>N</v>
          </cell>
          <cell r="E759" t="str">
            <v>I</v>
          </cell>
          <cell r="F759" t="str">
            <v>12/09/2002</v>
          </cell>
        </row>
        <row r="760">
          <cell r="B760" t="str">
            <v>13537</v>
          </cell>
          <cell r="C760" t="str">
            <v>UEC</v>
          </cell>
          <cell r="D760" t="str">
            <v>N</v>
          </cell>
          <cell r="E760" t="str">
            <v>C</v>
          </cell>
          <cell r="F760" t="str">
            <v>09/10/2002</v>
          </cell>
        </row>
        <row r="761">
          <cell r="B761" t="str">
            <v>13544</v>
          </cell>
          <cell r="C761" t="str">
            <v>UEC</v>
          </cell>
          <cell r="D761" t="str">
            <v>N</v>
          </cell>
          <cell r="E761" t="str">
            <v>A</v>
          </cell>
          <cell r="F761" t="str">
            <v>03/20/2003</v>
          </cell>
        </row>
        <row r="762">
          <cell r="B762" t="str">
            <v>13551</v>
          </cell>
          <cell r="C762" t="str">
            <v>UEC</v>
          </cell>
          <cell r="D762" t="str">
            <v>N</v>
          </cell>
          <cell r="E762" t="str">
            <v>C</v>
          </cell>
          <cell r="F762" t="str">
            <v>11/18/2002</v>
          </cell>
        </row>
        <row r="763">
          <cell r="B763" t="str">
            <v>13553</v>
          </cell>
          <cell r="C763" t="str">
            <v>UEC</v>
          </cell>
          <cell r="D763" t="str">
            <v>N</v>
          </cell>
          <cell r="E763" t="str">
            <v>C</v>
          </cell>
          <cell r="F763" t="str">
            <v>09/24/2002</v>
          </cell>
        </row>
        <row r="764">
          <cell r="B764" t="str">
            <v>13558</v>
          </cell>
          <cell r="C764" t="str">
            <v>UEC</v>
          </cell>
          <cell r="D764" t="str">
            <v>N</v>
          </cell>
          <cell r="E764" t="str">
            <v>C</v>
          </cell>
          <cell r="F764" t="str">
            <v>06/06/2003</v>
          </cell>
        </row>
        <row r="765">
          <cell r="B765" t="str">
            <v>13562</v>
          </cell>
          <cell r="C765" t="str">
            <v>UEC</v>
          </cell>
          <cell r="D765" t="str">
            <v>N</v>
          </cell>
          <cell r="E765" t="str">
            <v>A</v>
          </cell>
          <cell r="F765" t="str">
            <v>07/16/2003</v>
          </cell>
        </row>
        <row r="766">
          <cell r="B766" t="str">
            <v>13564</v>
          </cell>
          <cell r="C766" t="str">
            <v>UEC</v>
          </cell>
          <cell r="D766" t="str">
            <v>N</v>
          </cell>
          <cell r="E766" t="str">
            <v>I</v>
          </cell>
          <cell r="F766" t="str">
            <v>12/03/2003</v>
          </cell>
        </row>
        <row r="767">
          <cell r="B767" t="str">
            <v>13564</v>
          </cell>
          <cell r="C767" t="str">
            <v>UEC</v>
          </cell>
          <cell r="D767" t="str">
            <v>N</v>
          </cell>
          <cell r="E767" t="str">
            <v>I</v>
          </cell>
          <cell r="F767" t="str">
            <v>12/03/2003</v>
          </cell>
        </row>
        <row r="768">
          <cell r="B768" t="str">
            <v>13568</v>
          </cell>
          <cell r="C768" t="str">
            <v>UEC</v>
          </cell>
          <cell r="D768" t="str">
            <v>N</v>
          </cell>
          <cell r="E768" t="str">
            <v>A</v>
          </cell>
          <cell r="F768" t="str">
            <v>08/07/2002</v>
          </cell>
        </row>
        <row r="769">
          <cell r="B769" t="str">
            <v>13573</v>
          </cell>
          <cell r="C769" t="str">
            <v>UEC</v>
          </cell>
          <cell r="D769" t="str">
            <v>N</v>
          </cell>
          <cell r="E769" t="str">
            <v>I</v>
          </cell>
          <cell r="F769" t="str">
            <v>01/08/2004</v>
          </cell>
        </row>
        <row r="770">
          <cell r="B770" t="str">
            <v>13575</v>
          </cell>
          <cell r="C770" t="str">
            <v>UEC</v>
          </cell>
          <cell r="D770" t="str">
            <v>N</v>
          </cell>
          <cell r="E770" t="str">
            <v>A</v>
          </cell>
          <cell r="F770" t="str">
            <v>07/31/2003</v>
          </cell>
        </row>
        <row r="771">
          <cell r="B771" t="str">
            <v>13576</v>
          </cell>
          <cell r="C771" t="str">
            <v>UEC</v>
          </cell>
          <cell r="D771" t="str">
            <v>N</v>
          </cell>
          <cell r="E771" t="str">
            <v>A</v>
          </cell>
          <cell r="F771" t="str">
            <v>02/27/2003</v>
          </cell>
        </row>
        <row r="772">
          <cell r="B772" t="str">
            <v>13607</v>
          </cell>
          <cell r="C772" t="str">
            <v>UEC</v>
          </cell>
          <cell r="D772" t="str">
            <v>N</v>
          </cell>
          <cell r="E772" t="str">
            <v>A</v>
          </cell>
          <cell r="F772" t="str">
            <v>10/15/2002</v>
          </cell>
        </row>
        <row r="773">
          <cell r="B773" t="str">
            <v>13608</v>
          </cell>
          <cell r="C773" t="str">
            <v>CIP</v>
          </cell>
          <cell r="D773" t="str">
            <v>N</v>
          </cell>
          <cell r="E773" t="str">
            <v>C</v>
          </cell>
          <cell r="F773" t="str">
            <v>01/22/2003</v>
          </cell>
        </row>
        <row r="774">
          <cell r="B774" t="str">
            <v>13622</v>
          </cell>
          <cell r="C774" t="str">
            <v>UEC</v>
          </cell>
          <cell r="D774" t="str">
            <v>N</v>
          </cell>
          <cell r="E774" t="str">
            <v>A</v>
          </cell>
          <cell r="F774" t="str">
            <v>04/10/2003</v>
          </cell>
        </row>
        <row r="775">
          <cell r="B775" t="str">
            <v>13625</v>
          </cell>
          <cell r="C775" t="str">
            <v>UEC</v>
          </cell>
          <cell r="D775" t="str">
            <v>N</v>
          </cell>
          <cell r="E775" t="str">
            <v>A</v>
          </cell>
          <cell r="F775" t="str">
            <v>12/13/2002</v>
          </cell>
        </row>
        <row r="776">
          <cell r="B776" t="str">
            <v>13629</v>
          </cell>
          <cell r="C776" t="str">
            <v>UEC</v>
          </cell>
          <cell r="D776" t="str">
            <v>N</v>
          </cell>
          <cell r="E776" t="str">
            <v>A</v>
          </cell>
          <cell r="F776" t="str">
            <v>07/03/2003</v>
          </cell>
        </row>
        <row r="777">
          <cell r="B777" t="str">
            <v>13636</v>
          </cell>
          <cell r="C777" t="str">
            <v>UEC</v>
          </cell>
          <cell r="D777" t="str">
            <v>N</v>
          </cell>
          <cell r="E777" t="str">
            <v>A</v>
          </cell>
          <cell r="F777" t="str">
            <v>04/23/2003</v>
          </cell>
        </row>
        <row r="778">
          <cell r="B778" t="str">
            <v>13646</v>
          </cell>
          <cell r="C778" t="str">
            <v>UEC</v>
          </cell>
          <cell r="D778" t="str">
            <v>N</v>
          </cell>
          <cell r="E778" t="str">
            <v>A</v>
          </cell>
          <cell r="F778" t="str">
            <v>08/14/2003</v>
          </cell>
        </row>
        <row r="779">
          <cell r="B779" t="str">
            <v>13649</v>
          </cell>
          <cell r="C779" t="str">
            <v>UEC</v>
          </cell>
          <cell r="D779" t="str">
            <v>N</v>
          </cell>
          <cell r="E779" t="str">
            <v>A</v>
          </cell>
          <cell r="F779" t="str">
            <v>04/17/2003</v>
          </cell>
        </row>
        <row r="780">
          <cell r="B780" t="str">
            <v>13650</v>
          </cell>
          <cell r="C780" t="str">
            <v>UEC</v>
          </cell>
          <cell r="D780" t="str">
            <v>N</v>
          </cell>
          <cell r="E780" t="str">
            <v>A</v>
          </cell>
          <cell r="F780" t="str">
            <v>03/18/2003</v>
          </cell>
        </row>
        <row r="781">
          <cell r="B781" t="str">
            <v>13657</v>
          </cell>
          <cell r="C781" t="str">
            <v>UEC</v>
          </cell>
          <cell r="D781" t="str">
            <v>N</v>
          </cell>
          <cell r="E781" t="str">
            <v>C</v>
          </cell>
          <cell r="F781" t="str">
            <v>10/28/2002</v>
          </cell>
        </row>
        <row r="782">
          <cell r="B782" t="str">
            <v>13658</v>
          </cell>
          <cell r="C782" t="str">
            <v>UEC</v>
          </cell>
          <cell r="D782" t="str">
            <v>N</v>
          </cell>
          <cell r="E782" t="str">
            <v>A</v>
          </cell>
          <cell r="F782" t="str">
            <v>05/08/2003</v>
          </cell>
        </row>
        <row r="783">
          <cell r="B783" t="str">
            <v>13682</v>
          </cell>
          <cell r="C783" t="str">
            <v>UEC</v>
          </cell>
          <cell r="D783" t="str">
            <v>N</v>
          </cell>
          <cell r="E783" t="str">
            <v>I</v>
          </cell>
          <cell r="F783" t="str">
            <v>10/23/2003</v>
          </cell>
        </row>
        <row r="784">
          <cell r="B784" t="str">
            <v>13711</v>
          </cell>
          <cell r="C784" t="str">
            <v>UEC</v>
          </cell>
          <cell r="D784" t="str">
            <v>N</v>
          </cell>
          <cell r="E784" t="str">
            <v>A</v>
          </cell>
          <cell r="F784" t="str">
            <v>04/23/2003</v>
          </cell>
        </row>
        <row r="785">
          <cell r="B785" t="str">
            <v>13714</v>
          </cell>
          <cell r="C785" t="str">
            <v>UEC</v>
          </cell>
          <cell r="D785" t="str">
            <v>N</v>
          </cell>
          <cell r="E785" t="str">
            <v>A</v>
          </cell>
          <cell r="F785" t="str">
            <v>04/25/2003</v>
          </cell>
        </row>
        <row r="786">
          <cell r="B786" t="str">
            <v>13732</v>
          </cell>
          <cell r="C786" t="str">
            <v>UEC</v>
          </cell>
          <cell r="D786" t="str">
            <v>N</v>
          </cell>
          <cell r="E786" t="str">
            <v>A</v>
          </cell>
          <cell r="F786" t="str">
            <v>01/06/2003</v>
          </cell>
        </row>
        <row r="787">
          <cell r="B787" t="str">
            <v>13745</v>
          </cell>
          <cell r="C787" t="str">
            <v>UEC</v>
          </cell>
          <cell r="D787" t="str">
            <v>N</v>
          </cell>
          <cell r="E787" t="str">
            <v>A</v>
          </cell>
          <cell r="F787" t="str">
            <v>09/26/2003</v>
          </cell>
        </row>
        <row r="788">
          <cell r="B788" t="str">
            <v>13764</v>
          </cell>
          <cell r="C788" t="str">
            <v>UEC</v>
          </cell>
          <cell r="D788" t="str">
            <v>N</v>
          </cell>
          <cell r="E788" t="str">
            <v>A</v>
          </cell>
          <cell r="F788" t="str">
            <v>09/04/2003</v>
          </cell>
        </row>
        <row r="789">
          <cell r="B789" t="str">
            <v>13771</v>
          </cell>
          <cell r="C789" t="str">
            <v>UEC</v>
          </cell>
          <cell r="D789" t="str">
            <v>N</v>
          </cell>
          <cell r="E789" t="str">
            <v>A</v>
          </cell>
          <cell r="F789" t="str">
            <v>02/05/2003</v>
          </cell>
        </row>
        <row r="790">
          <cell r="B790" t="str">
            <v>13777</v>
          </cell>
          <cell r="C790" t="str">
            <v>UEC</v>
          </cell>
          <cell r="D790" t="str">
            <v>N</v>
          </cell>
          <cell r="E790" t="str">
            <v>C</v>
          </cell>
          <cell r="F790" t="str">
            <v>12/13/2002</v>
          </cell>
        </row>
        <row r="791">
          <cell r="B791" t="str">
            <v>13780</v>
          </cell>
          <cell r="C791" t="str">
            <v>UEC</v>
          </cell>
          <cell r="D791" t="str">
            <v>N</v>
          </cell>
          <cell r="E791" t="str">
            <v>A</v>
          </cell>
          <cell r="F791" t="str">
            <v>02/07/2003</v>
          </cell>
        </row>
        <row r="792">
          <cell r="B792" t="str">
            <v>13781</v>
          </cell>
          <cell r="C792" t="str">
            <v>UEC</v>
          </cell>
          <cell r="D792" t="str">
            <v>N</v>
          </cell>
          <cell r="E792" t="str">
            <v>A</v>
          </cell>
          <cell r="F792" t="str">
            <v>12/18/2002</v>
          </cell>
        </row>
        <row r="793">
          <cell r="B793" t="str">
            <v>13795</v>
          </cell>
          <cell r="C793" t="str">
            <v>UEC</v>
          </cell>
          <cell r="D793" t="str">
            <v>N</v>
          </cell>
          <cell r="E793" t="str">
            <v>A</v>
          </cell>
          <cell r="F793" t="str">
            <v>11/05/2003</v>
          </cell>
        </row>
        <row r="794">
          <cell r="B794" t="str">
            <v>13807</v>
          </cell>
          <cell r="C794" t="str">
            <v>UEC</v>
          </cell>
          <cell r="D794" t="str">
            <v>N</v>
          </cell>
          <cell r="E794" t="str">
            <v>I</v>
          </cell>
          <cell r="F794" t="str">
            <v>12/19/2003</v>
          </cell>
        </row>
        <row r="795">
          <cell r="B795" t="str">
            <v>13830</v>
          </cell>
          <cell r="C795" t="str">
            <v>UEC</v>
          </cell>
          <cell r="D795" t="str">
            <v>N</v>
          </cell>
          <cell r="E795" t="str">
            <v>A</v>
          </cell>
          <cell r="F795" t="str">
            <v>09/08/2003</v>
          </cell>
        </row>
        <row r="796">
          <cell r="B796" t="str">
            <v>13834</v>
          </cell>
          <cell r="C796" t="str">
            <v>UEC</v>
          </cell>
          <cell r="D796" t="str">
            <v>N</v>
          </cell>
          <cell r="E796" t="str">
            <v>A</v>
          </cell>
          <cell r="F796" t="str">
            <v>04/30/2003</v>
          </cell>
        </row>
        <row r="797">
          <cell r="B797" t="str">
            <v>13837</v>
          </cell>
          <cell r="C797" t="str">
            <v>UEC</v>
          </cell>
          <cell r="D797" t="str">
            <v>N</v>
          </cell>
          <cell r="E797" t="str">
            <v>A</v>
          </cell>
          <cell r="F797" t="str">
            <v>09/25/2003</v>
          </cell>
        </row>
        <row r="798">
          <cell r="B798" t="str">
            <v>13839</v>
          </cell>
          <cell r="C798" t="str">
            <v>UEC</v>
          </cell>
          <cell r="D798" t="str">
            <v>N</v>
          </cell>
          <cell r="E798" t="str">
            <v>A</v>
          </cell>
          <cell r="F798" t="str">
            <v>05/09/2003</v>
          </cell>
        </row>
        <row r="799">
          <cell r="B799" t="str">
            <v>13843</v>
          </cell>
          <cell r="C799" t="str">
            <v>UEC</v>
          </cell>
          <cell r="D799" t="str">
            <v>N</v>
          </cell>
          <cell r="E799" t="str">
            <v>A</v>
          </cell>
          <cell r="F799" t="str">
            <v>02/12/2003</v>
          </cell>
        </row>
        <row r="800">
          <cell r="B800" t="str">
            <v>13846</v>
          </cell>
          <cell r="C800" t="str">
            <v>UEC</v>
          </cell>
          <cell r="D800" t="str">
            <v>N</v>
          </cell>
          <cell r="E800" t="str">
            <v>A</v>
          </cell>
          <cell r="F800" t="str">
            <v>05/09/2003</v>
          </cell>
        </row>
        <row r="801">
          <cell r="B801" t="str">
            <v>13847</v>
          </cell>
          <cell r="C801" t="str">
            <v>UEC</v>
          </cell>
          <cell r="D801" t="str">
            <v>N</v>
          </cell>
          <cell r="E801" t="str">
            <v>A</v>
          </cell>
          <cell r="F801" t="str">
            <v>03/31/2003</v>
          </cell>
        </row>
        <row r="802">
          <cell r="B802" t="str">
            <v>13851</v>
          </cell>
          <cell r="C802" t="str">
            <v>UEC</v>
          </cell>
          <cell r="D802" t="str">
            <v>N</v>
          </cell>
          <cell r="E802" t="str">
            <v>A</v>
          </cell>
          <cell r="F802" t="str">
            <v>09/25/2003</v>
          </cell>
        </row>
        <row r="803">
          <cell r="B803" t="str">
            <v>13853</v>
          </cell>
          <cell r="C803" t="str">
            <v>UEC</v>
          </cell>
          <cell r="D803" t="str">
            <v>N</v>
          </cell>
          <cell r="E803" t="str">
            <v>A</v>
          </cell>
          <cell r="F803" t="str">
            <v>09/25/2003</v>
          </cell>
        </row>
        <row r="804">
          <cell r="B804" t="str">
            <v>13854</v>
          </cell>
          <cell r="C804" t="str">
            <v>UEC</v>
          </cell>
          <cell r="D804" t="str">
            <v>N</v>
          </cell>
          <cell r="E804" t="str">
            <v>A</v>
          </cell>
          <cell r="F804" t="str">
            <v>04/02/2003</v>
          </cell>
        </row>
        <row r="805">
          <cell r="B805" t="str">
            <v>13878</v>
          </cell>
          <cell r="C805" t="str">
            <v>UEC</v>
          </cell>
          <cell r="D805" t="str">
            <v>N</v>
          </cell>
          <cell r="E805" t="str">
            <v>A</v>
          </cell>
          <cell r="F805" t="str">
            <v>12/02/2003</v>
          </cell>
        </row>
        <row r="806">
          <cell r="B806" t="str">
            <v>13879</v>
          </cell>
          <cell r="C806" t="str">
            <v>UEC</v>
          </cell>
          <cell r="D806" t="str">
            <v>N</v>
          </cell>
          <cell r="E806" t="str">
            <v>A</v>
          </cell>
          <cell r="F806" t="str">
            <v>04/25/2003</v>
          </cell>
        </row>
        <row r="807">
          <cell r="B807" t="str">
            <v>13894</v>
          </cell>
          <cell r="C807" t="str">
            <v>UEC</v>
          </cell>
          <cell r="D807" t="str">
            <v>N</v>
          </cell>
          <cell r="E807" t="str">
            <v>A</v>
          </cell>
          <cell r="F807" t="str">
            <v>08/15/2003</v>
          </cell>
        </row>
        <row r="808">
          <cell r="B808" t="str">
            <v>13913</v>
          </cell>
          <cell r="C808" t="str">
            <v>UEC</v>
          </cell>
          <cell r="D808" t="str">
            <v>N</v>
          </cell>
          <cell r="E808" t="str">
            <v>I</v>
          </cell>
          <cell r="F808" t="str">
            <v>11/15/2002</v>
          </cell>
        </row>
        <row r="809">
          <cell r="B809" t="str">
            <v>13921</v>
          </cell>
          <cell r="C809" t="str">
            <v>UEC</v>
          </cell>
          <cell r="D809" t="str">
            <v>N</v>
          </cell>
          <cell r="E809" t="str">
            <v>A</v>
          </cell>
          <cell r="F809" t="str">
            <v>08/20/2003</v>
          </cell>
        </row>
        <row r="810">
          <cell r="B810" t="str">
            <v>13930</v>
          </cell>
          <cell r="C810" t="str">
            <v>UEC</v>
          </cell>
          <cell r="D810" t="str">
            <v>N</v>
          </cell>
          <cell r="E810" t="str">
            <v>C</v>
          </cell>
          <cell r="F810" t="str">
            <v>12/09/2002</v>
          </cell>
        </row>
        <row r="811">
          <cell r="B811" t="str">
            <v>13942</v>
          </cell>
          <cell r="C811" t="str">
            <v>UEC</v>
          </cell>
          <cell r="D811" t="str">
            <v>N</v>
          </cell>
          <cell r="E811" t="str">
            <v>A</v>
          </cell>
          <cell r="F811" t="str">
            <v>02/10/2003</v>
          </cell>
        </row>
        <row r="812">
          <cell r="B812" t="str">
            <v>13955</v>
          </cell>
          <cell r="C812" t="str">
            <v>UEC</v>
          </cell>
          <cell r="D812" t="str">
            <v>N</v>
          </cell>
          <cell r="E812" t="str">
            <v>A</v>
          </cell>
          <cell r="F812" t="str">
            <v>05/12/2003</v>
          </cell>
        </row>
        <row r="813">
          <cell r="B813" t="str">
            <v>13963</v>
          </cell>
          <cell r="C813" t="str">
            <v>UEC</v>
          </cell>
          <cell r="D813" t="str">
            <v>N</v>
          </cell>
          <cell r="E813" t="str">
            <v>C</v>
          </cell>
          <cell r="F813" t="str">
            <v>12/13/2002</v>
          </cell>
        </row>
        <row r="814">
          <cell r="B814" t="str">
            <v>13980</v>
          </cell>
          <cell r="C814" t="str">
            <v>CIP</v>
          </cell>
          <cell r="D814" t="str">
            <v>N</v>
          </cell>
          <cell r="E814" t="str">
            <v>A</v>
          </cell>
          <cell r="F814" t="str">
            <v>02/13/2003</v>
          </cell>
        </row>
        <row r="815">
          <cell r="B815" t="str">
            <v>13987</v>
          </cell>
          <cell r="C815" t="str">
            <v>CIL</v>
          </cell>
          <cell r="D815" t="str">
            <v>N</v>
          </cell>
          <cell r="E815" t="str">
            <v>A</v>
          </cell>
          <cell r="F815" t="str">
            <v>10/21/2002</v>
          </cell>
        </row>
        <row r="816">
          <cell r="B816" t="str">
            <v>13988</v>
          </cell>
          <cell r="C816" t="str">
            <v>CIP</v>
          </cell>
          <cell r="D816" t="str">
            <v>N</v>
          </cell>
          <cell r="E816" t="str">
            <v>C</v>
          </cell>
          <cell r="F816" t="str">
            <v>09/10/2002</v>
          </cell>
        </row>
        <row r="817">
          <cell r="B817" t="str">
            <v>13989</v>
          </cell>
          <cell r="C817" t="str">
            <v>UEC</v>
          </cell>
          <cell r="D817" t="str">
            <v>N</v>
          </cell>
          <cell r="E817" t="str">
            <v>A</v>
          </cell>
          <cell r="F817" t="str">
            <v>10/02/2002</v>
          </cell>
        </row>
        <row r="818">
          <cell r="B818" t="str">
            <v>13992</v>
          </cell>
          <cell r="C818" t="str">
            <v>UEC</v>
          </cell>
          <cell r="D818" t="str">
            <v>N</v>
          </cell>
          <cell r="E818" t="str">
            <v>A</v>
          </cell>
          <cell r="F818" t="str">
            <v>09/11/2002</v>
          </cell>
        </row>
        <row r="819">
          <cell r="B819" t="str">
            <v>13993</v>
          </cell>
          <cell r="C819" t="str">
            <v>ADC</v>
          </cell>
          <cell r="D819" t="str">
            <v>N</v>
          </cell>
          <cell r="E819" t="str">
            <v>A</v>
          </cell>
          <cell r="F819" t="str">
            <v>08/30/2002</v>
          </cell>
        </row>
        <row r="820">
          <cell r="B820" t="str">
            <v>14009</v>
          </cell>
          <cell r="C820" t="str">
            <v>UEC</v>
          </cell>
          <cell r="D820" t="str">
            <v>N</v>
          </cell>
          <cell r="E820" t="str">
            <v>A</v>
          </cell>
          <cell r="F820" t="str">
            <v>02/18/2003</v>
          </cell>
        </row>
        <row r="821">
          <cell r="B821" t="str">
            <v>14010</v>
          </cell>
          <cell r="C821" t="str">
            <v>UEC</v>
          </cell>
          <cell r="D821" t="str">
            <v>N</v>
          </cell>
          <cell r="E821" t="str">
            <v>A</v>
          </cell>
          <cell r="F821" t="str">
            <v>07/24/2003</v>
          </cell>
        </row>
        <row r="822">
          <cell r="B822" t="str">
            <v>14013</v>
          </cell>
          <cell r="C822" t="str">
            <v>IHC</v>
          </cell>
          <cell r="D822" t="str">
            <v>N</v>
          </cell>
          <cell r="E822" t="str">
            <v>C</v>
          </cell>
          <cell r="F822" t="str">
            <v>09/17/2002</v>
          </cell>
        </row>
        <row r="823">
          <cell r="B823" t="str">
            <v>14024</v>
          </cell>
          <cell r="C823" t="str">
            <v>UEC</v>
          </cell>
          <cell r="D823" t="str">
            <v>N</v>
          </cell>
          <cell r="E823" t="str">
            <v>A</v>
          </cell>
          <cell r="F823" t="str">
            <v>08/07/2003</v>
          </cell>
        </row>
        <row r="824">
          <cell r="B824" t="str">
            <v>14028</v>
          </cell>
          <cell r="C824" t="str">
            <v>UDC</v>
          </cell>
          <cell r="D824" t="str">
            <v>N</v>
          </cell>
          <cell r="E824" t="str">
            <v>I</v>
          </cell>
          <cell r="F824" t="str">
            <v>09/05/2002</v>
          </cell>
        </row>
        <row r="825">
          <cell r="B825" t="str">
            <v>14039</v>
          </cell>
          <cell r="C825" t="str">
            <v>UEC</v>
          </cell>
          <cell r="D825" t="str">
            <v>N</v>
          </cell>
          <cell r="E825" t="str">
            <v>A</v>
          </cell>
          <cell r="F825" t="str">
            <v>06/30/2003</v>
          </cell>
        </row>
        <row r="826">
          <cell r="B826" t="str">
            <v>14055</v>
          </cell>
          <cell r="C826" t="str">
            <v>UEC</v>
          </cell>
          <cell r="D826" t="str">
            <v>N</v>
          </cell>
          <cell r="E826" t="str">
            <v>C</v>
          </cell>
          <cell r="F826" t="str">
            <v>09/12/2002</v>
          </cell>
        </row>
        <row r="827">
          <cell r="B827" t="str">
            <v>14057</v>
          </cell>
          <cell r="C827" t="str">
            <v>UEC</v>
          </cell>
          <cell r="D827" t="str">
            <v>N</v>
          </cell>
          <cell r="E827" t="str">
            <v>A</v>
          </cell>
          <cell r="F827" t="str">
            <v>09/16/2002</v>
          </cell>
        </row>
        <row r="828">
          <cell r="B828" t="str">
            <v>14058</v>
          </cell>
          <cell r="C828" t="str">
            <v>UEC</v>
          </cell>
          <cell r="D828" t="str">
            <v>N</v>
          </cell>
          <cell r="E828" t="str">
            <v>C</v>
          </cell>
          <cell r="F828" t="str">
            <v>10/25/2002</v>
          </cell>
        </row>
        <row r="829">
          <cell r="B829" t="str">
            <v>14068</v>
          </cell>
          <cell r="C829" t="str">
            <v>UEC</v>
          </cell>
          <cell r="D829" t="str">
            <v>N</v>
          </cell>
          <cell r="E829" t="str">
            <v>I</v>
          </cell>
          <cell r="F829" t="str">
            <v>10/14/2002</v>
          </cell>
        </row>
        <row r="830">
          <cell r="B830" t="str">
            <v>14109</v>
          </cell>
          <cell r="C830" t="str">
            <v>CIL</v>
          </cell>
          <cell r="D830" t="str">
            <v>N</v>
          </cell>
          <cell r="E830" t="str">
            <v>C</v>
          </cell>
          <cell r="F830" t="str">
            <v>11/25/2002</v>
          </cell>
        </row>
        <row r="831">
          <cell r="B831" t="str">
            <v>14114</v>
          </cell>
          <cell r="C831" t="str">
            <v>UEC</v>
          </cell>
          <cell r="D831" t="str">
            <v>N</v>
          </cell>
          <cell r="E831" t="str">
            <v>A</v>
          </cell>
          <cell r="F831" t="str">
            <v>02/13/2003</v>
          </cell>
        </row>
        <row r="832">
          <cell r="B832" t="str">
            <v>14115</v>
          </cell>
          <cell r="C832" t="str">
            <v>UEC</v>
          </cell>
          <cell r="D832" t="str">
            <v>N</v>
          </cell>
          <cell r="E832" t="str">
            <v>A</v>
          </cell>
          <cell r="F832" t="str">
            <v>12/11/2002</v>
          </cell>
        </row>
        <row r="833">
          <cell r="B833" t="str">
            <v>14117</v>
          </cell>
          <cell r="C833" t="str">
            <v>UEC</v>
          </cell>
          <cell r="D833" t="str">
            <v>N</v>
          </cell>
          <cell r="E833" t="str">
            <v>A</v>
          </cell>
          <cell r="F833" t="str">
            <v>02/13/2003</v>
          </cell>
        </row>
        <row r="834">
          <cell r="B834" t="str">
            <v>14119</v>
          </cell>
          <cell r="C834" t="str">
            <v>UEC</v>
          </cell>
          <cell r="D834" t="str">
            <v>N</v>
          </cell>
          <cell r="E834" t="str">
            <v>A</v>
          </cell>
          <cell r="F834" t="str">
            <v>02/13/2003</v>
          </cell>
        </row>
        <row r="835">
          <cell r="B835" t="str">
            <v>14120</v>
          </cell>
          <cell r="C835" t="str">
            <v>CIP</v>
          </cell>
          <cell r="D835" t="str">
            <v>N</v>
          </cell>
          <cell r="E835" t="str">
            <v>I</v>
          </cell>
          <cell r="F835" t="str">
            <v>11/26/2002</v>
          </cell>
        </row>
        <row r="836">
          <cell r="B836" t="str">
            <v>14121</v>
          </cell>
          <cell r="C836" t="str">
            <v>CIP</v>
          </cell>
          <cell r="D836" t="str">
            <v>N</v>
          </cell>
          <cell r="E836" t="str">
            <v>C</v>
          </cell>
          <cell r="F836" t="str">
            <v>11/29/2002</v>
          </cell>
        </row>
        <row r="837">
          <cell r="B837" t="str">
            <v>14128</v>
          </cell>
          <cell r="C837" t="str">
            <v>UEC</v>
          </cell>
          <cell r="D837" t="str">
            <v>N</v>
          </cell>
          <cell r="E837" t="str">
            <v>C</v>
          </cell>
          <cell r="F837" t="str">
            <v>12/13/2002</v>
          </cell>
        </row>
        <row r="838">
          <cell r="B838" t="str">
            <v>14130</v>
          </cell>
          <cell r="C838" t="str">
            <v>CIL</v>
          </cell>
          <cell r="D838" t="str">
            <v>N</v>
          </cell>
          <cell r="E838" t="str">
            <v>A</v>
          </cell>
          <cell r="F838" t="str">
            <v>01/16/2003</v>
          </cell>
        </row>
        <row r="839">
          <cell r="B839" t="str">
            <v>14142</v>
          </cell>
          <cell r="C839" t="str">
            <v>UEC</v>
          </cell>
          <cell r="D839" t="str">
            <v>N</v>
          </cell>
          <cell r="E839" t="str">
            <v>A</v>
          </cell>
          <cell r="F839" t="str">
            <v>12/12/2002</v>
          </cell>
        </row>
        <row r="840">
          <cell r="B840" t="str">
            <v>14149</v>
          </cell>
          <cell r="C840" t="str">
            <v>UEC</v>
          </cell>
          <cell r="D840" t="str">
            <v>N</v>
          </cell>
          <cell r="E840" t="str">
            <v>A</v>
          </cell>
          <cell r="F840" t="str">
            <v>12/19/2002</v>
          </cell>
        </row>
        <row r="841">
          <cell r="B841" t="str">
            <v>14154</v>
          </cell>
          <cell r="C841" t="str">
            <v>CIP</v>
          </cell>
          <cell r="D841" t="str">
            <v>N</v>
          </cell>
          <cell r="E841" t="str">
            <v>I</v>
          </cell>
          <cell r="F841" t="str">
            <v>01/09/2003</v>
          </cell>
        </row>
        <row r="842">
          <cell r="B842" t="str">
            <v>14154</v>
          </cell>
          <cell r="C842" t="str">
            <v>CIP</v>
          </cell>
          <cell r="D842" t="str">
            <v>N</v>
          </cell>
          <cell r="E842" t="str">
            <v>I</v>
          </cell>
          <cell r="F842" t="str">
            <v>01/09/2003</v>
          </cell>
        </row>
        <row r="843">
          <cell r="B843" t="str">
            <v>14160</v>
          </cell>
          <cell r="C843" t="str">
            <v>UEC</v>
          </cell>
          <cell r="D843" t="str">
            <v>N</v>
          </cell>
          <cell r="E843" t="str">
            <v>I</v>
          </cell>
          <cell r="F843" t="str">
            <v>01/17/2003</v>
          </cell>
        </row>
        <row r="844">
          <cell r="B844" t="str">
            <v>14170</v>
          </cell>
          <cell r="C844" t="str">
            <v>CIL</v>
          </cell>
          <cell r="D844" t="str">
            <v>N</v>
          </cell>
          <cell r="E844" t="str">
            <v>A</v>
          </cell>
          <cell r="F844" t="str">
            <v>02/14/2003</v>
          </cell>
        </row>
        <row r="845">
          <cell r="B845" t="str">
            <v>14174</v>
          </cell>
          <cell r="C845" t="str">
            <v>UEC</v>
          </cell>
          <cell r="D845" t="str">
            <v>N</v>
          </cell>
          <cell r="E845" t="str">
            <v>A</v>
          </cell>
          <cell r="F845" t="str">
            <v>02/14/2003</v>
          </cell>
        </row>
        <row r="846">
          <cell r="B846" t="str">
            <v>14175</v>
          </cell>
          <cell r="C846" t="str">
            <v>UEC</v>
          </cell>
          <cell r="D846" t="str">
            <v>N</v>
          </cell>
          <cell r="E846" t="str">
            <v>A</v>
          </cell>
          <cell r="F846" t="str">
            <v>02/14/2003</v>
          </cell>
        </row>
        <row r="847">
          <cell r="B847" t="str">
            <v>14179</v>
          </cell>
          <cell r="C847" t="str">
            <v>CIP</v>
          </cell>
          <cell r="D847" t="str">
            <v>N</v>
          </cell>
          <cell r="E847" t="str">
            <v>A</v>
          </cell>
          <cell r="F847" t="str">
            <v>10/02/2003</v>
          </cell>
        </row>
        <row r="848">
          <cell r="B848" t="str">
            <v>14181</v>
          </cell>
          <cell r="C848" t="str">
            <v>UEC</v>
          </cell>
          <cell r="D848" t="str">
            <v>N</v>
          </cell>
          <cell r="E848" t="str">
            <v>A</v>
          </cell>
          <cell r="F848" t="str">
            <v>02/11/2003</v>
          </cell>
        </row>
        <row r="849">
          <cell r="B849" t="str">
            <v>14185</v>
          </cell>
          <cell r="C849" t="str">
            <v>ARG</v>
          </cell>
          <cell r="D849" t="str">
            <v>N</v>
          </cell>
          <cell r="E849" t="str">
            <v>C</v>
          </cell>
          <cell r="F849" t="str">
            <v>09/03/2003</v>
          </cell>
        </row>
        <row r="850">
          <cell r="B850" t="str">
            <v>14186</v>
          </cell>
          <cell r="C850" t="str">
            <v>ARG</v>
          </cell>
          <cell r="D850" t="str">
            <v>N</v>
          </cell>
          <cell r="E850" t="str">
            <v>C</v>
          </cell>
          <cell r="F850" t="str">
            <v>09/03/2003</v>
          </cell>
        </row>
        <row r="851">
          <cell r="B851" t="str">
            <v>14192</v>
          </cell>
          <cell r="C851" t="str">
            <v>GEN</v>
          </cell>
          <cell r="D851" t="str">
            <v>N</v>
          </cell>
          <cell r="E851" t="str">
            <v>A</v>
          </cell>
          <cell r="F851" t="str">
            <v>03/04/2003</v>
          </cell>
        </row>
        <row r="852">
          <cell r="B852" t="str">
            <v>14202</v>
          </cell>
          <cell r="C852" t="str">
            <v>UEC</v>
          </cell>
          <cell r="D852" t="str">
            <v>N</v>
          </cell>
          <cell r="E852" t="str">
            <v>A</v>
          </cell>
          <cell r="F852" t="str">
            <v>03/06/2003</v>
          </cell>
        </row>
        <row r="853">
          <cell r="B853" t="str">
            <v>14206</v>
          </cell>
          <cell r="C853" t="str">
            <v>UEC</v>
          </cell>
          <cell r="D853" t="str">
            <v>N</v>
          </cell>
          <cell r="E853" t="str">
            <v>A</v>
          </cell>
          <cell r="F853" t="str">
            <v>05/29/2003</v>
          </cell>
        </row>
        <row r="854">
          <cell r="B854" t="str">
            <v>14212</v>
          </cell>
          <cell r="C854" t="str">
            <v>UEC</v>
          </cell>
          <cell r="D854" t="str">
            <v>N</v>
          </cell>
          <cell r="E854" t="str">
            <v>A</v>
          </cell>
          <cell r="F854" t="str">
            <v>03/20/2003</v>
          </cell>
        </row>
        <row r="855">
          <cell r="B855" t="str">
            <v>14216</v>
          </cell>
          <cell r="C855" t="str">
            <v>UEC</v>
          </cell>
          <cell r="D855" t="str">
            <v>N</v>
          </cell>
          <cell r="E855" t="str">
            <v>A</v>
          </cell>
          <cell r="F855" t="str">
            <v>03/27/2003</v>
          </cell>
        </row>
        <row r="856">
          <cell r="B856" t="str">
            <v>14218</v>
          </cell>
          <cell r="C856" t="str">
            <v>UEC</v>
          </cell>
          <cell r="D856" t="str">
            <v>N</v>
          </cell>
          <cell r="E856" t="str">
            <v>C</v>
          </cell>
          <cell r="F856" t="str">
            <v>04/01/2003</v>
          </cell>
        </row>
        <row r="857">
          <cell r="B857" t="str">
            <v>14224</v>
          </cell>
          <cell r="C857" t="str">
            <v>GEN</v>
          </cell>
          <cell r="D857" t="str">
            <v>N</v>
          </cell>
          <cell r="E857" t="str">
            <v>I</v>
          </cell>
          <cell r="F857" t="str">
            <v>03/27/2003</v>
          </cell>
        </row>
        <row r="858">
          <cell r="B858" t="str">
            <v>14224</v>
          </cell>
          <cell r="C858" t="str">
            <v>GEN</v>
          </cell>
          <cell r="D858" t="str">
            <v>N</v>
          </cell>
          <cell r="E858" t="str">
            <v>I</v>
          </cell>
          <cell r="F858" t="str">
            <v>03/27/2003</v>
          </cell>
        </row>
        <row r="859">
          <cell r="B859" t="str">
            <v>14227</v>
          </cell>
          <cell r="C859" t="str">
            <v>UEC</v>
          </cell>
          <cell r="D859" t="str">
            <v>N</v>
          </cell>
          <cell r="E859" t="str">
            <v>C</v>
          </cell>
          <cell r="F859" t="str">
            <v>03/28/2003</v>
          </cell>
        </row>
        <row r="860">
          <cell r="B860" t="str">
            <v>14229</v>
          </cell>
          <cell r="C860" t="str">
            <v>CIP</v>
          </cell>
          <cell r="D860" t="str">
            <v>N</v>
          </cell>
          <cell r="E860" t="str">
            <v>A</v>
          </cell>
          <cell r="F860" t="str">
            <v>04/01/2003</v>
          </cell>
        </row>
        <row r="861">
          <cell r="B861" t="str">
            <v>14252</v>
          </cell>
          <cell r="C861" t="str">
            <v>CIP</v>
          </cell>
          <cell r="D861" t="str">
            <v>N</v>
          </cell>
          <cell r="E861" t="str">
            <v>I</v>
          </cell>
          <cell r="F861" t="str">
            <v>04/11/2003</v>
          </cell>
        </row>
        <row r="862">
          <cell r="B862" t="str">
            <v>14253</v>
          </cell>
          <cell r="C862" t="str">
            <v>UEC</v>
          </cell>
          <cell r="D862" t="str">
            <v>N</v>
          </cell>
          <cell r="E862" t="str">
            <v>A</v>
          </cell>
          <cell r="F862" t="str">
            <v>07/23/2003</v>
          </cell>
        </row>
        <row r="863">
          <cell r="B863" t="str">
            <v>14264</v>
          </cell>
          <cell r="C863" t="str">
            <v>UEC</v>
          </cell>
          <cell r="D863" t="str">
            <v>N</v>
          </cell>
          <cell r="E863" t="str">
            <v>A</v>
          </cell>
          <cell r="F863" t="str">
            <v>01/20/2004</v>
          </cell>
        </row>
        <row r="864">
          <cell r="B864" t="str">
            <v>14266</v>
          </cell>
          <cell r="C864" t="str">
            <v>CIP</v>
          </cell>
          <cell r="D864" t="str">
            <v>N</v>
          </cell>
          <cell r="E864" t="str">
            <v>C</v>
          </cell>
          <cell r="F864" t="str">
            <v>04/25/2003</v>
          </cell>
        </row>
        <row r="865">
          <cell r="B865" t="str">
            <v>14278</v>
          </cell>
          <cell r="C865" t="str">
            <v>CIL</v>
          </cell>
          <cell r="D865" t="str">
            <v>N</v>
          </cell>
          <cell r="E865" t="str">
            <v>A</v>
          </cell>
          <cell r="F865" t="str">
            <v>01/09/2004</v>
          </cell>
        </row>
        <row r="866">
          <cell r="B866" t="str">
            <v>14279</v>
          </cell>
          <cell r="C866" t="str">
            <v>CIP</v>
          </cell>
          <cell r="D866" t="str">
            <v>N</v>
          </cell>
          <cell r="E866" t="str">
            <v>A</v>
          </cell>
          <cell r="F866" t="str">
            <v>05/01/2003</v>
          </cell>
        </row>
        <row r="867">
          <cell r="B867" t="str">
            <v>14281</v>
          </cell>
          <cell r="C867" t="str">
            <v>ARG</v>
          </cell>
          <cell r="D867" t="str">
            <v>N</v>
          </cell>
          <cell r="E867" t="str">
            <v>A</v>
          </cell>
          <cell r="F867" t="str">
            <v>09/03/2003</v>
          </cell>
        </row>
        <row r="868">
          <cell r="B868" t="str">
            <v>14283</v>
          </cell>
          <cell r="C868" t="str">
            <v>CIP</v>
          </cell>
          <cell r="D868" t="str">
            <v>N</v>
          </cell>
          <cell r="E868" t="str">
            <v>C</v>
          </cell>
          <cell r="F868" t="str">
            <v>05/12/2003</v>
          </cell>
        </row>
        <row r="869">
          <cell r="B869" t="str">
            <v>14289</v>
          </cell>
          <cell r="C869" t="str">
            <v>CIP</v>
          </cell>
          <cell r="D869" t="str">
            <v>N</v>
          </cell>
          <cell r="E869" t="str">
            <v>A</v>
          </cell>
          <cell r="F869" t="str">
            <v>05/28/2003</v>
          </cell>
        </row>
        <row r="870">
          <cell r="B870" t="str">
            <v>14291</v>
          </cell>
          <cell r="C870" t="str">
            <v>CIL</v>
          </cell>
          <cell r="D870" t="str">
            <v>N</v>
          </cell>
          <cell r="E870" t="str">
            <v>I</v>
          </cell>
          <cell r="F870" t="str">
            <v>09/17/2003</v>
          </cell>
        </row>
        <row r="871">
          <cell r="B871" t="str">
            <v>14291</v>
          </cell>
          <cell r="C871" t="str">
            <v>CIL</v>
          </cell>
          <cell r="D871" t="str">
            <v>N</v>
          </cell>
          <cell r="E871" t="str">
            <v>I</v>
          </cell>
          <cell r="F871" t="str">
            <v>09/17/2003</v>
          </cell>
        </row>
        <row r="872">
          <cell r="B872" t="str">
            <v>14292</v>
          </cell>
          <cell r="C872" t="str">
            <v>CIL</v>
          </cell>
          <cell r="D872" t="str">
            <v>N</v>
          </cell>
          <cell r="E872" t="str">
            <v>I</v>
          </cell>
          <cell r="F872" t="str">
            <v>09/16/2003</v>
          </cell>
        </row>
        <row r="873">
          <cell r="B873" t="str">
            <v>14292</v>
          </cell>
          <cell r="C873" t="str">
            <v>CIL</v>
          </cell>
          <cell r="D873" t="str">
            <v>N</v>
          </cell>
          <cell r="E873" t="str">
            <v>I</v>
          </cell>
          <cell r="F873" t="str">
            <v>09/16/2003</v>
          </cell>
        </row>
        <row r="874">
          <cell r="B874" t="str">
            <v>14294</v>
          </cell>
          <cell r="C874" t="str">
            <v>CIP</v>
          </cell>
          <cell r="D874" t="str">
            <v>N</v>
          </cell>
          <cell r="E874" t="str">
            <v>C</v>
          </cell>
          <cell r="F874" t="str">
            <v>05/12/2003</v>
          </cell>
        </row>
        <row r="875">
          <cell r="B875" t="str">
            <v>14295</v>
          </cell>
          <cell r="C875" t="str">
            <v>UEC</v>
          </cell>
          <cell r="D875" t="str">
            <v>N</v>
          </cell>
          <cell r="E875" t="str">
            <v>A</v>
          </cell>
          <cell r="F875" t="str">
            <v>05/14/2003</v>
          </cell>
        </row>
        <row r="876">
          <cell r="B876" t="str">
            <v>14304</v>
          </cell>
          <cell r="C876" t="str">
            <v>CIP</v>
          </cell>
          <cell r="D876" t="str">
            <v>N</v>
          </cell>
          <cell r="E876" t="str">
            <v>A</v>
          </cell>
          <cell r="F876" t="str">
            <v>05/19/2003</v>
          </cell>
        </row>
        <row r="877">
          <cell r="B877" t="str">
            <v>14308</v>
          </cell>
          <cell r="C877" t="str">
            <v>ARG</v>
          </cell>
          <cell r="D877" t="str">
            <v>N</v>
          </cell>
          <cell r="E877" t="str">
            <v>I</v>
          </cell>
          <cell r="F877" t="str">
            <v>09/12/2003</v>
          </cell>
        </row>
        <row r="878">
          <cell r="B878" t="str">
            <v>14314</v>
          </cell>
          <cell r="C878" t="str">
            <v>UEC</v>
          </cell>
          <cell r="D878" t="str">
            <v>N</v>
          </cell>
          <cell r="E878" t="str">
            <v>A</v>
          </cell>
          <cell r="F878" t="str">
            <v>05/28/2003</v>
          </cell>
        </row>
        <row r="879">
          <cell r="B879" t="str">
            <v>14318</v>
          </cell>
          <cell r="C879" t="str">
            <v>UEC</v>
          </cell>
          <cell r="D879" t="str">
            <v>N</v>
          </cell>
          <cell r="E879" t="str">
            <v>A</v>
          </cell>
          <cell r="F879" t="str">
            <v>06/09/2003</v>
          </cell>
        </row>
        <row r="880">
          <cell r="B880" t="str">
            <v>14319</v>
          </cell>
          <cell r="C880" t="str">
            <v>UEC</v>
          </cell>
          <cell r="D880" t="str">
            <v>N</v>
          </cell>
          <cell r="E880" t="str">
            <v>A</v>
          </cell>
          <cell r="F880" t="str">
            <v>05/28/2003</v>
          </cell>
        </row>
        <row r="881">
          <cell r="B881" t="str">
            <v>14320</v>
          </cell>
          <cell r="C881" t="str">
            <v>CIL</v>
          </cell>
          <cell r="D881" t="str">
            <v>N</v>
          </cell>
          <cell r="E881" t="str">
            <v>A</v>
          </cell>
          <cell r="F881" t="str">
            <v>06/02/2003</v>
          </cell>
        </row>
        <row r="882">
          <cell r="B882" t="str">
            <v>14326</v>
          </cell>
          <cell r="C882" t="str">
            <v>UEC</v>
          </cell>
          <cell r="D882" t="str">
            <v>N</v>
          </cell>
          <cell r="E882" t="str">
            <v>A</v>
          </cell>
          <cell r="F882" t="str">
            <v>06/05/2003</v>
          </cell>
        </row>
        <row r="883">
          <cell r="B883" t="str">
            <v>14332</v>
          </cell>
          <cell r="C883" t="str">
            <v>UEC</v>
          </cell>
          <cell r="D883" t="str">
            <v>N</v>
          </cell>
          <cell r="E883" t="str">
            <v>A</v>
          </cell>
          <cell r="F883" t="str">
            <v>06/12/2003</v>
          </cell>
        </row>
        <row r="884">
          <cell r="B884" t="str">
            <v>14334</v>
          </cell>
          <cell r="C884" t="str">
            <v>CIP</v>
          </cell>
          <cell r="D884" t="str">
            <v>N</v>
          </cell>
          <cell r="E884" t="str">
            <v>A</v>
          </cell>
          <cell r="F884" t="str">
            <v>06/17/2003</v>
          </cell>
        </row>
        <row r="885">
          <cell r="B885" t="str">
            <v>14345</v>
          </cell>
          <cell r="C885" t="str">
            <v>UEC</v>
          </cell>
          <cell r="D885" t="str">
            <v>N</v>
          </cell>
          <cell r="E885" t="str">
            <v>A</v>
          </cell>
          <cell r="F885" t="str">
            <v>07/25/2003</v>
          </cell>
        </row>
        <row r="886">
          <cell r="B886" t="str">
            <v>14351</v>
          </cell>
          <cell r="C886" t="str">
            <v>UEC</v>
          </cell>
          <cell r="D886" t="str">
            <v>N</v>
          </cell>
          <cell r="E886" t="str">
            <v>A</v>
          </cell>
          <cell r="F886" t="str">
            <v>11/25/2003</v>
          </cell>
        </row>
        <row r="887">
          <cell r="B887" t="str">
            <v>14363</v>
          </cell>
          <cell r="C887" t="str">
            <v>UEC</v>
          </cell>
          <cell r="D887" t="str">
            <v>N</v>
          </cell>
          <cell r="E887" t="str">
            <v>A</v>
          </cell>
          <cell r="F887" t="str">
            <v>11/06/2003</v>
          </cell>
        </row>
        <row r="888">
          <cell r="B888" t="str">
            <v>14380</v>
          </cell>
          <cell r="C888" t="str">
            <v>CIP</v>
          </cell>
          <cell r="D888" t="str">
            <v>N</v>
          </cell>
          <cell r="E888" t="str">
            <v>A</v>
          </cell>
          <cell r="F888" t="str">
            <v>06/25/2003</v>
          </cell>
        </row>
        <row r="889">
          <cell r="B889" t="str">
            <v>14381</v>
          </cell>
          <cell r="C889" t="str">
            <v>CIP</v>
          </cell>
          <cell r="D889" t="str">
            <v>N</v>
          </cell>
          <cell r="E889" t="str">
            <v>A</v>
          </cell>
          <cell r="F889" t="str">
            <v>06/26/2003</v>
          </cell>
        </row>
        <row r="890">
          <cell r="B890" t="str">
            <v>14384</v>
          </cell>
          <cell r="C890" t="str">
            <v>UEC</v>
          </cell>
          <cell r="D890" t="str">
            <v>N</v>
          </cell>
          <cell r="E890" t="str">
            <v>A</v>
          </cell>
          <cell r="F890" t="str">
            <v>06/30/2003</v>
          </cell>
        </row>
        <row r="891">
          <cell r="B891" t="str">
            <v>14390</v>
          </cell>
          <cell r="C891" t="str">
            <v>UEC</v>
          </cell>
          <cell r="D891" t="str">
            <v>N</v>
          </cell>
          <cell r="E891" t="str">
            <v>A</v>
          </cell>
          <cell r="F891" t="str">
            <v>06/26/2003</v>
          </cell>
        </row>
        <row r="892">
          <cell r="B892" t="str">
            <v>14396</v>
          </cell>
          <cell r="C892" t="str">
            <v>UEC</v>
          </cell>
          <cell r="D892" t="str">
            <v>N</v>
          </cell>
          <cell r="E892" t="str">
            <v>A</v>
          </cell>
          <cell r="F892" t="str">
            <v>07/02/2003</v>
          </cell>
        </row>
        <row r="893">
          <cell r="B893" t="str">
            <v>14421</v>
          </cell>
          <cell r="C893"/>
          <cell r="D893"/>
          <cell r="E893"/>
          <cell r="F893"/>
        </row>
        <row r="894">
          <cell r="B894" t="str">
            <v>14434</v>
          </cell>
          <cell r="C894" t="str">
            <v>UEC</v>
          </cell>
          <cell r="D894" t="str">
            <v>N</v>
          </cell>
          <cell r="E894" t="str">
            <v>A</v>
          </cell>
          <cell r="F894" t="str">
            <v>07/21/2003</v>
          </cell>
        </row>
        <row r="895">
          <cell r="B895" t="str">
            <v>14454</v>
          </cell>
          <cell r="C895" t="str">
            <v>UEC</v>
          </cell>
          <cell r="D895" t="str">
            <v>N</v>
          </cell>
          <cell r="E895" t="str">
            <v>A</v>
          </cell>
          <cell r="F895" t="str">
            <v>09/12/2003</v>
          </cell>
        </row>
        <row r="896">
          <cell r="B896" t="str">
            <v>14501</v>
          </cell>
          <cell r="C896" t="str">
            <v>CIP</v>
          </cell>
          <cell r="D896" t="str">
            <v>N</v>
          </cell>
          <cell r="E896" t="str">
            <v>A</v>
          </cell>
          <cell r="F896" t="str">
            <v>09/11/2003</v>
          </cell>
        </row>
        <row r="897">
          <cell r="B897" t="str">
            <v>14504</v>
          </cell>
          <cell r="C897" t="str">
            <v>CIL</v>
          </cell>
          <cell r="D897" t="str">
            <v>N</v>
          </cell>
          <cell r="E897" t="str">
            <v>A</v>
          </cell>
          <cell r="F897" t="str">
            <v>09/24/2003</v>
          </cell>
        </row>
        <row r="898">
          <cell r="B898" t="str">
            <v>14509</v>
          </cell>
          <cell r="C898" t="str">
            <v>UEC</v>
          </cell>
          <cell r="D898" t="str">
            <v>N</v>
          </cell>
          <cell r="E898" t="str">
            <v>A</v>
          </cell>
          <cell r="F898" t="str">
            <v>07/30/2003</v>
          </cell>
        </row>
        <row r="899">
          <cell r="B899" t="str">
            <v>14519</v>
          </cell>
          <cell r="C899" t="str">
            <v>UEC</v>
          </cell>
          <cell r="D899" t="str">
            <v>N</v>
          </cell>
          <cell r="E899" t="str">
            <v>A</v>
          </cell>
          <cell r="F899" t="str">
            <v>09/12/2003</v>
          </cell>
        </row>
        <row r="900">
          <cell r="B900" t="str">
            <v>14525</v>
          </cell>
          <cell r="C900" t="str">
            <v>UEC</v>
          </cell>
          <cell r="D900" t="str">
            <v>N</v>
          </cell>
          <cell r="E900" t="str">
            <v>A</v>
          </cell>
          <cell r="F900" t="str">
            <v>09/18/2003</v>
          </cell>
        </row>
        <row r="901">
          <cell r="B901" t="str">
            <v>14546</v>
          </cell>
          <cell r="C901" t="str">
            <v>UEC</v>
          </cell>
          <cell r="D901" t="str">
            <v>N</v>
          </cell>
          <cell r="E901" t="str">
            <v>A</v>
          </cell>
          <cell r="F901" t="str">
            <v>01/08/2004</v>
          </cell>
        </row>
        <row r="902">
          <cell r="B902" t="str">
            <v>14549</v>
          </cell>
          <cell r="C902" t="str">
            <v>CIL</v>
          </cell>
          <cell r="D902" t="str">
            <v>N</v>
          </cell>
          <cell r="E902" t="str">
            <v>A</v>
          </cell>
          <cell r="F902" t="str">
            <v>10/06/2003</v>
          </cell>
        </row>
        <row r="903">
          <cell r="B903" t="str">
            <v>14551</v>
          </cell>
          <cell r="C903" t="str">
            <v>CIL</v>
          </cell>
          <cell r="D903" t="str">
            <v>N</v>
          </cell>
          <cell r="E903" t="str">
            <v>A</v>
          </cell>
          <cell r="F903" t="str">
            <v>10/02/2003</v>
          </cell>
        </row>
        <row r="904">
          <cell r="B904" t="str">
            <v>14556</v>
          </cell>
          <cell r="C904" t="str">
            <v>CIL</v>
          </cell>
          <cell r="D904" t="str">
            <v>N</v>
          </cell>
          <cell r="E904" t="str">
            <v>A</v>
          </cell>
          <cell r="F904" t="str">
            <v>01/02/2004</v>
          </cell>
        </row>
        <row r="905">
          <cell r="B905" t="str">
            <v>14557</v>
          </cell>
          <cell r="C905" t="str">
            <v>CIL</v>
          </cell>
          <cell r="D905" t="str">
            <v>N</v>
          </cell>
          <cell r="E905" t="str">
            <v>A</v>
          </cell>
          <cell r="F905" t="str">
            <v>11/13/2003</v>
          </cell>
        </row>
        <row r="906">
          <cell r="B906" t="str">
            <v>14560</v>
          </cell>
          <cell r="C906" t="str">
            <v>UEC</v>
          </cell>
          <cell r="D906" t="str">
            <v>N</v>
          </cell>
          <cell r="E906" t="str">
            <v>A</v>
          </cell>
          <cell r="F906" t="str">
            <v>11/04/2003</v>
          </cell>
        </row>
        <row r="907">
          <cell r="B907" t="str">
            <v>14569</v>
          </cell>
          <cell r="C907" t="str">
            <v>AMC</v>
          </cell>
          <cell r="D907" t="str">
            <v>N</v>
          </cell>
          <cell r="E907" t="str">
            <v>A</v>
          </cell>
          <cell r="F907" t="str">
            <v>07/28/2003</v>
          </cell>
        </row>
        <row r="908">
          <cell r="B908" t="str">
            <v>14576</v>
          </cell>
          <cell r="C908" t="str">
            <v>UEC</v>
          </cell>
          <cell r="D908" t="str">
            <v>N</v>
          </cell>
          <cell r="E908" t="str">
            <v>A</v>
          </cell>
          <cell r="F908" t="str">
            <v>07/30/2003</v>
          </cell>
        </row>
        <row r="909">
          <cell r="B909" t="str">
            <v>14579</v>
          </cell>
          <cell r="C909" t="str">
            <v>UEC</v>
          </cell>
          <cell r="D909" t="str">
            <v>N</v>
          </cell>
          <cell r="E909" t="str">
            <v>A</v>
          </cell>
          <cell r="F909" t="str">
            <v>09/02/2003</v>
          </cell>
        </row>
        <row r="910">
          <cell r="B910" t="str">
            <v>14804</v>
          </cell>
          <cell r="C910" t="str">
            <v>ARG</v>
          </cell>
          <cell r="D910" t="str">
            <v>N</v>
          </cell>
          <cell r="E910" t="str">
            <v>C</v>
          </cell>
          <cell r="F910" t="str">
            <v>08/29/2003</v>
          </cell>
        </row>
        <row r="911">
          <cell r="B911" t="str">
            <v>14808</v>
          </cell>
          <cell r="C911" t="str">
            <v>UEC</v>
          </cell>
          <cell r="D911" t="str">
            <v>N</v>
          </cell>
          <cell r="E911" t="str">
            <v>A</v>
          </cell>
          <cell r="F911" t="str">
            <v>08/13/2003</v>
          </cell>
        </row>
        <row r="912">
          <cell r="B912" t="str">
            <v>14818</v>
          </cell>
          <cell r="C912" t="str">
            <v>UEC</v>
          </cell>
          <cell r="D912" t="str">
            <v>N</v>
          </cell>
          <cell r="E912" t="str">
            <v>A</v>
          </cell>
          <cell r="F912" t="str">
            <v>09/04/2003</v>
          </cell>
        </row>
        <row r="913">
          <cell r="B913" t="str">
            <v>14858</v>
          </cell>
          <cell r="C913" t="str">
            <v>UEC</v>
          </cell>
          <cell r="D913" t="str">
            <v>N</v>
          </cell>
          <cell r="E913" t="str">
            <v>A</v>
          </cell>
          <cell r="F913" t="str">
            <v>10/20/2003</v>
          </cell>
        </row>
        <row r="914">
          <cell r="B914" t="str">
            <v>14885</v>
          </cell>
          <cell r="C914" t="str">
            <v>UEC</v>
          </cell>
          <cell r="D914" t="str">
            <v>N</v>
          </cell>
          <cell r="E914" t="str">
            <v>A</v>
          </cell>
          <cell r="F914" t="str">
            <v>08/21/2003</v>
          </cell>
        </row>
        <row r="915">
          <cell r="B915" t="str">
            <v>14894</v>
          </cell>
          <cell r="C915" t="str">
            <v>UEC</v>
          </cell>
          <cell r="D915" t="str">
            <v>N</v>
          </cell>
          <cell r="E915" t="str">
            <v>A</v>
          </cell>
          <cell r="F915" t="str">
            <v>09/05/2003</v>
          </cell>
        </row>
        <row r="916">
          <cell r="B916" t="str">
            <v>14980</v>
          </cell>
          <cell r="C916" t="str">
            <v>CIP</v>
          </cell>
          <cell r="D916" t="str">
            <v>N</v>
          </cell>
          <cell r="E916" t="str">
            <v>A</v>
          </cell>
          <cell r="F916" t="str">
            <v>11/17/2003</v>
          </cell>
        </row>
        <row r="917">
          <cell r="B917" t="str">
            <v>14997</v>
          </cell>
          <cell r="C917" t="str">
            <v>CIL</v>
          </cell>
          <cell r="D917" t="str">
            <v>N</v>
          </cell>
          <cell r="E917" t="str">
            <v>A</v>
          </cell>
          <cell r="F917" t="str">
            <v>10/03/2003</v>
          </cell>
        </row>
        <row r="918">
          <cell r="B918" t="str">
            <v>15059</v>
          </cell>
          <cell r="C918" t="str">
            <v>CIP</v>
          </cell>
          <cell r="D918" t="str">
            <v>N</v>
          </cell>
          <cell r="E918" t="str">
            <v>I</v>
          </cell>
          <cell r="F918" t="str">
            <v>09/13/2003</v>
          </cell>
        </row>
        <row r="919">
          <cell r="B919" t="str">
            <v>15060</v>
          </cell>
          <cell r="C919" t="str">
            <v>UEC</v>
          </cell>
          <cell r="D919" t="str">
            <v>N</v>
          </cell>
          <cell r="E919" t="str">
            <v>A</v>
          </cell>
          <cell r="F919" t="str">
            <v>09/13/2003</v>
          </cell>
        </row>
        <row r="920">
          <cell r="B920" t="str">
            <v>15065</v>
          </cell>
          <cell r="C920" t="str">
            <v>CIC</v>
          </cell>
          <cell r="D920" t="str">
            <v>N</v>
          </cell>
          <cell r="E920" t="str">
            <v>I</v>
          </cell>
          <cell r="F920" t="str">
            <v>09/25/2003</v>
          </cell>
        </row>
        <row r="921">
          <cell r="B921" t="str">
            <v>15065</v>
          </cell>
          <cell r="C921" t="str">
            <v>CIC</v>
          </cell>
          <cell r="D921" t="str">
            <v>N</v>
          </cell>
          <cell r="E921" t="str">
            <v>I</v>
          </cell>
          <cell r="F921" t="str">
            <v>09/25/2003</v>
          </cell>
        </row>
        <row r="922">
          <cell r="B922" t="str">
            <v>15070</v>
          </cell>
          <cell r="C922" t="str">
            <v>ARG</v>
          </cell>
          <cell r="D922" t="str">
            <v>N</v>
          </cell>
          <cell r="E922" t="str">
            <v>A</v>
          </cell>
          <cell r="F922" t="str">
            <v>09/30/2003</v>
          </cell>
        </row>
        <row r="923">
          <cell r="B923" t="str">
            <v>15073</v>
          </cell>
          <cell r="C923" t="str">
            <v>UEC</v>
          </cell>
          <cell r="D923" t="str">
            <v>N</v>
          </cell>
          <cell r="E923" t="str">
            <v>A</v>
          </cell>
          <cell r="F923" t="str">
            <v>09/11/2003</v>
          </cell>
        </row>
        <row r="924">
          <cell r="B924" t="str">
            <v>15081</v>
          </cell>
          <cell r="C924" t="str">
            <v>CIL</v>
          </cell>
          <cell r="D924" t="str">
            <v>N</v>
          </cell>
          <cell r="E924" t="str">
            <v>A</v>
          </cell>
          <cell r="F924" t="str">
            <v>09/09/2003</v>
          </cell>
        </row>
        <row r="925">
          <cell r="B925" t="str">
            <v>15087</v>
          </cell>
          <cell r="C925" t="str">
            <v>UEC</v>
          </cell>
          <cell r="D925" t="str">
            <v>N</v>
          </cell>
          <cell r="E925" t="str">
            <v>A</v>
          </cell>
          <cell r="F925" t="str">
            <v>09/08/2003</v>
          </cell>
        </row>
        <row r="926">
          <cell r="B926" t="str">
            <v>15089</v>
          </cell>
          <cell r="C926" t="str">
            <v>UEC</v>
          </cell>
          <cell r="D926" t="str">
            <v>N</v>
          </cell>
          <cell r="E926" t="str">
            <v>A</v>
          </cell>
          <cell r="F926" t="str">
            <v>11/12/2003</v>
          </cell>
        </row>
        <row r="927">
          <cell r="B927" t="str">
            <v>15091</v>
          </cell>
          <cell r="C927" t="str">
            <v>UEC</v>
          </cell>
          <cell r="D927" t="str">
            <v>N</v>
          </cell>
          <cell r="E927" t="str">
            <v>A</v>
          </cell>
          <cell r="F927" t="str">
            <v>09/11/2003</v>
          </cell>
        </row>
        <row r="928">
          <cell r="B928" t="str">
            <v>15094</v>
          </cell>
          <cell r="C928" t="str">
            <v>CIL</v>
          </cell>
          <cell r="D928" t="str">
            <v>N</v>
          </cell>
          <cell r="E928" t="str">
            <v>I</v>
          </cell>
          <cell r="F928" t="str">
            <v>09/18/2003</v>
          </cell>
        </row>
        <row r="929">
          <cell r="B929" t="str">
            <v>15094</v>
          </cell>
          <cell r="C929" t="str">
            <v>CIL</v>
          </cell>
          <cell r="D929" t="str">
            <v>N</v>
          </cell>
          <cell r="E929" t="str">
            <v>I</v>
          </cell>
          <cell r="F929" t="str">
            <v>09/18/2003</v>
          </cell>
        </row>
        <row r="930">
          <cell r="B930" t="str">
            <v>15099</v>
          </cell>
          <cell r="C930" t="str">
            <v>UEC</v>
          </cell>
          <cell r="D930" t="str">
            <v>N</v>
          </cell>
          <cell r="E930" t="str">
            <v>A</v>
          </cell>
          <cell r="F930" t="str">
            <v>09/15/2003</v>
          </cell>
        </row>
        <row r="931">
          <cell r="B931" t="str">
            <v>15100</v>
          </cell>
          <cell r="C931" t="str">
            <v>CIL</v>
          </cell>
          <cell r="D931" t="str">
            <v>N</v>
          </cell>
          <cell r="E931" t="str">
            <v>A</v>
          </cell>
          <cell r="F931" t="str">
            <v>09/17/2003</v>
          </cell>
        </row>
        <row r="932">
          <cell r="B932" t="str">
            <v>15101</v>
          </cell>
          <cell r="C932" t="str">
            <v>CIL</v>
          </cell>
          <cell r="D932" t="str">
            <v>N</v>
          </cell>
          <cell r="E932" t="str">
            <v>A</v>
          </cell>
          <cell r="F932" t="str">
            <v>09/17/2003</v>
          </cell>
        </row>
        <row r="933">
          <cell r="B933" t="str">
            <v>15105</v>
          </cell>
          <cell r="C933" t="str">
            <v>CIL</v>
          </cell>
          <cell r="D933" t="str">
            <v>N</v>
          </cell>
          <cell r="E933" t="str">
            <v>A</v>
          </cell>
          <cell r="F933" t="str">
            <v>09/17/2003</v>
          </cell>
        </row>
        <row r="934">
          <cell r="B934" t="str">
            <v>15106</v>
          </cell>
          <cell r="C934" t="str">
            <v>ARG</v>
          </cell>
          <cell r="D934" t="str">
            <v>N</v>
          </cell>
          <cell r="E934" t="str">
            <v>A</v>
          </cell>
          <cell r="F934" t="str">
            <v>09/18/2003</v>
          </cell>
        </row>
        <row r="935">
          <cell r="B935" t="str">
            <v>15107</v>
          </cell>
          <cell r="C935" t="str">
            <v>ARG</v>
          </cell>
          <cell r="D935" t="str">
            <v>N</v>
          </cell>
          <cell r="E935" t="str">
            <v>A</v>
          </cell>
          <cell r="F935" t="str">
            <v>09/30/2003</v>
          </cell>
        </row>
        <row r="936">
          <cell r="B936" t="str">
            <v>15108</v>
          </cell>
          <cell r="C936" t="str">
            <v>ARG</v>
          </cell>
          <cell r="D936" t="str">
            <v>N</v>
          </cell>
          <cell r="E936" t="str">
            <v>A</v>
          </cell>
          <cell r="F936" t="str">
            <v>09/19/2003</v>
          </cell>
        </row>
        <row r="937">
          <cell r="B937" t="str">
            <v>15109</v>
          </cell>
          <cell r="C937" t="str">
            <v>ARG</v>
          </cell>
          <cell r="D937" t="str">
            <v>N</v>
          </cell>
          <cell r="E937" t="str">
            <v>A</v>
          </cell>
          <cell r="F937" t="str">
            <v>09/19/2003</v>
          </cell>
        </row>
        <row r="938">
          <cell r="B938" t="str">
            <v>15110</v>
          </cell>
          <cell r="C938" t="str">
            <v>CIP</v>
          </cell>
          <cell r="D938" t="str">
            <v>N</v>
          </cell>
          <cell r="E938" t="str">
            <v>A</v>
          </cell>
          <cell r="F938" t="str">
            <v>11/13/2003</v>
          </cell>
        </row>
        <row r="939">
          <cell r="B939" t="str">
            <v>15111</v>
          </cell>
          <cell r="C939" t="str">
            <v>ARG</v>
          </cell>
          <cell r="D939" t="str">
            <v>N</v>
          </cell>
          <cell r="E939" t="str">
            <v>A</v>
          </cell>
          <cell r="F939" t="str">
            <v>09/19/2003</v>
          </cell>
        </row>
        <row r="940">
          <cell r="B940" t="str">
            <v>15114</v>
          </cell>
          <cell r="C940" t="str">
            <v>CIL</v>
          </cell>
          <cell r="D940" t="str">
            <v>N</v>
          </cell>
          <cell r="E940" t="str">
            <v>I</v>
          </cell>
          <cell r="F940" t="str">
            <v>09/23/2003</v>
          </cell>
        </row>
        <row r="941">
          <cell r="B941" t="str">
            <v>15114</v>
          </cell>
          <cell r="C941" t="str">
            <v>CIL</v>
          </cell>
          <cell r="D941" t="str">
            <v>N</v>
          </cell>
          <cell r="E941" t="str">
            <v>I</v>
          </cell>
          <cell r="F941" t="str">
            <v>09/23/2003</v>
          </cell>
        </row>
        <row r="942">
          <cell r="B942" t="str">
            <v>15117</v>
          </cell>
          <cell r="C942" t="str">
            <v>CIP</v>
          </cell>
          <cell r="D942" t="str">
            <v>N</v>
          </cell>
          <cell r="E942" t="str">
            <v>A</v>
          </cell>
          <cell r="F942" t="str">
            <v>11/17/2003</v>
          </cell>
        </row>
        <row r="943">
          <cell r="B943" t="str">
            <v>15129</v>
          </cell>
          <cell r="C943" t="str">
            <v>UEC</v>
          </cell>
          <cell r="D943" t="str">
            <v>N</v>
          </cell>
          <cell r="E943" t="str">
            <v>A</v>
          </cell>
          <cell r="F943" t="str">
            <v>11/07/2003</v>
          </cell>
        </row>
        <row r="944">
          <cell r="B944" t="str">
            <v>15132</v>
          </cell>
          <cell r="C944" t="str">
            <v>UEC</v>
          </cell>
          <cell r="D944" t="str">
            <v>N</v>
          </cell>
          <cell r="E944" t="str">
            <v>A</v>
          </cell>
          <cell r="F944" t="str">
            <v>10/08/2003</v>
          </cell>
        </row>
        <row r="945">
          <cell r="B945" t="str">
            <v>15136</v>
          </cell>
          <cell r="C945" t="str">
            <v>CIL</v>
          </cell>
          <cell r="D945" t="str">
            <v>N</v>
          </cell>
          <cell r="E945" t="str">
            <v>I</v>
          </cell>
          <cell r="F945" t="str">
            <v>10/14/2003</v>
          </cell>
        </row>
        <row r="946">
          <cell r="B946" t="str">
            <v>15136</v>
          </cell>
          <cell r="C946" t="str">
            <v>CIL</v>
          </cell>
          <cell r="D946" t="str">
            <v>N</v>
          </cell>
          <cell r="E946" t="str">
            <v>I</v>
          </cell>
          <cell r="F946" t="str">
            <v>10/14/2003</v>
          </cell>
        </row>
        <row r="947">
          <cell r="B947" t="str">
            <v>15153</v>
          </cell>
          <cell r="C947" t="str">
            <v>CIL</v>
          </cell>
          <cell r="D947" t="str">
            <v>N</v>
          </cell>
          <cell r="E947" t="str">
            <v>I</v>
          </cell>
          <cell r="F947" t="str">
            <v>10/16/2003</v>
          </cell>
        </row>
        <row r="948">
          <cell r="B948" t="str">
            <v>15153</v>
          </cell>
          <cell r="C948" t="str">
            <v>CIL</v>
          </cell>
          <cell r="D948" t="str">
            <v>N</v>
          </cell>
          <cell r="E948" t="str">
            <v>I</v>
          </cell>
          <cell r="F948" t="str">
            <v>10/16/2003</v>
          </cell>
        </row>
        <row r="949">
          <cell r="B949" t="str">
            <v>15157</v>
          </cell>
          <cell r="C949" t="str">
            <v>UEC</v>
          </cell>
          <cell r="D949" t="str">
            <v>N</v>
          </cell>
          <cell r="E949" t="str">
            <v>A</v>
          </cell>
          <cell r="F949" t="str">
            <v>10/21/2003</v>
          </cell>
        </row>
        <row r="950">
          <cell r="B950" t="str">
            <v>15159</v>
          </cell>
          <cell r="C950" t="str">
            <v>CIL</v>
          </cell>
          <cell r="D950" t="str">
            <v>N</v>
          </cell>
          <cell r="E950" t="str">
            <v>I</v>
          </cell>
          <cell r="F950" t="str">
            <v>10/22/2003</v>
          </cell>
        </row>
        <row r="951">
          <cell r="B951" t="str">
            <v>15161</v>
          </cell>
          <cell r="C951" t="str">
            <v>CIL</v>
          </cell>
          <cell r="D951" t="str">
            <v>N</v>
          </cell>
          <cell r="E951" t="str">
            <v>I</v>
          </cell>
          <cell r="F951" t="str">
            <v>10/28/2003</v>
          </cell>
        </row>
        <row r="952">
          <cell r="B952" t="str">
            <v>15165</v>
          </cell>
          <cell r="C952" t="str">
            <v>CIL</v>
          </cell>
          <cell r="D952" t="str">
            <v>N</v>
          </cell>
          <cell r="E952" t="str">
            <v>I</v>
          </cell>
          <cell r="F952" t="str">
            <v>11/05/2003</v>
          </cell>
        </row>
        <row r="953">
          <cell r="B953" t="str">
            <v>15182</v>
          </cell>
          <cell r="C953" t="str">
            <v>CIL</v>
          </cell>
          <cell r="D953" t="str">
            <v>N</v>
          </cell>
          <cell r="E953" t="str">
            <v>I</v>
          </cell>
          <cell r="F953" t="str">
            <v>12/02/2003</v>
          </cell>
        </row>
        <row r="954">
          <cell r="B954" t="str">
            <v>15182</v>
          </cell>
          <cell r="C954" t="str">
            <v>CIL</v>
          </cell>
          <cell r="D954" t="str">
            <v>N</v>
          </cell>
          <cell r="E954" t="str">
            <v>I</v>
          </cell>
          <cell r="F954" t="str">
            <v>12/02/2003</v>
          </cell>
        </row>
        <row r="955">
          <cell r="B955" t="str">
            <v>15199</v>
          </cell>
          <cell r="C955" t="str">
            <v>UEC</v>
          </cell>
          <cell r="D955" t="str">
            <v>N</v>
          </cell>
          <cell r="E955" t="str">
            <v>A</v>
          </cell>
          <cell r="F955" t="str">
            <v>12/10/2003</v>
          </cell>
        </row>
        <row r="956">
          <cell r="B956" t="str">
            <v>15201</v>
          </cell>
          <cell r="C956" t="str">
            <v>CIL</v>
          </cell>
          <cell r="D956" t="str">
            <v>N</v>
          </cell>
          <cell r="E956" t="str">
            <v>A</v>
          </cell>
          <cell r="F956" t="str">
            <v>12/12/2003</v>
          </cell>
        </row>
        <row r="957">
          <cell r="B957" t="str">
            <v>15202</v>
          </cell>
          <cell r="C957" t="str">
            <v>ARG</v>
          </cell>
          <cell r="D957" t="str">
            <v>N</v>
          </cell>
          <cell r="E957" t="str">
            <v>I</v>
          </cell>
          <cell r="F957" t="str">
            <v>12/15/2003</v>
          </cell>
        </row>
        <row r="958">
          <cell r="B958" t="str">
            <v>15202</v>
          </cell>
          <cell r="C958" t="str">
            <v>ARG</v>
          </cell>
          <cell r="D958" t="str">
            <v>N</v>
          </cell>
          <cell r="E958" t="str">
            <v>I</v>
          </cell>
          <cell r="F958" t="str">
            <v>12/15/2003</v>
          </cell>
        </row>
        <row r="959">
          <cell r="B959" t="str">
            <v>15204</v>
          </cell>
          <cell r="C959" t="str">
            <v>UEC</v>
          </cell>
          <cell r="D959" t="str">
            <v>N</v>
          </cell>
          <cell r="E959" t="str">
            <v>A</v>
          </cell>
          <cell r="F959" t="str">
            <v>12/17/2003</v>
          </cell>
        </row>
        <row r="960">
          <cell r="B960" t="str">
            <v>15213</v>
          </cell>
          <cell r="C960" t="str">
            <v>UEC</v>
          </cell>
          <cell r="D960" t="str">
            <v>N</v>
          </cell>
          <cell r="E960" t="str">
            <v>A</v>
          </cell>
          <cell r="F960" t="str">
            <v>12/29/2003</v>
          </cell>
        </row>
        <row r="961">
          <cell r="B961" t="str">
            <v>15215</v>
          </cell>
          <cell r="C961" t="str">
            <v>UEC</v>
          </cell>
          <cell r="D961" t="str">
            <v>N</v>
          </cell>
          <cell r="E961" t="str">
            <v>A</v>
          </cell>
          <cell r="F961" t="str">
            <v>01/02/2004</v>
          </cell>
        </row>
        <row r="962">
          <cell r="B962" t="str">
            <v>15216</v>
          </cell>
          <cell r="C962" t="str">
            <v>UEC</v>
          </cell>
          <cell r="D962" t="str">
            <v>N</v>
          </cell>
          <cell r="E962" t="str">
            <v>A</v>
          </cell>
          <cell r="F962" t="str">
            <v>01/02/2004</v>
          </cell>
        </row>
        <row r="963">
          <cell r="B963" t="str">
            <v>15218</v>
          </cell>
          <cell r="C963" t="str">
            <v>UEC</v>
          </cell>
          <cell r="D963" t="str">
            <v>N</v>
          </cell>
          <cell r="E963" t="str">
            <v>A</v>
          </cell>
          <cell r="F963" t="str">
            <v>01/07/2004</v>
          </cell>
        </row>
        <row r="964">
          <cell r="B964" t="str">
            <v>15219</v>
          </cell>
          <cell r="C964" t="str">
            <v>UEC</v>
          </cell>
          <cell r="D964" t="str">
            <v>N</v>
          </cell>
          <cell r="E964" t="str">
            <v>A</v>
          </cell>
          <cell r="F964" t="str">
            <v>01/07/2004</v>
          </cell>
        </row>
        <row r="965">
          <cell r="B965" t="str">
            <v>15220</v>
          </cell>
          <cell r="C965" t="str">
            <v>CIP</v>
          </cell>
          <cell r="D965" t="str">
            <v>N</v>
          </cell>
          <cell r="E965" t="str">
            <v>I</v>
          </cell>
          <cell r="F965" t="str">
            <v>01/07/2004</v>
          </cell>
        </row>
        <row r="966">
          <cell r="B966" t="str">
            <v>15229</v>
          </cell>
          <cell r="C966" t="str">
            <v>UEC</v>
          </cell>
          <cell r="D966" t="str">
            <v>N</v>
          </cell>
          <cell r="E966" t="str">
            <v>I</v>
          </cell>
          <cell r="F966" t="str">
            <v>01/20/2004</v>
          </cell>
        </row>
        <row r="967">
          <cell r="B967" t="str">
            <v>15229</v>
          </cell>
          <cell r="C967" t="str">
            <v>UEC</v>
          </cell>
          <cell r="D967" t="str">
            <v>N</v>
          </cell>
          <cell r="E967" t="str">
            <v>I</v>
          </cell>
          <cell r="F967" t="str">
            <v>01/20/2004</v>
          </cell>
        </row>
        <row r="968">
          <cell r="B968" t="str">
            <v>15242</v>
          </cell>
          <cell r="C968" t="str">
            <v>UEC</v>
          </cell>
          <cell r="D968" t="str">
            <v>N</v>
          </cell>
          <cell r="E968" t="str">
            <v>I</v>
          </cell>
          <cell r="F968" t="str">
            <v>01/23/2004</v>
          </cell>
        </row>
        <row r="969">
          <cell r="B969" t="str">
            <v>15242</v>
          </cell>
          <cell r="C969" t="str">
            <v>UEC</v>
          </cell>
          <cell r="D969" t="str">
            <v>N</v>
          </cell>
          <cell r="E969" t="str">
            <v>I</v>
          </cell>
          <cell r="F969" t="str">
            <v>01/23/2004</v>
          </cell>
        </row>
        <row r="970">
          <cell r="B970" t="str">
            <v>15244</v>
          </cell>
          <cell r="C970" t="str">
            <v>UEC</v>
          </cell>
          <cell r="D970" t="str">
            <v>N</v>
          </cell>
          <cell r="E970" t="str">
            <v>I</v>
          </cell>
          <cell r="F970" t="str">
            <v>01/23/2004</v>
          </cell>
        </row>
        <row r="971">
          <cell r="B971" t="str">
            <v>15254</v>
          </cell>
          <cell r="C971" t="str">
            <v>CIP</v>
          </cell>
          <cell r="D971" t="str">
            <v>N</v>
          </cell>
          <cell r="E971" t="str">
            <v>C</v>
          </cell>
          <cell r="F971" t="str">
            <v>05/29/1998</v>
          </cell>
        </row>
        <row r="972">
          <cell r="B972" t="str">
            <v>15362</v>
          </cell>
          <cell r="C972" t="str">
            <v>CIP</v>
          </cell>
          <cell r="D972" t="str">
            <v>N</v>
          </cell>
          <cell r="E972" t="str">
            <v>C</v>
          </cell>
          <cell r="F972" t="str">
            <v>12/22/1997</v>
          </cell>
        </row>
        <row r="973">
          <cell r="B973" t="str">
            <v>38257</v>
          </cell>
          <cell r="C973" t="str">
            <v>CIP</v>
          </cell>
          <cell r="D973" t="str">
            <v>N</v>
          </cell>
          <cell r="E973" t="str">
            <v>C</v>
          </cell>
          <cell r="F973" t="str">
            <v>01/06/1998</v>
          </cell>
        </row>
        <row r="974">
          <cell r="B974" t="str">
            <v>0A001</v>
          </cell>
          <cell r="C974" t="str">
            <v>UEC</v>
          </cell>
          <cell r="D974" t="str">
            <v>N</v>
          </cell>
          <cell r="E974" t="str">
            <v>A</v>
          </cell>
          <cell r="F974" t="str">
            <v>12/06/1997</v>
          </cell>
        </row>
        <row r="975">
          <cell r="B975" t="str">
            <v>0A005</v>
          </cell>
          <cell r="C975" t="str">
            <v>UEC</v>
          </cell>
          <cell r="D975" t="str">
            <v>N</v>
          </cell>
          <cell r="E975" t="str">
            <v>A</v>
          </cell>
          <cell r="F975" t="str">
            <v>12/06/1997</v>
          </cell>
        </row>
        <row r="976">
          <cell r="B976" t="str">
            <v>0A006</v>
          </cell>
          <cell r="C976" t="str">
            <v>UEC</v>
          </cell>
          <cell r="D976" t="str">
            <v>N</v>
          </cell>
          <cell r="E976" t="str">
            <v>A</v>
          </cell>
          <cell r="F976" t="str">
            <v>12/06/1997</v>
          </cell>
        </row>
        <row r="977">
          <cell r="B977" t="str">
            <v>0A009</v>
          </cell>
          <cell r="C977" t="str">
            <v>UEC</v>
          </cell>
          <cell r="D977" t="str">
            <v>N</v>
          </cell>
          <cell r="E977" t="str">
            <v>A</v>
          </cell>
          <cell r="F977" t="str">
            <v>12/06/1997</v>
          </cell>
        </row>
        <row r="978">
          <cell r="B978" t="str">
            <v>0A010</v>
          </cell>
          <cell r="C978" t="str">
            <v>UEC</v>
          </cell>
          <cell r="D978" t="str">
            <v>N</v>
          </cell>
          <cell r="E978" t="str">
            <v>A</v>
          </cell>
          <cell r="F978" t="str">
            <v>02/14/2003</v>
          </cell>
        </row>
        <row r="979">
          <cell r="B979" t="str">
            <v>0A011</v>
          </cell>
          <cell r="C979" t="str">
            <v>UEC</v>
          </cell>
          <cell r="D979" t="str">
            <v>N</v>
          </cell>
          <cell r="E979" t="str">
            <v>A</v>
          </cell>
          <cell r="F979" t="str">
            <v>12/06/1997</v>
          </cell>
        </row>
        <row r="980">
          <cell r="B980" t="str">
            <v>0A012</v>
          </cell>
          <cell r="C980" t="str">
            <v>UEC</v>
          </cell>
          <cell r="D980" t="str">
            <v>N</v>
          </cell>
          <cell r="E980" t="str">
            <v>A</v>
          </cell>
          <cell r="F980" t="str">
            <v>12/06/1997</v>
          </cell>
        </row>
        <row r="981">
          <cell r="B981" t="str">
            <v>0A013</v>
          </cell>
          <cell r="C981" t="str">
            <v>UEC</v>
          </cell>
          <cell r="D981" t="str">
            <v>N</v>
          </cell>
          <cell r="E981" t="str">
            <v>A</v>
          </cell>
          <cell r="F981" t="str">
            <v>02/14/2003</v>
          </cell>
        </row>
        <row r="982">
          <cell r="B982" t="str">
            <v>0A014</v>
          </cell>
          <cell r="C982" t="str">
            <v>UEC</v>
          </cell>
          <cell r="D982" t="str">
            <v>N</v>
          </cell>
          <cell r="E982" t="str">
            <v>A</v>
          </cell>
          <cell r="F982" t="str">
            <v>02/14/2003</v>
          </cell>
        </row>
        <row r="983">
          <cell r="B983" t="str">
            <v>0A018</v>
          </cell>
          <cell r="C983" t="str">
            <v>UEC</v>
          </cell>
          <cell r="D983" t="str">
            <v>Y</v>
          </cell>
          <cell r="E983" t="str">
            <v>A</v>
          </cell>
          <cell r="F983" t="str">
            <v>07/06/2001</v>
          </cell>
        </row>
        <row r="984">
          <cell r="B984" t="str">
            <v>0A037</v>
          </cell>
          <cell r="C984" t="str">
            <v>UEC</v>
          </cell>
          <cell r="D984" t="str">
            <v>N</v>
          </cell>
          <cell r="E984" t="str">
            <v>A</v>
          </cell>
          <cell r="F984" t="str">
            <v>01/13/1998</v>
          </cell>
        </row>
        <row r="985">
          <cell r="B985" t="str">
            <v>0A039</v>
          </cell>
          <cell r="C985" t="str">
            <v>UEC</v>
          </cell>
          <cell r="D985" t="str">
            <v>N</v>
          </cell>
          <cell r="E985" t="str">
            <v>A</v>
          </cell>
          <cell r="F985" t="str">
            <v>01/12/1998</v>
          </cell>
        </row>
        <row r="986">
          <cell r="B986" t="str">
            <v>0A042</v>
          </cell>
          <cell r="C986" t="str">
            <v>UEC</v>
          </cell>
          <cell r="D986" t="str">
            <v>N</v>
          </cell>
          <cell r="E986" t="str">
            <v>C</v>
          </cell>
          <cell r="F986" t="str">
            <v>01/12/1998</v>
          </cell>
        </row>
        <row r="987">
          <cell r="B987" t="str">
            <v>0A043</v>
          </cell>
          <cell r="C987" t="str">
            <v>UEC</v>
          </cell>
          <cell r="D987" t="str">
            <v>N</v>
          </cell>
          <cell r="E987" t="str">
            <v>A</v>
          </cell>
          <cell r="F987" t="str">
            <v>01/12/1998</v>
          </cell>
        </row>
        <row r="988">
          <cell r="B988" t="str">
            <v>0A045</v>
          </cell>
          <cell r="C988" t="str">
            <v>UEC</v>
          </cell>
          <cell r="D988" t="str">
            <v>N</v>
          </cell>
          <cell r="E988" t="str">
            <v>A</v>
          </cell>
          <cell r="F988" t="str">
            <v>01/12/1998</v>
          </cell>
        </row>
        <row r="989">
          <cell r="B989" t="str">
            <v>0A046</v>
          </cell>
          <cell r="C989" t="str">
            <v>UEC</v>
          </cell>
          <cell r="D989" t="str">
            <v>N</v>
          </cell>
          <cell r="E989" t="str">
            <v>A</v>
          </cell>
          <cell r="F989" t="str">
            <v>01/12/1998</v>
          </cell>
        </row>
        <row r="990">
          <cell r="B990" t="str">
            <v>0A047</v>
          </cell>
          <cell r="C990" t="str">
            <v>UEC</v>
          </cell>
          <cell r="D990" t="str">
            <v>N</v>
          </cell>
          <cell r="E990" t="str">
            <v>A</v>
          </cell>
          <cell r="F990" t="str">
            <v>01/12/1998</v>
          </cell>
        </row>
        <row r="991">
          <cell r="B991" t="str">
            <v>0A048</v>
          </cell>
          <cell r="C991" t="str">
            <v>UEC</v>
          </cell>
          <cell r="D991" t="str">
            <v>N</v>
          </cell>
          <cell r="E991" t="str">
            <v>A</v>
          </cell>
          <cell r="F991" t="str">
            <v>01/12/1998</v>
          </cell>
        </row>
        <row r="992">
          <cell r="B992" t="str">
            <v>0A049</v>
          </cell>
          <cell r="C992" t="str">
            <v>UEC</v>
          </cell>
          <cell r="D992" t="str">
            <v>N</v>
          </cell>
          <cell r="E992" t="str">
            <v>A</v>
          </cell>
          <cell r="F992" t="str">
            <v>01/12/1998</v>
          </cell>
        </row>
        <row r="993">
          <cell r="B993" t="str">
            <v>0A076</v>
          </cell>
          <cell r="C993" t="str">
            <v>UEC</v>
          </cell>
          <cell r="D993" t="str">
            <v>N</v>
          </cell>
          <cell r="E993" t="str">
            <v>A</v>
          </cell>
          <cell r="F993" t="str">
            <v>06/08/1998</v>
          </cell>
        </row>
        <row r="994">
          <cell r="B994" t="str">
            <v>0A090</v>
          </cell>
          <cell r="C994" t="str">
            <v>UEC</v>
          </cell>
          <cell r="D994" t="str">
            <v>N</v>
          </cell>
          <cell r="E994" t="str">
            <v>A</v>
          </cell>
          <cell r="F994" t="str">
            <v>06/24/2003</v>
          </cell>
        </row>
        <row r="995">
          <cell r="B995" t="str">
            <v>0A091</v>
          </cell>
          <cell r="C995" t="str">
            <v>UEC</v>
          </cell>
          <cell r="D995" t="str">
            <v>N</v>
          </cell>
          <cell r="E995" t="str">
            <v>A</v>
          </cell>
          <cell r="F995" t="str">
            <v>11/13/1998</v>
          </cell>
        </row>
        <row r="996">
          <cell r="B996" t="str">
            <v>0A092</v>
          </cell>
          <cell r="C996" t="str">
            <v>UEC</v>
          </cell>
          <cell r="D996" t="str">
            <v>N</v>
          </cell>
          <cell r="E996" t="str">
            <v>A</v>
          </cell>
          <cell r="F996" t="str">
            <v>06/24/2003</v>
          </cell>
        </row>
        <row r="997">
          <cell r="B997" t="str">
            <v>0A093</v>
          </cell>
          <cell r="C997" t="str">
            <v>UEC</v>
          </cell>
          <cell r="D997" t="str">
            <v>N</v>
          </cell>
          <cell r="E997" t="str">
            <v>A</v>
          </cell>
          <cell r="F997" t="str">
            <v>06/24/2003</v>
          </cell>
        </row>
        <row r="998">
          <cell r="B998" t="str">
            <v>0A094</v>
          </cell>
          <cell r="C998" t="str">
            <v>UEC</v>
          </cell>
          <cell r="D998" t="str">
            <v>N</v>
          </cell>
          <cell r="E998" t="str">
            <v>A</v>
          </cell>
          <cell r="F998" t="str">
            <v>06/02/1998</v>
          </cell>
        </row>
        <row r="999">
          <cell r="B999" t="str">
            <v>0A095</v>
          </cell>
          <cell r="C999" t="str">
            <v>UEC</v>
          </cell>
          <cell r="D999" t="str">
            <v>N</v>
          </cell>
          <cell r="E999" t="str">
            <v>A</v>
          </cell>
          <cell r="F999" t="str">
            <v>06/24/2003</v>
          </cell>
        </row>
        <row r="1000">
          <cell r="B1000" t="str">
            <v>0A096</v>
          </cell>
          <cell r="C1000" t="str">
            <v>UEC</v>
          </cell>
          <cell r="D1000" t="str">
            <v>N</v>
          </cell>
          <cell r="E1000" t="str">
            <v>A</v>
          </cell>
          <cell r="F1000" t="str">
            <v>11/19/2001</v>
          </cell>
        </row>
        <row r="1001">
          <cell r="B1001" t="str">
            <v>0A100</v>
          </cell>
          <cell r="C1001" t="str">
            <v>UEC</v>
          </cell>
          <cell r="D1001" t="str">
            <v>N</v>
          </cell>
          <cell r="E1001" t="str">
            <v>A</v>
          </cell>
          <cell r="F1001" t="str">
            <v>02/14/2003</v>
          </cell>
        </row>
        <row r="1002">
          <cell r="B1002" t="str">
            <v>0A101</v>
          </cell>
          <cell r="C1002" t="str">
            <v>UEC</v>
          </cell>
          <cell r="D1002" t="str">
            <v>N</v>
          </cell>
          <cell r="E1002" t="str">
            <v>A</v>
          </cell>
          <cell r="F1002" t="str">
            <v>02/14/2003</v>
          </cell>
        </row>
        <row r="1003">
          <cell r="B1003" t="str">
            <v>0A113</v>
          </cell>
          <cell r="C1003" t="str">
            <v>UEC</v>
          </cell>
          <cell r="D1003" t="str">
            <v>N</v>
          </cell>
          <cell r="E1003" t="str">
            <v>I</v>
          </cell>
          <cell r="F1003" t="str">
            <v>04/14/1998</v>
          </cell>
        </row>
        <row r="1004">
          <cell r="B1004" t="str">
            <v>0A121</v>
          </cell>
          <cell r="C1004" t="str">
            <v>UEC</v>
          </cell>
          <cell r="D1004" t="str">
            <v>N</v>
          </cell>
          <cell r="E1004" t="str">
            <v>A</v>
          </cell>
          <cell r="F1004" t="str">
            <v>01/16/2003</v>
          </cell>
        </row>
        <row r="1005">
          <cell r="B1005" t="str">
            <v>0A125</v>
          </cell>
          <cell r="C1005" t="str">
            <v>UEC</v>
          </cell>
          <cell r="D1005" t="str">
            <v>N</v>
          </cell>
          <cell r="E1005" t="str">
            <v>A</v>
          </cell>
          <cell r="F1005" t="str">
            <v>12/06/1997</v>
          </cell>
        </row>
        <row r="1006">
          <cell r="B1006" t="str">
            <v>0A126</v>
          </cell>
          <cell r="C1006" t="str">
            <v>UEC</v>
          </cell>
          <cell r="D1006" t="str">
            <v>N</v>
          </cell>
          <cell r="E1006" t="str">
            <v>A</v>
          </cell>
          <cell r="F1006" t="str">
            <v>12/06/1997</v>
          </cell>
        </row>
        <row r="1007">
          <cell r="B1007" t="str">
            <v>0A127</v>
          </cell>
          <cell r="C1007" t="str">
            <v>UEC</v>
          </cell>
          <cell r="D1007" t="str">
            <v>N</v>
          </cell>
          <cell r="E1007" t="str">
            <v>A</v>
          </cell>
          <cell r="F1007" t="str">
            <v>12/07/2001</v>
          </cell>
        </row>
        <row r="1008">
          <cell r="B1008" t="str">
            <v>0A128</v>
          </cell>
          <cell r="C1008" t="str">
            <v>UEC</v>
          </cell>
          <cell r="D1008" t="str">
            <v>N</v>
          </cell>
          <cell r="E1008" t="str">
            <v>A</v>
          </cell>
          <cell r="F1008" t="str">
            <v>01/31/2002</v>
          </cell>
        </row>
        <row r="1009">
          <cell r="B1009" t="str">
            <v>0A190</v>
          </cell>
          <cell r="C1009" t="str">
            <v>UEC</v>
          </cell>
          <cell r="D1009" t="str">
            <v>N</v>
          </cell>
          <cell r="E1009" t="str">
            <v>A</v>
          </cell>
          <cell r="F1009" t="str">
            <v>06/27/2003</v>
          </cell>
        </row>
        <row r="1010">
          <cell r="B1010" t="str">
            <v>0A191</v>
          </cell>
          <cell r="C1010" t="str">
            <v>UEC</v>
          </cell>
          <cell r="D1010" t="str">
            <v>N</v>
          </cell>
          <cell r="E1010" t="str">
            <v>A</v>
          </cell>
          <cell r="F1010" t="str">
            <v>06/27/2003</v>
          </cell>
        </row>
        <row r="1011">
          <cell r="B1011" t="str">
            <v>0A192</v>
          </cell>
          <cell r="C1011" t="str">
            <v>UEC</v>
          </cell>
          <cell r="D1011" t="str">
            <v>N</v>
          </cell>
          <cell r="E1011" t="str">
            <v>A</v>
          </cell>
          <cell r="F1011" t="str">
            <v>06/27/2003</v>
          </cell>
        </row>
        <row r="1012">
          <cell r="B1012" t="str">
            <v>0A193</v>
          </cell>
          <cell r="C1012" t="str">
            <v>UEC</v>
          </cell>
          <cell r="D1012" t="str">
            <v>N</v>
          </cell>
          <cell r="E1012" t="str">
            <v>A</v>
          </cell>
          <cell r="F1012" t="str">
            <v>06/27/2003</v>
          </cell>
        </row>
        <row r="1013">
          <cell r="B1013" t="str">
            <v>0A194</v>
          </cell>
          <cell r="C1013" t="str">
            <v>UEC</v>
          </cell>
          <cell r="D1013" t="str">
            <v>N</v>
          </cell>
          <cell r="E1013" t="str">
            <v>A</v>
          </cell>
          <cell r="F1013" t="str">
            <v>06/13/2003</v>
          </cell>
        </row>
        <row r="1014">
          <cell r="B1014" t="str">
            <v>0A195</v>
          </cell>
          <cell r="C1014" t="str">
            <v>UEC</v>
          </cell>
          <cell r="D1014" t="str">
            <v>N</v>
          </cell>
          <cell r="E1014" t="str">
            <v>A</v>
          </cell>
          <cell r="F1014" t="str">
            <v>06/27/2003</v>
          </cell>
        </row>
        <row r="1015">
          <cell r="B1015" t="str">
            <v>0A197</v>
          </cell>
          <cell r="C1015" t="str">
            <v>UEC</v>
          </cell>
          <cell r="D1015" t="str">
            <v>N</v>
          </cell>
          <cell r="E1015" t="str">
            <v>A</v>
          </cell>
          <cell r="F1015" t="str">
            <v>02/13/2003</v>
          </cell>
        </row>
        <row r="1016">
          <cell r="B1016" t="str">
            <v>0A198</v>
          </cell>
          <cell r="C1016" t="str">
            <v>UEC</v>
          </cell>
          <cell r="D1016" t="str">
            <v>N</v>
          </cell>
          <cell r="E1016" t="str">
            <v>A</v>
          </cell>
          <cell r="F1016" t="str">
            <v>02/13/2003</v>
          </cell>
        </row>
        <row r="1017">
          <cell r="B1017" t="str">
            <v>0A198</v>
          </cell>
          <cell r="C1017" t="str">
            <v>UEC</v>
          </cell>
          <cell r="D1017" t="str">
            <v>N</v>
          </cell>
          <cell r="E1017" t="str">
            <v>A</v>
          </cell>
          <cell r="F1017" t="str">
            <v>02/13/2003</v>
          </cell>
        </row>
        <row r="1018">
          <cell r="B1018" t="str">
            <v>0A202</v>
          </cell>
          <cell r="C1018" t="str">
            <v>UEC</v>
          </cell>
          <cell r="D1018" t="str">
            <v>N</v>
          </cell>
          <cell r="E1018" t="str">
            <v>A</v>
          </cell>
          <cell r="F1018" t="str">
            <v>02/14/2003</v>
          </cell>
        </row>
        <row r="1019">
          <cell r="B1019" t="str">
            <v>0A203</v>
          </cell>
          <cell r="C1019" t="str">
            <v>UEC</v>
          </cell>
          <cell r="D1019" t="str">
            <v>N</v>
          </cell>
          <cell r="E1019" t="str">
            <v>A</v>
          </cell>
          <cell r="F1019" t="str">
            <v>02/03/2003</v>
          </cell>
        </row>
        <row r="1020">
          <cell r="B1020" t="str">
            <v>0A204</v>
          </cell>
          <cell r="C1020" t="str">
            <v>UEC</v>
          </cell>
          <cell r="D1020" t="str">
            <v>N</v>
          </cell>
          <cell r="E1020" t="str">
            <v>A</v>
          </cell>
          <cell r="F1020" t="str">
            <v>02/13/2003</v>
          </cell>
        </row>
        <row r="1021">
          <cell r="B1021" t="str">
            <v>0A205</v>
          </cell>
          <cell r="C1021" t="str">
            <v>UEC</v>
          </cell>
          <cell r="D1021" t="str">
            <v>N</v>
          </cell>
          <cell r="E1021" t="str">
            <v>A</v>
          </cell>
          <cell r="F1021" t="str">
            <v>02/13/2003</v>
          </cell>
        </row>
        <row r="1022">
          <cell r="B1022" t="str">
            <v>0A206</v>
          </cell>
          <cell r="C1022" t="str">
            <v>UEC</v>
          </cell>
          <cell r="D1022" t="str">
            <v>N</v>
          </cell>
          <cell r="E1022" t="str">
            <v>A</v>
          </cell>
          <cell r="F1022" t="str">
            <v>02/13/2003</v>
          </cell>
        </row>
        <row r="1023">
          <cell r="B1023" t="str">
            <v>0A207</v>
          </cell>
          <cell r="C1023" t="str">
            <v>UEC</v>
          </cell>
          <cell r="D1023" t="str">
            <v>N</v>
          </cell>
          <cell r="E1023" t="str">
            <v>A</v>
          </cell>
          <cell r="F1023" t="str">
            <v>02/13/2003</v>
          </cell>
        </row>
        <row r="1024">
          <cell r="B1024" t="str">
            <v>0A208</v>
          </cell>
          <cell r="C1024" t="str">
            <v>UEC</v>
          </cell>
          <cell r="D1024" t="str">
            <v>N</v>
          </cell>
          <cell r="E1024" t="str">
            <v>I</v>
          </cell>
          <cell r="F1024" t="str">
            <v>02/13/2003</v>
          </cell>
        </row>
        <row r="1025">
          <cell r="B1025" t="str">
            <v>0A209</v>
          </cell>
          <cell r="C1025" t="str">
            <v>UEC</v>
          </cell>
          <cell r="D1025" t="str">
            <v>N</v>
          </cell>
          <cell r="E1025" t="str">
            <v>A</v>
          </cell>
          <cell r="F1025" t="str">
            <v>02/13/2003</v>
          </cell>
        </row>
        <row r="1026">
          <cell r="B1026" t="str">
            <v>0A210</v>
          </cell>
          <cell r="C1026" t="str">
            <v>UEC</v>
          </cell>
          <cell r="D1026" t="str">
            <v>N</v>
          </cell>
          <cell r="E1026" t="str">
            <v>A</v>
          </cell>
          <cell r="F1026" t="str">
            <v>02/13/2003</v>
          </cell>
        </row>
        <row r="1027">
          <cell r="B1027" t="str">
            <v>0A211</v>
          </cell>
          <cell r="C1027" t="str">
            <v>UEC</v>
          </cell>
          <cell r="D1027" t="str">
            <v>N</v>
          </cell>
          <cell r="E1027" t="str">
            <v>A</v>
          </cell>
          <cell r="F1027" t="str">
            <v>02/13/2003</v>
          </cell>
        </row>
        <row r="1028">
          <cell r="B1028" t="str">
            <v>0A215</v>
          </cell>
          <cell r="C1028" t="str">
            <v>UEC</v>
          </cell>
          <cell r="D1028" t="str">
            <v>N</v>
          </cell>
          <cell r="E1028" t="str">
            <v>I</v>
          </cell>
          <cell r="F1028" t="str">
            <v>01/21/2004</v>
          </cell>
        </row>
        <row r="1029">
          <cell r="B1029" t="str">
            <v>0A215</v>
          </cell>
          <cell r="C1029" t="str">
            <v>UEC</v>
          </cell>
          <cell r="D1029" t="str">
            <v>N</v>
          </cell>
          <cell r="E1029" t="str">
            <v>I</v>
          </cell>
          <cell r="F1029" t="str">
            <v>01/21/2004</v>
          </cell>
        </row>
        <row r="1030">
          <cell r="B1030" t="str">
            <v>0A248</v>
          </cell>
          <cell r="C1030" t="str">
            <v>UEC</v>
          </cell>
          <cell r="D1030" t="str">
            <v>N</v>
          </cell>
          <cell r="E1030" t="str">
            <v>A</v>
          </cell>
          <cell r="F1030" t="str">
            <v>02/14/2003</v>
          </cell>
        </row>
        <row r="1031">
          <cell r="B1031" t="str">
            <v>0A290</v>
          </cell>
          <cell r="C1031" t="str">
            <v>UEC</v>
          </cell>
          <cell r="D1031" t="str">
            <v>N</v>
          </cell>
          <cell r="E1031" t="str">
            <v>A</v>
          </cell>
          <cell r="F1031" t="str">
            <v>06/27/2003</v>
          </cell>
        </row>
        <row r="1032">
          <cell r="B1032" t="str">
            <v>0A291</v>
          </cell>
          <cell r="C1032" t="str">
            <v>UEC</v>
          </cell>
          <cell r="D1032" t="str">
            <v>N</v>
          </cell>
          <cell r="E1032" t="str">
            <v>A</v>
          </cell>
          <cell r="F1032" t="str">
            <v>05/15/2003</v>
          </cell>
        </row>
        <row r="1033">
          <cell r="B1033" t="str">
            <v>0A292</v>
          </cell>
          <cell r="C1033" t="str">
            <v>UEC</v>
          </cell>
          <cell r="D1033" t="str">
            <v>N</v>
          </cell>
          <cell r="E1033" t="str">
            <v>I</v>
          </cell>
          <cell r="F1033" t="str">
            <v>06/27/2003</v>
          </cell>
        </row>
        <row r="1034">
          <cell r="B1034" t="str">
            <v>0A293</v>
          </cell>
          <cell r="C1034" t="str">
            <v>UEC</v>
          </cell>
          <cell r="D1034" t="str">
            <v>N</v>
          </cell>
          <cell r="E1034" t="str">
            <v>I</v>
          </cell>
          <cell r="F1034" t="str">
            <v>06/27/2003</v>
          </cell>
        </row>
        <row r="1035">
          <cell r="B1035" t="str">
            <v>0A294</v>
          </cell>
          <cell r="C1035" t="str">
            <v>UEC</v>
          </cell>
          <cell r="D1035" t="str">
            <v>N</v>
          </cell>
          <cell r="E1035" t="str">
            <v>A</v>
          </cell>
          <cell r="F1035" t="str">
            <v>06/16/1998</v>
          </cell>
        </row>
        <row r="1036">
          <cell r="B1036" t="str">
            <v>0A295</v>
          </cell>
          <cell r="C1036" t="str">
            <v>UEC</v>
          </cell>
          <cell r="D1036" t="str">
            <v>N</v>
          </cell>
          <cell r="E1036" t="str">
            <v>I</v>
          </cell>
          <cell r="F1036" t="str">
            <v>06/27/2003</v>
          </cell>
        </row>
        <row r="1037">
          <cell r="B1037" t="str">
            <v>0A392</v>
          </cell>
          <cell r="C1037" t="str">
            <v>UEC</v>
          </cell>
          <cell r="D1037" t="str">
            <v>N</v>
          </cell>
          <cell r="E1037" t="str">
            <v>A</v>
          </cell>
          <cell r="F1037" t="str">
            <v>05/14/2003</v>
          </cell>
        </row>
        <row r="1038">
          <cell r="B1038" t="str">
            <v>0A498</v>
          </cell>
          <cell r="C1038" t="str">
            <v>UEC</v>
          </cell>
          <cell r="D1038" t="str">
            <v>N</v>
          </cell>
          <cell r="E1038" t="str">
            <v>A</v>
          </cell>
          <cell r="F1038" t="str">
            <v>05/09/2003</v>
          </cell>
        </row>
        <row r="1039">
          <cell r="B1039" t="str">
            <v>0A499</v>
          </cell>
          <cell r="C1039" t="str">
            <v>UEC</v>
          </cell>
          <cell r="D1039" t="str">
            <v>N</v>
          </cell>
          <cell r="E1039" t="str">
            <v>A</v>
          </cell>
          <cell r="F1039" t="str">
            <v>08/27/2003</v>
          </cell>
        </row>
        <row r="1040">
          <cell r="B1040" t="str">
            <v>0A590</v>
          </cell>
          <cell r="C1040" t="str">
            <v>UEC</v>
          </cell>
          <cell r="D1040" t="str">
            <v>N</v>
          </cell>
          <cell r="E1040" t="str">
            <v>A</v>
          </cell>
          <cell r="F1040" t="str">
            <v>06/27/2003</v>
          </cell>
        </row>
        <row r="1041">
          <cell r="B1041" t="str">
            <v>0A591</v>
          </cell>
          <cell r="C1041" t="str">
            <v>UEC</v>
          </cell>
          <cell r="D1041" t="str">
            <v>N</v>
          </cell>
          <cell r="E1041" t="str">
            <v>A</v>
          </cell>
          <cell r="F1041" t="str">
            <v>06/27/2003</v>
          </cell>
        </row>
        <row r="1042">
          <cell r="B1042" t="str">
            <v>0A592</v>
          </cell>
          <cell r="C1042" t="str">
            <v>UEC</v>
          </cell>
          <cell r="D1042" t="str">
            <v>N</v>
          </cell>
          <cell r="E1042" t="str">
            <v>A</v>
          </cell>
          <cell r="F1042" t="str">
            <v>06/27/2003</v>
          </cell>
        </row>
        <row r="1043">
          <cell r="B1043" t="str">
            <v>0A593</v>
          </cell>
          <cell r="C1043" t="str">
            <v>UEC</v>
          </cell>
          <cell r="D1043" t="str">
            <v>N</v>
          </cell>
          <cell r="E1043" t="str">
            <v>A</v>
          </cell>
          <cell r="F1043" t="str">
            <v>06/27/2003</v>
          </cell>
        </row>
        <row r="1044">
          <cell r="B1044" t="str">
            <v>0A594</v>
          </cell>
          <cell r="C1044" t="str">
            <v>UEC</v>
          </cell>
          <cell r="D1044" t="str">
            <v>N</v>
          </cell>
          <cell r="E1044" t="str">
            <v>A</v>
          </cell>
          <cell r="F1044" t="str">
            <v>06/27/2003</v>
          </cell>
        </row>
        <row r="1045">
          <cell r="B1045" t="str">
            <v>0A595</v>
          </cell>
          <cell r="C1045" t="str">
            <v>UEC</v>
          </cell>
          <cell r="D1045" t="str">
            <v>N</v>
          </cell>
          <cell r="E1045" t="str">
            <v>A</v>
          </cell>
          <cell r="F1045" t="str">
            <v>06/27/2003</v>
          </cell>
        </row>
        <row r="1046">
          <cell r="B1046" t="str">
            <v>0A596</v>
          </cell>
          <cell r="C1046" t="str">
            <v>UEC</v>
          </cell>
          <cell r="D1046" t="str">
            <v>N</v>
          </cell>
          <cell r="E1046" t="str">
            <v>A</v>
          </cell>
          <cell r="F1046" t="str">
            <v>06/27/2003</v>
          </cell>
        </row>
        <row r="1047">
          <cell r="B1047" t="str">
            <v>0A597</v>
          </cell>
          <cell r="C1047" t="str">
            <v>UEC</v>
          </cell>
          <cell r="D1047" t="str">
            <v>N</v>
          </cell>
          <cell r="E1047" t="str">
            <v>A</v>
          </cell>
          <cell r="F1047" t="str">
            <v>06/27/2003</v>
          </cell>
        </row>
        <row r="1048">
          <cell r="B1048" t="str">
            <v>0A598</v>
          </cell>
          <cell r="C1048" t="str">
            <v>UEC</v>
          </cell>
          <cell r="D1048" t="str">
            <v>N</v>
          </cell>
          <cell r="E1048" t="str">
            <v>A</v>
          </cell>
          <cell r="F1048" t="str">
            <v>06/27/2003</v>
          </cell>
        </row>
        <row r="1049">
          <cell r="B1049" t="str">
            <v>0A599</v>
          </cell>
          <cell r="C1049" t="str">
            <v>UEC</v>
          </cell>
          <cell r="D1049" t="str">
            <v>N</v>
          </cell>
          <cell r="E1049" t="str">
            <v>A</v>
          </cell>
          <cell r="F1049" t="str">
            <v>06/27/2003</v>
          </cell>
        </row>
        <row r="1050">
          <cell r="B1050" t="str">
            <v>0A690</v>
          </cell>
          <cell r="C1050" t="str">
            <v>UEC</v>
          </cell>
          <cell r="D1050" t="str">
            <v>N</v>
          </cell>
          <cell r="E1050" t="str">
            <v>A</v>
          </cell>
          <cell r="F1050" t="str">
            <v>06/24/1998</v>
          </cell>
        </row>
        <row r="1051">
          <cell r="B1051" t="str">
            <v>0A691</v>
          </cell>
          <cell r="C1051" t="str">
            <v>UEC</v>
          </cell>
          <cell r="D1051" t="str">
            <v>N</v>
          </cell>
          <cell r="E1051" t="str">
            <v>A</v>
          </cell>
          <cell r="F1051" t="str">
            <v>06/27/2003</v>
          </cell>
        </row>
        <row r="1052">
          <cell r="B1052" t="str">
            <v>0A692</v>
          </cell>
          <cell r="C1052" t="str">
            <v>UEC</v>
          </cell>
          <cell r="D1052" t="str">
            <v>N</v>
          </cell>
          <cell r="E1052" t="str">
            <v>A</v>
          </cell>
          <cell r="F1052" t="str">
            <v>06/27/2003</v>
          </cell>
        </row>
        <row r="1053">
          <cell r="B1053" t="str">
            <v>0A693</v>
          </cell>
          <cell r="C1053" t="str">
            <v>UEC</v>
          </cell>
          <cell r="D1053" t="str">
            <v>N</v>
          </cell>
          <cell r="E1053" t="str">
            <v>A</v>
          </cell>
          <cell r="F1053" t="str">
            <v>06/27/2003</v>
          </cell>
        </row>
        <row r="1054">
          <cell r="B1054" t="str">
            <v>0A694</v>
          </cell>
          <cell r="C1054" t="str">
            <v>UEC</v>
          </cell>
          <cell r="D1054" t="str">
            <v>N</v>
          </cell>
          <cell r="E1054" t="str">
            <v>A</v>
          </cell>
          <cell r="F1054" t="str">
            <v>05/14/2003</v>
          </cell>
        </row>
        <row r="1055">
          <cell r="B1055" t="str">
            <v>0A695</v>
          </cell>
          <cell r="C1055" t="str">
            <v>UEC</v>
          </cell>
          <cell r="D1055" t="str">
            <v>N</v>
          </cell>
          <cell r="E1055" t="str">
            <v>A</v>
          </cell>
          <cell r="F1055" t="str">
            <v>06/13/2003</v>
          </cell>
        </row>
        <row r="1056">
          <cell r="B1056" t="str">
            <v>0A696</v>
          </cell>
          <cell r="C1056" t="str">
            <v>UEC</v>
          </cell>
          <cell r="D1056" t="str">
            <v>N</v>
          </cell>
          <cell r="E1056" t="str">
            <v>A</v>
          </cell>
          <cell r="F1056" t="str">
            <v>06/27/2003</v>
          </cell>
        </row>
        <row r="1057">
          <cell r="B1057" t="str">
            <v>0A697</v>
          </cell>
          <cell r="C1057" t="str">
            <v>UEC</v>
          </cell>
          <cell r="D1057" t="str">
            <v>N</v>
          </cell>
          <cell r="E1057" t="str">
            <v>A</v>
          </cell>
          <cell r="F1057" t="str">
            <v>06/27/2003</v>
          </cell>
        </row>
        <row r="1058">
          <cell r="B1058" t="str">
            <v>0A698</v>
          </cell>
          <cell r="C1058" t="str">
            <v>UEC</v>
          </cell>
          <cell r="D1058" t="str">
            <v>N</v>
          </cell>
          <cell r="E1058" t="str">
            <v>A</v>
          </cell>
          <cell r="F1058" t="str">
            <v>06/27/2003</v>
          </cell>
        </row>
        <row r="1059">
          <cell r="B1059" t="str">
            <v>0A699</v>
          </cell>
          <cell r="C1059" t="str">
            <v>UEC</v>
          </cell>
          <cell r="D1059" t="str">
            <v>N</v>
          </cell>
          <cell r="E1059" t="str">
            <v>A</v>
          </cell>
          <cell r="F1059" t="str">
            <v>06/27/2003</v>
          </cell>
        </row>
        <row r="1060">
          <cell r="B1060" t="str">
            <v>0A792</v>
          </cell>
          <cell r="C1060" t="str">
            <v>UEC</v>
          </cell>
          <cell r="D1060" t="str">
            <v>N</v>
          </cell>
          <cell r="E1060" t="str">
            <v>A</v>
          </cell>
          <cell r="F1060" t="str">
            <v>05/14/2003</v>
          </cell>
        </row>
        <row r="1061">
          <cell r="B1061" t="str">
            <v>0A793</v>
          </cell>
          <cell r="C1061" t="str">
            <v>UEC</v>
          </cell>
          <cell r="D1061" t="str">
            <v>N</v>
          </cell>
          <cell r="E1061" t="str">
            <v>A</v>
          </cell>
          <cell r="F1061" t="str">
            <v>06/13/2003</v>
          </cell>
        </row>
        <row r="1062">
          <cell r="B1062" t="str">
            <v>0A896</v>
          </cell>
          <cell r="C1062" t="str">
            <v>UEC</v>
          </cell>
          <cell r="D1062" t="str">
            <v>N</v>
          </cell>
          <cell r="E1062" t="str">
            <v>C</v>
          </cell>
          <cell r="F1062" t="str">
            <v>05/14/2003</v>
          </cell>
        </row>
        <row r="1063">
          <cell r="B1063" t="str">
            <v>0A990</v>
          </cell>
          <cell r="C1063" t="str">
            <v>UEC</v>
          </cell>
          <cell r="D1063" t="str">
            <v>N</v>
          </cell>
          <cell r="E1063" t="str">
            <v>A</v>
          </cell>
          <cell r="F1063" t="str">
            <v>06/24/2003</v>
          </cell>
        </row>
        <row r="1064">
          <cell r="B1064" t="str">
            <v>0A991</v>
          </cell>
          <cell r="C1064" t="str">
            <v>UEC</v>
          </cell>
          <cell r="D1064" t="str">
            <v>N</v>
          </cell>
          <cell r="E1064" t="str">
            <v>A</v>
          </cell>
          <cell r="F1064" t="str">
            <v>06/24/2003</v>
          </cell>
        </row>
        <row r="1065">
          <cell r="B1065" t="str">
            <v>0A992</v>
          </cell>
          <cell r="C1065" t="str">
            <v>UEC</v>
          </cell>
          <cell r="D1065" t="str">
            <v>N</v>
          </cell>
          <cell r="E1065" t="str">
            <v>A</v>
          </cell>
          <cell r="F1065" t="str">
            <v>06/24/2003</v>
          </cell>
        </row>
        <row r="1066">
          <cell r="B1066" t="str">
            <v>0A993</v>
          </cell>
          <cell r="C1066" t="str">
            <v>UEC</v>
          </cell>
          <cell r="D1066" t="str">
            <v>N</v>
          </cell>
          <cell r="E1066" t="str">
            <v>A</v>
          </cell>
          <cell r="F1066" t="str">
            <v>05/15/2003</v>
          </cell>
        </row>
        <row r="1067">
          <cell r="B1067" t="str">
            <v>0A994</v>
          </cell>
          <cell r="C1067" t="str">
            <v>UEC</v>
          </cell>
          <cell r="D1067" t="str">
            <v>N</v>
          </cell>
          <cell r="E1067" t="str">
            <v>A</v>
          </cell>
          <cell r="F1067" t="str">
            <v>06/13/2003</v>
          </cell>
        </row>
        <row r="1068">
          <cell r="B1068" t="str">
            <v>0A995</v>
          </cell>
          <cell r="C1068" t="str">
            <v>UEC</v>
          </cell>
          <cell r="D1068" t="str">
            <v>N</v>
          </cell>
          <cell r="E1068" t="str">
            <v>A</v>
          </cell>
          <cell r="F1068" t="str">
            <v>06/24/2003</v>
          </cell>
        </row>
        <row r="1069">
          <cell r="B1069" t="str">
            <v>0A996</v>
          </cell>
          <cell r="C1069" t="str">
            <v>UEC</v>
          </cell>
          <cell r="D1069" t="str">
            <v>N</v>
          </cell>
          <cell r="E1069" t="str">
            <v>A</v>
          </cell>
          <cell r="F1069" t="str">
            <v>06/16/1998</v>
          </cell>
        </row>
        <row r="1070">
          <cell r="B1070" t="str">
            <v>0A997</v>
          </cell>
          <cell r="C1070" t="str">
            <v>UEC</v>
          </cell>
          <cell r="D1070" t="str">
            <v>N</v>
          </cell>
          <cell r="E1070" t="str">
            <v>A</v>
          </cell>
          <cell r="F1070" t="str">
            <v>06/24/2003</v>
          </cell>
        </row>
        <row r="1071">
          <cell r="B1071" t="str">
            <v>0A998</v>
          </cell>
          <cell r="C1071" t="str">
            <v>UEC</v>
          </cell>
          <cell r="D1071" t="str">
            <v>N</v>
          </cell>
          <cell r="E1071" t="str">
            <v>A</v>
          </cell>
          <cell r="F1071" t="str">
            <v>07/06/1998</v>
          </cell>
        </row>
        <row r="1072">
          <cell r="B1072" t="str">
            <v>0A999</v>
          </cell>
          <cell r="C1072" t="str">
            <v>UEC</v>
          </cell>
          <cell r="D1072" t="str">
            <v>N</v>
          </cell>
          <cell r="E1072" t="str">
            <v>A</v>
          </cell>
          <cell r="F1072" t="str">
            <v>06/24/2003</v>
          </cell>
        </row>
        <row r="1073">
          <cell r="B1073" t="str">
            <v>0B001</v>
          </cell>
          <cell r="C1073" t="str">
            <v>UEC</v>
          </cell>
          <cell r="D1073" t="str">
            <v>N</v>
          </cell>
          <cell r="E1073" t="str">
            <v>A</v>
          </cell>
          <cell r="F1073" t="str">
            <v>02/12/1999</v>
          </cell>
        </row>
        <row r="1074">
          <cell r="B1074" t="str">
            <v>0B192</v>
          </cell>
          <cell r="C1074" t="str">
            <v>UEC</v>
          </cell>
          <cell r="D1074" t="str">
            <v>N</v>
          </cell>
          <cell r="E1074" t="str">
            <v>A</v>
          </cell>
          <cell r="F1074" t="str">
            <v>02/01/2002</v>
          </cell>
        </row>
        <row r="1075">
          <cell r="B1075" t="str">
            <v>0B292</v>
          </cell>
          <cell r="C1075" t="str">
            <v>UEC</v>
          </cell>
          <cell r="D1075" t="str">
            <v>N</v>
          </cell>
          <cell r="E1075" t="str">
            <v>A</v>
          </cell>
          <cell r="F1075" t="str">
            <v>02/01/2002</v>
          </cell>
        </row>
        <row r="1076">
          <cell r="B1076" t="str">
            <v>0B394</v>
          </cell>
          <cell r="C1076" t="str">
            <v>UEC</v>
          </cell>
          <cell r="D1076" t="str">
            <v>N</v>
          </cell>
          <cell r="E1076" t="str">
            <v>A</v>
          </cell>
          <cell r="F1076" t="str">
            <v>05/14/2003</v>
          </cell>
        </row>
        <row r="1077">
          <cell r="B1077" t="str">
            <v>0B395</v>
          </cell>
          <cell r="C1077" t="str">
            <v>UEC</v>
          </cell>
          <cell r="D1077" t="str">
            <v>N</v>
          </cell>
          <cell r="E1077" t="str">
            <v>A</v>
          </cell>
          <cell r="F1077" t="str">
            <v>06/13/2003</v>
          </cell>
        </row>
        <row r="1078">
          <cell r="B1078" t="str">
            <v>0B590</v>
          </cell>
          <cell r="C1078" t="str">
            <v>UEC</v>
          </cell>
          <cell r="D1078" t="str">
            <v>N</v>
          </cell>
          <cell r="E1078" t="str">
            <v>C</v>
          </cell>
          <cell r="F1078" t="str">
            <v>05/14/2003</v>
          </cell>
        </row>
        <row r="1079">
          <cell r="B1079" t="str">
            <v>0B592</v>
          </cell>
          <cell r="C1079" t="str">
            <v>UEC</v>
          </cell>
          <cell r="D1079" t="str">
            <v>N</v>
          </cell>
          <cell r="E1079" t="str">
            <v>A</v>
          </cell>
          <cell r="F1079" t="str">
            <v>12/19/2000</v>
          </cell>
        </row>
        <row r="1080">
          <cell r="B1080" t="str">
            <v>0K005</v>
          </cell>
          <cell r="C1080" t="str">
            <v>ERC</v>
          </cell>
          <cell r="D1080" t="str">
            <v>N</v>
          </cell>
          <cell r="E1080" t="str">
            <v>A</v>
          </cell>
          <cell r="F1080" t="str">
            <v>08/11/2000</v>
          </cell>
        </row>
        <row r="1081">
          <cell r="B1081" t="str">
            <v>0K009</v>
          </cell>
          <cell r="C1081" t="str">
            <v>UEC</v>
          </cell>
          <cell r="D1081" t="str">
            <v>N</v>
          </cell>
          <cell r="E1081" t="str">
            <v>A</v>
          </cell>
          <cell r="F1081" t="str">
            <v>08/18/2000</v>
          </cell>
        </row>
        <row r="1082">
          <cell r="B1082" t="str">
            <v>0K011</v>
          </cell>
          <cell r="C1082" t="str">
            <v>001D</v>
          </cell>
          <cell r="D1082" t="str">
            <v>Y</v>
          </cell>
          <cell r="E1082" t="str">
            <v>I</v>
          </cell>
          <cell r="F1082" t="str">
            <v>06/12/1998</v>
          </cell>
        </row>
        <row r="1083">
          <cell r="B1083" t="str">
            <v>0K012</v>
          </cell>
          <cell r="C1083" t="str">
            <v>001D</v>
          </cell>
          <cell r="D1083" t="str">
            <v>Y</v>
          </cell>
          <cell r="E1083" t="str">
            <v>I</v>
          </cell>
          <cell r="F1083" t="str">
            <v>08/09/1999</v>
          </cell>
        </row>
        <row r="1084">
          <cell r="B1084" t="str">
            <v>0K026</v>
          </cell>
          <cell r="C1084" t="str">
            <v>ERC</v>
          </cell>
          <cell r="D1084" t="str">
            <v>N</v>
          </cell>
          <cell r="E1084" t="str">
            <v>A</v>
          </cell>
          <cell r="F1084" t="str">
            <v>11/18/1999</v>
          </cell>
        </row>
        <row r="1085">
          <cell r="B1085" t="str">
            <v>0K028</v>
          </cell>
          <cell r="C1085" t="str">
            <v>UEC</v>
          </cell>
          <cell r="D1085" t="str">
            <v>N</v>
          </cell>
          <cell r="E1085" t="str">
            <v>A</v>
          </cell>
          <cell r="F1085" t="str">
            <v>01/06/1998</v>
          </cell>
        </row>
        <row r="1086">
          <cell r="B1086" t="str">
            <v>0K054</v>
          </cell>
          <cell r="C1086" t="str">
            <v>004F</v>
          </cell>
          <cell r="D1086" t="str">
            <v>N</v>
          </cell>
          <cell r="E1086" t="str">
            <v>A</v>
          </cell>
          <cell r="F1086" t="str">
            <v>07/01/1998</v>
          </cell>
        </row>
        <row r="1087">
          <cell r="B1087" t="str">
            <v>0K055</v>
          </cell>
          <cell r="C1087" t="str">
            <v>ERC</v>
          </cell>
          <cell r="D1087" t="str">
            <v>N</v>
          </cell>
          <cell r="E1087" t="str">
            <v>A</v>
          </cell>
          <cell r="F1087" t="str">
            <v>07/13/1998</v>
          </cell>
        </row>
        <row r="1088">
          <cell r="B1088" t="str">
            <v>0K056</v>
          </cell>
          <cell r="C1088" t="str">
            <v>AEC</v>
          </cell>
          <cell r="D1088" t="str">
            <v>N</v>
          </cell>
          <cell r="E1088" t="str">
            <v>A</v>
          </cell>
          <cell r="F1088" t="str">
            <v>07/17/1998</v>
          </cell>
        </row>
        <row r="1089">
          <cell r="B1089" t="str">
            <v>0K060</v>
          </cell>
          <cell r="C1089" t="str">
            <v>ERC</v>
          </cell>
          <cell r="D1089" t="str">
            <v>N</v>
          </cell>
          <cell r="E1089" t="str">
            <v>I</v>
          </cell>
          <cell r="F1089" t="str">
            <v>08/04/1998</v>
          </cell>
        </row>
        <row r="1090">
          <cell r="B1090" t="str">
            <v>0K063</v>
          </cell>
          <cell r="C1090" t="str">
            <v>ERC</v>
          </cell>
          <cell r="D1090" t="str">
            <v>N</v>
          </cell>
          <cell r="E1090" t="str">
            <v>A</v>
          </cell>
          <cell r="F1090" t="str">
            <v>10/05/1998</v>
          </cell>
        </row>
        <row r="1091">
          <cell r="B1091" t="str">
            <v>0K086</v>
          </cell>
          <cell r="C1091" t="str">
            <v>UEC</v>
          </cell>
          <cell r="D1091" t="str">
            <v>N</v>
          </cell>
          <cell r="E1091" t="str">
            <v>A</v>
          </cell>
          <cell r="F1091" t="str">
            <v>06/05/2000</v>
          </cell>
        </row>
        <row r="1092">
          <cell r="B1092" t="str">
            <v>0K091</v>
          </cell>
          <cell r="C1092" t="str">
            <v>UEC</v>
          </cell>
          <cell r="D1092" t="str">
            <v>N</v>
          </cell>
          <cell r="E1092" t="str">
            <v>A</v>
          </cell>
          <cell r="F1092" t="str">
            <v>08/31/2000</v>
          </cell>
        </row>
        <row r="1093">
          <cell r="B1093" t="str">
            <v>0K092</v>
          </cell>
          <cell r="C1093" t="str">
            <v>CIP</v>
          </cell>
          <cell r="D1093" t="str">
            <v>N</v>
          </cell>
          <cell r="E1093" t="str">
            <v>A</v>
          </cell>
          <cell r="F1093" t="str">
            <v>09/08/2000</v>
          </cell>
        </row>
        <row r="1094">
          <cell r="B1094" t="str">
            <v>0K115</v>
          </cell>
          <cell r="C1094" t="str">
            <v>AEC</v>
          </cell>
          <cell r="D1094" t="str">
            <v>N</v>
          </cell>
          <cell r="E1094" t="str">
            <v>I</v>
          </cell>
          <cell r="F1094" t="str">
            <v>09/15/2000</v>
          </cell>
        </row>
        <row r="1095">
          <cell r="B1095" t="str">
            <v>0K116</v>
          </cell>
          <cell r="C1095" t="str">
            <v>CIP</v>
          </cell>
          <cell r="D1095" t="str">
            <v>N</v>
          </cell>
          <cell r="E1095" t="str">
            <v>A</v>
          </cell>
          <cell r="F1095" t="str">
            <v>07/01/2002</v>
          </cell>
        </row>
        <row r="1096">
          <cell r="B1096" t="str">
            <v>0K151</v>
          </cell>
          <cell r="C1096" t="str">
            <v>ERC</v>
          </cell>
          <cell r="D1096" t="str">
            <v>N</v>
          </cell>
          <cell r="E1096" t="str">
            <v>A</v>
          </cell>
          <cell r="F1096" t="str">
            <v>12/13/2000</v>
          </cell>
        </row>
        <row r="1097">
          <cell r="B1097" t="str">
            <v>0K152</v>
          </cell>
          <cell r="C1097" t="str">
            <v>AEC</v>
          </cell>
          <cell r="D1097" t="str">
            <v>N</v>
          </cell>
          <cell r="E1097" t="str">
            <v>A</v>
          </cell>
          <cell r="F1097" t="str">
            <v>12/13/2000</v>
          </cell>
        </row>
        <row r="1098">
          <cell r="B1098" t="str">
            <v>0K185</v>
          </cell>
          <cell r="C1098" t="str">
            <v>ERC</v>
          </cell>
          <cell r="D1098" t="str">
            <v>N</v>
          </cell>
          <cell r="E1098" t="str">
            <v>A</v>
          </cell>
          <cell r="F1098" t="str">
            <v>05/03/2001</v>
          </cell>
        </row>
        <row r="1099">
          <cell r="B1099" t="str">
            <v>0K186</v>
          </cell>
          <cell r="C1099" t="str">
            <v>AEC</v>
          </cell>
          <cell r="D1099" t="str">
            <v>N</v>
          </cell>
          <cell r="E1099" t="str">
            <v>A</v>
          </cell>
          <cell r="F1099" t="str">
            <v>05/11/2001</v>
          </cell>
        </row>
        <row r="1100">
          <cell r="B1100" t="str">
            <v>0K188</v>
          </cell>
          <cell r="C1100" t="str">
            <v>CIP</v>
          </cell>
          <cell r="D1100" t="str">
            <v>N</v>
          </cell>
          <cell r="E1100" t="str">
            <v>A</v>
          </cell>
          <cell r="F1100" t="str">
            <v>07/31/2001</v>
          </cell>
        </row>
        <row r="1101">
          <cell r="B1101" t="str">
            <v>0K189</v>
          </cell>
          <cell r="C1101" t="str">
            <v>ERC</v>
          </cell>
          <cell r="D1101" t="str">
            <v>N</v>
          </cell>
          <cell r="E1101" t="str">
            <v>C</v>
          </cell>
          <cell r="F1101" t="str">
            <v>06/19/2001</v>
          </cell>
        </row>
        <row r="1102">
          <cell r="B1102" t="str">
            <v>0K190</v>
          </cell>
          <cell r="C1102" t="str">
            <v>AEC</v>
          </cell>
          <cell r="D1102" t="str">
            <v>N</v>
          </cell>
          <cell r="E1102" t="str">
            <v>A</v>
          </cell>
          <cell r="F1102" t="str">
            <v>07/12/2001</v>
          </cell>
        </row>
        <row r="1103">
          <cell r="B1103" t="str">
            <v>0K191</v>
          </cell>
          <cell r="C1103" t="str">
            <v>UEC</v>
          </cell>
          <cell r="D1103" t="str">
            <v>N</v>
          </cell>
          <cell r="E1103" t="str">
            <v>C</v>
          </cell>
          <cell r="F1103" t="str">
            <v>07/12/2001</v>
          </cell>
        </row>
        <row r="1104">
          <cell r="B1104" t="str">
            <v>0K201</v>
          </cell>
          <cell r="C1104" t="str">
            <v>AFS</v>
          </cell>
          <cell r="D1104" t="str">
            <v>N</v>
          </cell>
          <cell r="E1104" t="str">
            <v>A</v>
          </cell>
          <cell r="F1104" t="str">
            <v>12/14/2001</v>
          </cell>
        </row>
        <row r="1105">
          <cell r="B1105" t="str">
            <v>0K202</v>
          </cell>
          <cell r="C1105" t="str">
            <v>UEC</v>
          </cell>
          <cell r="D1105" t="str">
            <v>N</v>
          </cell>
          <cell r="E1105" t="str">
            <v>A</v>
          </cell>
          <cell r="F1105" t="str">
            <v>01/15/2002</v>
          </cell>
        </row>
        <row r="1106">
          <cell r="B1106" t="str">
            <v>0K204</v>
          </cell>
          <cell r="C1106" t="str">
            <v>ERC</v>
          </cell>
          <cell r="D1106" t="str">
            <v>N</v>
          </cell>
          <cell r="E1106" t="str">
            <v>A</v>
          </cell>
          <cell r="F1106" t="str">
            <v>03/25/2002</v>
          </cell>
        </row>
        <row r="1107">
          <cell r="B1107" t="str">
            <v>0K207</v>
          </cell>
          <cell r="C1107" t="str">
            <v>ERC</v>
          </cell>
          <cell r="D1107" t="str">
            <v>N</v>
          </cell>
          <cell r="E1107" t="str">
            <v>A</v>
          </cell>
          <cell r="F1107" t="str">
            <v>06/27/2002</v>
          </cell>
        </row>
        <row r="1108">
          <cell r="B1108" t="str">
            <v>0K213</v>
          </cell>
          <cell r="C1108" t="str">
            <v>CIP</v>
          </cell>
          <cell r="D1108" t="str">
            <v>N</v>
          </cell>
          <cell r="E1108" t="str">
            <v>A</v>
          </cell>
          <cell r="F1108" t="str">
            <v>08/23/2002</v>
          </cell>
        </row>
        <row r="1109">
          <cell r="B1109" t="str">
            <v>0K214</v>
          </cell>
          <cell r="C1109" t="str">
            <v>UEC</v>
          </cell>
          <cell r="D1109" t="str">
            <v>N</v>
          </cell>
          <cell r="E1109" t="str">
            <v>A</v>
          </cell>
          <cell r="F1109" t="str">
            <v>08/30/2002</v>
          </cell>
        </row>
        <row r="1110">
          <cell r="B1110" t="str">
            <v>0K215</v>
          </cell>
          <cell r="C1110" t="str">
            <v>AFS</v>
          </cell>
          <cell r="D1110" t="str">
            <v>N</v>
          </cell>
          <cell r="E1110" t="str">
            <v>A</v>
          </cell>
          <cell r="F1110" t="str">
            <v>08/29/2002</v>
          </cell>
        </row>
        <row r="1111">
          <cell r="B1111" t="str">
            <v>0K216</v>
          </cell>
          <cell r="C1111" t="str">
            <v>AFS</v>
          </cell>
          <cell r="D1111" t="str">
            <v>N</v>
          </cell>
          <cell r="E1111" t="str">
            <v>A</v>
          </cell>
          <cell r="F1111" t="str">
            <v>09/13/2002</v>
          </cell>
        </row>
        <row r="1112">
          <cell r="B1112" t="str">
            <v>0K225</v>
          </cell>
          <cell r="C1112" t="str">
            <v>AFS</v>
          </cell>
          <cell r="D1112" t="str">
            <v>N</v>
          </cell>
          <cell r="E1112" t="str">
            <v>I</v>
          </cell>
          <cell r="F1112" t="str">
            <v>04/10/2003</v>
          </cell>
        </row>
        <row r="1113">
          <cell r="B1113" t="str">
            <v>0K236</v>
          </cell>
          <cell r="C1113" t="str">
            <v>UEC</v>
          </cell>
          <cell r="D1113" t="str">
            <v>N</v>
          </cell>
          <cell r="E1113" t="str">
            <v>A</v>
          </cell>
          <cell r="F1113" t="str">
            <v>05/13/2003</v>
          </cell>
        </row>
        <row r="1114">
          <cell r="B1114" t="str">
            <v>0K237</v>
          </cell>
          <cell r="C1114" t="str">
            <v>CIL</v>
          </cell>
          <cell r="D1114" t="str">
            <v>N</v>
          </cell>
          <cell r="E1114" t="str">
            <v>A</v>
          </cell>
          <cell r="F1114" t="str">
            <v>09/09/2003</v>
          </cell>
        </row>
        <row r="1115">
          <cell r="B1115" t="str">
            <v>0K238</v>
          </cell>
          <cell r="C1115" t="str">
            <v>ARG</v>
          </cell>
          <cell r="D1115" t="str">
            <v>N</v>
          </cell>
          <cell r="E1115" t="str">
            <v>A</v>
          </cell>
          <cell r="F1115" t="str">
            <v>09/09/2003</v>
          </cell>
        </row>
        <row r="1116">
          <cell r="B1116" t="str">
            <v>0K239</v>
          </cell>
          <cell r="C1116" t="str">
            <v>CIL</v>
          </cell>
          <cell r="D1116" t="str">
            <v>N</v>
          </cell>
          <cell r="E1116" t="str">
            <v>A</v>
          </cell>
          <cell r="F1116" t="str">
            <v>09/11/2003</v>
          </cell>
        </row>
        <row r="1117">
          <cell r="B1117" t="str">
            <v>0K240</v>
          </cell>
          <cell r="C1117" t="str">
            <v>CIL</v>
          </cell>
          <cell r="D1117" t="str">
            <v>N</v>
          </cell>
          <cell r="E1117" t="str">
            <v>A</v>
          </cell>
          <cell r="F1117" t="str">
            <v>09/11/2003</v>
          </cell>
        </row>
        <row r="1118">
          <cell r="B1118" t="str">
            <v>0K243</v>
          </cell>
          <cell r="C1118" t="str">
            <v>ERC</v>
          </cell>
          <cell r="D1118" t="str">
            <v>N</v>
          </cell>
          <cell r="E1118" t="str">
            <v>A</v>
          </cell>
          <cell r="F1118" t="str">
            <v>07/29/2003</v>
          </cell>
        </row>
        <row r="1119">
          <cell r="B1119" t="str">
            <v>0K299</v>
          </cell>
          <cell r="C1119" t="str">
            <v>CIL</v>
          </cell>
          <cell r="D1119" t="str">
            <v>N</v>
          </cell>
          <cell r="E1119" t="str">
            <v>I</v>
          </cell>
          <cell r="F1119" t="str">
            <v>09/04/2003</v>
          </cell>
        </row>
        <row r="1120">
          <cell r="B1120" t="str">
            <v>0K300</v>
          </cell>
          <cell r="C1120" t="str">
            <v>UEC</v>
          </cell>
          <cell r="D1120" t="str">
            <v>N</v>
          </cell>
          <cell r="E1120" t="str">
            <v>A</v>
          </cell>
          <cell r="F1120" t="str">
            <v>09/11/2003</v>
          </cell>
        </row>
        <row r="1121">
          <cell r="B1121" t="str">
            <v>0K301</v>
          </cell>
          <cell r="C1121" t="str">
            <v>UEC</v>
          </cell>
          <cell r="D1121" t="str">
            <v>N</v>
          </cell>
          <cell r="E1121" t="str">
            <v>A</v>
          </cell>
          <cell r="F1121" t="str">
            <v>09/11/2003</v>
          </cell>
        </row>
        <row r="1122">
          <cell r="B1122" t="str">
            <v>0K302</v>
          </cell>
          <cell r="C1122" t="str">
            <v>UEC</v>
          </cell>
          <cell r="D1122" t="str">
            <v>N</v>
          </cell>
          <cell r="E1122" t="str">
            <v>A</v>
          </cell>
          <cell r="F1122" t="str">
            <v>09/11/2003</v>
          </cell>
        </row>
        <row r="1123">
          <cell r="B1123" t="str">
            <v>0K303</v>
          </cell>
          <cell r="C1123" t="str">
            <v>UEC</v>
          </cell>
          <cell r="D1123" t="str">
            <v>N</v>
          </cell>
          <cell r="E1123" t="str">
            <v>A</v>
          </cell>
          <cell r="F1123" t="str">
            <v>09/11/2003</v>
          </cell>
        </row>
        <row r="1124">
          <cell r="B1124" t="str">
            <v>0K306</v>
          </cell>
          <cell r="C1124" t="str">
            <v>CIL</v>
          </cell>
          <cell r="D1124" t="str">
            <v>N</v>
          </cell>
          <cell r="E1124" t="str">
            <v>A</v>
          </cell>
          <cell r="F1124" t="str">
            <v>10/10/2003</v>
          </cell>
        </row>
        <row r="1125">
          <cell r="B1125" t="str">
            <v>0K307</v>
          </cell>
          <cell r="C1125" t="str">
            <v>CIL</v>
          </cell>
          <cell r="D1125" t="str">
            <v>N</v>
          </cell>
          <cell r="E1125" t="str">
            <v>A</v>
          </cell>
          <cell r="F1125" t="str">
            <v>10/22/2003</v>
          </cell>
        </row>
        <row r="1126">
          <cell r="B1126" t="str">
            <v>0K308</v>
          </cell>
          <cell r="C1126" t="str">
            <v>CIL</v>
          </cell>
          <cell r="D1126" t="str">
            <v>N</v>
          </cell>
          <cell r="E1126" t="str">
            <v>A</v>
          </cell>
          <cell r="F1126" t="str">
            <v>10/22/2003</v>
          </cell>
        </row>
        <row r="1127">
          <cell r="B1127" t="str">
            <v>0K309</v>
          </cell>
          <cell r="C1127" t="str">
            <v>ERC</v>
          </cell>
          <cell r="D1127" t="str">
            <v>N</v>
          </cell>
          <cell r="E1127" t="str">
            <v>A</v>
          </cell>
          <cell r="F1127" t="str">
            <v>12/02/2003</v>
          </cell>
        </row>
        <row r="1128">
          <cell r="B1128" t="str">
            <v>0K311</v>
          </cell>
          <cell r="C1128" t="str">
            <v>UEC</v>
          </cell>
          <cell r="D1128" t="str">
            <v>N</v>
          </cell>
          <cell r="E1128" t="str">
            <v>A</v>
          </cell>
          <cell r="F1128" t="str">
            <v>01/15/2004</v>
          </cell>
        </row>
        <row r="1129">
          <cell r="B1129" t="str">
            <v>0K857</v>
          </cell>
          <cell r="C1129" t="str">
            <v>UEC</v>
          </cell>
          <cell r="D1129" t="str">
            <v>N</v>
          </cell>
          <cell r="E1129" t="str">
            <v>A</v>
          </cell>
          <cell r="F1129" t="str">
            <v>06/28/1999</v>
          </cell>
        </row>
        <row r="1130">
          <cell r="B1130" t="str">
            <v>0K858</v>
          </cell>
          <cell r="C1130" t="str">
            <v>CIP</v>
          </cell>
          <cell r="D1130" t="str">
            <v>N</v>
          </cell>
          <cell r="E1130" t="str">
            <v>A</v>
          </cell>
          <cell r="F1130" t="str">
            <v>06/28/1999</v>
          </cell>
        </row>
        <row r="1131">
          <cell r="B1131" t="str">
            <v>0K930</v>
          </cell>
          <cell r="C1131" t="str">
            <v>UEC</v>
          </cell>
          <cell r="D1131" t="str">
            <v>N</v>
          </cell>
          <cell r="E1131" t="str">
            <v>A</v>
          </cell>
          <cell r="F1131" t="str">
            <v>06/19/1998</v>
          </cell>
        </row>
        <row r="1132">
          <cell r="B1132" t="str">
            <v>0K931</v>
          </cell>
          <cell r="C1132" t="str">
            <v>UEC</v>
          </cell>
          <cell r="D1132" t="str">
            <v>N</v>
          </cell>
          <cell r="E1132" t="str">
            <v>A</v>
          </cell>
          <cell r="F1132" t="str">
            <v>09/02/1998</v>
          </cell>
        </row>
        <row r="1133">
          <cell r="B1133" t="str">
            <v>0K932</v>
          </cell>
          <cell r="C1133" t="str">
            <v>CIP</v>
          </cell>
          <cell r="D1133" t="str">
            <v>N</v>
          </cell>
          <cell r="E1133" t="str">
            <v>A</v>
          </cell>
          <cell r="F1133" t="str">
            <v>10/14/1998</v>
          </cell>
        </row>
        <row r="1134">
          <cell r="B1134" t="str">
            <v>0K934</v>
          </cell>
          <cell r="C1134" t="str">
            <v>GEN</v>
          </cell>
          <cell r="D1134" t="str">
            <v>N</v>
          </cell>
          <cell r="E1134" t="str">
            <v>A</v>
          </cell>
          <cell r="F1134" t="str">
            <v>10/26/1998</v>
          </cell>
        </row>
        <row r="1135">
          <cell r="B1135" t="str">
            <v>0K936</v>
          </cell>
          <cell r="C1135" t="str">
            <v>UEC</v>
          </cell>
          <cell r="D1135" t="str">
            <v>N</v>
          </cell>
          <cell r="E1135" t="str">
            <v>A</v>
          </cell>
          <cell r="F1135" t="str">
            <v>03/02/1999</v>
          </cell>
        </row>
        <row r="1136">
          <cell r="B1136" t="str">
            <v>0K937</v>
          </cell>
          <cell r="C1136" t="str">
            <v>CIP</v>
          </cell>
          <cell r="D1136" t="str">
            <v>N</v>
          </cell>
          <cell r="E1136" t="str">
            <v>A</v>
          </cell>
          <cell r="F1136" t="str">
            <v>06/18/1999</v>
          </cell>
        </row>
        <row r="1137">
          <cell r="B1137" t="str">
            <v>0K938</v>
          </cell>
          <cell r="C1137" t="str">
            <v>CIP</v>
          </cell>
          <cell r="D1137" t="str">
            <v>N</v>
          </cell>
          <cell r="E1137" t="str">
            <v>C</v>
          </cell>
          <cell r="F1137" t="str">
            <v>06/24/1999</v>
          </cell>
        </row>
        <row r="1138">
          <cell r="B1138" t="str">
            <v>0M234</v>
          </cell>
          <cell r="C1138" t="str">
            <v>UEC</v>
          </cell>
          <cell r="D1138" t="str">
            <v>N</v>
          </cell>
          <cell r="E1138" t="str">
            <v>A</v>
          </cell>
          <cell r="F1138" t="str">
            <v>02/01/2001</v>
          </cell>
        </row>
        <row r="1139">
          <cell r="B1139" t="str">
            <v>0P008</v>
          </cell>
          <cell r="C1139" t="str">
            <v>UEC</v>
          </cell>
          <cell r="D1139" t="str">
            <v>N</v>
          </cell>
          <cell r="E1139" t="str">
            <v>A</v>
          </cell>
          <cell r="F1139" t="str">
            <v>01/07/2000</v>
          </cell>
        </row>
        <row r="1140">
          <cell r="B1140" t="str">
            <v>0P038</v>
          </cell>
          <cell r="C1140" t="str">
            <v>UEC</v>
          </cell>
          <cell r="D1140" t="str">
            <v>N</v>
          </cell>
          <cell r="E1140" t="str">
            <v>A</v>
          </cell>
          <cell r="F1140" t="str">
            <v>01/12/1998</v>
          </cell>
        </row>
        <row r="1141">
          <cell r="B1141" t="str">
            <v>0P077</v>
          </cell>
          <cell r="C1141" t="str">
            <v>UEC</v>
          </cell>
          <cell r="D1141" t="str">
            <v>N</v>
          </cell>
          <cell r="E1141" t="str">
            <v>A</v>
          </cell>
          <cell r="F1141" t="str">
            <v>12/13/2000</v>
          </cell>
        </row>
        <row r="1142">
          <cell r="B1142" t="str">
            <v>0P094</v>
          </cell>
          <cell r="C1142" t="str">
            <v>UEC</v>
          </cell>
          <cell r="D1142" t="str">
            <v>N</v>
          </cell>
          <cell r="E1142" t="str">
            <v>A</v>
          </cell>
          <cell r="F1142" t="str">
            <v>10/02/2000</v>
          </cell>
        </row>
        <row r="1143">
          <cell r="B1143" t="str">
            <v>0P095</v>
          </cell>
          <cell r="C1143" t="str">
            <v>UEC</v>
          </cell>
          <cell r="D1143" t="str">
            <v>N</v>
          </cell>
          <cell r="E1143" t="str">
            <v>A</v>
          </cell>
          <cell r="F1143" t="str">
            <v>12/06/1999</v>
          </cell>
        </row>
        <row r="1144">
          <cell r="B1144" t="str">
            <v>0P135</v>
          </cell>
          <cell r="C1144" t="str">
            <v>UEC</v>
          </cell>
          <cell r="D1144" t="str">
            <v>N</v>
          </cell>
          <cell r="E1144" t="str">
            <v>A</v>
          </cell>
          <cell r="F1144" t="str">
            <v>09/23/1999</v>
          </cell>
        </row>
        <row r="1145">
          <cell r="B1145" t="str">
            <v>0P142</v>
          </cell>
          <cell r="C1145" t="str">
            <v>UEC</v>
          </cell>
          <cell r="D1145" t="str">
            <v>N</v>
          </cell>
          <cell r="E1145" t="str">
            <v>A</v>
          </cell>
          <cell r="F1145" t="str">
            <v>01/12/1998</v>
          </cell>
        </row>
        <row r="1146">
          <cell r="B1146" t="str">
            <v>0P151</v>
          </cell>
          <cell r="C1146" t="str">
            <v>UEC</v>
          </cell>
          <cell r="D1146" t="str">
            <v>Y</v>
          </cell>
          <cell r="E1146" t="str">
            <v>C</v>
          </cell>
          <cell r="F1146" t="str">
            <v>02/05/2002</v>
          </cell>
        </row>
        <row r="1147">
          <cell r="B1147" t="str">
            <v>0P175</v>
          </cell>
          <cell r="C1147" t="str">
            <v>UEC</v>
          </cell>
          <cell r="D1147" t="str">
            <v>N</v>
          </cell>
          <cell r="E1147" t="str">
            <v>A</v>
          </cell>
          <cell r="F1147" t="str">
            <v>01/12/1998</v>
          </cell>
        </row>
        <row r="1148">
          <cell r="B1148" t="str">
            <v>0P194</v>
          </cell>
          <cell r="C1148" t="str">
            <v>UEC</v>
          </cell>
          <cell r="D1148" t="str">
            <v>N</v>
          </cell>
          <cell r="E1148" t="str">
            <v>A</v>
          </cell>
          <cell r="F1148" t="str">
            <v>01/27/2000</v>
          </cell>
        </row>
        <row r="1149">
          <cell r="B1149" t="str">
            <v>0P237</v>
          </cell>
          <cell r="C1149" t="str">
            <v>UEC</v>
          </cell>
          <cell r="D1149" t="str">
            <v>N</v>
          </cell>
          <cell r="E1149" t="str">
            <v>A</v>
          </cell>
          <cell r="F1149" t="str">
            <v>11/17/1997</v>
          </cell>
        </row>
        <row r="1150">
          <cell r="B1150" t="str">
            <v>0P238</v>
          </cell>
          <cell r="C1150" t="str">
            <v>UEC</v>
          </cell>
          <cell r="D1150" t="str">
            <v>N</v>
          </cell>
          <cell r="E1150" t="str">
            <v>A</v>
          </cell>
          <cell r="F1150" t="str">
            <v>05/02/2000</v>
          </cell>
        </row>
        <row r="1151">
          <cell r="B1151" t="str">
            <v>0P267</v>
          </cell>
          <cell r="C1151" t="str">
            <v>UEC</v>
          </cell>
          <cell r="D1151" t="str">
            <v>N</v>
          </cell>
          <cell r="E1151" t="str">
            <v>A</v>
          </cell>
          <cell r="F1151" t="str">
            <v>01/12/1998</v>
          </cell>
        </row>
        <row r="1152">
          <cell r="B1152" t="str">
            <v>0P269</v>
          </cell>
          <cell r="C1152" t="str">
            <v>UEC</v>
          </cell>
          <cell r="D1152" t="str">
            <v>N</v>
          </cell>
          <cell r="E1152" t="str">
            <v>A</v>
          </cell>
          <cell r="F1152" t="str">
            <v>01/12/1998</v>
          </cell>
        </row>
        <row r="1153">
          <cell r="B1153" t="str">
            <v>0P272</v>
          </cell>
          <cell r="C1153" t="str">
            <v>UEC</v>
          </cell>
          <cell r="D1153" t="str">
            <v>N</v>
          </cell>
          <cell r="E1153" t="str">
            <v>A</v>
          </cell>
          <cell r="F1153" t="str">
            <v>01/12/1998</v>
          </cell>
        </row>
        <row r="1154">
          <cell r="B1154" t="str">
            <v>0P274</v>
          </cell>
          <cell r="C1154" t="str">
            <v>UEC</v>
          </cell>
          <cell r="D1154" t="str">
            <v>N</v>
          </cell>
          <cell r="E1154" t="str">
            <v>A</v>
          </cell>
          <cell r="F1154" t="str">
            <v>01/12/1998</v>
          </cell>
        </row>
        <row r="1155">
          <cell r="B1155" t="str">
            <v>0P287</v>
          </cell>
          <cell r="C1155" t="str">
            <v>UEC</v>
          </cell>
          <cell r="D1155" t="str">
            <v>N</v>
          </cell>
          <cell r="E1155" t="str">
            <v>A</v>
          </cell>
          <cell r="F1155" t="str">
            <v>01/12/1998</v>
          </cell>
        </row>
        <row r="1156">
          <cell r="B1156" t="str">
            <v>0P295</v>
          </cell>
          <cell r="C1156" t="str">
            <v>UEC</v>
          </cell>
          <cell r="D1156" t="str">
            <v>N</v>
          </cell>
          <cell r="E1156" t="str">
            <v>A</v>
          </cell>
          <cell r="F1156" t="str">
            <v>05/12/2003</v>
          </cell>
        </row>
        <row r="1157">
          <cell r="B1157" t="str">
            <v>0P300</v>
          </cell>
          <cell r="C1157" t="str">
            <v>UEC</v>
          </cell>
          <cell r="D1157" t="str">
            <v>N</v>
          </cell>
          <cell r="E1157" t="str">
            <v>A</v>
          </cell>
          <cell r="F1157" t="str">
            <v>01/14/1998</v>
          </cell>
        </row>
        <row r="1158">
          <cell r="B1158" t="str">
            <v>0P309</v>
          </cell>
          <cell r="C1158" t="str">
            <v>UEC</v>
          </cell>
          <cell r="D1158" t="str">
            <v>N</v>
          </cell>
          <cell r="E1158" t="str">
            <v>A</v>
          </cell>
          <cell r="F1158" t="str">
            <v>11/17/1997</v>
          </cell>
        </row>
        <row r="1159">
          <cell r="B1159" t="str">
            <v>0P410</v>
          </cell>
          <cell r="C1159" t="str">
            <v>UEC</v>
          </cell>
          <cell r="D1159" t="str">
            <v>N</v>
          </cell>
          <cell r="E1159" t="str">
            <v>A</v>
          </cell>
          <cell r="F1159" t="str">
            <v>07/30/2002</v>
          </cell>
        </row>
        <row r="1160">
          <cell r="B1160" t="str">
            <v>0P415</v>
          </cell>
          <cell r="C1160" t="str">
            <v>UEC</v>
          </cell>
          <cell r="D1160" t="str">
            <v>N</v>
          </cell>
          <cell r="E1160" t="str">
            <v>A</v>
          </cell>
          <cell r="F1160" t="str">
            <v>02/22/2001</v>
          </cell>
        </row>
        <row r="1161">
          <cell r="B1161" t="str">
            <v>0P432</v>
          </cell>
          <cell r="C1161" t="str">
            <v>UEC</v>
          </cell>
          <cell r="D1161" t="str">
            <v>N</v>
          </cell>
          <cell r="E1161" t="str">
            <v>A</v>
          </cell>
          <cell r="F1161" t="str">
            <v>01/12/1998</v>
          </cell>
        </row>
        <row r="1162">
          <cell r="B1162" t="str">
            <v>0P435</v>
          </cell>
          <cell r="C1162" t="str">
            <v>UEC</v>
          </cell>
          <cell r="D1162" t="str">
            <v>N</v>
          </cell>
          <cell r="E1162" t="str">
            <v>A</v>
          </cell>
          <cell r="F1162" t="str">
            <v>10/02/2000</v>
          </cell>
        </row>
        <row r="1163">
          <cell r="B1163" t="str">
            <v>0P436</v>
          </cell>
          <cell r="C1163" t="str">
            <v>UEC</v>
          </cell>
          <cell r="D1163" t="str">
            <v>N</v>
          </cell>
          <cell r="E1163" t="str">
            <v>A</v>
          </cell>
          <cell r="F1163" t="str">
            <v>01/16/1998</v>
          </cell>
        </row>
        <row r="1164">
          <cell r="B1164" t="str">
            <v>0P437</v>
          </cell>
          <cell r="C1164" t="str">
            <v>UEC</v>
          </cell>
          <cell r="D1164" t="str">
            <v>N</v>
          </cell>
          <cell r="E1164" t="str">
            <v>A</v>
          </cell>
          <cell r="F1164" t="str">
            <v>01/09/1998</v>
          </cell>
        </row>
        <row r="1165">
          <cell r="B1165" t="str">
            <v>0P438</v>
          </cell>
          <cell r="C1165" t="str">
            <v>UEC</v>
          </cell>
          <cell r="D1165" t="str">
            <v>N</v>
          </cell>
          <cell r="E1165" t="str">
            <v>A</v>
          </cell>
          <cell r="F1165" t="str">
            <v>12/06/1999</v>
          </cell>
        </row>
        <row r="1166">
          <cell r="B1166" t="str">
            <v>0P451</v>
          </cell>
          <cell r="C1166" t="str">
            <v>UEC</v>
          </cell>
          <cell r="D1166" t="str">
            <v>N</v>
          </cell>
          <cell r="E1166" t="str">
            <v>A</v>
          </cell>
          <cell r="F1166" t="str">
            <v>10/13/1999</v>
          </cell>
        </row>
        <row r="1167">
          <cell r="B1167" t="str">
            <v>0P454</v>
          </cell>
          <cell r="C1167" t="str">
            <v>UEC</v>
          </cell>
          <cell r="D1167" t="str">
            <v>N</v>
          </cell>
          <cell r="E1167" t="str">
            <v>A</v>
          </cell>
          <cell r="F1167" t="str">
            <v>01/22/1998</v>
          </cell>
        </row>
        <row r="1168">
          <cell r="B1168" t="str">
            <v>0P457</v>
          </cell>
          <cell r="C1168" t="str">
            <v>UEC</v>
          </cell>
          <cell r="D1168" t="str">
            <v>N</v>
          </cell>
          <cell r="E1168" t="str">
            <v>A</v>
          </cell>
          <cell r="F1168" t="str">
            <v>01/12/1998</v>
          </cell>
        </row>
        <row r="1169">
          <cell r="B1169" t="str">
            <v>0P516</v>
          </cell>
          <cell r="C1169" t="str">
            <v>UEC</v>
          </cell>
          <cell r="D1169" t="str">
            <v>N</v>
          </cell>
          <cell r="E1169" t="str">
            <v>A</v>
          </cell>
          <cell r="F1169" t="str">
            <v>08/07/2002</v>
          </cell>
        </row>
        <row r="1170">
          <cell r="B1170" t="str">
            <v>0P519</v>
          </cell>
          <cell r="C1170" t="str">
            <v>UEC</v>
          </cell>
          <cell r="D1170" t="str">
            <v>N</v>
          </cell>
          <cell r="E1170" t="str">
            <v>A</v>
          </cell>
          <cell r="F1170" t="str">
            <v>12/22/1997</v>
          </cell>
        </row>
        <row r="1171">
          <cell r="B1171" t="str">
            <v>0P561</v>
          </cell>
          <cell r="C1171" t="str">
            <v>UEC</v>
          </cell>
          <cell r="D1171" t="str">
            <v>N</v>
          </cell>
          <cell r="E1171" t="str">
            <v>A</v>
          </cell>
          <cell r="F1171" t="str">
            <v>04/14/1999</v>
          </cell>
        </row>
        <row r="1172">
          <cell r="B1172" t="str">
            <v>0P600</v>
          </cell>
          <cell r="C1172" t="str">
            <v>UEC</v>
          </cell>
          <cell r="D1172" t="str">
            <v>N</v>
          </cell>
          <cell r="E1172" t="str">
            <v>A</v>
          </cell>
          <cell r="F1172" t="str">
            <v>11/17/1997</v>
          </cell>
        </row>
        <row r="1173">
          <cell r="B1173" t="str">
            <v>0P602</v>
          </cell>
          <cell r="C1173" t="str">
            <v>UEC</v>
          </cell>
          <cell r="D1173" t="str">
            <v>N</v>
          </cell>
          <cell r="E1173" t="str">
            <v>A</v>
          </cell>
          <cell r="F1173" t="str">
            <v>11/17/1997</v>
          </cell>
        </row>
        <row r="1174">
          <cell r="B1174" t="str">
            <v>0P603</v>
          </cell>
          <cell r="C1174" t="str">
            <v>UEC</v>
          </cell>
          <cell r="D1174" t="str">
            <v>N</v>
          </cell>
          <cell r="E1174" t="str">
            <v>A</v>
          </cell>
          <cell r="F1174" t="str">
            <v>11/17/1997</v>
          </cell>
        </row>
        <row r="1175">
          <cell r="B1175" t="str">
            <v>0P605</v>
          </cell>
          <cell r="C1175" t="str">
            <v>UEC</v>
          </cell>
          <cell r="D1175" t="str">
            <v>N</v>
          </cell>
          <cell r="E1175" t="str">
            <v>A</v>
          </cell>
          <cell r="F1175" t="str">
            <v>01/05/1999</v>
          </cell>
        </row>
        <row r="1176">
          <cell r="B1176" t="str">
            <v>0P606</v>
          </cell>
          <cell r="C1176" t="str">
            <v>UEC</v>
          </cell>
          <cell r="D1176" t="str">
            <v>N</v>
          </cell>
          <cell r="E1176" t="str">
            <v>A</v>
          </cell>
          <cell r="F1176" t="str">
            <v>09/21/1999</v>
          </cell>
        </row>
        <row r="1177">
          <cell r="B1177" t="str">
            <v>0P607</v>
          </cell>
          <cell r="C1177" t="str">
            <v>UEC</v>
          </cell>
          <cell r="D1177" t="str">
            <v>N</v>
          </cell>
          <cell r="E1177" t="str">
            <v>A</v>
          </cell>
          <cell r="F1177" t="str">
            <v>04/14/1999</v>
          </cell>
        </row>
        <row r="1178">
          <cell r="B1178" t="str">
            <v>0P609</v>
          </cell>
          <cell r="C1178" t="str">
            <v>UEC</v>
          </cell>
          <cell r="D1178" t="str">
            <v>N</v>
          </cell>
          <cell r="E1178" t="str">
            <v>A</v>
          </cell>
          <cell r="F1178" t="str">
            <v>01/12/1998</v>
          </cell>
        </row>
        <row r="1179">
          <cell r="B1179" t="str">
            <v>0P610</v>
          </cell>
          <cell r="C1179" t="str">
            <v>UEC</v>
          </cell>
          <cell r="D1179" t="str">
            <v>N</v>
          </cell>
          <cell r="E1179" t="str">
            <v>A</v>
          </cell>
          <cell r="F1179" t="str">
            <v>11/12/1998</v>
          </cell>
        </row>
        <row r="1180">
          <cell r="B1180" t="str">
            <v>0P661</v>
          </cell>
          <cell r="C1180" t="str">
            <v>UEC</v>
          </cell>
          <cell r="D1180" t="str">
            <v>N</v>
          </cell>
          <cell r="E1180" t="str">
            <v>A</v>
          </cell>
          <cell r="F1180" t="str">
            <v>01/31/2003</v>
          </cell>
        </row>
        <row r="1181">
          <cell r="B1181" t="str">
            <v>0P672</v>
          </cell>
          <cell r="C1181" t="str">
            <v>UEC</v>
          </cell>
          <cell r="D1181" t="str">
            <v>N</v>
          </cell>
          <cell r="E1181" t="str">
            <v>A</v>
          </cell>
          <cell r="F1181" t="str">
            <v>01/15/1998</v>
          </cell>
        </row>
        <row r="1182">
          <cell r="B1182" t="str">
            <v>0P725</v>
          </cell>
          <cell r="C1182" t="str">
            <v>UEC</v>
          </cell>
          <cell r="D1182" t="str">
            <v>N</v>
          </cell>
          <cell r="E1182" t="str">
            <v>A</v>
          </cell>
          <cell r="F1182" t="str">
            <v>02/27/2003</v>
          </cell>
        </row>
        <row r="1183">
          <cell r="B1183" t="str">
            <v>0P740</v>
          </cell>
          <cell r="C1183" t="str">
            <v>UEC</v>
          </cell>
          <cell r="D1183" t="str">
            <v>N</v>
          </cell>
          <cell r="E1183" t="str">
            <v>A</v>
          </cell>
          <cell r="F1183" t="str">
            <v>11/17/1997</v>
          </cell>
        </row>
        <row r="1184">
          <cell r="B1184" t="str">
            <v>0P827</v>
          </cell>
          <cell r="C1184" t="str">
            <v>UEC</v>
          </cell>
          <cell r="D1184" t="str">
            <v>N</v>
          </cell>
          <cell r="E1184" t="str">
            <v>C</v>
          </cell>
          <cell r="F1184" t="str">
            <v>11/12/1998</v>
          </cell>
        </row>
        <row r="1185">
          <cell r="B1185" t="str">
            <v>0P868</v>
          </cell>
          <cell r="C1185" t="str">
            <v>UEC</v>
          </cell>
          <cell r="D1185" t="str">
            <v>N</v>
          </cell>
          <cell r="E1185" t="str">
            <v>A</v>
          </cell>
          <cell r="F1185" t="str">
            <v>10/01/2002</v>
          </cell>
        </row>
        <row r="1186">
          <cell r="B1186" t="str">
            <v>0P870</v>
          </cell>
          <cell r="C1186" t="str">
            <v>UEC</v>
          </cell>
          <cell r="D1186" t="str">
            <v>N</v>
          </cell>
          <cell r="E1186" t="str">
            <v>A</v>
          </cell>
          <cell r="F1186" t="str">
            <v>01/12/1998</v>
          </cell>
        </row>
        <row r="1187">
          <cell r="B1187" t="str">
            <v>0P871</v>
          </cell>
          <cell r="C1187" t="str">
            <v>UEC</v>
          </cell>
          <cell r="D1187" t="str">
            <v>N</v>
          </cell>
          <cell r="E1187" t="str">
            <v>A</v>
          </cell>
          <cell r="F1187" t="str">
            <v>10/01/2002</v>
          </cell>
        </row>
        <row r="1188">
          <cell r="B1188" t="str">
            <v>0P873</v>
          </cell>
          <cell r="C1188" t="str">
            <v>UEC</v>
          </cell>
          <cell r="D1188" t="str">
            <v>N</v>
          </cell>
          <cell r="E1188" t="str">
            <v>A</v>
          </cell>
          <cell r="F1188" t="str">
            <v>01/15/1998</v>
          </cell>
        </row>
        <row r="1189">
          <cell r="B1189" t="str">
            <v>0P879</v>
          </cell>
          <cell r="C1189" t="str">
            <v>UEC</v>
          </cell>
          <cell r="D1189" t="str">
            <v>N</v>
          </cell>
          <cell r="E1189" t="str">
            <v>A</v>
          </cell>
          <cell r="F1189" t="str">
            <v>01/15/1998</v>
          </cell>
        </row>
        <row r="1190">
          <cell r="B1190" t="str">
            <v>0P880</v>
          </cell>
          <cell r="C1190" t="str">
            <v>UEC</v>
          </cell>
          <cell r="D1190" t="str">
            <v>N</v>
          </cell>
          <cell r="E1190" t="str">
            <v>C</v>
          </cell>
          <cell r="F1190" t="str">
            <v>01/15/1998</v>
          </cell>
        </row>
        <row r="1191">
          <cell r="B1191" t="str">
            <v>0P881</v>
          </cell>
          <cell r="C1191" t="str">
            <v>UEC</v>
          </cell>
          <cell r="D1191" t="str">
            <v>N</v>
          </cell>
          <cell r="E1191" t="str">
            <v>A</v>
          </cell>
          <cell r="F1191" t="str">
            <v>01/15/1998</v>
          </cell>
        </row>
        <row r="1192">
          <cell r="B1192" t="str">
            <v>0P882</v>
          </cell>
          <cell r="C1192" t="str">
            <v>UEC</v>
          </cell>
          <cell r="D1192" t="str">
            <v>N</v>
          </cell>
          <cell r="E1192" t="str">
            <v>A</v>
          </cell>
          <cell r="F1192" t="str">
            <v>01/15/1998</v>
          </cell>
        </row>
        <row r="1193">
          <cell r="B1193" t="str">
            <v>0P883</v>
          </cell>
          <cell r="C1193" t="str">
            <v>UEC</v>
          </cell>
          <cell r="D1193" t="str">
            <v>N</v>
          </cell>
          <cell r="E1193" t="str">
            <v>A</v>
          </cell>
          <cell r="F1193" t="str">
            <v>01/15/1998</v>
          </cell>
        </row>
        <row r="1194">
          <cell r="B1194" t="str">
            <v>0P885</v>
          </cell>
          <cell r="C1194" t="str">
            <v>UEC</v>
          </cell>
          <cell r="D1194" t="str">
            <v>N</v>
          </cell>
          <cell r="E1194" t="str">
            <v>A</v>
          </cell>
          <cell r="F1194" t="str">
            <v>09/23/2002</v>
          </cell>
        </row>
        <row r="1195">
          <cell r="B1195" t="str">
            <v>0P887</v>
          </cell>
          <cell r="C1195" t="str">
            <v>UEC</v>
          </cell>
          <cell r="D1195" t="str">
            <v>N</v>
          </cell>
          <cell r="E1195" t="str">
            <v>A</v>
          </cell>
          <cell r="F1195" t="str">
            <v>02/24/1998</v>
          </cell>
        </row>
        <row r="1196">
          <cell r="B1196" t="str">
            <v>0P945</v>
          </cell>
          <cell r="C1196" t="str">
            <v>UEC</v>
          </cell>
          <cell r="D1196" t="str">
            <v>N</v>
          </cell>
          <cell r="E1196" t="str">
            <v>A</v>
          </cell>
          <cell r="F1196" t="str">
            <v>04/08/2003</v>
          </cell>
        </row>
        <row r="1197">
          <cell r="B1197" t="str">
            <v>0P975</v>
          </cell>
          <cell r="C1197" t="str">
            <v>UEC</v>
          </cell>
          <cell r="D1197" t="str">
            <v>N</v>
          </cell>
          <cell r="E1197" t="str">
            <v>A</v>
          </cell>
          <cell r="F1197" t="str">
            <v>08/19/2002</v>
          </cell>
        </row>
        <row r="1198">
          <cell r="B1198" t="str">
            <v>0PL1B</v>
          </cell>
          <cell r="C1198" t="str">
            <v>UEC</v>
          </cell>
          <cell r="D1198" t="str">
            <v>N</v>
          </cell>
          <cell r="E1198" t="str">
            <v>A</v>
          </cell>
          <cell r="F1198" t="str">
            <v>01/20/2000</v>
          </cell>
        </row>
        <row r="1199">
          <cell r="B1199" t="str">
            <v>0PM1B</v>
          </cell>
          <cell r="C1199" t="str">
            <v>UEC</v>
          </cell>
          <cell r="D1199" t="str">
            <v>N</v>
          </cell>
          <cell r="E1199" t="str">
            <v>A</v>
          </cell>
          <cell r="F1199" t="str">
            <v>12/26/2000</v>
          </cell>
        </row>
        <row r="1200">
          <cell r="B1200" t="str">
            <v>0PR2B</v>
          </cell>
          <cell r="C1200" t="str">
            <v>UEC</v>
          </cell>
          <cell r="D1200" t="str">
            <v>N</v>
          </cell>
          <cell r="E1200" t="str">
            <v>A</v>
          </cell>
          <cell r="F1200" t="str">
            <v>01/09/1998</v>
          </cell>
        </row>
        <row r="1201">
          <cell r="B1201" t="str">
            <v>0PS1B</v>
          </cell>
          <cell r="C1201" t="str">
            <v>UEC</v>
          </cell>
          <cell r="D1201" t="str">
            <v>N</v>
          </cell>
          <cell r="E1201" t="str">
            <v>A</v>
          </cell>
          <cell r="F1201" t="str">
            <v>01/15/1998</v>
          </cell>
        </row>
        <row r="1202">
          <cell r="B1202" t="str">
            <v>0PS2B</v>
          </cell>
          <cell r="C1202" t="str">
            <v>UEC</v>
          </cell>
          <cell r="D1202" t="str">
            <v>N</v>
          </cell>
          <cell r="E1202" t="str">
            <v>A</v>
          </cell>
          <cell r="F1202" t="str">
            <v>04/14/1999</v>
          </cell>
        </row>
        <row r="1203">
          <cell r="B1203" t="str">
            <v>0W563</v>
          </cell>
          <cell r="C1203" t="str">
            <v>GEN</v>
          </cell>
          <cell r="D1203" t="str">
            <v>N</v>
          </cell>
          <cell r="E1203" t="str">
            <v>I</v>
          </cell>
          <cell r="F1203" t="str">
            <v>05/25/1999</v>
          </cell>
        </row>
        <row r="1204">
          <cell r="B1204" t="str">
            <v>0W736</v>
          </cell>
          <cell r="C1204" t="str">
            <v>IHC</v>
          </cell>
          <cell r="D1204" t="str">
            <v>N</v>
          </cell>
          <cell r="E1204" t="str">
            <v>C</v>
          </cell>
          <cell r="F1204" t="str">
            <v>07/09/2002</v>
          </cell>
        </row>
        <row r="1205">
          <cell r="B1205" t="str">
            <v>0WN1B</v>
          </cell>
          <cell r="C1205" t="str">
            <v>GEN</v>
          </cell>
          <cell r="D1205" t="str">
            <v>N</v>
          </cell>
          <cell r="E1205" t="str">
            <v>I</v>
          </cell>
          <cell r="F1205" t="str">
            <v>04/17/1998</v>
          </cell>
        </row>
        <row r="1206">
          <cell r="B1206" t="str">
            <v>A0001</v>
          </cell>
          <cell r="C1206" t="str">
            <v>017A</v>
          </cell>
          <cell r="D1206" t="str">
            <v>Y</v>
          </cell>
          <cell r="E1206" t="str">
            <v>A</v>
          </cell>
          <cell r="F1206" t="str">
            <v>10/03/1997</v>
          </cell>
        </row>
        <row r="1207">
          <cell r="B1207" t="str">
            <v>A0002</v>
          </cell>
          <cell r="C1207" t="str">
            <v>017B</v>
          </cell>
          <cell r="D1207" t="str">
            <v>Y</v>
          </cell>
          <cell r="E1207" t="str">
            <v>A</v>
          </cell>
          <cell r="F1207" t="str">
            <v>10/03/1997</v>
          </cell>
        </row>
        <row r="1208">
          <cell r="B1208" t="str">
            <v>A0004</v>
          </cell>
          <cell r="C1208"/>
          <cell r="D1208" t="str">
            <v>Y</v>
          </cell>
          <cell r="E1208" t="str">
            <v>A</v>
          </cell>
          <cell r="F1208" t="str">
            <v>10/06/1997</v>
          </cell>
        </row>
        <row r="1209">
          <cell r="B1209" t="str">
            <v>A0005</v>
          </cell>
          <cell r="C1209" t="str">
            <v>UEC</v>
          </cell>
          <cell r="D1209" t="str">
            <v>Y</v>
          </cell>
          <cell r="E1209" t="str">
            <v>A</v>
          </cell>
          <cell r="F1209" t="str">
            <v>10/06/1997</v>
          </cell>
        </row>
        <row r="1210">
          <cell r="B1210" t="str">
            <v>A0006</v>
          </cell>
          <cell r="C1210" t="str">
            <v>CIP</v>
          </cell>
          <cell r="D1210" t="str">
            <v>Y</v>
          </cell>
          <cell r="E1210" t="str">
            <v>A</v>
          </cell>
          <cell r="F1210" t="str">
            <v>10/06/1997</v>
          </cell>
        </row>
        <row r="1211">
          <cell r="B1211" t="str">
            <v>A0007</v>
          </cell>
          <cell r="C1211" t="str">
            <v>CIC</v>
          </cell>
          <cell r="D1211" t="str">
            <v>Y</v>
          </cell>
          <cell r="E1211" t="str">
            <v>A</v>
          </cell>
          <cell r="F1211" t="str">
            <v>10/06/1997</v>
          </cell>
        </row>
        <row r="1212">
          <cell r="B1212" t="str">
            <v>A0008</v>
          </cell>
          <cell r="C1212" t="str">
            <v>UDC</v>
          </cell>
          <cell r="D1212" t="str">
            <v>Y</v>
          </cell>
          <cell r="E1212" t="str">
            <v>A</v>
          </cell>
          <cell r="F1212" t="str">
            <v>10/06/1997</v>
          </cell>
        </row>
        <row r="1213">
          <cell r="B1213" t="str">
            <v>A0009</v>
          </cell>
          <cell r="C1213" t="str">
            <v>AMC</v>
          </cell>
          <cell r="D1213" t="str">
            <v>Y</v>
          </cell>
          <cell r="E1213" t="str">
            <v>A</v>
          </cell>
          <cell r="F1213" t="str">
            <v>10/06/1997</v>
          </cell>
        </row>
        <row r="1214">
          <cell r="B1214" t="str">
            <v>A0012</v>
          </cell>
          <cell r="C1214" t="str">
            <v>AEC</v>
          </cell>
          <cell r="D1214" t="str">
            <v>Y</v>
          </cell>
          <cell r="E1214" t="str">
            <v>A</v>
          </cell>
          <cell r="F1214" t="str">
            <v>07/23/1998</v>
          </cell>
        </row>
        <row r="1215">
          <cell r="B1215" t="str">
            <v>A0016</v>
          </cell>
          <cell r="C1215" t="str">
            <v>ERC</v>
          </cell>
          <cell r="D1215" t="str">
            <v>Y</v>
          </cell>
          <cell r="E1215" t="str">
            <v>A</v>
          </cell>
          <cell r="F1215" t="str">
            <v>07/02/1998</v>
          </cell>
        </row>
        <row r="1216">
          <cell r="B1216" t="str">
            <v>A0018</v>
          </cell>
          <cell r="C1216" t="str">
            <v>AME</v>
          </cell>
          <cell r="D1216" t="str">
            <v>Y</v>
          </cell>
          <cell r="E1216" t="str">
            <v>A</v>
          </cell>
          <cell r="F1216" t="str">
            <v>07/23/1998</v>
          </cell>
        </row>
        <row r="1217">
          <cell r="B1217" t="str">
            <v>A0021</v>
          </cell>
          <cell r="C1217" t="str">
            <v>007A</v>
          </cell>
          <cell r="D1217" t="str">
            <v>Y</v>
          </cell>
          <cell r="E1217" t="str">
            <v>A</v>
          </cell>
          <cell r="F1217" t="str">
            <v>10/06/1997</v>
          </cell>
        </row>
        <row r="1218">
          <cell r="B1218" t="str">
            <v>A0022</v>
          </cell>
          <cell r="C1218" t="str">
            <v>004A</v>
          </cell>
          <cell r="D1218" t="str">
            <v>Y</v>
          </cell>
          <cell r="E1218" t="str">
            <v>A</v>
          </cell>
          <cell r="F1218" t="str">
            <v>03/15/1999</v>
          </cell>
        </row>
        <row r="1219">
          <cell r="B1219" t="str">
            <v>A0051</v>
          </cell>
          <cell r="C1219" t="str">
            <v>007A</v>
          </cell>
          <cell r="D1219" t="str">
            <v>Y</v>
          </cell>
          <cell r="E1219" t="str">
            <v>A</v>
          </cell>
          <cell r="F1219" t="str">
            <v>10/06/1997</v>
          </cell>
        </row>
        <row r="1220">
          <cell r="B1220" t="str">
            <v>A0071</v>
          </cell>
          <cell r="C1220" t="str">
            <v>UEC</v>
          </cell>
          <cell r="D1220" t="str">
            <v>Y</v>
          </cell>
          <cell r="E1220" t="str">
            <v>A</v>
          </cell>
          <cell r="F1220" t="str">
            <v>10/06/1997</v>
          </cell>
        </row>
        <row r="1221">
          <cell r="B1221" t="str">
            <v>A0072</v>
          </cell>
          <cell r="C1221" t="str">
            <v>CIP</v>
          </cell>
          <cell r="D1221" t="str">
            <v>Y</v>
          </cell>
          <cell r="E1221" t="str">
            <v>A</v>
          </cell>
          <cell r="F1221" t="str">
            <v>10/06/1997</v>
          </cell>
        </row>
        <row r="1222">
          <cell r="B1222" t="str">
            <v>A0075</v>
          </cell>
          <cell r="C1222" t="str">
            <v>017C</v>
          </cell>
          <cell r="D1222" t="str">
            <v>Y</v>
          </cell>
          <cell r="E1222" t="str">
            <v>A</v>
          </cell>
          <cell r="F1222" t="str">
            <v>10/06/1997</v>
          </cell>
        </row>
        <row r="1223">
          <cell r="B1223" t="str">
            <v>A0077</v>
          </cell>
          <cell r="C1223" t="str">
            <v>CIP</v>
          </cell>
          <cell r="D1223" t="str">
            <v>Y</v>
          </cell>
          <cell r="E1223" t="str">
            <v>A</v>
          </cell>
          <cell r="F1223" t="str">
            <v>10/06/1997</v>
          </cell>
        </row>
        <row r="1224">
          <cell r="B1224" t="str">
            <v>A0078</v>
          </cell>
          <cell r="C1224" t="str">
            <v>UEC</v>
          </cell>
          <cell r="D1224" t="str">
            <v>Y</v>
          </cell>
          <cell r="E1224" t="str">
            <v>A</v>
          </cell>
          <cell r="F1224" t="str">
            <v>10/06/1997</v>
          </cell>
        </row>
        <row r="1225">
          <cell r="B1225" t="str">
            <v>A0079</v>
          </cell>
          <cell r="C1225"/>
          <cell r="D1225" t="str">
            <v>Y</v>
          </cell>
          <cell r="E1225" t="str">
            <v>A</v>
          </cell>
          <cell r="F1225" t="str">
            <v>11/22/1997</v>
          </cell>
        </row>
        <row r="1226">
          <cell r="B1226" t="str">
            <v>A0080</v>
          </cell>
          <cell r="C1226" t="str">
            <v>CIP</v>
          </cell>
          <cell r="D1226" t="str">
            <v>Y</v>
          </cell>
          <cell r="E1226" t="str">
            <v>A</v>
          </cell>
          <cell r="F1226" t="str">
            <v>10/06/1997</v>
          </cell>
        </row>
        <row r="1227">
          <cell r="B1227" t="str">
            <v>A0081</v>
          </cell>
          <cell r="C1227" t="str">
            <v>UEC</v>
          </cell>
          <cell r="D1227" t="str">
            <v>Y</v>
          </cell>
          <cell r="E1227" t="str">
            <v>A</v>
          </cell>
          <cell r="F1227" t="str">
            <v>10/06/1997</v>
          </cell>
        </row>
        <row r="1228">
          <cell r="B1228" t="str">
            <v>A0083</v>
          </cell>
          <cell r="C1228" t="str">
            <v>017C</v>
          </cell>
          <cell r="D1228" t="str">
            <v>Y</v>
          </cell>
          <cell r="E1228" t="str">
            <v>A</v>
          </cell>
          <cell r="F1228" t="str">
            <v>10/06/1997</v>
          </cell>
        </row>
        <row r="1229">
          <cell r="B1229" t="str">
            <v>A0084</v>
          </cell>
          <cell r="C1229"/>
          <cell r="D1229" t="str">
            <v>N</v>
          </cell>
          <cell r="E1229" t="str">
            <v>A</v>
          </cell>
          <cell r="F1229" t="str">
            <v>12/19/1997</v>
          </cell>
        </row>
        <row r="1230">
          <cell r="B1230" t="str">
            <v>A0101</v>
          </cell>
          <cell r="C1230" t="str">
            <v>CIP</v>
          </cell>
          <cell r="D1230" t="str">
            <v>Y</v>
          </cell>
          <cell r="E1230" t="str">
            <v>A</v>
          </cell>
          <cell r="F1230" t="str">
            <v>11/19/1997</v>
          </cell>
        </row>
        <row r="1231">
          <cell r="B1231" t="str">
            <v>A0102</v>
          </cell>
          <cell r="C1231" t="str">
            <v>UEC</v>
          </cell>
          <cell r="D1231" t="str">
            <v>Y</v>
          </cell>
          <cell r="E1231" t="str">
            <v>A</v>
          </cell>
          <cell r="F1231" t="str">
            <v>10/29/1998</v>
          </cell>
        </row>
        <row r="1232">
          <cell r="B1232" t="str">
            <v>A0103</v>
          </cell>
          <cell r="C1232" t="str">
            <v>002L</v>
          </cell>
          <cell r="D1232" t="str">
            <v>Y</v>
          </cell>
          <cell r="E1232" t="str">
            <v>A</v>
          </cell>
          <cell r="F1232" t="str">
            <v>09/21/1998</v>
          </cell>
        </row>
        <row r="1233">
          <cell r="B1233" t="str">
            <v>A0104</v>
          </cell>
          <cell r="C1233" t="str">
            <v>UEC</v>
          </cell>
          <cell r="D1233" t="str">
            <v>Y</v>
          </cell>
          <cell r="E1233" t="str">
            <v>A</v>
          </cell>
          <cell r="F1233" t="str">
            <v>11/19/1997</v>
          </cell>
        </row>
        <row r="1234">
          <cell r="B1234" t="str">
            <v>A0105</v>
          </cell>
          <cell r="C1234" t="str">
            <v>011B</v>
          </cell>
          <cell r="D1234" t="str">
            <v>Y</v>
          </cell>
          <cell r="E1234" t="str">
            <v>A</v>
          </cell>
          <cell r="F1234" t="str">
            <v>10/13/1997</v>
          </cell>
        </row>
        <row r="1235">
          <cell r="B1235" t="str">
            <v>A0106</v>
          </cell>
          <cell r="C1235" t="str">
            <v>CIP</v>
          </cell>
          <cell r="D1235" t="str">
            <v>Y</v>
          </cell>
          <cell r="E1235" t="str">
            <v>A</v>
          </cell>
          <cell r="F1235" t="str">
            <v>10/13/1997</v>
          </cell>
        </row>
        <row r="1236">
          <cell r="B1236" t="str">
            <v>A0108</v>
          </cell>
          <cell r="C1236" t="str">
            <v>AME</v>
          </cell>
          <cell r="D1236" t="str">
            <v>Y</v>
          </cell>
          <cell r="E1236" t="str">
            <v>A</v>
          </cell>
          <cell r="F1236" t="str">
            <v>09/22/1998</v>
          </cell>
        </row>
        <row r="1237">
          <cell r="B1237" t="str">
            <v>A0109</v>
          </cell>
          <cell r="C1237" t="str">
            <v>GEN</v>
          </cell>
          <cell r="D1237" t="str">
            <v>Y</v>
          </cell>
          <cell r="E1237" t="str">
            <v>A</v>
          </cell>
          <cell r="F1237" t="str">
            <v>01/02/1998</v>
          </cell>
        </row>
        <row r="1238">
          <cell r="B1238" t="str">
            <v>A0110</v>
          </cell>
          <cell r="C1238" t="str">
            <v>012D</v>
          </cell>
          <cell r="D1238" t="str">
            <v>Y</v>
          </cell>
          <cell r="E1238" t="str">
            <v>A</v>
          </cell>
          <cell r="F1238" t="str">
            <v>11/19/1997</v>
          </cell>
        </row>
        <row r="1239">
          <cell r="B1239" t="str">
            <v>A0111</v>
          </cell>
          <cell r="C1239" t="str">
            <v>UEC</v>
          </cell>
          <cell r="D1239" t="str">
            <v>Y</v>
          </cell>
          <cell r="E1239" t="str">
            <v>A</v>
          </cell>
          <cell r="F1239" t="str">
            <v>11/19/1997</v>
          </cell>
        </row>
        <row r="1240">
          <cell r="B1240" t="str">
            <v>A0112</v>
          </cell>
          <cell r="C1240" t="str">
            <v>UEC</v>
          </cell>
          <cell r="D1240" t="str">
            <v>Y</v>
          </cell>
          <cell r="E1240" t="str">
            <v>A</v>
          </cell>
          <cell r="F1240" t="str">
            <v>09/24/1998</v>
          </cell>
        </row>
        <row r="1241">
          <cell r="B1241" t="str">
            <v>A0113</v>
          </cell>
          <cell r="C1241" t="str">
            <v>UEC</v>
          </cell>
          <cell r="D1241" t="str">
            <v>Y</v>
          </cell>
          <cell r="E1241" t="str">
            <v>A</v>
          </cell>
          <cell r="F1241" t="str">
            <v>09/24/1998</v>
          </cell>
        </row>
        <row r="1242">
          <cell r="B1242" t="str">
            <v>A0114</v>
          </cell>
          <cell r="C1242" t="str">
            <v>UEC</v>
          </cell>
          <cell r="D1242" t="str">
            <v>Y</v>
          </cell>
          <cell r="E1242" t="str">
            <v>A</v>
          </cell>
          <cell r="F1242" t="str">
            <v>11/19/1997</v>
          </cell>
        </row>
        <row r="1243">
          <cell r="B1243" t="str">
            <v>A0115</v>
          </cell>
          <cell r="C1243" t="str">
            <v>UEC</v>
          </cell>
          <cell r="D1243" t="str">
            <v>Y</v>
          </cell>
          <cell r="E1243" t="str">
            <v>A</v>
          </cell>
          <cell r="F1243" t="str">
            <v>02/23/1998</v>
          </cell>
        </row>
        <row r="1244">
          <cell r="B1244" t="str">
            <v>A0116</v>
          </cell>
          <cell r="C1244" t="str">
            <v>GEN</v>
          </cell>
          <cell r="D1244" t="str">
            <v>Y</v>
          </cell>
          <cell r="E1244" t="str">
            <v>A</v>
          </cell>
          <cell r="F1244" t="str">
            <v>11/19/1997</v>
          </cell>
        </row>
        <row r="1245">
          <cell r="B1245" t="str">
            <v>A0117</v>
          </cell>
          <cell r="C1245" t="str">
            <v>CIP</v>
          </cell>
          <cell r="D1245" t="str">
            <v>Y</v>
          </cell>
          <cell r="E1245" t="str">
            <v>A</v>
          </cell>
          <cell r="F1245" t="str">
            <v>11/19/1997</v>
          </cell>
        </row>
        <row r="1246">
          <cell r="B1246" t="str">
            <v>A0118</v>
          </cell>
          <cell r="C1246" t="str">
            <v>UEC</v>
          </cell>
          <cell r="D1246" t="str">
            <v>Y</v>
          </cell>
          <cell r="E1246" t="str">
            <v>A</v>
          </cell>
          <cell r="F1246" t="str">
            <v>11/19/1997</v>
          </cell>
        </row>
        <row r="1247">
          <cell r="B1247" t="str">
            <v>A0119</v>
          </cell>
          <cell r="C1247" t="str">
            <v>CIP</v>
          </cell>
          <cell r="D1247" t="str">
            <v>Y</v>
          </cell>
          <cell r="E1247" t="str">
            <v>A</v>
          </cell>
          <cell r="F1247" t="str">
            <v>11/19/1997</v>
          </cell>
        </row>
        <row r="1248">
          <cell r="B1248" t="str">
            <v>A0120</v>
          </cell>
          <cell r="C1248" t="str">
            <v>002K</v>
          </cell>
          <cell r="D1248" t="str">
            <v>Y</v>
          </cell>
          <cell r="E1248" t="str">
            <v>A</v>
          </cell>
          <cell r="F1248" t="str">
            <v>11/19/1997</v>
          </cell>
        </row>
        <row r="1249">
          <cell r="B1249" t="str">
            <v>A0121</v>
          </cell>
          <cell r="C1249" t="str">
            <v>002A</v>
          </cell>
          <cell r="D1249" t="str">
            <v>Y</v>
          </cell>
          <cell r="E1249" t="str">
            <v>A</v>
          </cell>
          <cell r="F1249" t="str">
            <v>11/19/1997</v>
          </cell>
        </row>
        <row r="1250">
          <cell r="B1250" t="str">
            <v>A0122</v>
          </cell>
          <cell r="C1250" t="str">
            <v>UEC</v>
          </cell>
          <cell r="D1250" t="str">
            <v>Y</v>
          </cell>
          <cell r="E1250" t="str">
            <v>A</v>
          </cell>
          <cell r="F1250" t="str">
            <v>11/19/1997</v>
          </cell>
        </row>
        <row r="1251">
          <cell r="B1251" t="str">
            <v>A0124</v>
          </cell>
          <cell r="C1251" t="str">
            <v>UEC</v>
          </cell>
          <cell r="D1251" t="str">
            <v>Y</v>
          </cell>
          <cell r="E1251" t="str">
            <v>A</v>
          </cell>
          <cell r="F1251" t="str">
            <v>03/02/1998</v>
          </cell>
        </row>
        <row r="1252">
          <cell r="B1252" t="str">
            <v>A0125</v>
          </cell>
          <cell r="C1252"/>
          <cell r="D1252" t="str">
            <v>Y</v>
          </cell>
          <cell r="E1252" t="str">
            <v>A</v>
          </cell>
          <cell r="F1252" t="str">
            <v>10/13/1997</v>
          </cell>
        </row>
        <row r="1253">
          <cell r="B1253" t="str">
            <v>A0126</v>
          </cell>
          <cell r="C1253" t="str">
            <v>UEC</v>
          </cell>
          <cell r="D1253" t="str">
            <v>Y</v>
          </cell>
          <cell r="E1253" t="str">
            <v>A</v>
          </cell>
          <cell r="F1253" t="str">
            <v>10/13/1997</v>
          </cell>
        </row>
        <row r="1254">
          <cell r="B1254" t="str">
            <v>A0127</v>
          </cell>
          <cell r="C1254" t="str">
            <v>018A</v>
          </cell>
          <cell r="D1254" t="str">
            <v>Y</v>
          </cell>
          <cell r="E1254" t="str">
            <v>A</v>
          </cell>
          <cell r="F1254" t="str">
            <v>10/13/1997</v>
          </cell>
        </row>
        <row r="1255">
          <cell r="B1255" t="str">
            <v>A0128</v>
          </cell>
          <cell r="C1255" t="str">
            <v>001A</v>
          </cell>
          <cell r="D1255" t="str">
            <v>Y</v>
          </cell>
          <cell r="E1255" t="str">
            <v>A</v>
          </cell>
          <cell r="F1255" t="str">
            <v>11/19/1997</v>
          </cell>
        </row>
        <row r="1256">
          <cell r="B1256" t="str">
            <v>A0129</v>
          </cell>
          <cell r="C1256" t="str">
            <v>UEC</v>
          </cell>
          <cell r="D1256" t="str">
            <v>Y</v>
          </cell>
          <cell r="E1256" t="str">
            <v>A</v>
          </cell>
          <cell r="F1256" t="str">
            <v>03/02/1998</v>
          </cell>
        </row>
        <row r="1257">
          <cell r="B1257" t="str">
            <v>A0130</v>
          </cell>
          <cell r="C1257" t="str">
            <v>UEC</v>
          </cell>
          <cell r="D1257" t="str">
            <v>Y</v>
          </cell>
          <cell r="E1257" t="str">
            <v>A</v>
          </cell>
          <cell r="F1257" t="str">
            <v>11/19/1997</v>
          </cell>
        </row>
        <row r="1258">
          <cell r="B1258" t="str">
            <v>A0131</v>
          </cell>
          <cell r="C1258" t="str">
            <v>UEC</v>
          </cell>
          <cell r="D1258" t="str">
            <v>Y</v>
          </cell>
          <cell r="E1258" t="str">
            <v>A</v>
          </cell>
          <cell r="F1258" t="str">
            <v>11/22/1997</v>
          </cell>
        </row>
        <row r="1259">
          <cell r="B1259" t="str">
            <v>A0132</v>
          </cell>
          <cell r="C1259" t="str">
            <v>001A</v>
          </cell>
          <cell r="D1259" t="str">
            <v>Y</v>
          </cell>
          <cell r="E1259" t="str">
            <v>A</v>
          </cell>
          <cell r="F1259" t="str">
            <v>10/14/1997</v>
          </cell>
        </row>
        <row r="1260">
          <cell r="B1260" t="str">
            <v>A0133</v>
          </cell>
          <cell r="C1260" t="str">
            <v>CIP</v>
          </cell>
          <cell r="D1260" t="str">
            <v>Y</v>
          </cell>
          <cell r="E1260" t="str">
            <v>A</v>
          </cell>
          <cell r="F1260" t="str">
            <v>11/22/1997</v>
          </cell>
        </row>
        <row r="1261">
          <cell r="B1261" t="str">
            <v>A0134</v>
          </cell>
          <cell r="C1261" t="str">
            <v>003A</v>
          </cell>
          <cell r="D1261" t="str">
            <v>Y</v>
          </cell>
          <cell r="E1261" t="str">
            <v>A</v>
          </cell>
          <cell r="F1261" t="str">
            <v>11/22/1997</v>
          </cell>
        </row>
        <row r="1262">
          <cell r="B1262" t="str">
            <v>A0138</v>
          </cell>
          <cell r="C1262" t="str">
            <v>UEC</v>
          </cell>
          <cell r="D1262" t="str">
            <v>Y</v>
          </cell>
          <cell r="E1262" t="str">
            <v>A</v>
          </cell>
          <cell r="F1262" t="str">
            <v>11/22/1997</v>
          </cell>
        </row>
        <row r="1263">
          <cell r="B1263" t="str">
            <v>A0139</v>
          </cell>
          <cell r="C1263" t="str">
            <v>CIP</v>
          </cell>
          <cell r="D1263" t="str">
            <v>Y</v>
          </cell>
          <cell r="E1263" t="str">
            <v>A</v>
          </cell>
          <cell r="F1263" t="str">
            <v>11/22/1997</v>
          </cell>
        </row>
        <row r="1264">
          <cell r="B1264" t="str">
            <v>A0140</v>
          </cell>
          <cell r="C1264" t="str">
            <v>003A</v>
          </cell>
          <cell r="D1264" t="str">
            <v>Y</v>
          </cell>
          <cell r="E1264" t="str">
            <v>A</v>
          </cell>
          <cell r="F1264" t="str">
            <v>11/22/1997</v>
          </cell>
        </row>
        <row r="1265">
          <cell r="B1265" t="str">
            <v>A0141</v>
          </cell>
          <cell r="C1265" t="str">
            <v>AMC</v>
          </cell>
          <cell r="D1265" t="str">
            <v>Y</v>
          </cell>
          <cell r="E1265" t="str">
            <v>A</v>
          </cell>
          <cell r="F1265" t="str">
            <v>11/24/1997</v>
          </cell>
        </row>
        <row r="1266">
          <cell r="B1266" t="str">
            <v>A0142</v>
          </cell>
          <cell r="C1266"/>
          <cell r="D1266" t="str">
            <v>Y</v>
          </cell>
          <cell r="E1266" t="str">
            <v>A</v>
          </cell>
          <cell r="F1266" t="str">
            <v>11/24/1997</v>
          </cell>
        </row>
        <row r="1267">
          <cell r="B1267" t="str">
            <v>A0143</v>
          </cell>
          <cell r="C1267" t="str">
            <v>UEC</v>
          </cell>
          <cell r="D1267" t="str">
            <v>Y</v>
          </cell>
          <cell r="E1267" t="str">
            <v>A</v>
          </cell>
          <cell r="F1267" t="str">
            <v>11/25/1997</v>
          </cell>
        </row>
        <row r="1268">
          <cell r="B1268" t="str">
            <v>A0144</v>
          </cell>
          <cell r="C1268" t="str">
            <v>CIP</v>
          </cell>
          <cell r="D1268" t="str">
            <v>Y</v>
          </cell>
          <cell r="E1268" t="str">
            <v>A</v>
          </cell>
          <cell r="F1268" t="str">
            <v>03/02/1998</v>
          </cell>
        </row>
        <row r="1269">
          <cell r="B1269" t="str">
            <v>A0145</v>
          </cell>
          <cell r="C1269" t="str">
            <v>CIP</v>
          </cell>
          <cell r="D1269" t="str">
            <v>Y</v>
          </cell>
          <cell r="E1269" t="str">
            <v>A</v>
          </cell>
          <cell r="F1269" t="str">
            <v>11/25/1997</v>
          </cell>
        </row>
        <row r="1270">
          <cell r="B1270" t="str">
            <v>A0146</v>
          </cell>
          <cell r="C1270" t="str">
            <v>002L</v>
          </cell>
          <cell r="D1270" t="str">
            <v>Y</v>
          </cell>
          <cell r="E1270" t="str">
            <v>A</v>
          </cell>
          <cell r="F1270" t="str">
            <v>11/25/1997</v>
          </cell>
        </row>
        <row r="1271">
          <cell r="B1271" t="str">
            <v>A0149</v>
          </cell>
          <cell r="C1271"/>
          <cell r="D1271" t="str">
            <v>Y</v>
          </cell>
          <cell r="E1271" t="str">
            <v>A</v>
          </cell>
          <cell r="F1271" t="str">
            <v>11/25/1997</v>
          </cell>
        </row>
        <row r="1272">
          <cell r="B1272" t="str">
            <v>A0151</v>
          </cell>
          <cell r="C1272"/>
          <cell r="D1272" t="str">
            <v>N</v>
          </cell>
          <cell r="E1272" t="str">
            <v>A</v>
          </cell>
          <cell r="F1272" t="str">
            <v>10/14/1997</v>
          </cell>
        </row>
        <row r="1273">
          <cell r="B1273" t="str">
            <v>A0152</v>
          </cell>
          <cell r="C1273" t="str">
            <v>UEC</v>
          </cell>
          <cell r="D1273" t="str">
            <v>Y</v>
          </cell>
          <cell r="E1273" t="str">
            <v>A</v>
          </cell>
          <cell r="F1273" t="str">
            <v>10/14/1997</v>
          </cell>
        </row>
        <row r="1274">
          <cell r="B1274" t="str">
            <v>A0153</v>
          </cell>
          <cell r="C1274" t="str">
            <v>UEC</v>
          </cell>
          <cell r="D1274" t="str">
            <v>Y</v>
          </cell>
          <cell r="E1274" t="str">
            <v>A</v>
          </cell>
          <cell r="F1274" t="str">
            <v>10/14/1997</v>
          </cell>
        </row>
        <row r="1275">
          <cell r="B1275" t="str">
            <v>A0154</v>
          </cell>
          <cell r="C1275" t="str">
            <v>UEC</v>
          </cell>
          <cell r="D1275" t="str">
            <v>Y</v>
          </cell>
          <cell r="E1275" t="str">
            <v>A</v>
          </cell>
          <cell r="F1275" t="str">
            <v>10/14/1997</v>
          </cell>
        </row>
        <row r="1276">
          <cell r="B1276" t="str">
            <v>A0155</v>
          </cell>
          <cell r="C1276" t="str">
            <v>CIP</v>
          </cell>
          <cell r="D1276" t="str">
            <v>Y</v>
          </cell>
          <cell r="E1276" t="str">
            <v>A</v>
          </cell>
          <cell r="F1276" t="str">
            <v>10/14/1997</v>
          </cell>
        </row>
        <row r="1277">
          <cell r="B1277" t="str">
            <v>A0156</v>
          </cell>
          <cell r="C1277" t="str">
            <v>CIP</v>
          </cell>
          <cell r="D1277" t="str">
            <v>Y</v>
          </cell>
          <cell r="E1277" t="str">
            <v>A</v>
          </cell>
          <cell r="F1277" t="str">
            <v>10/14/1997</v>
          </cell>
        </row>
        <row r="1278">
          <cell r="B1278" t="str">
            <v>A0157</v>
          </cell>
          <cell r="C1278" t="str">
            <v>CIP</v>
          </cell>
          <cell r="D1278" t="str">
            <v>Y</v>
          </cell>
          <cell r="E1278" t="str">
            <v>A</v>
          </cell>
          <cell r="F1278" t="str">
            <v>10/14/1997</v>
          </cell>
        </row>
        <row r="1279">
          <cell r="B1279" t="str">
            <v>A0158</v>
          </cell>
          <cell r="C1279" t="str">
            <v>004A</v>
          </cell>
          <cell r="D1279" t="str">
            <v>Y</v>
          </cell>
          <cell r="E1279" t="str">
            <v>A</v>
          </cell>
          <cell r="F1279" t="str">
            <v>10/14/1997</v>
          </cell>
        </row>
        <row r="1280">
          <cell r="B1280" t="str">
            <v>A0160</v>
          </cell>
          <cell r="C1280" t="str">
            <v>UEC</v>
          </cell>
          <cell r="D1280" t="str">
            <v>Y</v>
          </cell>
          <cell r="E1280" t="str">
            <v>A</v>
          </cell>
          <cell r="F1280" t="str">
            <v>10/14/1997</v>
          </cell>
        </row>
        <row r="1281">
          <cell r="B1281" t="str">
            <v>A0161</v>
          </cell>
          <cell r="C1281" t="str">
            <v>004A</v>
          </cell>
          <cell r="D1281" t="str">
            <v>Y</v>
          </cell>
          <cell r="E1281" t="str">
            <v>A</v>
          </cell>
          <cell r="F1281" t="str">
            <v>10/14/1997</v>
          </cell>
        </row>
        <row r="1282">
          <cell r="B1282" t="str">
            <v>A0162</v>
          </cell>
          <cell r="C1282" t="str">
            <v>004B</v>
          </cell>
          <cell r="D1282" t="str">
            <v>Y</v>
          </cell>
          <cell r="E1282" t="str">
            <v>A</v>
          </cell>
          <cell r="F1282" t="str">
            <v>10/14/1997</v>
          </cell>
        </row>
        <row r="1283">
          <cell r="B1283" t="str">
            <v>A0163</v>
          </cell>
          <cell r="C1283"/>
          <cell r="D1283" t="str">
            <v>Y</v>
          </cell>
          <cell r="E1283" t="str">
            <v>A</v>
          </cell>
          <cell r="F1283" t="str">
            <v>10/14/1997</v>
          </cell>
        </row>
        <row r="1284">
          <cell r="B1284" t="str">
            <v>A0164</v>
          </cell>
          <cell r="C1284" t="str">
            <v>CIP</v>
          </cell>
          <cell r="D1284" t="str">
            <v>Y</v>
          </cell>
          <cell r="E1284" t="str">
            <v>A</v>
          </cell>
          <cell r="F1284" t="str">
            <v>10/14/1997</v>
          </cell>
        </row>
        <row r="1285">
          <cell r="B1285" t="str">
            <v>A0166</v>
          </cell>
          <cell r="C1285"/>
          <cell r="D1285" t="str">
            <v>Y</v>
          </cell>
          <cell r="E1285" t="str">
            <v>A</v>
          </cell>
          <cell r="F1285" t="str">
            <v>10/14/1997</v>
          </cell>
        </row>
        <row r="1286">
          <cell r="B1286" t="str">
            <v>A0168</v>
          </cell>
          <cell r="C1286" t="str">
            <v>010B</v>
          </cell>
          <cell r="D1286" t="str">
            <v>Y</v>
          </cell>
          <cell r="E1286" t="str">
            <v>A</v>
          </cell>
          <cell r="F1286" t="str">
            <v>10/14/1997</v>
          </cell>
        </row>
        <row r="1287">
          <cell r="B1287" t="str">
            <v>A0169</v>
          </cell>
          <cell r="C1287" t="str">
            <v>011A</v>
          </cell>
          <cell r="D1287" t="str">
            <v>Y</v>
          </cell>
          <cell r="E1287" t="str">
            <v>A</v>
          </cell>
          <cell r="F1287" t="str">
            <v>10/14/1997</v>
          </cell>
        </row>
        <row r="1288">
          <cell r="B1288" t="str">
            <v>A0171</v>
          </cell>
          <cell r="C1288" t="str">
            <v>UEC</v>
          </cell>
          <cell r="D1288" t="str">
            <v>Y</v>
          </cell>
          <cell r="E1288" t="str">
            <v>A</v>
          </cell>
          <cell r="F1288" t="str">
            <v>10/14/1997</v>
          </cell>
        </row>
        <row r="1289">
          <cell r="B1289" t="str">
            <v>A0175</v>
          </cell>
          <cell r="C1289" t="str">
            <v>002L</v>
          </cell>
          <cell r="D1289" t="str">
            <v>Y</v>
          </cell>
          <cell r="E1289" t="str">
            <v>A</v>
          </cell>
          <cell r="F1289" t="str">
            <v>11/25/1997</v>
          </cell>
        </row>
        <row r="1290">
          <cell r="B1290" t="str">
            <v>A0176</v>
          </cell>
          <cell r="C1290" t="str">
            <v>UEC</v>
          </cell>
          <cell r="D1290" t="str">
            <v>Y</v>
          </cell>
          <cell r="E1290" t="str">
            <v>A</v>
          </cell>
          <cell r="F1290" t="str">
            <v>10/14/1997</v>
          </cell>
        </row>
        <row r="1291">
          <cell r="B1291" t="str">
            <v>A0177</v>
          </cell>
          <cell r="C1291" t="str">
            <v>004A</v>
          </cell>
          <cell r="D1291" t="str">
            <v>N</v>
          </cell>
          <cell r="E1291" t="str">
            <v>A</v>
          </cell>
          <cell r="F1291" t="str">
            <v>10/14/1997</v>
          </cell>
        </row>
        <row r="1292">
          <cell r="B1292" t="str">
            <v>A0178</v>
          </cell>
          <cell r="C1292" t="str">
            <v>UEC</v>
          </cell>
          <cell r="D1292" t="str">
            <v>Y</v>
          </cell>
          <cell r="E1292" t="str">
            <v>A</v>
          </cell>
          <cell r="F1292" t="str">
            <v>10/14/1997</v>
          </cell>
        </row>
        <row r="1293">
          <cell r="B1293" t="str">
            <v>A0179</v>
          </cell>
          <cell r="C1293" t="str">
            <v>CIP</v>
          </cell>
          <cell r="D1293" t="str">
            <v>Y</v>
          </cell>
          <cell r="E1293" t="str">
            <v>A</v>
          </cell>
          <cell r="F1293" t="str">
            <v>10/14/1997</v>
          </cell>
        </row>
        <row r="1294">
          <cell r="B1294" t="str">
            <v>A0180</v>
          </cell>
          <cell r="C1294" t="str">
            <v>004F</v>
          </cell>
          <cell r="D1294" t="str">
            <v>Y</v>
          </cell>
          <cell r="E1294" t="str">
            <v>A</v>
          </cell>
          <cell r="F1294" t="str">
            <v>10/14/1997</v>
          </cell>
        </row>
        <row r="1295">
          <cell r="B1295" t="str">
            <v>A0181</v>
          </cell>
          <cell r="C1295" t="str">
            <v>CIP</v>
          </cell>
          <cell r="D1295" t="str">
            <v>N</v>
          </cell>
          <cell r="E1295" t="str">
            <v>A</v>
          </cell>
          <cell r="F1295" t="str">
            <v>10/14/1997</v>
          </cell>
        </row>
        <row r="1296">
          <cell r="B1296" t="str">
            <v>A0182</v>
          </cell>
          <cell r="C1296" t="str">
            <v>UEC</v>
          </cell>
          <cell r="D1296" t="str">
            <v>Y</v>
          </cell>
          <cell r="E1296" t="str">
            <v>A</v>
          </cell>
          <cell r="F1296" t="str">
            <v>10/14/1997</v>
          </cell>
        </row>
        <row r="1297">
          <cell r="B1297" t="str">
            <v>A0183</v>
          </cell>
          <cell r="C1297" t="str">
            <v>CIP</v>
          </cell>
          <cell r="D1297" t="str">
            <v>Y</v>
          </cell>
          <cell r="E1297" t="str">
            <v>A</v>
          </cell>
          <cell r="F1297" t="str">
            <v>10/14/1997</v>
          </cell>
        </row>
        <row r="1298">
          <cell r="B1298" t="str">
            <v>A0184</v>
          </cell>
          <cell r="C1298" t="str">
            <v>CIC</v>
          </cell>
          <cell r="D1298" t="str">
            <v>Y</v>
          </cell>
          <cell r="E1298" t="str">
            <v>A</v>
          </cell>
          <cell r="F1298" t="str">
            <v>10/14/1997</v>
          </cell>
        </row>
        <row r="1299">
          <cell r="B1299" t="str">
            <v>A0185</v>
          </cell>
          <cell r="C1299" t="str">
            <v>UEC</v>
          </cell>
          <cell r="D1299" t="str">
            <v>N</v>
          </cell>
          <cell r="E1299" t="str">
            <v>A</v>
          </cell>
          <cell r="F1299" t="str">
            <v>10/14/1997</v>
          </cell>
        </row>
        <row r="1300">
          <cell r="B1300" t="str">
            <v>A0189</v>
          </cell>
          <cell r="C1300" t="str">
            <v>003B</v>
          </cell>
          <cell r="D1300" t="str">
            <v>N</v>
          </cell>
          <cell r="E1300" t="str">
            <v>A</v>
          </cell>
          <cell r="F1300" t="str">
            <v>10/14/1997</v>
          </cell>
        </row>
        <row r="1301">
          <cell r="B1301" t="str">
            <v>A0192</v>
          </cell>
          <cell r="C1301"/>
          <cell r="D1301" t="str">
            <v>Y</v>
          </cell>
          <cell r="E1301" t="str">
            <v>A</v>
          </cell>
          <cell r="F1301" t="str">
            <v>10/14/1997</v>
          </cell>
        </row>
        <row r="1302">
          <cell r="B1302" t="str">
            <v>A0193</v>
          </cell>
          <cell r="C1302"/>
          <cell r="D1302" t="str">
            <v>N</v>
          </cell>
          <cell r="E1302" t="str">
            <v>A</v>
          </cell>
          <cell r="F1302" t="str">
            <v>10/14/1997</v>
          </cell>
        </row>
        <row r="1303">
          <cell r="B1303" t="str">
            <v>A0194</v>
          </cell>
          <cell r="C1303" t="str">
            <v>CIP</v>
          </cell>
          <cell r="D1303" t="str">
            <v>N</v>
          </cell>
          <cell r="E1303" t="str">
            <v>A</v>
          </cell>
          <cell r="F1303" t="str">
            <v>10/14/1997</v>
          </cell>
        </row>
        <row r="1304">
          <cell r="B1304" t="str">
            <v>A0195</v>
          </cell>
          <cell r="C1304" t="str">
            <v>UEC</v>
          </cell>
          <cell r="D1304" t="str">
            <v>N</v>
          </cell>
          <cell r="E1304" t="str">
            <v>A</v>
          </cell>
          <cell r="F1304" t="str">
            <v>10/14/1997</v>
          </cell>
        </row>
        <row r="1305">
          <cell r="B1305" t="str">
            <v>A0196</v>
          </cell>
          <cell r="C1305" t="str">
            <v>UEC</v>
          </cell>
          <cell r="D1305" t="str">
            <v>N</v>
          </cell>
          <cell r="E1305" t="str">
            <v>A</v>
          </cell>
          <cell r="F1305" t="str">
            <v>10/14/1997</v>
          </cell>
        </row>
        <row r="1306">
          <cell r="B1306" t="str">
            <v>A0197</v>
          </cell>
          <cell r="C1306" t="str">
            <v>CIP</v>
          </cell>
          <cell r="D1306" t="str">
            <v>N</v>
          </cell>
          <cell r="E1306" t="str">
            <v>A</v>
          </cell>
          <cell r="F1306" t="str">
            <v>10/14/1997</v>
          </cell>
        </row>
        <row r="1307">
          <cell r="B1307" t="str">
            <v>A0199</v>
          </cell>
          <cell r="C1307" t="str">
            <v>002L</v>
          </cell>
          <cell r="D1307" t="str">
            <v>Y</v>
          </cell>
          <cell r="E1307" t="str">
            <v>A</v>
          </cell>
          <cell r="F1307" t="str">
            <v>03/02/1998</v>
          </cell>
        </row>
        <row r="1308">
          <cell r="B1308" t="str">
            <v>A0200</v>
          </cell>
          <cell r="C1308" t="str">
            <v>UEC</v>
          </cell>
          <cell r="D1308" t="str">
            <v>Y</v>
          </cell>
          <cell r="E1308" t="str">
            <v>A</v>
          </cell>
          <cell r="F1308" t="str">
            <v>10/15/1997</v>
          </cell>
        </row>
        <row r="1309">
          <cell r="B1309" t="str">
            <v>A0201</v>
          </cell>
          <cell r="C1309" t="str">
            <v>UEC</v>
          </cell>
          <cell r="D1309" t="str">
            <v>Y</v>
          </cell>
          <cell r="E1309" t="str">
            <v>A</v>
          </cell>
          <cell r="F1309" t="str">
            <v>10/15/1997</v>
          </cell>
        </row>
        <row r="1310">
          <cell r="B1310" t="str">
            <v>A0202</v>
          </cell>
          <cell r="C1310" t="str">
            <v>CIP</v>
          </cell>
          <cell r="D1310" t="str">
            <v>Y</v>
          </cell>
          <cell r="E1310" t="str">
            <v>A</v>
          </cell>
          <cell r="F1310" t="str">
            <v>10/15/1997</v>
          </cell>
        </row>
        <row r="1311">
          <cell r="B1311" t="str">
            <v>A0203</v>
          </cell>
          <cell r="C1311" t="str">
            <v>008B</v>
          </cell>
          <cell r="D1311" t="str">
            <v>Y</v>
          </cell>
          <cell r="E1311" t="str">
            <v>A</v>
          </cell>
          <cell r="F1311" t="str">
            <v>10/15/1997</v>
          </cell>
        </row>
        <row r="1312">
          <cell r="B1312" t="str">
            <v>A0208</v>
          </cell>
          <cell r="C1312" t="str">
            <v>012A</v>
          </cell>
          <cell r="D1312" t="str">
            <v>Y</v>
          </cell>
          <cell r="E1312" t="str">
            <v>A</v>
          </cell>
          <cell r="F1312" t="str">
            <v>11/26/1997</v>
          </cell>
        </row>
        <row r="1313">
          <cell r="B1313" t="str">
            <v>A0209</v>
          </cell>
          <cell r="C1313" t="str">
            <v>UEC</v>
          </cell>
          <cell r="D1313" t="str">
            <v>Y</v>
          </cell>
          <cell r="E1313" t="str">
            <v>A</v>
          </cell>
          <cell r="F1313" t="str">
            <v>11/26/1997</v>
          </cell>
        </row>
        <row r="1314">
          <cell r="B1314" t="str">
            <v>A0210</v>
          </cell>
          <cell r="C1314" t="str">
            <v>CIP</v>
          </cell>
          <cell r="D1314" t="str">
            <v>Y</v>
          </cell>
          <cell r="E1314" t="str">
            <v>A</v>
          </cell>
          <cell r="F1314" t="str">
            <v>11/26/1997</v>
          </cell>
        </row>
        <row r="1315">
          <cell r="B1315" t="str">
            <v>A0211</v>
          </cell>
          <cell r="C1315" t="str">
            <v>UEC</v>
          </cell>
          <cell r="D1315" t="str">
            <v>Y</v>
          </cell>
          <cell r="E1315" t="str">
            <v>A</v>
          </cell>
          <cell r="F1315" t="str">
            <v>11/26/1997</v>
          </cell>
        </row>
        <row r="1316">
          <cell r="B1316" t="str">
            <v>A0212</v>
          </cell>
          <cell r="C1316" t="str">
            <v>UEC</v>
          </cell>
          <cell r="D1316" t="str">
            <v>Y</v>
          </cell>
          <cell r="E1316" t="str">
            <v>A</v>
          </cell>
          <cell r="F1316" t="str">
            <v>10/15/1997</v>
          </cell>
        </row>
        <row r="1317">
          <cell r="B1317" t="str">
            <v>A0213</v>
          </cell>
          <cell r="C1317" t="str">
            <v>CIP</v>
          </cell>
          <cell r="D1317" t="str">
            <v>Y</v>
          </cell>
          <cell r="E1317" t="str">
            <v>A</v>
          </cell>
          <cell r="F1317" t="str">
            <v>10/16/1997</v>
          </cell>
        </row>
        <row r="1318">
          <cell r="B1318" t="str">
            <v>A0214</v>
          </cell>
          <cell r="C1318" t="str">
            <v>CIP</v>
          </cell>
          <cell r="D1318" t="str">
            <v>Y</v>
          </cell>
          <cell r="E1318" t="str">
            <v>A</v>
          </cell>
          <cell r="F1318" t="str">
            <v>10/16/1997</v>
          </cell>
        </row>
        <row r="1319">
          <cell r="B1319" t="str">
            <v>A0215</v>
          </cell>
          <cell r="C1319"/>
          <cell r="D1319" t="str">
            <v>Y</v>
          </cell>
          <cell r="E1319" t="str">
            <v>A</v>
          </cell>
          <cell r="F1319" t="str">
            <v>03/06/1998</v>
          </cell>
        </row>
        <row r="1320">
          <cell r="B1320" t="str">
            <v>A0217</v>
          </cell>
          <cell r="C1320" t="str">
            <v>UEC</v>
          </cell>
          <cell r="D1320" t="str">
            <v>Y</v>
          </cell>
          <cell r="E1320" t="str">
            <v>A</v>
          </cell>
          <cell r="F1320" t="str">
            <v>11/26/1997</v>
          </cell>
        </row>
        <row r="1321">
          <cell r="B1321" t="str">
            <v>A0218</v>
          </cell>
          <cell r="C1321" t="str">
            <v>CIC</v>
          </cell>
          <cell r="D1321" t="str">
            <v>Y</v>
          </cell>
          <cell r="E1321" t="str">
            <v>A</v>
          </cell>
          <cell r="F1321" t="str">
            <v>11/26/1997</v>
          </cell>
        </row>
        <row r="1322">
          <cell r="B1322" t="str">
            <v>A0219</v>
          </cell>
          <cell r="C1322" t="str">
            <v>UDC</v>
          </cell>
          <cell r="D1322" t="str">
            <v>Y</v>
          </cell>
          <cell r="E1322" t="str">
            <v>A</v>
          </cell>
          <cell r="F1322" t="str">
            <v>11/26/1997</v>
          </cell>
        </row>
        <row r="1323">
          <cell r="B1323" t="str">
            <v>A0220</v>
          </cell>
          <cell r="C1323" t="str">
            <v>UEC</v>
          </cell>
          <cell r="D1323" t="str">
            <v>Y</v>
          </cell>
          <cell r="E1323" t="str">
            <v>A</v>
          </cell>
          <cell r="F1323" t="str">
            <v>11/26/1997</v>
          </cell>
        </row>
        <row r="1324">
          <cell r="B1324" t="str">
            <v>A0222</v>
          </cell>
          <cell r="C1324" t="str">
            <v>017A</v>
          </cell>
          <cell r="D1324" t="str">
            <v>Y</v>
          </cell>
          <cell r="E1324" t="str">
            <v>A</v>
          </cell>
          <cell r="F1324" t="str">
            <v>10/17/1997</v>
          </cell>
        </row>
        <row r="1325">
          <cell r="B1325" t="str">
            <v>A0223</v>
          </cell>
          <cell r="C1325" t="str">
            <v>002L</v>
          </cell>
          <cell r="D1325" t="str">
            <v>Y</v>
          </cell>
          <cell r="E1325" t="str">
            <v>A</v>
          </cell>
          <cell r="F1325" t="str">
            <v>10/17/1997</v>
          </cell>
        </row>
        <row r="1326">
          <cell r="B1326" t="str">
            <v>A0224</v>
          </cell>
          <cell r="C1326" t="str">
            <v>004A</v>
          </cell>
          <cell r="D1326" t="str">
            <v>Y</v>
          </cell>
          <cell r="E1326" t="str">
            <v>A</v>
          </cell>
          <cell r="F1326" t="str">
            <v>10/17/1997</v>
          </cell>
        </row>
        <row r="1327">
          <cell r="B1327" t="str">
            <v>A0228</v>
          </cell>
          <cell r="C1327" t="str">
            <v>011A</v>
          </cell>
          <cell r="D1327" t="str">
            <v>Y</v>
          </cell>
          <cell r="E1327" t="str">
            <v>A</v>
          </cell>
          <cell r="F1327" t="str">
            <v>10/17/1997</v>
          </cell>
        </row>
        <row r="1328">
          <cell r="B1328" t="str">
            <v>A0230</v>
          </cell>
          <cell r="C1328" t="str">
            <v>UEC</v>
          </cell>
          <cell r="D1328" t="str">
            <v>Y</v>
          </cell>
          <cell r="E1328" t="str">
            <v>A</v>
          </cell>
          <cell r="F1328" t="str">
            <v>10/17/1997</v>
          </cell>
        </row>
        <row r="1329">
          <cell r="B1329" t="str">
            <v>A0231</v>
          </cell>
          <cell r="C1329" t="str">
            <v>CIP</v>
          </cell>
          <cell r="D1329" t="str">
            <v>Y</v>
          </cell>
          <cell r="E1329" t="str">
            <v>A</v>
          </cell>
          <cell r="F1329" t="str">
            <v>10/17/1997</v>
          </cell>
        </row>
        <row r="1330">
          <cell r="B1330" t="str">
            <v>A0233</v>
          </cell>
          <cell r="C1330"/>
          <cell r="D1330" t="str">
            <v>Y</v>
          </cell>
          <cell r="E1330" t="str">
            <v>A</v>
          </cell>
          <cell r="F1330" t="str">
            <v>10/17/1997</v>
          </cell>
        </row>
        <row r="1331">
          <cell r="B1331" t="str">
            <v>A0234</v>
          </cell>
          <cell r="C1331" t="str">
            <v>001A</v>
          </cell>
          <cell r="D1331" t="str">
            <v>Y</v>
          </cell>
          <cell r="E1331" t="str">
            <v>A</v>
          </cell>
          <cell r="F1331" t="str">
            <v>10/17/1997</v>
          </cell>
        </row>
        <row r="1332">
          <cell r="B1332" t="str">
            <v>A0235</v>
          </cell>
          <cell r="C1332" t="str">
            <v>004A</v>
          </cell>
          <cell r="D1332" t="str">
            <v>Y</v>
          </cell>
          <cell r="E1332" t="str">
            <v>A</v>
          </cell>
          <cell r="F1332" t="str">
            <v>10/17/1997</v>
          </cell>
        </row>
        <row r="1333">
          <cell r="B1333" t="str">
            <v>A0236</v>
          </cell>
          <cell r="C1333" t="str">
            <v>CIP</v>
          </cell>
          <cell r="D1333" t="str">
            <v>Y</v>
          </cell>
          <cell r="E1333" t="str">
            <v>A</v>
          </cell>
          <cell r="F1333" t="str">
            <v>09/24/1998</v>
          </cell>
        </row>
        <row r="1334">
          <cell r="B1334" t="str">
            <v>A0237</v>
          </cell>
          <cell r="C1334"/>
          <cell r="D1334" t="str">
            <v>Y</v>
          </cell>
          <cell r="E1334" t="str">
            <v>A</v>
          </cell>
          <cell r="F1334" t="str">
            <v>10/17/1997</v>
          </cell>
        </row>
        <row r="1335">
          <cell r="B1335" t="str">
            <v>A0238</v>
          </cell>
          <cell r="C1335" t="str">
            <v>UEC</v>
          </cell>
          <cell r="D1335" t="str">
            <v>N</v>
          </cell>
          <cell r="E1335" t="str">
            <v>A</v>
          </cell>
          <cell r="F1335" t="str">
            <v>10/20/1997</v>
          </cell>
        </row>
        <row r="1336">
          <cell r="B1336" t="str">
            <v>A0239</v>
          </cell>
          <cell r="C1336" t="str">
            <v>CIP</v>
          </cell>
          <cell r="D1336" t="str">
            <v>N</v>
          </cell>
          <cell r="E1336" t="str">
            <v>A</v>
          </cell>
          <cell r="F1336" t="str">
            <v>10/20/1997</v>
          </cell>
        </row>
        <row r="1337">
          <cell r="B1337" t="str">
            <v>A0240</v>
          </cell>
          <cell r="C1337" t="str">
            <v>UEC</v>
          </cell>
          <cell r="D1337" t="str">
            <v>Y</v>
          </cell>
          <cell r="E1337" t="str">
            <v>A</v>
          </cell>
          <cell r="F1337" t="str">
            <v>03/25/1998</v>
          </cell>
        </row>
        <row r="1338">
          <cell r="B1338" t="str">
            <v>A0241</v>
          </cell>
          <cell r="C1338" t="str">
            <v>002L</v>
          </cell>
          <cell r="D1338" t="str">
            <v>N</v>
          </cell>
          <cell r="E1338" t="str">
            <v>A</v>
          </cell>
          <cell r="F1338" t="str">
            <v>10/20/1997</v>
          </cell>
        </row>
        <row r="1339">
          <cell r="B1339" t="str">
            <v>A0242</v>
          </cell>
          <cell r="C1339" t="str">
            <v>UEC</v>
          </cell>
          <cell r="D1339" t="str">
            <v>Y</v>
          </cell>
          <cell r="E1339" t="str">
            <v>A</v>
          </cell>
          <cell r="F1339" t="str">
            <v>03/25/1998</v>
          </cell>
        </row>
        <row r="1340">
          <cell r="B1340" t="str">
            <v>A0243</v>
          </cell>
          <cell r="C1340"/>
          <cell r="D1340" t="str">
            <v>Y</v>
          </cell>
          <cell r="E1340" t="str">
            <v>A</v>
          </cell>
          <cell r="F1340" t="str">
            <v>10/20/1997</v>
          </cell>
        </row>
        <row r="1341">
          <cell r="B1341" t="str">
            <v>A0245</v>
          </cell>
          <cell r="C1341" t="str">
            <v>CIP</v>
          </cell>
          <cell r="D1341" t="str">
            <v>Y</v>
          </cell>
          <cell r="E1341" t="str">
            <v>A</v>
          </cell>
          <cell r="F1341" t="str">
            <v>10/21/1997</v>
          </cell>
        </row>
        <row r="1342">
          <cell r="B1342" t="str">
            <v>A0246</v>
          </cell>
          <cell r="C1342" t="str">
            <v>CIP</v>
          </cell>
          <cell r="D1342" t="str">
            <v>Y</v>
          </cell>
          <cell r="E1342" t="str">
            <v>A</v>
          </cell>
          <cell r="F1342" t="str">
            <v>03/25/1998</v>
          </cell>
        </row>
        <row r="1343">
          <cell r="B1343" t="str">
            <v>A0247</v>
          </cell>
          <cell r="C1343" t="str">
            <v>004F</v>
          </cell>
          <cell r="D1343" t="str">
            <v>Y</v>
          </cell>
          <cell r="E1343" t="str">
            <v>A</v>
          </cell>
          <cell r="F1343" t="str">
            <v>10/21/1997</v>
          </cell>
        </row>
        <row r="1344">
          <cell r="B1344" t="str">
            <v>A0248</v>
          </cell>
          <cell r="C1344" t="str">
            <v>002K</v>
          </cell>
          <cell r="D1344" t="str">
            <v>Y</v>
          </cell>
          <cell r="E1344" t="str">
            <v>A</v>
          </cell>
          <cell r="F1344" t="str">
            <v>09/24/1998</v>
          </cell>
        </row>
        <row r="1345">
          <cell r="B1345" t="str">
            <v>A0249</v>
          </cell>
          <cell r="C1345" t="str">
            <v>002L</v>
          </cell>
          <cell r="D1345" t="str">
            <v>Y</v>
          </cell>
          <cell r="E1345" t="str">
            <v>A</v>
          </cell>
          <cell r="F1345" t="str">
            <v>09/24/1998</v>
          </cell>
        </row>
        <row r="1346">
          <cell r="B1346" t="str">
            <v>A0250</v>
          </cell>
          <cell r="C1346" t="str">
            <v>001A</v>
          </cell>
          <cell r="D1346" t="str">
            <v>Y</v>
          </cell>
          <cell r="E1346" t="str">
            <v>A</v>
          </cell>
          <cell r="F1346" t="str">
            <v>12/01/1997</v>
          </cell>
        </row>
        <row r="1347">
          <cell r="B1347" t="str">
            <v>A0251</v>
          </cell>
          <cell r="C1347" t="str">
            <v>CIP</v>
          </cell>
          <cell r="D1347" t="str">
            <v>Y</v>
          </cell>
          <cell r="E1347" t="str">
            <v>A</v>
          </cell>
          <cell r="F1347" t="str">
            <v>12/01/1997</v>
          </cell>
        </row>
        <row r="1348">
          <cell r="B1348" t="str">
            <v>A0252</v>
          </cell>
          <cell r="C1348" t="str">
            <v>004C</v>
          </cell>
          <cell r="D1348" t="str">
            <v>Y</v>
          </cell>
          <cell r="E1348" t="str">
            <v>A</v>
          </cell>
          <cell r="F1348" t="str">
            <v>12/02/1997</v>
          </cell>
        </row>
        <row r="1349">
          <cell r="B1349" t="str">
            <v>A0253</v>
          </cell>
          <cell r="C1349" t="str">
            <v>004A</v>
          </cell>
          <cell r="D1349" t="str">
            <v>Y</v>
          </cell>
          <cell r="E1349" t="str">
            <v>A</v>
          </cell>
          <cell r="F1349" t="str">
            <v>10/23/1997</v>
          </cell>
        </row>
        <row r="1350">
          <cell r="B1350" t="str">
            <v>A0254</v>
          </cell>
          <cell r="C1350"/>
          <cell r="D1350" t="str">
            <v>Y</v>
          </cell>
          <cell r="E1350" t="str">
            <v>A</v>
          </cell>
          <cell r="F1350" t="str">
            <v>10/23/1997</v>
          </cell>
        </row>
        <row r="1351">
          <cell r="B1351" t="str">
            <v>A0255</v>
          </cell>
          <cell r="C1351"/>
          <cell r="D1351" t="str">
            <v>Y</v>
          </cell>
          <cell r="E1351" t="str">
            <v>A</v>
          </cell>
          <cell r="F1351" t="str">
            <v>10/24/1997</v>
          </cell>
        </row>
        <row r="1352">
          <cell r="B1352" t="str">
            <v>A0256</v>
          </cell>
          <cell r="C1352" t="str">
            <v>004A</v>
          </cell>
          <cell r="D1352" t="str">
            <v>N</v>
          </cell>
          <cell r="E1352" t="str">
            <v>A</v>
          </cell>
          <cell r="F1352" t="str">
            <v>10/24/1997</v>
          </cell>
        </row>
        <row r="1353">
          <cell r="B1353" t="str">
            <v>A0259</v>
          </cell>
          <cell r="C1353"/>
          <cell r="D1353" t="str">
            <v>Y</v>
          </cell>
          <cell r="E1353" t="str">
            <v>A</v>
          </cell>
          <cell r="F1353" t="str">
            <v>10/24/1997</v>
          </cell>
        </row>
        <row r="1354">
          <cell r="B1354" t="str">
            <v>A0262</v>
          </cell>
          <cell r="C1354" t="str">
            <v>007A</v>
          </cell>
          <cell r="D1354" t="str">
            <v>Y</v>
          </cell>
          <cell r="E1354" t="str">
            <v>A</v>
          </cell>
          <cell r="F1354" t="str">
            <v>12/02/1997</v>
          </cell>
        </row>
        <row r="1355">
          <cell r="B1355" t="str">
            <v>A0266</v>
          </cell>
          <cell r="C1355" t="str">
            <v>UEC</v>
          </cell>
          <cell r="D1355" t="str">
            <v>Y</v>
          </cell>
          <cell r="E1355" t="str">
            <v>A</v>
          </cell>
          <cell r="F1355" t="str">
            <v>10/24/1997</v>
          </cell>
        </row>
        <row r="1356">
          <cell r="B1356" t="str">
            <v>A0273</v>
          </cell>
          <cell r="C1356" t="str">
            <v>UEC</v>
          </cell>
          <cell r="D1356" t="str">
            <v>Y</v>
          </cell>
          <cell r="E1356" t="str">
            <v>A</v>
          </cell>
          <cell r="F1356" t="str">
            <v>10/24/1997</v>
          </cell>
        </row>
        <row r="1357">
          <cell r="B1357" t="str">
            <v>A0274</v>
          </cell>
          <cell r="C1357" t="str">
            <v>CIP</v>
          </cell>
          <cell r="D1357" t="str">
            <v>Y</v>
          </cell>
          <cell r="E1357" t="str">
            <v>A</v>
          </cell>
          <cell r="F1357" t="str">
            <v>10/24/1997</v>
          </cell>
        </row>
        <row r="1358">
          <cell r="B1358" t="str">
            <v>A0275</v>
          </cell>
          <cell r="C1358" t="str">
            <v>AMC</v>
          </cell>
          <cell r="D1358" t="str">
            <v>Y</v>
          </cell>
          <cell r="E1358" t="str">
            <v>A</v>
          </cell>
          <cell r="F1358" t="str">
            <v>10/24/1997</v>
          </cell>
        </row>
        <row r="1359">
          <cell r="B1359" t="str">
            <v>A0276</v>
          </cell>
          <cell r="C1359" t="str">
            <v>CIC</v>
          </cell>
          <cell r="D1359" t="str">
            <v>Y</v>
          </cell>
          <cell r="E1359" t="str">
            <v>A</v>
          </cell>
          <cell r="F1359" t="str">
            <v>10/24/1997</v>
          </cell>
        </row>
        <row r="1360">
          <cell r="B1360" t="str">
            <v>A0277</v>
          </cell>
          <cell r="C1360" t="str">
            <v>UDC</v>
          </cell>
          <cell r="D1360" t="str">
            <v>Y</v>
          </cell>
          <cell r="E1360" t="str">
            <v>A</v>
          </cell>
          <cell r="F1360" t="str">
            <v>10/24/1997</v>
          </cell>
        </row>
        <row r="1361">
          <cell r="B1361" t="str">
            <v>A0278</v>
          </cell>
          <cell r="C1361" t="str">
            <v>UDC</v>
          </cell>
          <cell r="D1361" t="str">
            <v>Y</v>
          </cell>
          <cell r="E1361" t="str">
            <v>A</v>
          </cell>
          <cell r="F1361" t="str">
            <v>10/24/1997</v>
          </cell>
        </row>
        <row r="1362">
          <cell r="B1362" t="str">
            <v>A0279</v>
          </cell>
          <cell r="C1362" t="str">
            <v>UEC</v>
          </cell>
          <cell r="D1362" t="str">
            <v>N</v>
          </cell>
          <cell r="E1362" t="str">
            <v>A</v>
          </cell>
          <cell r="F1362" t="str">
            <v>10/25/1997</v>
          </cell>
        </row>
        <row r="1363">
          <cell r="B1363" t="str">
            <v>A0280</v>
          </cell>
          <cell r="C1363" t="str">
            <v>CIP</v>
          </cell>
          <cell r="D1363" t="str">
            <v>N</v>
          </cell>
          <cell r="E1363" t="str">
            <v>A</v>
          </cell>
          <cell r="F1363" t="str">
            <v>10/25/1997</v>
          </cell>
        </row>
        <row r="1364">
          <cell r="B1364" t="str">
            <v>A0281</v>
          </cell>
          <cell r="C1364" t="str">
            <v>UEC</v>
          </cell>
          <cell r="D1364" t="str">
            <v>N</v>
          </cell>
          <cell r="E1364" t="str">
            <v>A</v>
          </cell>
          <cell r="F1364" t="str">
            <v>10/25/1997</v>
          </cell>
        </row>
        <row r="1365">
          <cell r="B1365" t="str">
            <v>A0282</v>
          </cell>
          <cell r="C1365" t="str">
            <v>CIP</v>
          </cell>
          <cell r="D1365" t="str">
            <v>N</v>
          </cell>
          <cell r="E1365" t="str">
            <v>A</v>
          </cell>
          <cell r="F1365" t="str">
            <v>10/25/1997</v>
          </cell>
        </row>
        <row r="1366">
          <cell r="B1366" t="str">
            <v>A0283</v>
          </cell>
          <cell r="C1366" t="str">
            <v>UEC</v>
          </cell>
          <cell r="D1366" t="str">
            <v>N</v>
          </cell>
          <cell r="E1366" t="str">
            <v>A</v>
          </cell>
          <cell r="F1366" t="str">
            <v>10/25/1997</v>
          </cell>
        </row>
        <row r="1367">
          <cell r="B1367" t="str">
            <v>A0284</v>
          </cell>
          <cell r="C1367" t="str">
            <v>CIP</v>
          </cell>
          <cell r="D1367" t="str">
            <v>N</v>
          </cell>
          <cell r="E1367" t="str">
            <v>A</v>
          </cell>
          <cell r="F1367" t="str">
            <v>10/25/1997</v>
          </cell>
        </row>
        <row r="1368">
          <cell r="B1368" t="str">
            <v>A0285</v>
          </cell>
          <cell r="C1368" t="str">
            <v>008C</v>
          </cell>
          <cell r="D1368" t="str">
            <v>Y</v>
          </cell>
          <cell r="E1368" t="str">
            <v>A</v>
          </cell>
          <cell r="F1368" t="str">
            <v>10/25/1997</v>
          </cell>
        </row>
        <row r="1369">
          <cell r="B1369" t="str">
            <v>A0286</v>
          </cell>
          <cell r="C1369" t="str">
            <v>008C</v>
          </cell>
          <cell r="D1369" t="str">
            <v>Y</v>
          </cell>
          <cell r="E1369" t="str">
            <v>A</v>
          </cell>
          <cell r="F1369" t="str">
            <v>10/25/1997</v>
          </cell>
        </row>
        <row r="1370">
          <cell r="B1370" t="str">
            <v>A0287</v>
          </cell>
          <cell r="C1370" t="str">
            <v>008C</v>
          </cell>
          <cell r="D1370" t="str">
            <v>Y</v>
          </cell>
          <cell r="E1370" t="str">
            <v>A</v>
          </cell>
          <cell r="F1370" t="str">
            <v>10/25/1997</v>
          </cell>
        </row>
        <row r="1371">
          <cell r="B1371" t="str">
            <v>A0288</v>
          </cell>
          <cell r="C1371" t="str">
            <v>001A</v>
          </cell>
          <cell r="D1371" t="str">
            <v>N</v>
          </cell>
          <cell r="E1371" t="str">
            <v>A</v>
          </cell>
          <cell r="F1371" t="str">
            <v>10/27/1997</v>
          </cell>
        </row>
        <row r="1372">
          <cell r="B1372" t="str">
            <v>A0290</v>
          </cell>
          <cell r="C1372" t="str">
            <v>UEC</v>
          </cell>
          <cell r="D1372" t="str">
            <v>Y</v>
          </cell>
          <cell r="E1372" t="str">
            <v>A</v>
          </cell>
          <cell r="F1372" t="str">
            <v>12/02/1997</v>
          </cell>
        </row>
        <row r="1373">
          <cell r="B1373" t="str">
            <v>A0291</v>
          </cell>
          <cell r="C1373" t="str">
            <v>UEC</v>
          </cell>
          <cell r="D1373" t="str">
            <v>Y</v>
          </cell>
          <cell r="E1373" t="str">
            <v>A</v>
          </cell>
          <cell r="F1373" t="str">
            <v>10/27/1997</v>
          </cell>
        </row>
        <row r="1374">
          <cell r="B1374" t="str">
            <v>A0292</v>
          </cell>
          <cell r="C1374" t="str">
            <v>002D</v>
          </cell>
          <cell r="D1374" t="str">
            <v>Y</v>
          </cell>
          <cell r="E1374" t="str">
            <v>A</v>
          </cell>
          <cell r="F1374" t="str">
            <v>10/27/1997</v>
          </cell>
        </row>
        <row r="1375">
          <cell r="B1375" t="str">
            <v>A0293</v>
          </cell>
          <cell r="C1375" t="str">
            <v>012A</v>
          </cell>
          <cell r="D1375" t="str">
            <v>Y</v>
          </cell>
          <cell r="E1375" t="str">
            <v>A</v>
          </cell>
          <cell r="F1375" t="str">
            <v>10/27/1997</v>
          </cell>
        </row>
        <row r="1376">
          <cell r="B1376" t="str">
            <v>A0294</v>
          </cell>
          <cell r="C1376" t="str">
            <v>CIP</v>
          </cell>
          <cell r="D1376" t="str">
            <v>Y</v>
          </cell>
          <cell r="E1376" t="str">
            <v>A</v>
          </cell>
          <cell r="F1376" t="str">
            <v>10/27/1997</v>
          </cell>
        </row>
        <row r="1377">
          <cell r="B1377" t="str">
            <v>A0295</v>
          </cell>
          <cell r="C1377" t="str">
            <v>UEC</v>
          </cell>
          <cell r="D1377" t="str">
            <v>Y</v>
          </cell>
          <cell r="E1377" t="str">
            <v>I</v>
          </cell>
          <cell r="F1377" t="str">
            <v>10/27/1997</v>
          </cell>
        </row>
        <row r="1378">
          <cell r="B1378" t="str">
            <v>A0296</v>
          </cell>
          <cell r="C1378" t="str">
            <v>CIP</v>
          </cell>
          <cell r="D1378" t="str">
            <v>Y</v>
          </cell>
          <cell r="E1378" t="str">
            <v>A</v>
          </cell>
          <cell r="F1378" t="str">
            <v>12/02/1997</v>
          </cell>
        </row>
        <row r="1379">
          <cell r="B1379" t="str">
            <v>A0297</v>
          </cell>
          <cell r="C1379" t="str">
            <v>CIP</v>
          </cell>
          <cell r="D1379" t="str">
            <v>Y</v>
          </cell>
          <cell r="E1379" t="str">
            <v>A</v>
          </cell>
          <cell r="F1379" t="str">
            <v>10/27/1997</v>
          </cell>
        </row>
        <row r="1380">
          <cell r="B1380" t="str">
            <v>A0298</v>
          </cell>
          <cell r="C1380" t="str">
            <v>002B</v>
          </cell>
          <cell r="D1380" t="str">
            <v>Y</v>
          </cell>
          <cell r="E1380" t="str">
            <v>I</v>
          </cell>
          <cell r="F1380" t="str">
            <v>10/27/1997</v>
          </cell>
        </row>
        <row r="1381">
          <cell r="B1381" t="str">
            <v>A0299</v>
          </cell>
          <cell r="C1381" t="str">
            <v>002D</v>
          </cell>
          <cell r="D1381" t="str">
            <v>Y</v>
          </cell>
          <cell r="E1381" t="str">
            <v>A</v>
          </cell>
          <cell r="F1381" t="str">
            <v>10/27/1997</v>
          </cell>
        </row>
        <row r="1382">
          <cell r="B1382" t="str">
            <v>A0300</v>
          </cell>
          <cell r="C1382" t="str">
            <v>UEC</v>
          </cell>
          <cell r="D1382" t="str">
            <v>Y</v>
          </cell>
          <cell r="E1382" t="str">
            <v>A</v>
          </cell>
          <cell r="F1382" t="str">
            <v>10/27/1997</v>
          </cell>
        </row>
        <row r="1383">
          <cell r="B1383" t="str">
            <v>A0302</v>
          </cell>
          <cell r="C1383" t="str">
            <v>CIP</v>
          </cell>
          <cell r="D1383" t="str">
            <v>Y</v>
          </cell>
          <cell r="E1383" t="str">
            <v>A</v>
          </cell>
          <cell r="F1383" t="str">
            <v>10/27/1997</v>
          </cell>
        </row>
        <row r="1384">
          <cell r="B1384" t="str">
            <v>A0305</v>
          </cell>
          <cell r="C1384" t="str">
            <v>UEC</v>
          </cell>
          <cell r="D1384" t="str">
            <v>Y</v>
          </cell>
          <cell r="E1384" t="str">
            <v>A</v>
          </cell>
          <cell r="F1384" t="str">
            <v>10/28/1997</v>
          </cell>
        </row>
        <row r="1385">
          <cell r="B1385" t="str">
            <v>A0306</v>
          </cell>
          <cell r="C1385" t="str">
            <v>CIP</v>
          </cell>
          <cell r="D1385" t="str">
            <v>Y</v>
          </cell>
          <cell r="E1385" t="str">
            <v>A</v>
          </cell>
          <cell r="F1385" t="str">
            <v>10/28/1997</v>
          </cell>
        </row>
        <row r="1386">
          <cell r="B1386" t="str">
            <v>A0307</v>
          </cell>
          <cell r="C1386" t="str">
            <v>002A</v>
          </cell>
          <cell r="D1386" t="str">
            <v>Y</v>
          </cell>
          <cell r="E1386" t="str">
            <v>A</v>
          </cell>
          <cell r="F1386" t="str">
            <v>10/28/1997</v>
          </cell>
        </row>
        <row r="1387">
          <cell r="B1387" t="str">
            <v>A0308</v>
          </cell>
          <cell r="C1387" t="str">
            <v>UEC</v>
          </cell>
          <cell r="D1387" t="str">
            <v>Y</v>
          </cell>
          <cell r="E1387" t="str">
            <v>A</v>
          </cell>
          <cell r="F1387" t="str">
            <v>10/28/1997</v>
          </cell>
        </row>
        <row r="1388">
          <cell r="B1388" t="str">
            <v>A0309</v>
          </cell>
          <cell r="C1388" t="str">
            <v>CIP</v>
          </cell>
          <cell r="D1388" t="str">
            <v>Y</v>
          </cell>
          <cell r="E1388" t="str">
            <v>A</v>
          </cell>
          <cell r="F1388" t="str">
            <v>10/28/1997</v>
          </cell>
        </row>
        <row r="1389">
          <cell r="B1389" t="str">
            <v>A0310</v>
          </cell>
          <cell r="C1389" t="str">
            <v>002K</v>
          </cell>
          <cell r="D1389" t="str">
            <v>Y</v>
          </cell>
          <cell r="E1389" t="str">
            <v>A</v>
          </cell>
          <cell r="F1389" t="str">
            <v>10/28/1997</v>
          </cell>
        </row>
        <row r="1390">
          <cell r="B1390" t="str">
            <v>A0311</v>
          </cell>
          <cell r="C1390" t="str">
            <v>001A</v>
          </cell>
          <cell r="D1390" t="str">
            <v>Y</v>
          </cell>
          <cell r="E1390" t="str">
            <v>A</v>
          </cell>
          <cell r="F1390" t="str">
            <v>10/29/1997</v>
          </cell>
        </row>
        <row r="1391">
          <cell r="B1391" t="str">
            <v>A0312</v>
          </cell>
          <cell r="C1391" t="str">
            <v>UEC</v>
          </cell>
          <cell r="D1391" t="str">
            <v>Y</v>
          </cell>
          <cell r="E1391" t="str">
            <v>A</v>
          </cell>
          <cell r="F1391" t="str">
            <v>10/29/1997</v>
          </cell>
        </row>
        <row r="1392">
          <cell r="B1392" t="str">
            <v>A0314</v>
          </cell>
          <cell r="C1392" t="str">
            <v>CIP</v>
          </cell>
          <cell r="D1392" t="str">
            <v>Y</v>
          </cell>
          <cell r="E1392" t="str">
            <v>A</v>
          </cell>
          <cell r="F1392" t="str">
            <v>10/29/1997</v>
          </cell>
        </row>
        <row r="1393">
          <cell r="B1393" t="str">
            <v>A0315</v>
          </cell>
          <cell r="C1393" t="str">
            <v>002L</v>
          </cell>
          <cell r="D1393" t="str">
            <v>Y</v>
          </cell>
          <cell r="E1393" t="str">
            <v>A</v>
          </cell>
          <cell r="F1393" t="str">
            <v>10/29/1997</v>
          </cell>
        </row>
        <row r="1394">
          <cell r="B1394" t="str">
            <v>A0316</v>
          </cell>
          <cell r="C1394"/>
          <cell r="D1394" t="str">
            <v>N</v>
          </cell>
          <cell r="E1394" t="str">
            <v>A</v>
          </cell>
          <cell r="F1394" t="str">
            <v>10/29/1997</v>
          </cell>
        </row>
        <row r="1395">
          <cell r="B1395" t="str">
            <v>A0317</v>
          </cell>
          <cell r="C1395" t="str">
            <v>001G</v>
          </cell>
          <cell r="D1395" t="str">
            <v>Y</v>
          </cell>
          <cell r="E1395" t="str">
            <v>A</v>
          </cell>
          <cell r="F1395" t="str">
            <v>10/29/1997</v>
          </cell>
        </row>
        <row r="1396">
          <cell r="B1396" t="str">
            <v>A0318</v>
          </cell>
          <cell r="C1396" t="str">
            <v>UEC</v>
          </cell>
          <cell r="D1396" t="str">
            <v>Y</v>
          </cell>
          <cell r="E1396" t="str">
            <v>A</v>
          </cell>
          <cell r="F1396" t="str">
            <v>10/29/1997</v>
          </cell>
        </row>
        <row r="1397">
          <cell r="B1397" t="str">
            <v>A0319</v>
          </cell>
          <cell r="C1397" t="str">
            <v>017B</v>
          </cell>
          <cell r="D1397" t="str">
            <v>Y</v>
          </cell>
          <cell r="E1397" t="str">
            <v>A</v>
          </cell>
          <cell r="F1397" t="str">
            <v>10/29/1997</v>
          </cell>
        </row>
        <row r="1398">
          <cell r="B1398" t="str">
            <v>A0320</v>
          </cell>
          <cell r="C1398" t="str">
            <v>CIP</v>
          </cell>
          <cell r="D1398" t="str">
            <v>Y</v>
          </cell>
          <cell r="E1398" t="str">
            <v>A</v>
          </cell>
          <cell r="F1398" t="str">
            <v>10/29/1997</v>
          </cell>
        </row>
        <row r="1399">
          <cell r="B1399" t="str">
            <v>A0321</v>
          </cell>
          <cell r="C1399" t="str">
            <v>016A</v>
          </cell>
          <cell r="D1399" t="str">
            <v>Y</v>
          </cell>
          <cell r="E1399" t="str">
            <v>A</v>
          </cell>
          <cell r="F1399" t="str">
            <v>10/29/1997</v>
          </cell>
        </row>
        <row r="1400">
          <cell r="B1400" t="str">
            <v>A0322</v>
          </cell>
          <cell r="C1400"/>
          <cell r="D1400" t="str">
            <v>N</v>
          </cell>
          <cell r="E1400" t="str">
            <v>A</v>
          </cell>
          <cell r="F1400" t="str">
            <v>10/29/1997</v>
          </cell>
        </row>
        <row r="1401">
          <cell r="B1401" t="str">
            <v>A0323</v>
          </cell>
          <cell r="C1401" t="str">
            <v>UEC</v>
          </cell>
          <cell r="D1401" t="str">
            <v>Y</v>
          </cell>
          <cell r="E1401" t="str">
            <v>A</v>
          </cell>
          <cell r="F1401" t="str">
            <v>10/29/1997</v>
          </cell>
        </row>
        <row r="1402">
          <cell r="B1402" t="str">
            <v>A0324</v>
          </cell>
          <cell r="C1402" t="str">
            <v>CIP</v>
          </cell>
          <cell r="D1402" t="str">
            <v>Y</v>
          </cell>
          <cell r="E1402" t="str">
            <v>A</v>
          </cell>
          <cell r="F1402" t="str">
            <v>10/29/1997</v>
          </cell>
        </row>
        <row r="1403">
          <cell r="B1403" t="str">
            <v>A0325</v>
          </cell>
          <cell r="C1403" t="str">
            <v>016A</v>
          </cell>
          <cell r="D1403" t="str">
            <v>Y</v>
          </cell>
          <cell r="E1403" t="str">
            <v>A</v>
          </cell>
          <cell r="F1403" t="str">
            <v>10/29/1997</v>
          </cell>
        </row>
        <row r="1404">
          <cell r="B1404" t="str">
            <v>A0326</v>
          </cell>
          <cell r="C1404"/>
          <cell r="D1404" t="str">
            <v>Y</v>
          </cell>
          <cell r="E1404" t="str">
            <v>A</v>
          </cell>
          <cell r="F1404" t="str">
            <v>12/02/1997</v>
          </cell>
        </row>
        <row r="1405">
          <cell r="B1405" t="str">
            <v>A0333</v>
          </cell>
          <cell r="C1405" t="str">
            <v>004A</v>
          </cell>
          <cell r="D1405" t="str">
            <v>Y</v>
          </cell>
          <cell r="E1405" t="str">
            <v>A</v>
          </cell>
          <cell r="F1405" t="str">
            <v>10/31/1997</v>
          </cell>
        </row>
        <row r="1406">
          <cell r="B1406" t="str">
            <v>A0335</v>
          </cell>
          <cell r="C1406" t="str">
            <v>007A</v>
          </cell>
          <cell r="D1406" t="str">
            <v>Y</v>
          </cell>
          <cell r="E1406" t="str">
            <v>I</v>
          </cell>
          <cell r="F1406" t="str">
            <v>10/31/1997</v>
          </cell>
        </row>
        <row r="1407">
          <cell r="B1407" t="str">
            <v>A0337</v>
          </cell>
          <cell r="C1407" t="str">
            <v>011A</v>
          </cell>
          <cell r="D1407" t="str">
            <v>Y</v>
          </cell>
          <cell r="E1407" t="str">
            <v>A</v>
          </cell>
          <cell r="F1407" t="str">
            <v>10/31/1997</v>
          </cell>
        </row>
        <row r="1408">
          <cell r="B1408" t="str">
            <v>A0338</v>
          </cell>
          <cell r="C1408" t="str">
            <v>004A</v>
          </cell>
          <cell r="D1408" t="str">
            <v>Y</v>
          </cell>
          <cell r="E1408" t="str">
            <v>A</v>
          </cell>
          <cell r="F1408" t="str">
            <v>10/31/1997</v>
          </cell>
        </row>
        <row r="1409">
          <cell r="B1409" t="str">
            <v>A0339</v>
          </cell>
          <cell r="C1409" t="str">
            <v>001A</v>
          </cell>
          <cell r="D1409" t="str">
            <v>Y</v>
          </cell>
          <cell r="E1409" t="str">
            <v>A</v>
          </cell>
          <cell r="F1409" t="str">
            <v>10/31/1997</v>
          </cell>
        </row>
        <row r="1410">
          <cell r="B1410" t="str">
            <v>A0340</v>
          </cell>
          <cell r="C1410" t="str">
            <v>001A</v>
          </cell>
          <cell r="D1410" t="str">
            <v>Y</v>
          </cell>
          <cell r="E1410" t="str">
            <v>A</v>
          </cell>
          <cell r="F1410" t="str">
            <v>10/31/1997</v>
          </cell>
        </row>
        <row r="1411">
          <cell r="B1411" t="str">
            <v>A0341</v>
          </cell>
          <cell r="C1411" t="str">
            <v>UEC</v>
          </cell>
          <cell r="D1411" t="str">
            <v>Y</v>
          </cell>
          <cell r="E1411" t="str">
            <v>A</v>
          </cell>
          <cell r="F1411" t="str">
            <v>11/03/1997</v>
          </cell>
        </row>
        <row r="1412">
          <cell r="B1412" t="str">
            <v>A0342</v>
          </cell>
          <cell r="C1412" t="str">
            <v>001A</v>
          </cell>
          <cell r="D1412" t="str">
            <v>Y</v>
          </cell>
          <cell r="E1412" t="str">
            <v>A</v>
          </cell>
          <cell r="F1412" t="str">
            <v>11/03/1997</v>
          </cell>
        </row>
        <row r="1413">
          <cell r="B1413" t="str">
            <v>A0343</v>
          </cell>
          <cell r="C1413" t="str">
            <v>002L</v>
          </cell>
          <cell r="D1413" t="str">
            <v>Y</v>
          </cell>
          <cell r="E1413" t="str">
            <v>A</v>
          </cell>
          <cell r="F1413" t="str">
            <v>11/03/1997</v>
          </cell>
        </row>
        <row r="1414">
          <cell r="B1414" t="str">
            <v>A0344</v>
          </cell>
          <cell r="C1414" t="str">
            <v>002L</v>
          </cell>
          <cell r="D1414" t="str">
            <v>Y</v>
          </cell>
          <cell r="E1414" t="str">
            <v>A</v>
          </cell>
          <cell r="F1414" t="str">
            <v>11/03/1997</v>
          </cell>
        </row>
        <row r="1415">
          <cell r="B1415" t="str">
            <v>A0345</v>
          </cell>
          <cell r="C1415" t="str">
            <v>002L</v>
          </cell>
          <cell r="D1415" t="str">
            <v>Y</v>
          </cell>
          <cell r="E1415" t="str">
            <v>A</v>
          </cell>
          <cell r="F1415" t="str">
            <v>11/03/1997</v>
          </cell>
        </row>
        <row r="1416">
          <cell r="B1416" t="str">
            <v>A0346</v>
          </cell>
          <cell r="C1416" t="str">
            <v>UEC</v>
          </cell>
          <cell r="D1416" t="str">
            <v>Y</v>
          </cell>
          <cell r="E1416" t="str">
            <v>A</v>
          </cell>
          <cell r="F1416" t="str">
            <v>11/03/1997</v>
          </cell>
        </row>
        <row r="1417">
          <cell r="B1417" t="str">
            <v>A0348</v>
          </cell>
          <cell r="C1417" t="str">
            <v>004A</v>
          </cell>
          <cell r="D1417" t="str">
            <v>Y</v>
          </cell>
          <cell r="E1417" t="str">
            <v>A</v>
          </cell>
          <cell r="F1417" t="str">
            <v>11/03/1997</v>
          </cell>
        </row>
        <row r="1418">
          <cell r="B1418" t="str">
            <v>A0349</v>
          </cell>
          <cell r="C1418" t="str">
            <v>004A</v>
          </cell>
          <cell r="D1418" t="str">
            <v>Y</v>
          </cell>
          <cell r="E1418" t="str">
            <v>A</v>
          </cell>
          <cell r="F1418" t="str">
            <v>11/03/1997</v>
          </cell>
        </row>
        <row r="1419">
          <cell r="B1419" t="str">
            <v>A0350</v>
          </cell>
          <cell r="C1419"/>
          <cell r="D1419" t="str">
            <v>Y</v>
          </cell>
          <cell r="E1419" t="str">
            <v>A</v>
          </cell>
          <cell r="F1419" t="str">
            <v>11/03/1997</v>
          </cell>
        </row>
        <row r="1420">
          <cell r="B1420" t="str">
            <v>A0351</v>
          </cell>
          <cell r="C1420"/>
          <cell r="D1420" t="str">
            <v>Y</v>
          </cell>
          <cell r="E1420" t="str">
            <v>A</v>
          </cell>
          <cell r="F1420" t="str">
            <v>11/03/1997</v>
          </cell>
        </row>
        <row r="1421">
          <cell r="B1421" t="str">
            <v>A0352</v>
          </cell>
          <cell r="C1421" t="str">
            <v>UEC</v>
          </cell>
          <cell r="D1421" t="str">
            <v>Y</v>
          </cell>
          <cell r="E1421" t="str">
            <v>A</v>
          </cell>
          <cell r="F1421" t="str">
            <v>11/03/1997</v>
          </cell>
        </row>
        <row r="1422">
          <cell r="B1422" t="str">
            <v>A0353</v>
          </cell>
          <cell r="C1422" t="str">
            <v>002A</v>
          </cell>
          <cell r="D1422" t="str">
            <v>Y</v>
          </cell>
          <cell r="E1422" t="str">
            <v>A</v>
          </cell>
          <cell r="F1422" t="str">
            <v>11/03/1997</v>
          </cell>
        </row>
        <row r="1423">
          <cell r="B1423" t="str">
            <v>A0354</v>
          </cell>
          <cell r="C1423" t="str">
            <v>CIP</v>
          </cell>
          <cell r="D1423" t="str">
            <v>Y</v>
          </cell>
          <cell r="E1423" t="str">
            <v>A</v>
          </cell>
          <cell r="F1423" t="str">
            <v>10/29/1998</v>
          </cell>
        </row>
        <row r="1424">
          <cell r="B1424" t="str">
            <v>A0355</v>
          </cell>
          <cell r="C1424" t="str">
            <v>008B</v>
          </cell>
          <cell r="D1424" t="str">
            <v>Y</v>
          </cell>
          <cell r="E1424" t="str">
            <v>A</v>
          </cell>
          <cell r="F1424" t="str">
            <v>11/04/1997</v>
          </cell>
        </row>
        <row r="1425">
          <cell r="B1425" t="str">
            <v>A0356</v>
          </cell>
          <cell r="C1425" t="str">
            <v>ERC</v>
          </cell>
          <cell r="D1425" t="str">
            <v>Y</v>
          </cell>
          <cell r="E1425" t="str">
            <v>A</v>
          </cell>
          <cell r="F1425" t="str">
            <v>04/28/1998</v>
          </cell>
        </row>
        <row r="1426">
          <cell r="B1426" t="str">
            <v>A0359</v>
          </cell>
          <cell r="C1426" t="str">
            <v>007A</v>
          </cell>
          <cell r="D1426" t="str">
            <v>Y</v>
          </cell>
          <cell r="E1426" t="str">
            <v>A</v>
          </cell>
          <cell r="F1426" t="str">
            <v>04/28/1998</v>
          </cell>
        </row>
        <row r="1427">
          <cell r="B1427" t="str">
            <v>A0361</v>
          </cell>
          <cell r="C1427" t="str">
            <v>002K</v>
          </cell>
          <cell r="D1427" t="str">
            <v>Y</v>
          </cell>
          <cell r="E1427" t="str">
            <v>A</v>
          </cell>
          <cell r="F1427" t="str">
            <v>12/03/1997</v>
          </cell>
        </row>
        <row r="1428">
          <cell r="B1428" t="str">
            <v>A0364</v>
          </cell>
          <cell r="C1428" t="str">
            <v>AME</v>
          </cell>
          <cell r="D1428" t="str">
            <v>Y</v>
          </cell>
          <cell r="E1428" t="str">
            <v>A</v>
          </cell>
          <cell r="F1428" t="str">
            <v>10/29/1998</v>
          </cell>
        </row>
        <row r="1429">
          <cell r="B1429" t="str">
            <v>A0366</v>
          </cell>
          <cell r="C1429" t="str">
            <v>011A</v>
          </cell>
          <cell r="D1429" t="str">
            <v>Y</v>
          </cell>
          <cell r="E1429" t="str">
            <v>A</v>
          </cell>
          <cell r="F1429" t="str">
            <v>11/07/1997</v>
          </cell>
        </row>
        <row r="1430">
          <cell r="B1430" t="str">
            <v>A0367</v>
          </cell>
          <cell r="C1430" t="str">
            <v>UEC</v>
          </cell>
          <cell r="D1430" t="str">
            <v>Y</v>
          </cell>
          <cell r="E1430" t="str">
            <v>A</v>
          </cell>
          <cell r="F1430" t="str">
            <v>11/07/1997</v>
          </cell>
        </row>
        <row r="1431">
          <cell r="B1431" t="str">
            <v>A0368</v>
          </cell>
          <cell r="C1431" t="str">
            <v>GEN</v>
          </cell>
          <cell r="D1431" t="str">
            <v>Y</v>
          </cell>
          <cell r="E1431" t="str">
            <v>A</v>
          </cell>
          <cell r="F1431" t="str">
            <v>11/07/1997</v>
          </cell>
        </row>
        <row r="1432">
          <cell r="B1432" t="str">
            <v>A0369</v>
          </cell>
          <cell r="C1432" t="str">
            <v>UEC</v>
          </cell>
          <cell r="D1432" t="str">
            <v>Y</v>
          </cell>
          <cell r="E1432" t="str">
            <v>A</v>
          </cell>
          <cell r="F1432" t="str">
            <v>11/07/1997</v>
          </cell>
        </row>
        <row r="1433">
          <cell r="B1433" t="str">
            <v>A0370</v>
          </cell>
          <cell r="C1433" t="str">
            <v>CIP</v>
          </cell>
          <cell r="D1433" t="str">
            <v>Y</v>
          </cell>
          <cell r="E1433" t="str">
            <v>A</v>
          </cell>
          <cell r="F1433" t="str">
            <v>11/07/1997</v>
          </cell>
        </row>
        <row r="1434">
          <cell r="B1434" t="str">
            <v>A0371</v>
          </cell>
          <cell r="C1434"/>
          <cell r="D1434" t="str">
            <v>Y</v>
          </cell>
          <cell r="E1434" t="str">
            <v>A</v>
          </cell>
          <cell r="F1434" t="str">
            <v>11/07/1997</v>
          </cell>
        </row>
        <row r="1435">
          <cell r="B1435" t="str">
            <v>A0372</v>
          </cell>
          <cell r="C1435" t="str">
            <v>010A</v>
          </cell>
          <cell r="D1435" t="str">
            <v>Y</v>
          </cell>
          <cell r="E1435" t="str">
            <v>A</v>
          </cell>
          <cell r="F1435" t="str">
            <v>11/07/1997</v>
          </cell>
        </row>
        <row r="1436">
          <cell r="B1436" t="str">
            <v>A0373</v>
          </cell>
          <cell r="C1436" t="str">
            <v>CIP</v>
          </cell>
          <cell r="D1436" t="str">
            <v>Y</v>
          </cell>
          <cell r="E1436" t="str">
            <v>A</v>
          </cell>
          <cell r="F1436" t="str">
            <v>11/07/1997</v>
          </cell>
        </row>
        <row r="1437">
          <cell r="B1437" t="str">
            <v>A0374</v>
          </cell>
          <cell r="C1437" t="str">
            <v>UEC</v>
          </cell>
          <cell r="D1437" t="str">
            <v>Y</v>
          </cell>
          <cell r="E1437" t="str">
            <v>A</v>
          </cell>
          <cell r="F1437" t="str">
            <v>11/07/1997</v>
          </cell>
        </row>
        <row r="1438">
          <cell r="B1438" t="str">
            <v>A0375</v>
          </cell>
          <cell r="C1438" t="str">
            <v>002K</v>
          </cell>
          <cell r="D1438" t="str">
            <v>Y</v>
          </cell>
          <cell r="E1438" t="str">
            <v>A</v>
          </cell>
          <cell r="F1438" t="str">
            <v>11/07/1997</v>
          </cell>
        </row>
        <row r="1439">
          <cell r="B1439" t="str">
            <v>A0376</v>
          </cell>
          <cell r="C1439" t="str">
            <v>CIP</v>
          </cell>
          <cell r="D1439" t="str">
            <v>N</v>
          </cell>
          <cell r="E1439" t="str">
            <v>A</v>
          </cell>
          <cell r="F1439" t="str">
            <v>11/07/1997</v>
          </cell>
        </row>
        <row r="1440">
          <cell r="B1440" t="str">
            <v>A0377</v>
          </cell>
          <cell r="C1440" t="str">
            <v>UEC</v>
          </cell>
          <cell r="D1440" t="str">
            <v>N</v>
          </cell>
          <cell r="E1440" t="str">
            <v>A</v>
          </cell>
          <cell r="F1440" t="str">
            <v>11/07/1997</v>
          </cell>
        </row>
        <row r="1441">
          <cell r="B1441" t="str">
            <v>A0378</v>
          </cell>
          <cell r="C1441" t="str">
            <v>011B</v>
          </cell>
          <cell r="D1441" t="str">
            <v>N</v>
          </cell>
          <cell r="E1441" t="str">
            <v>A</v>
          </cell>
          <cell r="F1441" t="str">
            <v>11/07/1997</v>
          </cell>
        </row>
        <row r="1442">
          <cell r="B1442" t="str">
            <v>A0379</v>
          </cell>
          <cell r="C1442"/>
          <cell r="D1442" t="str">
            <v>Y</v>
          </cell>
          <cell r="E1442" t="str">
            <v>A</v>
          </cell>
          <cell r="F1442" t="str">
            <v>11/07/1997</v>
          </cell>
        </row>
        <row r="1443">
          <cell r="B1443" t="str">
            <v>A0380</v>
          </cell>
          <cell r="C1443" t="str">
            <v>004A</v>
          </cell>
          <cell r="D1443" t="str">
            <v>Y</v>
          </cell>
          <cell r="E1443" t="str">
            <v>A</v>
          </cell>
          <cell r="F1443" t="str">
            <v>11/07/1997</v>
          </cell>
        </row>
        <row r="1444">
          <cell r="B1444" t="str">
            <v>A0381</v>
          </cell>
          <cell r="C1444" t="str">
            <v>004A</v>
          </cell>
          <cell r="D1444" t="str">
            <v>Y</v>
          </cell>
          <cell r="E1444" t="str">
            <v>A</v>
          </cell>
          <cell r="F1444" t="str">
            <v>11/07/1997</v>
          </cell>
        </row>
        <row r="1445">
          <cell r="B1445" t="str">
            <v>A0382</v>
          </cell>
          <cell r="C1445" t="str">
            <v>004A</v>
          </cell>
          <cell r="D1445" t="str">
            <v>Y</v>
          </cell>
          <cell r="E1445" t="str">
            <v>A</v>
          </cell>
          <cell r="F1445" t="str">
            <v>11/07/1997</v>
          </cell>
        </row>
        <row r="1446">
          <cell r="B1446" t="str">
            <v>A0383</v>
          </cell>
          <cell r="C1446" t="str">
            <v>004A</v>
          </cell>
          <cell r="D1446" t="str">
            <v>Y</v>
          </cell>
          <cell r="E1446" t="str">
            <v>A</v>
          </cell>
          <cell r="F1446" t="str">
            <v>11/07/1997</v>
          </cell>
        </row>
        <row r="1447">
          <cell r="B1447" t="str">
            <v>A0384</v>
          </cell>
          <cell r="C1447" t="str">
            <v>CIP</v>
          </cell>
          <cell r="D1447" t="str">
            <v>Y</v>
          </cell>
          <cell r="E1447" t="str">
            <v>A</v>
          </cell>
          <cell r="F1447" t="str">
            <v>11/07/1997</v>
          </cell>
        </row>
        <row r="1448">
          <cell r="B1448" t="str">
            <v>A0386</v>
          </cell>
          <cell r="C1448" t="str">
            <v>UEC</v>
          </cell>
          <cell r="D1448" t="str">
            <v>Y</v>
          </cell>
          <cell r="E1448" t="str">
            <v>A</v>
          </cell>
          <cell r="F1448" t="str">
            <v>11/07/1997</v>
          </cell>
        </row>
        <row r="1449">
          <cell r="B1449" t="str">
            <v>A0387</v>
          </cell>
          <cell r="C1449" t="str">
            <v>UEC</v>
          </cell>
          <cell r="D1449" t="str">
            <v>Y</v>
          </cell>
          <cell r="E1449" t="str">
            <v>A</v>
          </cell>
          <cell r="F1449" t="str">
            <v>11/07/1997</v>
          </cell>
        </row>
        <row r="1450">
          <cell r="B1450" t="str">
            <v>A0388</v>
          </cell>
          <cell r="C1450" t="str">
            <v>CIP</v>
          </cell>
          <cell r="D1450" t="str">
            <v>Y</v>
          </cell>
          <cell r="E1450" t="str">
            <v>A</v>
          </cell>
          <cell r="F1450" t="str">
            <v>11/07/1997</v>
          </cell>
        </row>
        <row r="1451">
          <cell r="B1451" t="str">
            <v>A0389</v>
          </cell>
          <cell r="C1451" t="str">
            <v>UDC</v>
          </cell>
          <cell r="D1451" t="str">
            <v>Y</v>
          </cell>
          <cell r="E1451" t="str">
            <v>A</v>
          </cell>
          <cell r="F1451" t="str">
            <v>11/07/1997</v>
          </cell>
        </row>
        <row r="1452">
          <cell r="B1452" t="str">
            <v>A0390</v>
          </cell>
          <cell r="C1452" t="str">
            <v>CIC</v>
          </cell>
          <cell r="D1452" t="str">
            <v>Y</v>
          </cell>
          <cell r="E1452" t="str">
            <v>A</v>
          </cell>
          <cell r="F1452" t="str">
            <v>11/07/1997</v>
          </cell>
        </row>
        <row r="1453">
          <cell r="B1453" t="str">
            <v>A0391</v>
          </cell>
          <cell r="C1453" t="str">
            <v>001A</v>
          </cell>
          <cell r="D1453" t="str">
            <v>Y</v>
          </cell>
          <cell r="E1453" t="str">
            <v>A</v>
          </cell>
          <cell r="F1453" t="str">
            <v>11/10/1997</v>
          </cell>
        </row>
        <row r="1454">
          <cell r="B1454" t="str">
            <v>A0392</v>
          </cell>
          <cell r="C1454" t="str">
            <v>003A</v>
          </cell>
          <cell r="D1454" t="str">
            <v>Y</v>
          </cell>
          <cell r="E1454" t="str">
            <v>A</v>
          </cell>
          <cell r="F1454" t="str">
            <v>11/10/1997</v>
          </cell>
        </row>
        <row r="1455">
          <cell r="B1455" t="str">
            <v>A0393</v>
          </cell>
          <cell r="C1455" t="str">
            <v>001A</v>
          </cell>
          <cell r="D1455" t="str">
            <v>Y</v>
          </cell>
          <cell r="E1455" t="str">
            <v>A</v>
          </cell>
          <cell r="F1455" t="str">
            <v>11/10/1997</v>
          </cell>
        </row>
        <row r="1456">
          <cell r="B1456" t="str">
            <v>A0394</v>
          </cell>
          <cell r="C1456" t="str">
            <v>AMC</v>
          </cell>
          <cell r="D1456" t="str">
            <v>Y</v>
          </cell>
          <cell r="E1456" t="str">
            <v>A</v>
          </cell>
          <cell r="F1456" t="str">
            <v>11/10/1997</v>
          </cell>
        </row>
        <row r="1457">
          <cell r="B1457" t="str">
            <v>A0396</v>
          </cell>
          <cell r="C1457" t="str">
            <v>UEC</v>
          </cell>
          <cell r="D1457" t="str">
            <v>Y</v>
          </cell>
          <cell r="E1457" t="str">
            <v>A</v>
          </cell>
          <cell r="F1457" t="str">
            <v>11/10/1997</v>
          </cell>
        </row>
        <row r="1458">
          <cell r="B1458" t="str">
            <v>A0397</v>
          </cell>
          <cell r="C1458" t="str">
            <v>UEC</v>
          </cell>
          <cell r="D1458" t="str">
            <v>Y</v>
          </cell>
          <cell r="E1458" t="str">
            <v>A</v>
          </cell>
          <cell r="F1458" t="str">
            <v>11/10/1997</v>
          </cell>
        </row>
        <row r="1459">
          <cell r="B1459" t="str">
            <v>A0398</v>
          </cell>
          <cell r="C1459" t="str">
            <v>CIP</v>
          </cell>
          <cell r="D1459" t="str">
            <v>Y</v>
          </cell>
          <cell r="E1459" t="str">
            <v>A</v>
          </cell>
          <cell r="F1459" t="str">
            <v>11/10/1997</v>
          </cell>
        </row>
        <row r="1460">
          <cell r="B1460" t="str">
            <v>A0399</v>
          </cell>
          <cell r="C1460"/>
          <cell r="D1460" t="str">
            <v>Y</v>
          </cell>
          <cell r="E1460" t="str">
            <v>A</v>
          </cell>
          <cell r="F1460" t="str">
            <v>11/10/1997</v>
          </cell>
        </row>
        <row r="1461">
          <cell r="B1461" t="str">
            <v>A0400</v>
          </cell>
          <cell r="C1461" t="str">
            <v>UEC</v>
          </cell>
          <cell r="D1461" t="str">
            <v>Y</v>
          </cell>
          <cell r="E1461" t="str">
            <v>A</v>
          </cell>
          <cell r="F1461" t="str">
            <v>12/03/1997</v>
          </cell>
        </row>
        <row r="1462">
          <cell r="B1462" t="str">
            <v>A0401</v>
          </cell>
          <cell r="C1462"/>
          <cell r="D1462" t="str">
            <v>Y</v>
          </cell>
          <cell r="E1462" t="str">
            <v>A</v>
          </cell>
          <cell r="F1462" t="str">
            <v>11/10/1997</v>
          </cell>
        </row>
        <row r="1463">
          <cell r="B1463" t="str">
            <v>A0402</v>
          </cell>
          <cell r="C1463" t="str">
            <v>001A</v>
          </cell>
          <cell r="D1463" t="str">
            <v>Y</v>
          </cell>
          <cell r="E1463" t="str">
            <v>A</v>
          </cell>
          <cell r="F1463" t="str">
            <v>11/10/1997</v>
          </cell>
        </row>
        <row r="1464">
          <cell r="B1464" t="str">
            <v>A0403</v>
          </cell>
          <cell r="C1464" t="str">
            <v>004A</v>
          </cell>
          <cell r="D1464" t="str">
            <v>Y</v>
          </cell>
          <cell r="E1464" t="str">
            <v>A</v>
          </cell>
          <cell r="F1464" t="str">
            <v>11/10/1997</v>
          </cell>
        </row>
        <row r="1465">
          <cell r="B1465" t="str">
            <v>A0406</v>
          </cell>
          <cell r="C1465"/>
          <cell r="D1465" t="str">
            <v>Y</v>
          </cell>
          <cell r="E1465" t="str">
            <v>A</v>
          </cell>
          <cell r="F1465" t="str">
            <v>11/10/1997</v>
          </cell>
        </row>
        <row r="1466">
          <cell r="B1466" t="str">
            <v>A0407</v>
          </cell>
          <cell r="C1466" t="str">
            <v>CIP</v>
          </cell>
          <cell r="D1466" t="str">
            <v>Y</v>
          </cell>
          <cell r="E1466" t="str">
            <v>A</v>
          </cell>
          <cell r="F1466" t="str">
            <v>12/03/1997</v>
          </cell>
        </row>
        <row r="1467">
          <cell r="B1467" t="str">
            <v>A0409</v>
          </cell>
          <cell r="C1467" t="str">
            <v>016A</v>
          </cell>
          <cell r="D1467" t="str">
            <v>Y</v>
          </cell>
          <cell r="E1467" t="str">
            <v>A</v>
          </cell>
          <cell r="F1467" t="str">
            <v>11/13/1997</v>
          </cell>
        </row>
        <row r="1468">
          <cell r="B1468" t="str">
            <v>A0410</v>
          </cell>
          <cell r="C1468" t="str">
            <v>004A</v>
          </cell>
          <cell r="D1468" t="str">
            <v>Y</v>
          </cell>
          <cell r="E1468" t="str">
            <v>A</v>
          </cell>
          <cell r="F1468" t="str">
            <v>11/13/1997</v>
          </cell>
        </row>
        <row r="1469">
          <cell r="B1469" t="str">
            <v>A0411</v>
          </cell>
          <cell r="C1469" t="str">
            <v>004A</v>
          </cell>
          <cell r="D1469" t="str">
            <v>Y</v>
          </cell>
          <cell r="E1469" t="str">
            <v>A</v>
          </cell>
          <cell r="F1469" t="str">
            <v>11/13/1997</v>
          </cell>
        </row>
        <row r="1470">
          <cell r="B1470" t="str">
            <v>A0412</v>
          </cell>
          <cell r="C1470" t="str">
            <v>004A</v>
          </cell>
          <cell r="D1470" t="str">
            <v>Y</v>
          </cell>
          <cell r="E1470" t="str">
            <v>A</v>
          </cell>
          <cell r="F1470" t="str">
            <v>11/13/1997</v>
          </cell>
        </row>
        <row r="1471">
          <cell r="B1471" t="str">
            <v>A0413</v>
          </cell>
          <cell r="C1471" t="str">
            <v>UEC</v>
          </cell>
          <cell r="D1471" t="str">
            <v>Y</v>
          </cell>
          <cell r="E1471" t="str">
            <v>A</v>
          </cell>
          <cell r="F1471" t="str">
            <v>11/14/1997</v>
          </cell>
        </row>
        <row r="1472">
          <cell r="B1472" t="str">
            <v>A0415</v>
          </cell>
          <cell r="C1472" t="str">
            <v>004A</v>
          </cell>
          <cell r="D1472" t="str">
            <v>Y</v>
          </cell>
          <cell r="E1472" t="str">
            <v>A</v>
          </cell>
          <cell r="F1472" t="str">
            <v>11/14/1997</v>
          </cell>
        </row>
        <row r="1473">
          <cell r="B1473" t="str">
            <v>A0416</v>
          </cell>
          <cell r="C1473" t="str">
            <v>004A</v>
          </cell>
          <cell r="D1473" t="str">
            <v>Y</v>
          </cell>
          <cell r="E1473" t="str">
            <v>A</v>
          </cell>
          <cell r="F1473" t="str">
            <v>11/14/1997</v>
          </cell>
        </row>
        <row r="1474">
          <cell r="B1474" t="str">
            <v>A0417</v>
          </cell>
          <cell r="C1474" t="str">
            <v>AFS</v>
          </cell>
          <cell r="D1474" t="str">
            <v>Y</v>
          </cell>
          <cell r="E1474" t="str">
            <v>A</v>
          </cell>
          <cell r="F1474" t="str">
            <v>11/14/1997</v>
          </cell>
        </row>
        <row r="1475">
          <cell r="B1475" t="str">
            <v>A0418</v>
          </cell>
          <cell r="C1475" t="str">
            <v>UEC</v>
          </cell>
          <cell r="D1475" t="str">
            <v>Y</v>
          </cell>
          <cell r="E1475" t="str">
            <v>A</v>
          </cell>
          <cell r="F1475" t="str">
            <v>11/14/1997</v>
          </cell>
        </row>
        <row r="1476">
          <cell r="B1476" t="str">
            <v>A0419</v>
          </cell>
          <cell r="C1476"/>
          <cell r="D1476" t="str">
            <v>Y</v>
          </cell>
          <cell r="E1476" t="str">
            <v>A</v>
          </cell>
          <cell r="F1476" t="str">
            <v>11/14/1997</v>
          </cell>
        </row>
        <row r="1477">
          <cell r="B1477" t="str">
            <v>A0420</v>
          </cell>
          <cell r="C1477" t="str">
            <v>CIP</v>
          </cell>
          <cell r="D1477" t="str">
            <v>Y</v>
          </cell>
          <cell r="E1477" t="str">
            <v>A</v>
          </cell>
          <cell r="F1477" t="str">
            <v>11/14/1997</v>
          </cell>
        </row>
        <row r="1478">
          <cell r="B1478" t="str">
            <v>A0421</v>
          </cell>
          <cell r="C1478" t="str">
            <v>UEC</v>
          </cell>
          <cell r="D1478" t="str">
            <v>Y</v>
          </cell>
          <cell r="E1478" t="str">
            <v>A</v>
          </cell>
          <cell r="F1478" t="str">
            <v>11/14/1997</v>
          </cell>
        </row>
        <row r="1479">
          <cell r="B1479" t="str">
            <v>A0423</v>
          </cell>
          <cell r="C1479" t="str">
            <v>CIP</v>
          </cell>
          <cell r="D1479" t="str">
            <v>Y</v>
          </cell>
          <cell r="E1479" t="str">
            <v>A</v>
          </cell>
          <cell r="F1479" t="str">
            <v>11/14/1997</v>
          </cell>
        </row>
        <row r="1480">
          <cell r="B1480" t="str">
            <v>A0424</v>
          </cell>
          <cell r="C1480" t="str">
            <v>CIP</v>
          </cell>
          <cell r="D1480" t="str">
            <v>Y</v>
          </cell>
          <cell r="E1480" t="str">
            <v>A</v>
          </cell>
          <cell r="F1480" t="str">
            <v>11/15/1997</v>
          </cell>
        </row>
        <row r="1481">
          <cell r="B1481" t="str">
            <v>A0425</v>
          </cell>
          <cell r="C1481"/>
          <cell r="D1481" t="str">
            <v>Y</v>
          </cell>
          <cell r="E1481" t="str">
            <v>A</v>
          </cell>
          <cell r="F1481" t="str">
            <v>11/15/1997</v>
          </cell>
        </row>
        <row r="1482">
          <cell r="B1482" t="str">
            <v>A0427</v>
          </cell>
          <cell r="C1482" t="str">
            <v>UEC</v>
          </cell>
          <cell r="D1482" t="str">
            <v>Y</v>
          </cell>
          <cell r="E1482" t="str">
            <v>A</v>
          </cell>
          <cell r="F1482" t="str">
            <v>05/14/1998</v>
          </cell>
        </row>
        <row r="1483">
          <cell r="B1483" t="str">
            <v>A0428</v>
          </cell>
          <cell r="C1483" t="str">
            <v>004A</v>
          </cell>
          <cell r="D1483" t="str">
            <v>Y</v>
          </cell>
          <cell r="E1483" t="str">
            <v>A</v>
          </cell>
          <cell r="F1483" t="str">
            <v>11/17/1997</v>
          </cell>
        </row>
        <row r="1484">
          <cell r="B1484" t="str">
            <v>A0429</v>
          </cell>
          <cell r="C1484" t="str">
            <v>UEC</v>
          </cell>
          <cell r="D1484" t="str">
            <v>Y</v>
          </cell>
          <cell r="E1484" t="str">
            <v>A</v>
          </cell>
          <cell r="F1484" t="str">
            <v>11/17/1997</v>
          </cell>
        </row>
        <row r="1485">
          <cell r="B1485" t="str">
            <v>A0430</v>
          </cell>
          <cell r="C1485" t="str">
            <v>012B</v>
          </cell>
          <cell r="D1485" t="str">
            <v>Y</v>
          </cell>
          <cell r="E1485" t="str">
            <v>A</v>
          </cell>
          <cell r="F1485" t="str">
            <v>11/18/1997</v>
          </cell>
        </row>
        <row r="1486">
          <cell r="B1486" t="str">
            <v>A0431</v>
          </cell>
          <cell r="C1486" t="str">
            <v>UEC</v>
          </cell>
          <cell r="D1486" t="str">
            <v>Y</v>
          </cell>
          <cell r="E1486" t="str">
            <v>A</v>
          </cell>
          <cell r="F1486" t="str">
            <v>11/18/1997</v>
          </cell>
        </row>
        <row r="1487">
          <cell r="B1487" t="str">
            <v>A0432</v>
          </cell>
          <cell r="C1487" t="str">
            <v>GEN</v>
          </cell>
          <cell r="D1487" t="str">
            <v>Y</v>
          </cell>
          <cell r="E1487" t="str">
            <v>A</v>
          </cell>
          <cell r="F1487" t="str">
            <v>11/18/1997</v>
          </cell>
        </row>
        <row r="1488">
          <cell r="B1488" t="str">
            <v>A0433</v>
          </cell>
          <cell r="C1488" t="str">
            <v>012D</v>
          </cell>
          <cell r="D1488" t="str">
            <v>Y</v>
          </cell>
          <cell r="E1488" t="str">
            <v>A</v>
          </cell>
          <cell r="F1488" t="str">
            <v>11/18/1997</v>
          </cell>
        </row>
        <row r="1489">
          <cell r="B1489" t="str">
            <v>A0434</v>
          </cell>
          <cell r="C1489" t="str">
            <v>UEC</v>
          </cell>
          <cell r="D1489" t="str">
            <v>Y</v>
          </cell>
          <cell r="E1489" t="str">
            <v>A</v>
          </cell>
          <cell r="F1489" t="str">
            <v>11/18/1997</v>
          </cell>
        </row>
        <row r="1490">
          <cell r="B1490" t="str">
            <v>A0435</v>
          </cell>
          <cell r="C1490" t="str">
            <v>GEN</v>
          </cell>
          <cell r="D1490" t="str">
            <v>Y</v>
          </cell>
          <cell r="E1490" t="str">
            <v>A</v>
          </cell>
          <cell r="F1490" t="str">
            <v>11/18/1997</v>
          </cell>
        </row>
        <row r="1491">
          <cell r="B1491" t="str">
            <v>A0436</v>
          </cell>
          <cell r="C1491" t="str">
            <v>012D</v>
          </cell>
          <cell r="D1491" t="str">
            <v>Y</v>
          </cell>
          <cell r="E1491" t="str">
            <v>A</v>
          </cell>
          <cell r="F1491" t="str">
            <v>11/18/1997</v>
          </cell>
        </row>
        <row r="1492">
          <cell r="B1492" t="str">
            <v>A0437</v>
          </cell>
          <cell r="C1492" t="str">
            <v>UEC</v>
          </cell>
          <cell r="D1492" t="str">
            <v>Y</v>
          </cell>
          <cell r="E1492" t="str">
            <v>A</v>
          </cell>
          <cell r="F1492" t="str">
            <v>11/18/1997</v>
          </cell>
        </row>
        <row r="1493">
          <cell r="B1493" t="str">
            <v>A0438</v>
          </cell>
          <cell r="C1493" t="str">
            <v>CIP</v>
          </cell>
          <cell r="D1493" t="str">
            <v>Y</v>
          </cell>
          <cell r="E1493" t="str">
            <v>A</v>
          </cell>
          <cell r="F1493" t="str">
            <v>11/18/1997</v>
          </cell>
        </row>
        <row r="1494">
          <cell r="B1494" t="str">
            <v>A0439</v>
          </cell>
          <cell r="C1494" t="str">
            <v>010A</v>
          </cell>
          <cell r="D1494" t="str">
            <v>Y</v>
          </cell>
          <cell r="E1494" t="str">
            <v>A</v>
          </cell>
          <cell r="F1494" t="str">
            <v>11/18/1997</v>
          </cell>
        </row>
        <row r="1495">
          <cell r="B1495" t="str">
            <v>A0440</v>
          </cell>
          <cell r="C1495" t="str">
            <v>UEC</v>
          </cell>
          <cell r="D1495" t="str">
            <v>Y</v>
          </cell>
          <cell r="E1495" t="str">
            <v>A</v>
          </cell>
          <cell r="F1495" t="str">
            <v>11/18/1997</v>
          </cell>
        </row>
        <row r="1496">
          <cell r="B1496" t="str">
            <v>A0441</v>
          </cell>
          <cell r="C1496" t="str">
            <v>CIP</v>
          </cell>
          <cell r="D1496" t="str">
            <v>Y</v>
          </cell>
          <cell r="E1496" t="str">
            <v>A</v>
          </cell>
          <cell r="F1496" t="str">
            <v>11/18/1997</v>
          </cell>
        </row>
        <row r="1497">
          <cell r="B1497" t="str">
            <v>A0442</v>
          </cell>
          <cell r="C1497" t="str">
            <v>010A</v>
          </cell>
          <cell r="D1497" t="str">
            <v>Y</v>
          </cell>
          <cell r="E1497" t="str">
            <v>A</v>
          </cell>
          <cell r="F1497" t="str">
            <v>11/18/1997</v>
          </cell>
        </row>
        <row r="1498">
          <cell r="B1498" t="str">
            <v>A0443</v>
          </cell>
          <cell r="C1498" t="str">
            <v>UEC</v>
          </cell>
          <cell r="D1498" t="str">
            <v>Y</v>
          </cell>
          <cell r="E1498" t="str">
            <v>A</v>
          </cell>
          <cell r="F1498" t="str">
            <v>11/18/1997</v>
          </cell>
        </row>
        <row r="1499">
          <cell r="B1499" t="str">
            <v>A0444</v>
          </cell>
          <cell r="C1499" t="str">
            <v>CIP</v>
          </cell>
          <cell r="D1499" t="str">
            <v>Y</v>
          </cell>
          <cell r="E1499" t="str">
            <v>A</v>
          </cell>
          <cell r="F1499" t="str">
            <v>11/18/1997</v>
          </cell>
        </row>
        <row r="1500">
          <cell r="B1500" t="str">
            <v>A0445</v>
          </cell>
          <cell r="C1500" t="str">
            <v>012D</v>
          </cell>
          <cell r="D1500" t="str">
            <v>Y</v>
          </cell>
          <cell r="E1500" t="str">
            <v>A</v>
          </cell>
          <cell r="F1500" t="str">
            <v>11/18/1997</v>
          </cell>
        </row>
        <row r="1501">
          <cell r="B1501" t="str">
            <v>A0446</v>
          </cell>
          <cell r="C1501" t="str">
            <v>UEC</v>
          </cell>
          <cell r="D1501" t="str">
            <v>Y</v>
          </cell>
          <cell r="E1501" t="str">
            <v>A</v>
          </cell>
          <cell r="F1501" t="str">
            <v>11/18/1997</v>
          </cell>
        </row>
        <row r="1502">
          <cell r="B1502" t="str">
            <v>A0447</v>
          </cell>
          <cell r="C1502" t="str">
            <v>008C</v>
          </cell>
          <cell r="D1502" t="str">
            <v>Y</v>
          </cell>
          <cell r="E1502" t="str">
            <v>A</v>
          </cell>
          <cell r="F1502" t="str">
            <v>11/18/1997</v>
          </cell>
        </row>
        <row r="1503">
          <cell r="B1503" t="str">
            <v>A0448</v>
          </cell>
          <cell r="C1503"/>
          <cell r="D1503" t="str">
            <v>Y</v>
          </cell>
          <cell r="E1503" t="str">
            <v>A</v>
          </cell>
          <cell r="F1503" t="str">
            <v>11/19/1997</v>
          </cell>
        </row>
        <row r="1504">
          <cell r="B1504" t="str">
            <v>A0449</v>
          </cell>
          <cell r="C1504" t="str">
            <v>CIP</v>
          </cell>
          <cell r="D1504" t="str">
            <v>Y</v>
          </cell>
          <cell r="E1504" t="str">
            <v>A</v>
          </cell>
          <cell r="F1504" t="str">
            <v>11/18/1997</v>
          </cell>
        </row>
        <row r="1505">
          <cell r="B1505" t="str">
            <v>A0450</v>
          </cell>
          <cell r="C1505" t="str">
            <v>017C</v>
          </cell>
          <cell r="D1505" t="str">
            <v>Y</v>
          </cell>
          <cell r="E1505" t="str">
            <v>A</v>
          </cell>
          <cell r="F1505" t="str">
            <v>11/18/1997</v>
          </cell>
        </row>
        <row r="1506">
          <cell r="B1506" t="str">
            <v>A0451</v>
          </cell>
          <cell r="C1506" t="str">
            <v>010A</v>
          </cell>
          <cell r="D1506" t="str">
            <v>Y</v>
          </cell>
          <cell r="E1506" t="str">
            <v>A</v>
          </cell>
          <cell r="F1506" t="str">
            <v>11/18/1997</v>
          </cell>
        </row>
        <row r="1507">
          <cell r="B1507" t="str">
            <v>A0452</v>
          </cell>
          <cell r="C1507" t="str">
            <v>AFS</v>
          </cell>
          <cell r="D1507" t="str">
            <v>Y</v>
          </cell>
          <cell r="E1507" t="str">
            <v>A</v>
          </cell>
          <cell r="F1507" t="str">
            <v>11/18/1997</v>
          </cell>
        </row>
        <row r="1508">
          <cell r="B1508" t="str">
            <v>A0454</v>
          </cell>
          <cell r="C1508" t="str">
            <v>UEC</v>
          </cell>
          <cell r="D1508" t="str">
            <v>Y</v>
          </cell>
          <cell r="E1508" t="str">
            <v>A</v>
          </cell>
          <cell r="F1508" t="str">
            <v>11/18/1997</v>
          </cell>
        </row>
        <row r="1509">
          <cell r="B1509" t="str">
            <v>A0455</v>
          </cell>
          <cell r="C1509" t="str">
            <v>015A</v>
          </cell>
          <cell r="D1509" t="str">
            <v>Y</v>
          </cell>
          <cell r="E1509" t="str">
            <v>A</v>
          </cell>
          <cell r="F1509" t="str">
            <v>11/19/1997</v>
          </cell>
        </row>
        <row r="1510">
          <cell r="B1510" t="str">
            <v>A0456</v>
          </cell>
          <cell r="C1510" t="str">
            <v>007A</v>
          </cell>
          <cell r="D1510" t="str">
            <v>Y</v>
          </cell>
          <cell r="E1510" t="str">
            <v>A</v>
          </cell>
          <cell r="F1510" t="str">
            <v>11/19/1997</v>
          </cell>
        </row>
        <row r="1511">
          <cell r="B1511" t="str">
            <v>A0457</v>
          </cell>
          <cell r="C1511" t="str">
            <v>AMC</v>
          </cell>
          <cell r="D1511" t="str">
            <v>Y</v>
          </cell>
          <cell r="E1511" t="str">
            <v>A</v>
          </cell>
          <cell r="F1511" t="str">
            <v>11/19/1997</v>
          </cell>
        </row>
        <row r="1512">
          <cell r="B1512" t="str">
            <v>A0458</v>
          </cell>
          <cell r="C1512" t="str">
            <v>UEC</v>
          </cell>
          <cell r="D1512" t="str">
            <v>Y</v>
          </cell>
          <cell r="E1512" t="str">
            <v>A</v>
          </cell>
          <cell r="F1512" t="str">
            <v>11/19/1997</v>
          </cell>
        </row>
        <row r="1513">
          <cell r="B1513" t="str">
            <v>A0459</v>
          </cell>
          <cell r="C1513" t="str">
            <v>UEC</v>
          </cell>
          <cell r="D1513" t="str">
            <v>Y</v>
          </cell>
          <cell r="E1513" t="str">
            <v>A</v>
          </cell>
          <cell r="F1513" t="str">
            <v>11/19/1997</v>
          </cell>
        </row>
        <row r="1514">
          <cell r="B1514" t="str">
            <v>A0460</v>
          </cell>
          <cell r="C1514" t="str">
            <v>UEC</v>
          </cell>
          <cell r="D1514" t="str">
            <v>Y</v>
          </cell>
          <cell r="E1514" t="str">
            <v>A</v>
          </cell>
          <cell r="F1514" t="str">
            <v>12/05/1997</v>
          </cell>
        </row>
        <row r="1515">
          <cell r="B1515" t="str">
            <v>A0461</v>
          </cell>
          <cell r="C1515" t="str">
            <v>UEC</v>
          </cell>
          <cell r="D1515" t="str">
            <v>Y</v>
          </cell>
          <cell r="E1515" t="str">
            <v>A</v>
          </cell>
          <cell r="F1515" t="str">
            <v>12/05/1997</v>
          </cell>
        </row>
        <row r="1516">
          <cell r="B1516" t="str">
            <v>A0462</v>
          </cell>
          <cell r="C1516" t="str">
            <v>UEC</v>
          </cell>
          <cell r="D1516" t="str">
            <v>Y</v>
          </cell>
          <cell r="E1516" t="str">
            <v>A</v>
          </cell>
          <cell r="F1516" t="str">
            <v>12/05/1997</v>
          </cell>
        </row>
        <row r="1517">
          <cell r="B1517" t="str">
            <v>A0463</v>
          </cell>
          <cell r="C1517" t="str">
            <v>UEC</v>
          </cell>
          <cell r="D1517" t="str">
            <v>Y</v>
          </cell>
          <cell r="E1517" t="str">
            <v>A</v>
          </cell>
          <cell r="F1517" t="str">
            <v>12/05/1997</v>
          </cell>
        </row>
        <row r="1518">
          <cell r="B1518" t="str">
            <v>A0464</v>
          </cell>
          <cell r="C1518" t="str">
            <v>CIP</v>
          </cell>
          <cell r="D1518" t="str">
            <v>Y</v>
          </cell>
          <cell r="E1518" t="str">
            <v>A</v>
          </cell>
          <cell r="F1518" t="str">
            <v>05/15/1998</v>
          </cell>
        </row>
        <row r="1519">
          <cell r="B1519" t="str">
            <v>A0465</v>
          </cell>
          <cell r="C1519"/>
          <cell r="D1519" t="str">
            <v>Y</v>
          </cell>
          <cell r="E1519" t="str">
            <v>A</v>
          </cell>
          <cell r="F1519" t="str">
            <v>05/15/1998</v>
          </cell>
        </row>
        <row r="1520">
          <cell r="B1520" t="str">
            <v>A0466</v>
          </cell>
          <cell r="C1520" t="str">
            <v>AED</v>
          </cell>
          <cell r="D1520" t="str">
            <v>Y</v>
          </cell>
          <cell r="E1520" t="str">
            <v>A</v>
          </cell>
          <cell r="F1520" t="str">
            <v>12/08/1997</v>
          </cell>
        </row>
        <row r="1521">
          <cell r="B1521" t="str">
            <v>A0467</v>
          </cell>
          <cell r="C1521" t="str">
            <v>007A</v>
          </cell>
          <cell r="D1521" t="str">
            <v>Y</v>
          </cell>
          <cell r="E1521" t="str">
            <v>A</v>
          </cell>
          <cell r="F1521" t="str">
            <v>10/29/1998</v>
          </cell>
        </row>
        <row r="1522">
          <cell r="B1522" t="str">
            <v>A0468</v>
          </cell>
          <cell r="C1522"/>
          <cell r="D1522" t="str">
            <v>Y</v>
          </cell>
          <cell r="E1522" t="str">
            <v>A</v>
          </cell>
          <cell r="F1522" t="str">
            <v>12/08/1997</v>
          </cell>
        </row>
        <row r="1523">
          <cell r="B1523" t="str">
            <v>A0471</v>
          </cell>
          <cell r="C1523"/>
          <cell r="D1523" t="str">
            <v>Y</v>
          </cell>
          <cell r="E1523" t="str">
            <v>A</v>
          </cell>
          <cell r="F1523" t="str">
            <v>12/10/1997</v>
          </cell>
        </row>
        <row r="1524">
          <cell r="B1524" t="str">
            <v>A0479</v>
          </cell>
          <cell r="C1524" t="str">
            <v>010A</v>
          </cell>
          <cell r="D1524" t="str">
            <v>Y</v>
          </cell>
          <cell r="E1524" t="str">
            <v>A</v>
          </cell>
          <cell r="F1524" t="str">
            <v>05/15/1998</v>
          </cell>
        </row>
        <row r="1525">
          <cell r="B1525" t="str">
            <v>A0480</v>
          </cell>
          <cell r="C1525" t="str">
            <v>AME</v>
          </cell>
          <cell r="D1525" t="str">
            <v>Y</v>
          </cell>
          <cell r="E1525" t="str">
            <v>A</v>
          </cell>
          <cell r="F1525" t="str">
            <v>09/29/1998</v>
          </cell>
        </row>
        <row r="1526">
          <cell r="B1526" t="str">
            <v>A0481</v>
          </cell>
          <cell r="C1526" t="str">
            <v>UEC</v>
          </cell>
          <cell r="D1526" t="str">
            <v>Y</v>
          </cell>
          <cell r="E1526" t="str">
            <v>A</v>
          </cell>
          <cell r="F1526" t="str">
            <v>12/12/1997</v>
          </cell>
        </row>
        <row r="1527">
          <cell r="B1527" t="str">
            <v>A0482</v>
          </cell>
          <cell r="C1527" t="str">
            <v>007A</v>
          </cell>
          <cell r="D1527" t="str">
            <v>Y</v>
          </cell>
          <cell r="E1527" t="str">
            <v>A</v>
          </cell>
          <cell r="F1527" t="str">
            <v>01/08/1999</v>
          </cell>
        </row>
        <row r="1528">
          <cell r="B1528" t="str">
            <v>A0483</v>
          </cell>
          <cell r="C1528" t="str">
            <v>004O</v>
          </cell>
          <cell r="D1528" t="str">
            <v>Y</v>
          </cell>
          <cell r="E1528" t="str">
            <v>A</v>
          </cell>
          <cell r="F1528" t="str">
            <v>01/08/1999</v>
          </cell>
        </row>
        <row r="1529">
          <cell r="B1529" t="str">
            <v>A0484</v>
          </cell>
          <cell r="C1529" t="str">
            <v>AEC</v>
          </cell>
          <cell r="D1529" t="str">
            <v>Y</v>
          </cell>
          <cell r="E1529" t="str">
            <v>A</v>
          </cell>
          <cell r="F1529" t="str">
            <v>09/29/1998</v>
          </cell>
        </row>
        <row r="1530">
          <cell r="B1530" t="str">
            <v>A0486</v>
          </cell>
          <cell r="C1530" t="str">
            <v>002M</v>
          </cell>
          <cell r="D1530" t="str">
            <v>Y</v>
          </cell>
          <cell r="E1530" t="str">
            <v>A</v>
          </cell>
          <cell r="F1530" t="str">
            <v>01/11/1999</v>
          </cell>
        </row>
        <row r="1531">
          <cell r="B1531" t="str">
            <v>A0487</v>
          </cell>
          <cell r="C1531" t="str">
            <v>CIP</v>
          </cell>
          <cell r="D1531" t="str">
            <v>Y</v>
          </cell>
          <cell r="E1531" t="str">
            <v>A</v>
          </cell>
          <cell r="F1531" t="str">
            <v>07/23/1998</v>
          </cell>
        </row>
        <row r="1532">
          <cell r="B1532" t="str">
            <v>A0488</v>
          </cell>
          <cell r="C1532" t="str">
            <v>AME</v>
          </cell>
          <cell r="D1532" t="str">
            <v>Y</v>
          </cell>
          <cell r="E1532" t="str">
            <v>A</v>
          </cell>
          <cell r="F1532" t="str">
            <v>10/14/1998</v>
          </cell>
        </row>
        <row r="1533">
          <cell r="B1533" t="str">
            <v>A0489</v>
          </cell>
          <cell r="C1533" t="str">
            <v>AME</v>
          </cell>
          <cell r="D1533" t="str">
            <v>Y</v>
          </cell>
          <cell r="E1533" t="str">
            <v>A</v>
          </cell>
          <cell r="F1533" t="str">
            <v>07/29/1998</v>
          </cell>
        </row>
        <row r="1534">
          <cell r="B1534" t="str">
            <v>A0490</v>
          </cell>
          <cell r="C1534" t="str">
            <v>AEC</v>
          </cell>
          <cell r="D1534" t="str">
            <v>Y</v>
          </cell>
          <cell r="E1534" t="str">
            <v>A</v>
          </cell>
          <cell r="F1534" t="str">
            <v>08/09/1998</v>
          </cell>
        </row>
        <row r="1535">
          <cell r="B1535" t="str">
            <v>A0494</v>
          </cell>
          <cell r="C1535" t="str">
            <v>ERC</v>
          </cell>
          <cell r="D1535" t="str">
            <v>Y</v>
          </cell>
          <cell r="E1535" t="str">
            <v>A</v>
          </cell>
          <cell r="F1535" t="str">
            <v>08/13/1998</v>
          </cell>
        </row>
        <row r="1536">
          <cell r="B1536" t="str">
            <v>A0496</v>
          </cell>
          <cell r="C1536"/>
          <cell r="D1536" t="str">
            <v>Y</v>
          </cell>
          <cell r="E1536" t="str">
            <v>A</v>
          </cell>
          <cell r="F1536" t="str">
            <v>10/14/1998</v>
          </cell>
        </row>
        <row r="1537">
          <cell r="B1537" t="str">
            <v>A0497</v>
          </cell>
          <cell r="C1537" t="str">
            <v>UEC</v>
          </cell>
          <cell r="D1537" t="str">
            <v>N</v>
          </cell>
          <cell r="E1537" t="str">
            <v>A</v>
          </cell>
          <cell r="F1537" t="str">
            <v>07/13/1998</v>
          </cell>
        </row>
        <row r="1538">
          <cell r="B1538" t="str">
            <v>A0499</v>
          </cell>
          <cell r="C1538" t="str">
            <v>UEC</v>
          </cell>
          <cell r="D1538" t="str">
            <v>Y</v>
          </cell>
          <cell r="E1538" t="str">
            <v>A</v>
          </cell>
          <cell r="F1538" t="str">
            <v>07/13/1998</v>
          </cell>
        </row>
        <row r="1539">
          <cell r="B1539" t="str">
            <v>A0500</v>
          </cell>
          <cell r="C1539" t="str">
            <v>012D</v>
          </cell>
          <cell r="D1539" t="str">
            <v>Y</v>
          </cell>
          <cell r="E1539" t="str">
            <v>A</v>
          </cell>
          <cell r="F1539" t="str">
            <v>12/15/1997</v>
          </cell>
        </row>
        <row r="1540">
          <cell r="B1540" t="str">
            <v>A0501</v>
          </cell>
          <cell r="C1540" t="str">
            <v>UEC</v>
          </cell>
          <cell r="D1540" t="str">
            <v>Y</v>
          </cell>
          <cell r="E1540" t="str">
            <v>A</v>
          </cell>
          <cell r="F1540" t="str">
            <v>12/15/1997</v>
          </cell>
        </row>
        <row r="1541">
          <cell r="B1541" t="str">
            <v>A0502</v>
          </cell>
          <cell r="C1541" t="str">
            <v>CIP</v>
          </cell>
          <cell r="D1541" t="str">
            <v>Y</v>
          </cell>
          <cell r="E1541" t="str">
            <v>A</v>
          </cell>
          <cell r="F1541" t="str">
            <v>12/15/1997</v>
          </cell>
        </row>
        <row r="1542">
          <cell r="B1542" t="str">
            <v>A0503</v>
          </cell>
          <cell r="C1542" t="str">
            <v>UEC</v>
          </cell>
          <cell r="D1542" t="str">
            <v>Y</v>
          </cell>
          <cell r="E1542" t="str">
            <v>A</v>
          </cell>
          <cell r="F1542" t="str">
            <v>07/13/1998</v>
          </cell>
        </row>
        <row r="1543">
          <cell r="B1543" t="str">
            <v>A0504</v>
          </cell>
          <cell r="C1543" t="str">
            <v>002K</v>
          </cell>
          <cell r="D1543" t="str">
            <v>Y</v>
          </cell>
          <cell r="E1543" t="str">
            <v>A</v>
          </cell>
          <cell r="F1543" t="str">
            <v>12/15/1997</v>
          </cell>
        </row>
        <row r="1544">
          <cell r="B1544" t="str">
            <v>A0505</v>
          </cell>
          <cell r="C1544" t="str">
            <v>GEN</v>
          </cell>
          <cell r="D1544" t="str">
            <v>Y</v>
          </cell>
          <cell r="E1544" t="str">
            <v>A</v>
          </cell>
          <cell r="F1544" t="str">
            <v>07/13/1998</v>
          </cell>
        </row>
        <row r="1545">
          <cell r="B1545" t="str">
            <v>A0506</v>
          </cell>
          <cell r="C1545" t="str">
            <v>UEC</v>
          </cell>
          <cell r="D1545" t="str">
            <v>Y</v>
          </cell>
          <cell r="E1545" t="str">
            <v>A</v>
          </cell>
          <cell r="F1545" t="str">
            <v>12/16/1997</v>
          </cell>
        </row>
        <row r="1546">
          <cell r="B1546" t="str">
            <v>A0507</v>
          </cell>
          <cell r="C1546" t="str">
            <v>CIP</v>
          </cell>
          <cell r="D1546" t="str">
            <v>Y</v>
          </cell>
          <cell r="E1546" t="str">
            <v>A</v>
          </cell>
          <cell r="F1546" t="str">
            <v>07/13/1998</v>
          </cell>
        </row>
        <row r="1547">
          <cell r="B1547" t="str">
            <v>A0508</v>
          </cell>
          <cell r="C1547" t="str">
            <v>UEC</v>
          </cell>
          <cell r="D1547" t="str">
            <v>Y</v>
          </cell>
          <cell r="E1547" t="str">
            <v>A</v>
          </cell>
          <cell r="F1547" t="str">
            <v>12/16/1997</v>
          </cell>
        </row>
        <row r="1548">
          <cell r="B1548" t="str">
            <v>A0509</v>
          </cell>
          <cell r="C1548" t="str">
            <v>001G</v>
          </cell>
          <cell r="D1548" t="str">
            <v>Y</v>
          </cell>
          <cell r="E1548" t="str">
            <v>A</v>
          </cell>
          <cell r="F1548" t="str">
            <v>12/16/1997</v>
          </cell>
        </row>
        <row r="1549">
          <cell r="B1549" t="str">
            <v>A0510</v>
          </cell>
          <cell r="C1549" t="str">
            <v>UEC</v>
          </cell>
          <cell r="D1549" t="str">
            <v>Y</v>
          </cell>
          <cell r="E1549" t="str">
            <v>A</v>
          </cell>
          <cell r="F1549" t="str">
            <v>12/16/1997</v>
          </cell>
        </row>
        <row r="1550">
          <cell r="B1550" t="str">
            <v>A0511</v>
          </cell>
          <cell r="C1550" t="str">
            <v>CIP</v>
          </cell>
          <cell r="D1550" t="str">
            <v>Y</v>
          </cell>
          <cell r="E1550" t="str">
            <v>A</v>
          </cell>
          <cell r="F1550" t="str">
            <v>12/16/1997</v>
          </cell>
        </row>
        <row r="1551">
          <cell r="B1551" t="str">
            <v>A0512</v>
          </cell>
          <cell r="C1551" t="str">
            <v>CIP</v>
          </cell>
          <cell r="D1551" t="str">
            <v>Y</v>
          </cell>
          <cell r="E1551" t="str">
            <v>A</v>
          </cell>
          <cell r="F1551" t="str">
            <v>12/16/1997</v>
          </cell>
        </row>
        <row r="1552">
          <cell r="B1552" t="str">
            <v>A0513</v>
          </cell>
          <cell r="C1552" t="str">
            <v>UDC</v>
          </cell>
          <cell r="D1552" t="str">
            <v>Y</v>
          </cell>
          <cell r="E1552" t="str">
            <v>A</v>
          </cell>
          <cell r="F1552" t="str">
            <v>12/16/1997</v>
          </cell>
        </row>
        <row r="1553">
          <cell r="B1553" t="str">
            <v>A0515</v>
          </cell>
          <cell r="C1553" t="str">
            <v>010A</v>
          </cell>
          <cell r="D1553" t="str">
            <v>Y</v>
          </cell>
          <cell r="E1553" t="str">
            <v>A</v>
          </cell>
          <cell r="F1553" t="str">
            <v>12/16/1997</v>
          </cell>
        </row>
        <row r="1554">
          <cell r="B1554" t="str">
            <v>A0517</v>
          </cell>
          <cell r="C1554" t="str">
            <v>UEC</v>
          </cell>
          <cell r="D1554" t="str">
            <v>Y</v>
          </cell>
          <cell r="E1554" t="str">
            <v>A</v>
          </cell>
          <cell r="F1554" t="str">
            <v>12/16/1997</v>
          </cell>
        </row>
        <row r="1555">
          <cell r="B1555" t="str">
            <v>A0518</v>
          </cell>
          <cell r="C1555" t="str">
            <v>CIP</v>
          </cell>
          <cell r="D1555" t="str">
            <v>Y</v>
          </cell>
          <cell r="E1555" t="str">
            <v>A</v>
          </cell>
          <cell r="F1555" t="str">
            <v>12/16/1997</v>
          </cell>
        </row>
        <row r="1556">
          <cell r="B1556" t="str">
            <v>A0519</v>
          </cell>
          <cell r="C1556" t="str">
            <v>010A</v>
          </cell>
          <cell r="D1556" t="str">
            <v>Y</v>
          </cell>
          <cell r="E1556" t="str">
            <v>A</v>
          </cell>
          <cell r="F1556" t="str">
            <v>12/16/1997</v>
          </cell>
        </row>
        <row r="1557">
          <cell r="B1557" t="str">
            <v>A0520</v>
          </cell>
          <cell r="C1557" t="str">
            <v>010A</v>
          </cell>
          <cell r="D1557" t="str">
            <v>Y</v>
          </cell>
          <cell r="E1557" t="str">
            <v>A</v>
          </cell>
          <cell r="F1557" t="str">
            <v>12/16/1997</v>
          </cell>
        </row>
        <row r="1558">
          <cell r="B1558" t="str">
            <v>A0521</v>
          </cell>
          <cell r="C1558" t="str">
            <v>UEC</v>
          </cell>
          <cell r="D1558" t="str">
            <v>Y</v>
          </cell>
          <cell r="E1558" t="str">
            <v>A</v>
          </cell>
          <cell r="F1558" t="str">
            <v>12/16/1997</v>
          </cell>
        </row>
        <row r="1559">
          <cell r="B1559" t="str">
            <v>A0522</v>
          </cell>
          <cell r="C1559" t="str">
            <v>CIP</v>
          </cell>
          <cell r="D1559" t="str">
            <v>Y</v>
          </cell>
          <cell r="E1559" t="str">
            <v>A</v>
          </cell>
          <cell r="F1559" t="str">
            <v>12/16/1997</v>
          </cell>
        </row>
        <row r="1560">
          <cell r="B1560" t="str">
            <v>A0523</v>
          </cell>
          <cell r="C1560" t="str">
            <v>010A</v>
          </cell>
          <cell r="D1560" t="str">
            <v>Y</v>
          </cell>
          <cell r="E1560" t="str">
            <v>A</v>
          </cell>
          <cell r="F1560" t="str">
            <v>12/16/1997</v>
          </cell>
        </row>
        <row r="1561">
          <cell r="B1561" t="str">
            <v>A0524</v>
          </cell>
          <cell r="C1561" t="str">
            <v>UEC</v>
          </cell>
          <cell r="D1561" t="str">
            <v>Y</v>
          </cell>
          <cell r="E1561" t="str">
            <v>A</v>
          </cell>
          <cell r="F1561" t="str">
            <v>12/16/1997</v>
          </cell>
        </row>
        <row r="1562">
          <cell r="B1562" t="str">
            <v>A0525</v>
          </cell>
          <cell r="C1562" t="str">
            <v>CIP</v>
          </cell>
          <cell r="D1562" t="str">
            <v>Y</v>
          </cell>
          <cell r="E1562" t="str">
            <v>A</v>
          </cell>
          <cell r="F1562" t="str">
            <v>12/16/1997</v>
          </cell>
        </row>
        <row r="1563">
          <cell r="B1563" t="str">
            <v>A0526</v>
          </cell>
          <cell r="C1563" t="str">
            <v>010A</v>
          </cell>
          <cell r="D1563" t="str">
            <v>Y</v>
          </cell>
          <cell r="E1563" t="str">
            <v>A</v>
          </cell>
          <cell r="F1563" t="str">
            <v>12/16/1997</v>
          </cell>
        </row>
        <row r="1564">
          <cell r="B1564" t="str">
            <v>A0527</v>
          </cell>
          <cell r="C1564" t="str">
            <v>010A</v>
          </cell>
          <cell r="D1564" t="str">
            <v>Y</v>
          </cell>
          <cell r="E1564" t="str">
            <v>A</v>
          </cell>
          <cell r="F1564" t="str">
            <v>07/14/1998</v>
          </cell>
        </row>
        <row r="1565">
          <cell r="B1565" t="str">
            <v>A0528</v>
          </cell>
          <cell r="C1565" t="str">
            <v>010A</v>
          </cell>
          <cell r="D1565" t="str">
            <v>Y</v>
          </cell>
          <cell r="E1565" t="str">
            <v>A</v>
          </cell>
          <cell r="F1565" t="str">
            <v>07/14/1998</v>
          </cell>
        </row>
        <row r="1566">
          <cell r="B1566" t="str">
            <v>A0530</v>
          </cell>
          <cell r="C1566" t="str">
            <v>010A</v>
          </cell>
          <cell r="D1566" t="str">
            <v>Y</v>
          </cell>
          <cell r="E1566" t="str">
            <v>A</v>
          </cell>
          <cell r="F1566" t="str">
            <v>07/14/1998</v>
          </cell>
        </row>
        <row r="1567">
          <cell r="B1567" t="str">
            <v>A0531</v>
          </cell>
          <cell r="C1567" t="str">
            <v>004A</v>
          </cell>
          <cell r="D1567" t="str">
            <v>Y</v>
          </cell>
          <cell r="E1567" t="str">
            <v>A</v>
          </cell>
          <cell r="F1567" t="str">
            <v>12/17/1997</v>
          </cell>
        </row>
        <row r="1568">
          <cell r="B1568" t="str">
            <v>A0532</v>
          </cell>
          <cell r="C1568" t="str">
            <v>UEC</v>
          </cell>
          <cell r="D1568" t="str">
            <v>Y</v>
          </cell>
          <cell r="E1568" t="str">
            <v>A</v>
          </cell>
          <cell r="F1568" t="str">
            <v>12/17/1997</v>
          </cell>
        </row>
        <row r="1569">
          <cell r="B1569" t="str">
            <v>A0533</v>
          </cell>
          <cell r="C1569" t="str">
            <v>CIP</v>
          </cell>
          <cell r="D1569" t="str">
            <v>Y</v>
          </cell>
          <cell r="E1569" t="str">
            <v>A</v>
          </cell>
          <cell r="F1569" t="str">
            <v>12/17/1997</v>
          </cell>
        </row>
        <row r="1570">
          <cell r="B1570" t="str">
            <v>A0534</v>
          </cell>
          <cell r="C1570" t="str">
            <v>AME</v>
          </cell>
          <cell r="D1570" t="str">
            <v>Y</v>
          </cell>
          <cell r="E1570" t="str">
            <v>A</v>
          </cell>
          <cell r="F1570" t="str">
            <v>07/17/1998</v>
          </cell>
        </row>
        <row r="1571">
          <cell r="B1571" t="str">
            <v>A0535</v>
          </cell>
          <cell r="C1571" t="str">
            <v>AMC</v>
          </cell>
          <cell r="D1571" t="str">
            <v>Y</v>
          </cell>
          <cell r="E1571" t="str">
            <v>A</v>
          </cell>
          <cell r="F1571" t="str">
            <v>12/17/1997</v>
          </cell>
        </row>
        <row r="1572">
          <cell r="B1572" t="str">
            <v>A0536</v>
          </cell>
          <cell r="C1572"/>
          <cell r="D1572" t="str">
            <v>Y</v>
          </cell>
          <cell r="E1572" t="str">
            <v>A</v>
          </cell>
          <cell r="F1572" t="str">
            <v>12/17/1997</v>
          </cell>
        </row>
        <row r="1573">
          <cell r="B1573" t="str">
            <v>A0537</v>
          </cell>
          <cell r="C1573" t="str">
            <v>UDC</v>
          </cell>
          <cell r="D1573" t="str">
            <v>Y</v>
          </cell>
          <cell r="E1573" t="str">
            <v>A</v>
          </cell>
          <cell r="F1573" t="str">
            <v>12/17/1997</v>
          </cell>
        </row>
        <row r="1574">
          <cell r="B1574" t="str">
            <v>A0543</v>
          </cell>
          <cell r="C1574" t="str">
            <v>003A</v>
          </cell>
          <cell r="D1574" t="str">
            <v>Y</v>
          </cell>
          <cell r="E1574" t="str">
            <v>A</v>
          </cell>
          <cell r="F1574" t="str">
            <v>12/17/1997</v>
          </cell>
        </row>
        <row r="1575">
          <cell r="B1575" t="str">
            <v>A0544</v>
          </cell>
          <cell r="C1575" t="str">
            <v>CIP</v>
          </cell>
          <cell r="D1575" t="str">
            <v>Y</v>
          </cell>
          <cell r="E1575" t="str">
            <v>A</v>
          </cell>
          <cell r="F1575" t="str">
            <v>12/17/1997</v>
          </cell>
        </row>
        <row r="1576">
          <cell r="B1576" t="str">
            <v>A0545</v>
          </cell>
          <cell r="C1576" t="str">
            <v>UEC</v>
          </cell>
          <cell r="D1576" t="str">
            <v>Y</v>
          </cell>
          <cell r="E1576" t="str">
            <v>A</v>
          </cell>
          <cell r="F1576" t="str">
            <v>12/17/1997</v>
          </cell>
        </row>
        <row r="1577">
          <cell r="B1577" t="str">
            <v>A0547</v>
          </cell>
          <cell r="C1577" t="str">
            <v>003A</v>
          </cell>
          <cell r="D1577" t="str">
            <v>Y</v>
          </cell>
          <cell r="E1577" t="str">
            <v>A</v>
          </cell>
          <cell r="F1577" t="str">
            <v>12/17/1997</v>
          </cell>
        </row>
        <row r="1578">
          <cell r="B1578" t="str">
            <v>A0548</v>
          </cell>
          <cell r="C1578"/>
          <cell r="D1578" t="str">
            <v>Y</v>
          </cell>
          <cell r="E1578" t="str">
            <v>A</v>
          </cell>
          <cell r="F1578" t="str">
            <v>10/14/1998</v>
          </cell>
        </row>
        <row r="1579">
          <cell r="B1579" t="str">
            <v>A0551</v>
          </cell>
          <cell r="C1579" t="str">
            <v>UEC</v>
          </cell>
          <cell r="D1579" t="str">
            <v>Y</v>
          </cell>
          <cell r="E1579" t="str">
            <v>A</v>
          </cell>
          <cell r="F1579" t="str">
            <v>12/17/1997</v>
          </cell>
        </row>
        <row r="1580">
          <cell r="B1580" t="str">
            <v>A0552</v>
          </cell>
          <cell r="C1580" t="str">
            <v>CIP</v>
          </cell>
          <cell r="D1580" t="str">
            <v>Y</v>
          </cell>
          <cell r="E1580" t="str">
            <v>A</v>
          </cell>
          <cell r="F1580" t="str">
            <v>12/17/1997</v>
          </cell>
        </row>
        <row r="1581">
          <cell r="B1581" t="str">
            <v>A0555</v>
          </cell>
          <cell r="C1581"/>
          <cell r="D1581" t="str">
            <v>Y</v>
          </cell>
          <cell r="E1581" t="str">
            <v>A</v>
          </cell>
          <cell r="F1581" t="str">
            <v>12/18/1997</v>
          </cell>
        </row>
        <row r="1582">
          <cell r="B1582" t="str">
            <v>A0556</v>
          </cell>
          <cell r="C1582" t="str">
            <v>UEC</v>
          </cell>
          <cell r="D1582" t="str">
            <v>Y</v>
          </cell>
          <cell r="E1582" t="str">
            <v>A</v>
          </cell>
          <cell r="F1582" t="str">
            <v>12/18/1997</v>
          </cell>
        </row>
        <row r="1583">
          <cell r="B1583" t="str">
            <v>A0557</v>
          </cell>
          <cell r="C1583" t="str">
            <v>CIP</v>
          </cell>
          <cell r="D1583" t="str">
            <v>Y</v>
          </cell>
          <cell r="E1583" t="str">
            <v>A</v>
          </cell>
          <cell r="F1583" t="str">
            <v>12/18/1997</v>
          </cell>
        </row>
        <row r="1584">
          <cell r="B1584" t="str">
            <v>A0558</v>
          </cell>
          <cell r="C1584" t="str">
            <v>004A</v>
          </cell>
          <cell r="D1584" t="str">
            <v>Y</v>
          </cell>
          <cell r="E1584" t="str">
            <v>A</v>
          </cell>
          <cell r="F1584" t="str">
            <v>12/18/1997</v>
          </cell>
        </row>
        <row r="1585">
          <cell r="B1585" t="str">
            <v>A0559</v>
          </cell>
          <cell r="C1585"/>
          <cell r="D1585" t="str">
            <v>Y</v>
          </cell>
          <cell r="E1585" t="str">
            <v>A</v>
          </cell>
          <cell r="F1585" t="str">
            <v>12/18/1997</v>
          </cell>
        </row>
        <row r="1586">
          <cell r="B1586" t="str">
            <v>A0560</v>
          </cell>
          <cell r="C1586" t="str">
            <v>UDC</v>
          </cell>
          <cell r="D1586" t="str">
            <v>Y</v>
          </cell>
          <cell r="E1586" t="str">
            <v>A</v>
          </cell>
          <cell r="F1586" t="str">
            <v>12/18/1997</v>
          </cell>
        </row>
        <row r="1587">
          <cell r="B1587" t="str">
            <v>A0561</v>
          </cell>
          <cell r="C1587" t="str">
            <v>AMC</v>
          </cell>
          <cell r="D1587" t="str">
            <v>Y</v>
          </cell>
          <cell r="E1587" t="str">
            <v>A</v>
          </cell>
          <cell r="F1587" t="str">
            <v>12/18/1997</v>
          </cell>
        </row>
        <row r="1588">
          <cell r="B1588" t="str">
            <v>A0562</v>
          </cell>
          <cell r="C1588" t="str">
            <v>AEC</v>
          </cell>
          <cell r="D1588" t="str">
            <v>Y</v>
          </cell>
          <cell r="E1588" t="str">
            <v>A</v>
          </cell>
          <cell r="F1588" t="str">
            <v>08/13/1998</v>
          </cell>
        </row>
        <row r="1589">
          <cell r="B1589" t="str">
            <v>A0564</v>
          </cell>
          <cell r="C1589" t="str">
            <v>AME</v>
          </cell>
          <cell r="D1589" t="str">
            <v>Y</v>
          </cell>
          <cell r="E1589" t="str">
            <v>A</v>
          </cell>
          <cell r="F1589" t="str">
            <v>08/13/1998</v>
          </cell>
        </row>
        <row r="1590">
          <cell r="B1590" t="str">
            <v>A0567</v>
          </cell>
          <cell r="C1590"/>
          <cell r="D1590" t="str">
            <v>Y</v>
          </cell>
          <cell r="E1590" t="str">
            <v>A</v>
          </cell>
          <cell r="F1590" t="str">
            <v>12/19/1997</v>
          </cell>
        </row>
        <row r="1591">
          <cell r="B1591" t="str">
            <v>A0570</v>
          </cell>
          <cell r="C1591" t="str">
            <v>UEC</v>
          </cell>
          <cell r="D1591" t="str">
            <v>Y</v>
          </cell>
          <cell r="E1591" t="str">
            <v>A</v>
          </cell>
          <cell r="F1591" t="str">
            <v>12/19/1997</v>
          </cell>
        </row>
        <row r="1592">
          <cell r="B1592" t="str">
            <v>A0571</v>
          </cell>
          <cell r="C1592" t="str">
            <v>CIP</v>
          </cell>
          <cell r="D1592" t="str">
            <v>Y</v>
          </cell>
          <cell r="E1592" t="str">
            <v>A</v>
          </cell>
          <cell r="F1592" t="str">
            <v>12/19/1997</v>
          </cell>
        </row>
        <row r="1593">
          <cell r="B1593" t="str">
            <v>A0573</v>
          </cell>
          <cell r="C1593" t="str">
            <v>UEC</v>
          </cell>
          <cell r="D1593" t="str">
            <v>Y</v>
          </cell>
          <cell r="E1593" t="str">
            <v>A</v>
          </cell>
          <cell r="F1593" t="str">
            <v>12/19/1997</v>
          </cell>
        </row>
        <row r="1594">
          <cell r="B1594" t="str">
            <v>A0574</v>
          </cell>
          <cell r="C1594" t="str">
            <v>CIP</v>
          </cell>
          <cell r="D1594" t="str">
            <v>Y</v>
          </cell>
          <cell r="E1594" t="str">
            <v>A</v>
          </cell>
          <cell r="F1594" t="str">
            <v>12/19/1997</v>
          </cell>
        </row>
        <row r="1595">
          <cell r="B1595" t="str">
            <v>A0580</v>
          </cell>
          <cell r="C1595" t="str">
            <v>CIP</v>
          </cell>
          <cell r="D1595" t="str">
            <v>Y</v>
          </cell>
          <cell r="E1595" t="str">
            <v>A</v>
          </cell>
          <cell r="F1595" t="str">
            <v>12/19/1997</v>
          </cell>
        </row>
        <row r="1596">
          <cell r="B1596" t="str">
            <v>A0593</v>
          </cell>
          <cell r="C1596" t="str">
            <v>003A</v>
          </cell>
          <cell r="D1596" t="str">
            <v>Y</v>
          </cell>
          <cell r="E1596" t="str">
            <v>A</v>
          </cell>
          <cell r="F1596" t="str">
            <v>12/22/1997</v>
          </cell>
        </row>
        <row r="1597">
          <cell r="B1597" t="str">
            <v>A0594</v>
          </cell>
          <cell r="C1597" t="str">
            <v>003A</v>
          </cell>
          <cell r="D1597" t="str">
            <v>Y</v>
          </cell>
          <cell r="E1597" t="str">
            <v>A</v>
          </cell>
          <cell r="F1597" t="str">
            <v>12/22/1997</v>
          </cell>
        </row>
        <row r="1598">
          <cell r="B1598" t="str">
            <v>A0596</v>
          </cell>
          <cell r="C1598"/>
          <cell r="D1598" t="str">
            <v>Y</v>
          </cell>
          <cell r="E1598" t="str">
            <v>A</v>
          </cell>
          <cell r="F1598" t="str">
            <v>12/23/1997</v>
          </cell>
        </row>
        <row r="1599">
          <cell r="B1599" t="str">
            <v>A0600</v>
          </cell>
          <cell r="C1599"/>
          <cell r="D1599" t="str">
            <v>Y</v>
          </cell>
          <cell r="E1599" t="str">
            <v>A</v>
          </cell>
          <cell r="F1599" t="str">
            <v>12/23/1997</v>
          </cell>
        </row>
        <row r="1600">
          <cell r="B1600" t="str">
            <v>A0613</v>
          </cell>
          <cell r="C1600" t="str">
            <v>UEC</v>
          </cell>
          <cell r="D1600" t="str">
            <v>Y</v>
          </cell>
          <cell r="E1600" t="str">
            <v>A</v>
          </cell>
          <cell r="F1600" t="str">
            <v>12/29/1997</v>
          </cell>
        </row>
        <row r="1601">
          <cell r="B1601" t="str">
            <v>A0622</v>
          </cell>
          <cell r="C1601"/>
          <cell r="D1601" t="str">
            <v>Y</v>
          </cell>
          <cell r="E1601" t="str">
            <v>A</v>
          </cell>
          <cell r="F1601" t="str">
            <v>08/22/1998</v>
          </cell>
        </row>
        <row r="1602">
          <cell r="B1602" t="str">
            <v>A0623</v>
          </cell>
          <cell r="C1602"/>
          <cell r="D1602" t="str">
            <v>Y</v>
          </cell>
          <cell r="E1602" t="str">
            <v>A</v>
          </cell>
          <cell r="F1602" t="str">
            <v>08/22/1998</v>
          </cell>
        </row>
        <row r="1603">
          <cell r="B1603" t="str">
            <v>A0624</v>
          </cell>
          <cell r="C1603"/>
          <cell r="D1603" t="str">
            <v>Y</v>
          </cell>
          <cell r="E1603" t="str">
            <v>A</v>
          </cell>
          <cell r="F1603" t="str">
            <v>08/22/1998</v>
          </cell>
        </row>
        <row r="1604">
          <cell r="B1604" t="str">
            <v>A0625</v>
          </cell>
          <cell r="C1604" t="str">
            <v>016A</v>
          </cell>
          <cell r="D1604" t="str">
            <v>Y</v>
          </cell>
          <cell r="E1604" t="str">
            <v>A</v>
          </cell>
          <cell r="F1604" t="str">
            <v>08/25/1998</v>
          </cell>
        </row>
        <row r="1605">
          <cell r="B1605" t="str">
            <v>A0629</v>
          </cell>
          <cell r="C1605"/>
          <cell r="D1605" t="str">
            <v>Y</v>
          </cell>
          <cell r="E1605" t="str">
            <v>A</v>
          </cell>
          <cell r="F1605" t="str">
            <v>12/29/1997</v>
          </cell>
        </row>
        <row r="1606">
          <cell r="B1606" t="str">
            <v>A0631</v>
          </cell>
          <cell r="C1606"/>
          <cell r="D1606" t="str">
            <v>Y</v>
          </cell>
          <cell r="E1606" t="str">
            <v>A</v>
          </cell>
          <cell r="F1606" t="str">
            <v>12/29/1997</v>
          </cell>
        </row>
        <row r="1607">
          <cell r="B1607" t="str">
            <v>A0633</v>
          </cell>
          <cell r="C1607" t="str">
            <v>UEC</v>
          </cell>
          <cell r="D1607" t="str">
            <v>Y</v>
          </cell>
          <cell r="E1607" t="str">
            <v>A</v>
          </cell>
          <cell r="F1607" t="str">
            <v>12/29/1997</v>
          </cell>
        </row>
        <row r="1608">
          <cell r="B1608" t="str">
            <v>A0647</v>
          </cell>
          <cell r="C1608" t="str">
            <v>CIP</v>
          </cell>
          <cell r="D1608" t="str">
            <v>Y</v>
          </cell>
          <cell r="E1608" t="str">
            <v>A</v>
          </cell>
          <cell r="F1608" t="str">
            <v>12/30/1997</v>
          </cell>
        </row>
        <row r="1609">
          <cell r="B1609" t="str">
            <v>A0648</v>
          </cell>
          <cell r="C1609" t="str">
            <v>UEC</v>
          </cell>
          <cell r="D1609" t="str">
            <v>Y</v>
          </cell>
          <cell r="E1609" t="str">
            <v>A</v>
          </cell>
          <cell r="F1609" t="str">
            <v>12/30/1997</v>
          </cell>
        </row>
        <row r="1610">
          <cell r="B1610" t="str">
            <v>A0654</v>
          </cell>
          <cell r="C1610" t="str">
            <v>UEC</v>
          </cell>
          <cell r="D1610" t="str">
            <v>Y</v>
          </cell>
          <cell r="E1610" t="str">
            <v>A</v>
          </cell>
          <cell r="F1610" t="str">
            <v>12/30/1997</v>
          </cell>
        </row>
        <row r="1611">
          <cell r="B1611" t="str">
            <v>A0657</v>
          </cell>
          <cell r="C1611" t="str">
            <v>CIP</v>
          </cell>
          <cell r="D1611" t="str">
            <v>Y</v>
          </cell>
          <cell r="E1611" t="str">
            <v>A</v>
          </cell>
          <cell r="F1611" t="str">
            <v>12/30/1997</v>
          </cell>
        </row>
        <row r="1612">
          <cell r="B1612" t="str">
            <v>A0662</v>
          </cell>
          <cell r="C1612" t="str">
            <v>UDC</v>
          </cell>
          <cell r="D1612" t="str">
            <v>Y</v>
          </cell>
          <cell r="E1612" t="str">
            <v>A</v>
          </cell>
          <cell r="F1612" t="str">
            <v>12/30/1997</v>
          </cell>
        </row>
        <row r="1613">
          <cell r="B1613" t="str">
            <v>A0664</v>
          </cell>
          <cell r="C1613" t="str">
            <v>002F</v>
          </cell>
          <cell r="D1613" t="str">
            <v>Y</v>
          </cell>
          <cell r="E1613" t="str">
            <v>A</v>
          </cell>
          <cell r="F1613" t="str">
            <v>01/11/1999</v>
          </cell>
        </row>
        <row r="1614">
          <cell r="B1614" t="str">
            <v>A0669</v>
          </cell>
          <cell r="C1614" t="str">
            <v>UEC</v>
          </cell>
          <cell r="D1614" t="str">
            <v>Y</v>
          </cell>
          <cell r="E1614" t="str">
            <v>A</v>
          </cell>
          <cell r="F1614" t="str">
            <v>12/30/1997</v>
          </cell>
        </row>
        <row r="1615">
          <cell r="B1615" t="str">
            <v>A0671</v>
          </cell>
          <cell r="C1615" t="str">
            <v>CIP</v>
          </cell>
          <cell r="D1615" t="str">
            <v>Y</v>
          </cell>
          <cell r="E1615" t="str">
            <v>A</v>
          </cell>
          <cell r="F1615" t="str">
            <v>12/30/1997</v>
          </cell>
        </row>
        <row r="1616">
          <cell r="B1616" t="str">
            <v>A0673</v>
          </cell>
          <cell r="C1616" t="str">
            <v>UEC</v>
          </cell>
          <cell r="D1616" t="str">
            <v>Y</v>
          </cell>
          <cell r="E1616" t="str">
            <v>A</v>
          </cell>
          <cell r="F1616" t="str">
            <v>12/31/1997</v>
          </cell>
        </row>
        <row r="1617">
          <cell r="B1617" t="str">
            <v>A0674</v>
          </cell>
          <cell r="C1617" t="str">
            <v>UEC</v>
          </cell>
          <cell r="D1617" t="str">
            <v>Y</v>
          </cell>
          <cell r="E1617" t="str">
            <v>A</v>
          </cell>
          <cell r="F1617" t="str">
            <v>12/31/1997</v>
          </cell>
        </row>
        <row r="1618">
          <cell r="B1618" t="str">
            <v>A0675</v>
          </cell>
          <cell r="C1618" t="str">
            <v>CIP</v>
          </cell>
          <cell r="D1618" t="str">
            <v>Y</v>
          </cell>
          <cell r="E1618" t="str">
            <v>A</v>
          </cell>
          <cell r="F1618" t="str">
            <v>12/31/1997</v>
          </cell>
        </row>
        <row r="1619">
          <cell r="B1619" t="str">
            <v>A0676</v>
          </cell>
          <cell r="C1619" t="str">
            <v>UEC</v>
          </cell>
          <cell r="D1619" t="str">
            <v>Y</v>
          </cell>
          <cell r="E1619" t="str">
            <v>A</v>
          </cell>
          <cell r="F1619" t="str">
            <v>12/31/1997</v>
          </cell>
        </row>
        <row r="1620">
          <cell r="B1620" t="str">
            <v>A0677</v>
          </cell>
          <cell r="C1620" t="str">
            <v>CIP</v>
          </cell>
          <cell r="D1620" t="str">
            <v>Y</v>
          </cell>
          <cell r="E1620" t="str">
            <v>A</v>
          </cell>
          <cell r="F1620" t="str">
            <v>12/31/1997</v>
          </cell>
        </row>
        <row r="1621">
          <cell r="B1621" t="str">
            <v>A0678</v>
          </cell>
          <cell r="C1621" t="str">
            <v>002L</v>
          </cell>
          <cell r="D1621" t="str">
            <v>Y</v>
          </cell>
          <cell r="E1621" t="str">
            <v>A</v>
          </cell>
          <cell r="F1621" t="str">
            <v>12/31/1997</v>
          </cell>
        </row>
        <row r="1622">
          <cell r="B1622" t="str">
            <v>A0679</v>
          </cell>
          <cell r="C1622" t="str">
            <v>UEC</v>
          </cell>
          <cell r="D1622" t="str">
            <v>Y</v>
          </cell>
          <cell r="E1622" t="str">
            <v>A</v>
          </cell>
          <cell r="F1622" t="str">
            <v>12/31/1997</v>
          </cell>
        </row>
        <row r="1623">
          <cell r="B1623" t="str">
            <v>A0680</v>
          </cell>
          <cell r="C1623" t="str">
            <v>UEC</v>
          </cell>
          <cell r="D1623" t="str">
            <v>Y</v>
          </cell>
          <cell r="E1623" t="str">
            <v>A</v>
          </cell>
          <cell r="F1623" t="str">
            <v>12/31/1997</v>
          </cell>
        </row>
        <row r="1624">
          <cell r="B1624" t="str">
            <v>A0681</v>
          </cell>
          <cell r="C1624" t="str">
            <v>CIP</v>
          </cell>
          <cell r="D1624" t="str">
            <v>Y</v>
          </cell>
          <cell r="E1624" t="str">
            <v>A</v>
          </cell>
          <cell r="F1624" t="str">
            <v>12/31/1997</v>
          </cell>
        </row>
        <row r="1625">
          <cell r="B1625" t="str">
            <v>A0682</v>
          </cell>
          <cell r="C1625" t="str">
            <v>UEC</v>
          </cell>
          <cell r="D1625" t="str">
            <v>Y</v>
          </cell>
          <cell r="E1625" t="str">
            <v>A</v>
          </cell>
          <cell r="F1625" t="str">
            <v>12/31/1997</v>
          </cell>
        </row>
        <row r="1626">
          <cell r="B1626" t="str">
            <v>A0683</v>
          </cell>
          <cell r="C1626" t="str">
            <v>UEC</v>
          </cell>
          <cell r="D1626" t="str">
            <v>Y</v>
          </cell>
          <cell r="E1626" t="str">
            <v>A</v>
          </cell>
          <cell r="F1626" t="str">
            <v>12/31/1997</v>
          </cell>
        </row>
        <row r="1627">
          <cell r="B1627" t="str">
            <v>A0684</v>
          </cell>
          <cell r="C1627" t="str">
            <v>CIP</v>
          </cell>
          <cell r="D1627" t="str">
            <v>Y</v>
          </cell>
          <cell r="E1627" t="str">
            <v>A</v>
          </cell>
          <cell r="F1627" t="str">
            <v>12/31/1997</v>
          </cell>
        </row>
        <row r="1628">
          <cell r="B1628" t="str">
            <v>A0685</v>
          </cell>
          <cell r="C1628" t="str">
            <v>UEC</v>
          </cell>
          <cell r="D1628" t="str">
            <v>N</v>
          </cell>
          <cell r="E1628" t="str">
            <v>A</v>
          </cell>
          <cell r="F1628" t="str">
            <v>12/31/1997</v>
          </cell>
        </row>
        <row r="1629">
          <cell r="B1629" t="str">
            <v>A0686</v>
          </cell>
          <cell r="C1629" t="str">
            <v>UEC</v>
          </cell>
          <cell r="D1629" t="str">
            <v>N</v>
          </cell>
          <cell r="E1629" t="str">
            <v>A</v>
          </cell>
          <cell r="F1629" t="str">
            <v>12/31/1997</v>
          </cell>
        </row>
        <row r="1630">
          <cell r="B1630" t="str">
            <v>A0687</v>
          </cell>
          <cell r="C1630" t="str">
            <v>UEC</v>
          </cell>
          <cell r="D1630" t="str">
            <v>N</v>
          </cell>
          <cell r="E1630" t="str">
            <v>A</v>
          </cell>
          <cell r="F1630" t="str">
            <v>12/31/1997</v>
          </cell>
        </row>
        <row r="1631">
          <cell r="B1631" t="str">
            <v>A0688</v>
          </cell>
          <cell r="C1631" t="str">
            <v>UEC</v>
          </cell>
          <cell r="D1631" t="str">
            <v>N</v>
          </cell>
          <cell r="E1631" t="str">
            <v>A</v>
          </cell>
          <cell r="F1631" t="str">
            <v>12/31/1997</v>
          </cell>
        </row>
        <row r="1632">
          <cell r="B1632" t="str">
            <v>A0689</v>
          </cell>
          <cell r="C1632" t="str">
            <v>UEC</v>
          </cell>
          <cell r="D1632" t="str">
            <v>N</v>
          </cell>
          <cell r="E1632" t="str">
            <v>A</v>
          </cell>
          <cell r="F1632" t="str">
            <v>12/31/1997</v>
          </cell>
        </row>
        <row r="1633">
          <cell r="B1633" t="str">
            <v>A0690</v>
          </cell>
          <cell r="C1633" t="str">
            <v>UEC</v>
          </cell>
          <cell r="D1633" t="str">
            <v>N</v>
          </cell>
          <cell r="E1633" t="str">
            <v>A</v>
          </cell>
          <cell r="F1633" t="str">
            <v>12/31/1997</v>
          </cell>
        </row>
        <row r="1634">
          <cell r="B1634" t="str">
            <v>A0691</v>
          </cell>
          <cell r="C1634" t="str">
            <v>GEN</v>
          </cell>
          <cell r="D1634" t="str">
            <v>N</v>
          </cell>
          <cell r="E1634" t="str">
            <v>A</v>
          </cell>
          <cell r="F1634" t="str">
            <v>01/02/1998</v>
          </cell>
        </row>
        <row r="1635">
          <cell r="B1635" t="str">
            <v>A0692</v>
          </cell>
          <cell r="C1635" t="str">
            <v>GEN</v>
          </cell>
          <cell r="D1635" t="str">
            <v>N</v>
          </cell>
          <cell r="E1635" t="str">
            <v>A</v>
          </cell>
          <cell r="F1635" t="str">
            <v>01/02/1998</v>
          </cell>
        </row>
        <row r="1636">
          <cell r="B1636" t="str">
            <v>A0693</v>
          </cell>
          <cell r="C1636" t="str">
            <v>GEN</v>
          </cell>
          <cell r="D1636" t="str">
            <v>N</v>
          </cell>
          <cell r="E1636" t="str">
            <v>A</v>
          </cell>
          <cell r="F1636" t="str">
            <v>01/02/1998</v>
          </cell>
        </row>
        <row r="1637">
          <cell r="B1637" t="str">
            <v>A0694</v>
          </cell>
          <cell r="C1637" t="str">
            <v>GEN</v>
          </cell>
          <cell r="D1637" t="str">
            <v>N</v>
          </cell>
          <cell r="E1637" t="str">
            <v>A</v>
          </cell>
          <cell r="F1637" t="str">
            <v>01/02/1998</v>
          </cell>
        </row>
        <row r="1638">
          <cell r="B1638" t="str">
            <v>A0695</v>
          </cell>
          <cell r="C1638" t="str">
            <v>GEN</v>
          </cell>
          <cell r="D1638" t="str">
            <v>N</v>
          </cell>
          <cell r="E1638" t="str">
            <v>A</v>
          </cell>
          <cell r="F1638" t="str">
            <v>01/02/1998</v>
          </cell>
        </row>
        <row r="1639">
          <cell r="B1639" t="str">
            <v>A0696</v>
          </cell>
          <cell r="C1639" t="str">
            <v>UEC</v>
          </cell>
          <cell r="D1639" t="str">
            <v>Y</v>
          </cell>
          <cell r="E1639" t="str">
            <v>A</v>
          </cell>
          <cell r="F1639" t="str">
            <v>01/02/1998</v>
          </cell>
        </row>
        <row r="1640">
          <cell r="B1640" t="str">
            <v>A0697</v>
          </cell>
          <cell r="C1640" t="str">
            <v>CIP</v>
          </cell>
          <cell r="D1640" t="str">
            <v>Y</v>
          </cell>
          <cell r="E1640" t="str">
            <v>A</v>
          </cell>
          <cell r="F1640" t="str">
            <v>01/02/1998</v>
          </cell>
        </row>
        <row r="1641">
          <cell r="B1641" t="str">
            <v>A0698</v>
          </cell>
          <cell r="C1641" t="str">
            <v>001G</v>
          </cell>
          <cell r="D1641" t="str">
            <v>Y</v>
          </cell>
          <cell r="E1641" t="str">
            <v>A</v>
          </cell>
          <cell r="F1641" t="str">
            <v>02/05/2001</v>
          </cell>
        </row>
        <row r="1642">
          <cell r="B1642" t="str">
            <v>A0699</v>
          </cell>
          <cell r="C1642" t="str">
            <v>017C</v>
          </cell>
          <cell r="D1642" t="str">
            <v>Y</v>
          </cell>
          <cell r="E1642" t="str">
            <v>A</v>
          </cell>
          <cell r="F1642" t="str">
            <v>01/02/1998</v>
          </cell>
        </row>
        <row r="1643">
          <cell r="B1643" t="str">
            <v>A0700</v>
          </cell>
          <cell r="C1643" t="str">
            <v>CIC</v>
          </cell>
          <cell r="D1643" t="str">
            <v>Y</v>
          </cell>
          <cell r="E1643" t="str">
            <v>A</v>
          </cell>
          <cell r="F1643" t="str">
            <v>01/02/1998</v>
          </cell>
        </row>
        <row r="1644">
          <cell r="B1644" t="str">
            <v>A0701</v>
          </cell>
          <cell r="C1644" t="str">
            <v>UEC</v>
          </cell>
          <cell r="D1644" t="str">
            <v>Y</v>
          </cell>
          <cell r="E1644" t="str">
            <v>A</v>
          </cell>
          <cell r="F1644" t="str">
            <v>01/02/1998</v>
          </cell>
        </row>
        <row r="1645">
          <cell r="B1645" t="str">
            <v>A0702</v>
          </cell>
          <cell r="C1645" t="str">
            <v>CIP</v>
          </cell>
          <cell r="D1645" t="str">
            <v>Y</v>
          </cell>
          <cell r="E1645" t="str">
            <v>A</v>
          </cell>
          <cell r="F1645" t="str">
            <v>01/02/1998</v>
          </cell>
        </row>
        <row r="1646">
          <cell r="B1646" t="str">
            <v>A0703</v>
          </cell>
          <cell r="C1646" t="str">
            <v>UDC</v>
          </cell>
          <cell r="D1646" t="str">
            <v>Y</v>
          </cell>
          <cell r="E1646" t="str">
            <v>A</v>
          </cell>
          <cell r="F1646" t="str">
            <v>01/02/1998</v>
          </cell>
        </row>
        <row r="1647">
          <cell r="B1647" t="str">
            <v>A0705</v>
          </cell>
          <cell r="C1647" t="str">
            <v>007A</v>
          </cell>
          <cell r="D1647" t="str">
            <v>Y</v>
          </cell>
          <cell r="E1647" t="str">
            <v>A</v>
          </cell>
          <cell r="F1647" t="str">
            <v>01/02/1998</v>
          </cell>
        </row>
        <row r="1648">
          <cell r="B1648" t="str">
            <v>A0706</v>
          </cell>
          <cell r="C1648" t="str">
            <v>UEC</v>
          </cell>
          <cell r="D1648" t="str">
            <v>Y</v>
          </cell>
          <cell r="E1648" t="str">
            <v>A</v>
          </cell>
          <cell r="F1648" t="str">
            <v>01/02/1998</v>
          </cell>
        </row>
        <row r="1649">
          <cell r="B1649" t="str">
            <v>A0707</v>
          </cell>
          <cell r="C1649" t="str">
            <v>CIP</v>
          </cell>
          <cell r="D1649" t="str">
            <v>Y</v>
          </cell>
          <cell r="E1649" t="str">
            <v>A</v>
          </cell>
          <cell r="F1649" t="str">
            <v>01/02/1998</v>
          </cell>
        </row>
        <row r="1650">
          <cell r="B1650" t="str">
            <v>A0708</v>
          </cell>
          <cell r="C1650" t="str">
            <v>AEC</v>
          </cell>
          <cell r="D1650" t="str">
            <v>Y</v>
          </cell>
          <cell r="E1650" t="str">
            <v>A</v>
          </cell>
          <cell r="F1650" t="str">
            <v>09/18/1998</v>
          </cell>
        </row>
        <row r="1651">
          <cell r="B1651" t="str">
            <v>A0709</v>
          </cell>
          <cell r="C1651" t="str">
            <v>CIC</v>
          </cell>
          <cell r="D1651" t="str">
            <v>Y</v>
          </cell>
          <cell r="E1651" t="str">
            <v>A</v>
          </cell>
          <cell r="F1651" t="str">
            <v>01/02/1998</v>
          </cell>
        </row>
        <row r="1652">
          <cell r="B1652" t="str">
            <v>A0710</v>
          </cell>
          <cell r="C1652" t="str">
            <v>004A</v>
          </cell>
          <cell r="D1652" t="str">
            <v>Y</v>
          </cell>
          <cell r="E1652" t="str">
            <v>A</v>
          </cell>
          <cell r="F1652" t="str">
            <v>01/02/1998</v>
          </cell>
        </row>
        <row r="1653">
          <cell r="B1653" t="str">
            <v>A0711</v>
          </cell>
          <cell r="C1653" t="str">
            <v>UEC</v>
          </cell>
          <cell r="D1653" t="str">
            <v>Y</v>
          </cell>
          <cell r="E1653" t="str">
            <v>A</v>
          </cell>
          <cell r="F1653" t="str">
            <v>01/02/1998</v>
          </cell>
        </row>
        <row r="1654">
          <cell r="B1654" t="str">
            <v>A0712</v>
          </cell>
          <cell r="C1654" t="str">
            <v>CIP</v>
          </cell>
          <cell r="D1654" t="str">
            <v>Y</v>
          </cell>
          <cell r="E1654" t="str">
            <v>A</v>
          </cell>
          <cell r="F1654" t="str">
            <v>01/02/1998</v>
          </cell>
        </row>
        <row r="1655">
          <cell r="B1655" t="str">
            <v>A0713</v>
          </cell>
          <cell r="C1655" t="str">
            <v>ERC</v>
          </cell>
          <cell r="D1655" t="str">
            <v>Y</v>
          </cell>
          <cell r="E1655" t="str">
            <v>A</v>
          </cell>
          <cell r="F1655" t="str">
            <v>09/18/1998</v>
          </cell>
        </row>
        <row r="1656">
          <cell r="B1656" t="str">
            <v>A0714</v>
          </cell>
          <cell r="C1656" t="str">
            <v>CIC</v>
          </cell>
          <cell r="D1656" t="str">
            <v>Y</v>
          </cell>
          <cell r="E1656" t="str">
            <v>A</v>
          </cell>
          <cell r="F1656" t="str">
            <v>01/02/1998</v>
          </cell>
        </row>
        <row r="1657">
          <cell r="B1657" t="str">
            <v>A0715</v>
          </cell>
          <cell r="C1657" t="str">
            <v>UEC</v>
          </cell>
          <cell r="D1657" t="str">
            <v>Y</v>
          </cell>
          <cell r="E1657" t="str">
            <v>A</v>
          </cell>
          <cell r="F1657" t="str">
            <v>01/02/1998</v>
          </cell>
        </row>
        <row r="1658">
          <cell r="B1658" t="str">
            <v>A0720</v>
          </cell>
          <cell r="C1658" t="str">
            <v>UEC</v>
          </cell>
          <cell r="D1658" t="str">
            <v>Y</v>
          </cell>
          <cell r="E1658" t="str">
            <v>A</v>
          </cell>
          <cell r="F1658" t="str">
            <v>01/02/1998</v>
          </cell>
        </row>
        <row r="1659">
          <cell r="B1659" t="str">
            <v>A0721</v>
          </cell>
          <cell r="C1659" t="str">
            <v>CIP</v>
          </cell>
          <cell r="D1659" t="str">
            <v>Y</v>
          </cell>
          <cell r="E1659" t="str">
            <v>I</v>
          </cell>
          <cell r="F1659" t="str">
            <v>01/05/1998</v>
          </cell>
        </row>
        <row r="1660">
          <cell r="B1660" t="str">
            <v>A0722</v>
          </cell>
          <cell r="C1660" t="str">
            <v>002D</v>
          </cell>
          <cell r="D1660" t="str">
            <v>Y</v>
          </cell>
          <cell r="E1660" t="str">
            <v>A</v>
          </cell>
          <cell r="F1660" t="str">
            <v>01/05/1998</v>
          </cell>
        </row>
        <row r="1661">
          <cell r="B1661" t="str">
            <v>A0723</v>
          </cell>
          <cell r="C1661"/>
          <cell r="D1661" t="str">
            <v>Y</v>
          </cell>
          <cell r="E1661" t="str">
            <v>I</v>
          </cell>
          <cell r="F1661" t="str">
            <v>01/05/1998</v>
          </cell>
        </row>
        <row r="1662">
          <cell r="B1662" t="str">
            <v>A0726</v>
          </cell>
          <cell r="C1662" t="str">
            <v>011B</v>
          </cell>
          <cell r="D1662" t="str">
            <v>N</v>
          </cell>
          <cell r="E1662" t="str">
            <v>A</v>
          </cell>
          <cell r="F1662" t="str">
            <v>01/06/1998</v>
          </cell>
        </row>
        <row r="1663">
          <cell r="B1663" t="str">
            <v>A0727</v>
          </cell>
          <cell r="C1663" t="str">
            <v>CIP</v>
          </cell>
          <cell r="D1663" t="str">
            <v>Y</v>
          </cell>
          <cell r="E1663" t="str">
            <v>A</v>
          </cell>
          <cell r="F1663" t="str">
            <v>01/06/1998</v>
          </cell>
        </row>
        <row r="1664">
          <cell r="B1664" t="str">
            <v>A0728</v>
          </cell>
          <cell r="C1664" t="str">
            <v>012D</v>
          </cell>
          <cell r="D1664" t="str">
            <v>Y</v>
          </cell>
          <cell r="E1664" t="str">
            <v>A</v>
          </cell>
          <cell r="F1664" t="str">
            <v>01/07/1998</v>
          </cell>
        </row>
        <row r="1665">
          <cell r="B1665" t="str">
            <v>A0729</v>
          </cell>
          <cell r="C1665" t="str">
            <v>UEC</v>
          </cell>
          <cell r="D1665" t="str">
            <v>Y</v>
          </cell>
          <cell r="E1665" t="str">
            <v>A</v>
          </cell>
          <cell r="F1665" t="str">
            <v>01/07/1998</v>
          </cell>
        </row>
        <row r="1666">
          <cell r="B1666" t="str">
            <v>A0730</v>
          </cell>
          <cell r="C1666" t="str">
            <v>UEC</v>
          </cell>
          <cell r="D1666" t="str">
            <v>N</v>
          </cell>
          <cell r="E1666" t="str">
            <v>A</v>
          </cell>
          <cell r="F1666" t="str">
            <v>01/08/1998</v>
          </cell>
        </row>
        <row r="1667">
          <cell r="B1667" t="str">
            <v>A0731</v>
          </cell>
          <cell r="C1667" t="str">
            <v>AME</v>
          </cell>
          <cell r="D1667" t="str">
            <v>Y</v>
          </cell>
          <cell r="E1667" t="str">
            <v>A</v>
          </cell>
          <cell r="F1667" t="str">
            <v>09/18/1998</v>
          </cell>
        </row>
        <row r="1668">
          <cell r="B1668" t="str">
            <v>A0732</v>
          </cell>
          <cell r="C1668" t="str">
            <v>002A</v>
          </cell>
          <cell r="D1668" t="str">
            <v>Y</v>
          </cell>
          <cell r="E1668" t="str">
            <v>A</v>
          </cell>
          <cell r="F1668" t="str">
            <v>01/08/1998</v>
          </cell>
        </row>
        <row r="1669">
          <cell r="B1669" t="str">
            <v>A0733</v>
          </cell>
          <cell r="C1669" t="str">
            <v>002A</v>
          </cell>
          <cell r="D1669" t="str">
            <v>Y</v>
          </cell>
          <cell r="E1669" t="str">
            <v>A</v>
          </cell>
          <cell r="F1669" t="str">
            <v>10/14/1998</v>
          </cell>
        </row>
        <row r="1670">
          <cell r="B1670" t="str">
            <v>A0734</v>
          </cell>
          <cell r="C1670" t="str">
            <v>UEC</v>
          </cell>
          <cell r="D1670" t="str">
            <v>Y</v>
          </cell>
          <cell r="E1670" t="str">
            <v>A</v>
          </cell>
          <cell r="F1670" t="str">
            <v>01/08/1998</v>
          </cell>
        </row>
        <row r="1671">
          <cell r="B1671" t="str">
            <v>A0736</v>
          </cell>
          <cell r="C1671"/>
          <cell r="D1671" t="str">
            <v>Y</v>
          </cell>
          <cell r="E1671" t="str">
            <v>A</v>
          </cell>
          <cell r="F1671" t="str">
            <v>10/15/1998</v>
          </cell>
        </row>
        <row r="1672">
          <cell r="B1672" t="str">
            <v>A0737</v>
          </cell>
          <cell r="C1672" t="str">
            <v>CIP</v>
          </cell>
          <cell r="D1672" t="str">
            <v>Y</v>
          </cell>
          <cell r="E1672" t="str">
            <v>A</v>
          </cell>
          <cell r="F1672" t="str">
            <v>01/08/1998</v>
          </cell>
        </row>
        <row r="1673">
          <cell r="B1673" t="str">
            <v>A0738</v>
          </cell>
          <cell r="C1673" t="str">
            <v>AME</v>
          </cell>
          <cell r="D1673" t="str">
            <v>Y</v>
          </cell>
          <cell r="E1673" t="str">
            <v>A</v>
          </cell>
          <cell r="F1673" t="str">
            <v>10/16/1998</v>
          </cell>
        </row>
        <row r="1674">
          <cell r="B1674" t="str">
            <v>A0740</v>
          </cell>
          <cell r="C1674" t="str">
            <v>AMC</v>
          </cell>
          <cell r="D1674" t="str">
            <v>Y</v>
          </cell>
          <cell r="E1674" t="str">
            <v>A</v>
          </cell>
          <cell r="F1674" t="str">
            <v>01/08/1998</v>
          </cell>
        </row>
        <row r="1675">
          <cell r="B1675" t="str">
            <v>A0741</v>
          </cell>
          <cell r="C1675" t="str">
            <v>UEC</v>
          </cell>
          <cell r="D1675" t="str">
            <v>Y</v>
          </cell>
          <cell r="E1675" t="str">
            <v>A</v>
          </cell>
          <cell r="F1675" t="str">
            <v>01/08/1998</v>
          </cell>
        </row>
        <row r="1676">
          <cell r="B1676" t="str">
            <v>A0742</v>
          </cell>
          <cell r="C1676"/>
          <cell r="D1676" t="str">
            <v>Y</v>
          </cell>
          <cell r="E1676" t="str">
            <v>A</v>
          </cell>
          <cell r="F1676" t="str">
            <v>10/22/1998</v>
          </cell>
        </row>
        <row r="1677">
          <cell r="B1677" t="str">
            <v>A0743</v>
          </cell>
          <cell r="C1677" t="str">
            <v>CIP</v>
          </cell>
          <cell r="D1677" t="str">
            <v>Y</v>
          </cell>
          <cell r="E1677" t="str">
            <v>A</v>
          </cell>
          <cell r="F1677" t="str">
            <v>01/08/1998</v>
          </cell>
        </row>
        <row r="1678">
          <cell r="B1678" t="str">
            <v>A0744</v>
          </cell>
          <cell r="C1678" t="str">
            <v>004A</v>
          </cell>
          <cell r="D1678" t="str">
            <v>Y</v>
          </cell>
          <cell r="E1678" t="str">
            <v>A</v>
          </cell>
          <cell r="F1678" t="str">
            <v>01/08/1998</v>
          </cell>
        </row>
        <row r="1679">
          <cell r="B1679" t="str">
            <v>A0745</v>
          </cell>
          <cell r="C1679" t="str">
            <v>GEN</v>
          </cell>
          <cell r="D1679" t="str">
            <v>Y</v>
          </cell>
          <cell r="E1679" t="str">
            <v>A</v>
          </cell>
          <cell r="F1679" t="str">
            <v>10/26/1998</v>
          </cell>
        </row>
        <row r="1680">
          <cell r="B1680" t="str">
            <v>A0746</v>
          </cell>
          <cell r="C1680" t="str">
            <v>UEC</v>
          </cell>
          <cell r="D1680" t="str">
            <v>Y</v>
          </cell>
          <cell r="E1680" t="str">
            <v>A</v>
          </cell>
          <cell r="F1680" t="str">
            <v>01/08/1998</v>
          </cell>
        </row>
        <row r="1681">
          <cell r="B1681" t="str">
            <v>A0748</v>
          </cell>
          <cell r="C1681" t="str">
            <v>CIP</v>
          </cell>
          <cell r="D1681" t="str">
            <v>Y</v>
          </cell>
          <cell r="E1681" t="str">
            <v>A</v>
          </cell>
          <cell r="F1681" t="str">
            <v>01/08/1998</v>
          </cell>
        </row>
        <row r="1682">
          <cell r="B1682" t="str">
            <v>A0749</v>
          </cell>
          <cell r="C1682" t="str">
            <v>002A</v>
          </cell>
          <cell r="D1682" t="str">
            <v>Y</v>
          </cell>
          <cell r="E1682" t="str">
            <v>A</v>
          </cell>
          <cell r="F1682" t="str">
            <v>01/08/1998</v>
          </cell>
        </row>
        <row r="1683">
          <cell r="B1683" t="str">
            <v>A0750</v>
          </cell>
          <cell r="C1683"/>
          <cell r="D1683" t="str">
            <v>Y</v>
          </cell>
          <cell r="E1683" t="str">
            <v>A</v>
          </cell>
          <cell r="F1683" t="str">
            <v>01/08/1998</v>
          </cell>
        </row>
        <row r="1684">
          <cell r="B1684" t="str">
            <v>A0751</v>
          </cell>
          <cell r="C1684" t="str">
            <v>UEC</v>
          </cell>
          <cell r="D1684" t="str">
            <v>Y</v>
          </cell>
          <cell r="E1684" t="str">
            <v>A</v>
          </cell>
          <cell r="F1684" t="str">
            <v>01/09/1998</v>
          </cell>
        </row>
        <row r="1685">
          <cell r="B1685" t="str">
            <v>A0752</v>
          </cell>
          <cell r="C1685" t="str">
            <v>CIP</v>
          </cell>
          <cell r="D1685" t="str">
            <v>N</v>
          </cell>
          <cell r="E1685" t="str">
            <v>A</v>
          </cell>
          <cell r="F1685" t="str">
            <v>01/09/1998</v>
          </cell>
        </row>
        <row r="1686">
          <cell r="B1686" t="str">
            <v>A0753</v>
          </cell>
          <cell r="C1686" t="str">
            <v>UEC</v>
          </cell>
          <cell r="D1686" t="str">
            <v>Y</v>
          </cell>
          <cell r="E1686" t="str">
            <v>A</v>
          </cell>
          <cell r="F1686" t="str">
            <v>10/30/1998</v>
          </cell>
        </row>
        <row r="1687">
          <cell r="B1687" t="str">
            <v>A0754</v>
          </cell>
          <cell r="C1687" t="str">
            <v>001A</v>
          </cell>
          <cell r="D1687" t="str">
            <v>N</v>
          </cell>
          <cell r="E1687" t="str">
            <v>A</v>
          </cell>
          <cell r="F1687" t="str">
            <v>01/09/1998</v>
          </cell>
        </row>
        <row r="1688">
          <cell r="B1688" t="str">
            <v>A0755</v>
          </cell>
          <cell r="C1688" t="str">
            <v>UEC</v>
          </cell>
          <cell r="D1688" t="str">
            <v>N</v>
          </cell>
          <cell r="E1688" t="str">
            <v>A</v>
          </cell>
          <cell r="F1688" t="str">
            <v>01/09/1998</v>
          </cell>
        </row>
        <row r="1689">
          <cell r="B1689" t="str">
            <v>A0756</v>
          </cell>
          <cell r="C1689" t="str">
            <v>UEC</v>
          </cell>
          <cell r="D1689" t="str">
            <v>Y</v>
          </cell>
          <cell r="E1689" t="str">
            <v>A</v>
          </cell>
          <cell r="F1689" t="str">
            <v>01/09/1998</v>
          </cell>
        </row>
        <row r="1690">
          <cell r="B1690" t="str">
            <v>A0757</v>
          </cell>
          <cell r="C1690" t="str">
            <v>CIP</v>
          </cell>
          <cell r="D1690" t="str">
            <v>Y</v>
          </cell>
          <cell r="E1690" t="str">
            <v>A</v>
          </cell>
          <cell r="F1690" t="str">
            <v>10/30/1998</v>
          </cell>
        </row>
        <row r="1691">
          <cell r="B1691" t="str">
            <v>A0758</v>
          </cell>
          <cell r="C1691" t="str">
            <v>CIP</v>
          </cell>
          <cell r="D1691" t="str">
            <v>N</v>
          </cell>
          <cell r="E1691" t="str">
            <v>A</v>
          </cell>
          <cell r="F1691" t="str">
            <v>01/09/1998</v>
          </cell>
        </row>
        <row r="1692">
          <cell r="B1692" t="str">
            <v>A0759</v>
          </cell>
          <cell r="C1692" t="str">
            <v>002F</v>
          </cell>
          <cell r="D1692" t="str">
            <v>Y</v>
          </cell>
          <cell r="E1692" t="str">
            <v>A</v>
          </cell>
          <cell r="F1692" t="str">
            <v>01/11/1999</v>
          </cell>
        </row>
        <row r="1693">
          <cell r="B1693" t="str">
            <v>A0760</v>
          </cell>
          <cell r="C1693" t="str">
            <v>ERC</v>
          </cell>
          <cell r="D1693" t="str">
            <v>Y</v>
          </cell>
          <cell r="E1693" t="str">
            <v>A</v>
          </cell>
          <cell r="F1693" t="str">
            <v>11/02/1998</v>
          </cell>
        </row>
        <row r="1694">
          <cell r="B1694" t="str">
            <v>A0762</v>
          </cell>
          <cell r="C1694" t="str">
            <v>AME</v>
          </cell>
          <cell r="D1694" t="str">
            <v>Y</v>
          </cell>
          <cell r="E1694" t="str">
            <v>A</v>
          </cell>
          <cell r="F1694" t="str">
            <v>11/03/1998</v>
          </cell>
        </row>
        <row r="1695">
          <cell r="B1695" t="str">
            <v>A0763</v>
          </cell>
          <cell r="C1695" t="str">
            <v>CIP</v>
          </cell>
          <cell r="D1695" t="str">
            <v>Y</v>
          </cell>
          <cell r="E1695" t="str">
            <v>A</v>
          </cell>
          <cell r="F1695" t="str">
            <v>01/09/1998</v>
          </cell>
        </row>
        <row r="1696">
          <cell r="B1696" t="str">
            <v>A0764</v>
          </cell>
          <cell r="C1696" t="str">
            <v>002K</v>
          </cell>
          <cell r="D1696" t="str">
            <v>Y</v>
          </cell>
          <cell r="E1696" t="str">
            <v>A</v>
          </cell>
          <cell r="F1696" t="str">
            <v>01/09/1998</v>
          </cell>
        </row>
        <row r="1697">
          <cell r="B1697" t="str">
            <v>A0767</v>
          </cell>
          <cell r="C1697" t="str">
            <v>UEC</v>
          </cell>
          <cell r="D1697" t="str">
            <v>Y</v>
          </cell>
          <cell r="E1697" t="str">
            <v>A</v>
          </cell>
          <cell r="F1697" t="str">
            <v>01/10/1998</v>
          </cell>
        </row>
        <row r="1698">
          <cell r="B1698" t="str">
            <v>A0768</v>
          </cell>
          <cell r="C1698" t="str">
            <v>CIP</v>
          </cell>
          <cell r="D1698" t="str">
            <v>Y</v>
          </cell>
          <cell r="E1698" t="str">
            <v>A</v>
          </cell>
          <cell r="F1698" t="str">
            <v>01/10/1998</v>
          </cell>
        </row>
        <row r="1699">
          <cell r="B1699" t="str">
            <v>A0769</v>
          </cell>
          <cell r="C1699" t="str">
            <v>002L</v>
          </cell>
          <cell r="D1699" t="str">
            <v>Y</v>
          </cell>
          <cell r="E1699" t="str">
            <v>A</v>
          </cell>
          <cell r="F1699" t="str">
            <v>01/10/1998</v>
          </cell>
        </row>
        <row r="1700">
          <cell r="B1700" t="str">
            <v>A0770</v>
          </cell>
          <cell r="C1700" t="str">
            <v>UEC</v>
          </cell>
          <cell r="D1700" t="str">
            <v>Y</v>
          </cell>
          <cell r="E1700" t="str">
            <v>A</v>
          </cell>
          <cell r="F1700" t="str">
            <v>01/10/1998</v>
          </cell>
        </row>
        <row r="1701">
          <cell r="B1701" t="str">
            <v>A0771</v>
          </cell>
          <cell r="C1701" t="str">
            <v>CIP</v>
          </cell>
          <cell r="D1701" t="str">
            <v>Y</v>
          </cell>
          <cell r="E1701" t="str">
            <v>A</v>
          </cell>
          <cell r="F1701" t="str">
            <v>01/10/1998</v>
          </cell>
        </row>
        <row r="1702">
          <cell r="B1702" t="str">
            <v>A0772</v>
          </cell>
          <cell r="C1702" t="str">
            <v>002A</v>
          </cell>
          <cell r="D1702" t="str">
            <v>Y</v>
          </cell>
          <cell r="E1702" t="str">
            <v>A</v>
          </cell>
          <cell r="F1702" t="str">
            <v>01/10/1998</v>
          </cell>
        </row>
        <row r="1703">
          <cell r="B1703" t="str">
            <v>A0773</v>
          </cell>
          <cell r="C1703" t="str">
            <v>UEC</v>
          </cell>
          <cell r="D1703" t="str">
            <v>Y</v>
          </cell>
          <cell r="E1703" t="str">
            <v>A</v>
          </cell>
          <cell r="F1703" t="str">
            <v>01/10/1998</v>
          </cell>
        </row>
        <row r="1704">
          <cell r="B1704" t="str">
            <v>A0774</v>
          </cell>
          <cell r="C1704" t="str">
            <v>CIP</v>
          </cell>
          <cell r="D1704" t="str">
            <v>Y</v>
          </cell>
          <cell r="E1704" t="str">
            <v>A</v>
          </cell>
          <cell r="F1704" t="str">
            <v>01/10/1998</v>
          </cell>
        </row>
        <row r="1705">
          <cell r="B1705" t="str">
            <v>A0776</v>
          </cell>
          <cell r="C1705" t="str">
            <v>UEC</v>
          </cell>
          <cell r="D1705" t="str">
            <v>Y</v>
          </cell>
          <cell r="E1705" t="str">
            <v>A</v>
          </cell>
          <cell r="F1705" t="str">
            <v>01/10/1998</v>
          </cell>
        </row>
        <row r="1706">
          <cell r="B1706" t="str">
            <v>A0777</v>
          </cell>
          <cell r="C1706" t="str">
            <v>CIP</v>
          </cell>
          <cell r="D1706" t="str">
            <v>Y</v>
          </cell>
          <cell r="E1706" t="str">
            <v>A</v>
          </cell>
          <cell r="F1706" t="str">
            <v>01/10/1998</v>
          </cell>
        </row>
        <row r="1707">
          <cell r="B1707" t="str">
            <v>A0778</v>
          </cell>
          <cell r="C1707" t="str">
            <v>004F</v>
          </cell>
          <cell r="D1707" t="str">
            <v>Y</v>
          </cell>
          <cell r="E1707" t="str">
            <v>A</v>
          </cell>
          <cell r="F1707" t="str">
            <v>01/10/1998</v>
          </cell>
        </row>
        <row r="1708">
          <cell r="B1708" t="str">
            <v>A0779</v>
          </cell>
          <cell r="C1708" t="str">
            <v>AME</v>
          </cell>
          <cell r="D1708" t="str">
            <v>Y</v>
          </cell>
          <cell r="E1708" t="str">
            <v>A</v>
          </cell>
          <cell r="F1708" t="str">
            <v>11/03/1998</v>
          </cell>
        </row>
        <row r="1709">
          <cell r="B1709" t="str">
            <v>A0780</v>
          </cell>
          <cell r="C1709" t="str">
            <v>UEC</v>
          </cell>
          <cell r="D1709" t="str">
            <v>Y</v>
          </cell>
          <cell r="E1709" t="str">
            <v>I</v>
          </cell>
          <cell r="F1709" t="str">
            <v>11/04/1998</v>
          </cell>
        </row>
        <row r="1710">
          <cell r="B1710" t="str">
            <v>A0781</v>
          </cell>
          <cell r="C1710" t="str">
            <v>CIP</v>
          </cell>
          <cell r="D1710" t="str">
            <v>Y</v>
          </cell>
          <cell r="E1710" t="str">
            <v>A</v>
          </cell>
          <cell r="F1710" t="str">
            <v>11/04/1998</v>
          </cell>
        </row>
        <row r="1711">
          <cell r="B1711" t="str">
            <v>A0782</v>
          </cell>
          <cell r="C1711" t="str">
            <v>UEC</v>
          </cell>
          <cell r="D1711" t="str">
            <v>Y</v>
          </cell>
          <cell r="E1711" t="str">
            <v>A</v>
          </cell>
          <cell r="F1711" t="str">
            <v>01/12/1998</v>
          </cell>
        </row>
        <row r="1712">
          <cell r="B1712" t="str">
            <v>A0787</v>
          </cell>
          <cell r="C1712" t="str">
            <v>CIP</v>
          </cell>
          <cell r="D1712" t="str">
            <v>Y</v>
          </cell>
          <cell r="E1712" t="str">
            <v>A</v>
          </cell>
          <cell r="F1712" t="str">
            <v>01/12/1998</v>
          </cell>
        </row>
        <row r="1713">
          <cell r="B1713" t="str">
            <v>A0788</v>
          </cell>
          <cell r="C1713" t="str">
            <v>UEC</v>
          </cell>
          <cell r="D1713" t="str">
            <v>Y</v>
          </cell>
          <cell r="E1713" t="str">
            <v>A</v>
          </cell>
          <cell r="F1713" t="str">
            <v>01/12/1998</v>
          </cell>
        </row>
        <row r="1714">
          <cell r="B1714" t="str">
            <v>A0789</v>
          </cell>
          <cell r="C1714" t="str">
            <v>CIP</v>
          </cell>
          <cell r="D1714" t="str">
            <v>Y</v>
          </cell>
          <cell r="E1714" t="str">
            <v>A</v>
          </cell>
          <cell r="F1714" t="str">
            <v>01/12/1998</v>
          </cell>
        </row>
        <row r="1715">
          <cell r="B1715" t="str">
            <v>A0790</v>
          </cell>
          <cell r="C1715" t="str">
            <v>UDC</v>
          </cell>
          <cell r="D1715" t="str">
            <v>N</v>
          </cell>
          <cell r="E1715" t="str">
            <v>A</v>
          </cell>
          <cell r="F1715" t="str">
            <v>01/12/1998</v>
          </cell>
        </row>
        <row r="1716">
          <cell r="B1716" t="str">
            <v>A0791</v>
          </cell>
          <cell r="C1716" t="str">
            <v>001A</v>
          </cell>
          <cell r="D1716" t="str">
            <v>Y</v>
          </cell>
          <cell r="E1716" t="str">
            <v>A</v>
          </cell>
          <cell r="F1716" t="str">
            <v>01/14/1998</v>
          </cell>
        </row>
        <row r="1717">
          <cell r="B1717" t="str">
            <v>A0792</v>
          </cell>
          <cell r="C1717" t="str">
            <v>017A</v>
          </cell>
          <cell r="D1717" t="str">
            <v>Y</v>
          </cell>
          <cell r="E1717" t="str">
            <v>A</v>
          </cell>
          <cell r="F1717" t="str">
            <v>01/14/1998</v>
          </cell>
        </row>
        <row r="1718">
          <cell r="B1718" t="str">
            <v>A0794</v>
          </cell>
          <cell r="C1718" t="str">
            <v>UEC</v>
          </cell>
          <cell r="D1718" t="str">
            <v>Y</v>
          </cell>
          <cell r="E1718" t="str">
            <v>A</v>
          </cell>
          <cell r="F1718" t="str">
            <v>01/15/1998</v>
          </cell>
        </row>
        <row r="1719">
          <cell r="B1719" t="str">
            <v>A0796</v>
          </cell>
          <cell r="C1719" t="str">
            <v>GEN</v>
          </cell>
          <cell r="D1719" t="str">
            <v>Y</v>
          </cell>
          <cell r="E1719" t="str">
            <v>A</v>
          </cell>
          <cell r="F1719" t="str">
            <v>01/16/1998</v>
          </cell>
        </row>
        <row r="1720">
          <cell r="B1720" t="str">
            <v>A0797</v>
          </cell>
          <cell r="C1720" t="str">
            <v>UEC</v>
          </cell>
          <cell r="D1720" t="str">
            <v>N</v>
          </cell>
          <cell r="E1720" t="str">
            <v>A</v>
          </cell>
          <cell r="F1720" t="str">
            <v>01/20/1998</v>
          </cell>
        </row>
        <row r="1721">
          <cell r="B1721" t="str">
            <v>A0798</v>
          </cell>
          <cell r="C1721" t="str">
            <v>UEC</v>
          </cell>
          <cell r="D1721" t="str">
            <v>Y</v>
          </cell>
          <cell r="E1721" t="str">
            <v>A</v>
          </cell>
          <cell r="F1721" t="str">
            <v>01/20/1998</v>
          </cell>
        </row>
        <row r="1722">
          <cell r="B1722" t="str">
            <v>A0800</v>
          </cell>
          <cell r="C1722" t="str">
            <v>AME</v>
          </cell>
          <cell r="D1722" t="str">
            <v>Y</v>
          </cell>
          <cell r="E1722" t="str">
            <v>A</v>
          </cell>
          <cell r="F1722" t="str">
            <v>11/04/1998</v>
          </cell>
        </row>
        <row r="1723">
          <cell r="B1723" t="str">
            <v>A0802</v>
          </cell>
          <cell r="C1723" t="str">
            <v>AME</v>
          </cell>
          <cell r="D1723" t="str">
            <v>Y</v>
          </cell>
          <cell r="E1723" t="str">
            <v>A</v>
          </cell>
          <cell r="F1723" t="str">
            <v>11/04/1998</v>
          </cell>
        </row>
        <row r="1724">
          <cell r="B1724" t="str">
            <v>A0803</v>
          </cell>
          <cell r="C1724"/>
          <cell r="D1724" t="str">
            <v>Y</v>
          </cell>
          <cell r="E1724" t="str">
            <v>A</v>
          </cell>
          <cell r="F1724" t="str">
            <v>01/22/1998</v>
          </cell>
        </row>
        <row r="1725">
          <cell r="B1725" t="str">
            <v>A0804</v>
          </cell>
          <cell r="C1725" t="str">
            <v>AEC</v>
          </cell>
          <cell r="D1725" t="str">
            <v>Y</v>
          </cell>
          <cell r="E1725" t="str">
            <v>A</v>
          </cell>
          <cell r="F1725" t="str">
            <v>11/04/1998</v>
          </cell>
        </row>
        <row r="1726">
          <cell r="B1726" t="str">
            <v>A0805</v>
          </cell>
          <cell r="C1726" t="str">
            <v>004O</v>
          </cell>
          <cell r="D1726" t="str">
            <v>Y</v>
          </cell>
          <cell r="E1726" t="str">
            <v>A</v>
          </cell>
          <cell r="F1726" t="str">
            <v>01/11/1999</v>
          </cell>
        </row>
        <row r="1727">
          <cell r="B1727" t="str">
            <v>A0807</v>
          </cell>
          <cell r="C1727" t="str">
            <v>001A</v>
          </cell>
          <cell r="D1727" t="str">
            <v>Y</v>
          </cell>
          <cell r="E1727" t="str">
            <v>A</v>
          </cell>
          <cell r="F1727" t="str">
            <v>01/12/1999</v>
          </cell>
        </row>
        <row r="1728">
          <cell r="B1728" t="str">
            <v>A0809</v>
          </cell>
          <cell r="C1728" t="str">
            <v>002L</v>
          </cell>
          <cell r="D1728" t="str">
            <v>Y</v>
          </cell>
          <cell r="E1728" t="str">
            <v>A</v>
          </cell>
          <cell r="F1728" t="str">
            <v>11/05/1998</v>
          </cell>
        </row>
        <row r="1729">
          <cell r="B1729" t="str">
            <v>A0812</v>
          </cell>
          <cell r="C1729" t="str">
            <v>UEC</v>
          </cell>
          <cell r="D1729" t="str">
            <v>Y</v>
          </cell>
          <cell r="E1729" t="str">
            <v>I</v>
          </cell>
          <cell r="F1729" t="str">
            <v>01/23/1998</v>
          </cell>
        </row>
        <row r="1730">
          <cell r="B1730" t="str">
            <v>A0813</v>
          </cell>
          <cell r="C1730" t="str">
            <v>UEC</v>
          </cell>
          <cell r="D1730" t="str">
            <v>Y</v>
          </cell>
          <cell r="E1730" t="str">
            <v>A</v>
          </cell>
          <cell r="F1730" t="str">
            <v>01/23/1998</v>
          </cell>
        </row>
        <row r="1731">
          <cell r="B1731" t="str">
            <v>A0814</v>
          </cell>
          <cell r="C1731" t="str">
            <v>UEC</v>
          </cell>
          <cell r="D1731" t="str">
            <v>Y</v>
          </cell>
          <cell r="E1731" t="str">
            <v>A</v>
          </cell>
          <cell r="F1731" t="str">
            <v>01/23/1998</v>
          </cell>
        </row>
        <row r="1732">
          <cell r="B1732" t="str">
            <v>A0815</v>
          </cell>
          <cell r="C1732" t="str">
            <v>002A</v>
          </cell>
          <cell r="D1732" t="str">
            <v>Y</v>
          </cell>
          <cell r="E1732" t="str">
            <v>A</v>
          </cell>
          <cell r="F1732" t="str">
            <v>11/05/1998</v>
          </cell>
        </row>
        <row r="1733">
          <cell r="B1733" t="str">
            <v>A0816</v>
          </cell>
          <cell r="C1733" t="str">
            <v>UEC</v>
          </cell>
          <cell r="D1733" t="str">
            <v>Y</v>
          </cell>
          <cell r="E1733" t="str">
            <v>A</v>
          </cell>
          <cell r="F1733" t="str">
            <v>11/06/1998</v>
          </cell>
        </row>
        <row r="1734">
          <cell r="B1734" t="str">
            <v>A0817</v>
          </cell>
          <cell r="C1734" t="str">
            <v>002D</v>
          </cell>
          <cell r="D1734" t="str">
            <v>Y</v>
          </cell>
          <cell r="E1734" t="str">
            <v>A</v>
          </cell>
          <cell r="F1734" t="str">
            <v>01/23/1998</v>
          </cell>
        </row>
        <row r="1735">
          <cell r="B1735" t="str">
            <v>A0818</v>
          </cell>
          <cell r="C1735" t="str">
            <v>UEC</v>
          </cell>
          <cell r="D1735" t="str">
            <v>Y</v>
          </cell>
          <cell r="E1735" t="str">
            <v>I</v>
          </cell>
          <cell r="F1735" t="str">
            <v>01/27/1998</v>
          </cell>
        </row>
        <row r="1736">
          <cell r="B1736" t="str">
            <v>A0819</v>
          </cell>
          <cell r="C1736"/>
          <cell r="D1736" t="str">
            <v>N</v>
          </cell>
          <cell r="E1736" t="str">
            <v>A</v>
          </cell>
          <cell r="F1736" t="str">
            <v>01/23/1998</v>
          </cell>
        </row>
        <row r="1737">
          <cell r="B1737" t="str">
            <v>A0820</v>
          </cell>
          <cell r="C1737" t="str">
            <v>CIP</v>
          </cell>
          <cell r="D1737" t="str">
            <v>Y</v>
          </cell>
          <cell r="E1737" t="str">
            <v>A</v>
          </cell>
          <cell r="F1737" t="str">
            <v>11/06/1998</v>
          </cell>
        </row>
        <row r="1738">
          <cell r="B1738" t="str">
            <v>A0825</v>
          </cell>
          <cell r="C1738" t="str">
            <v>004A</v>
          </cell>
          <cell r="D1738" t="str">
            <v>Y</v>
          </cell>
          <cell r="E1738" t="str">
            <v>A</v>
          </cell>
          <cell r="F1738" t="str">
            <v>01/12/1999</v>
          </cell>
        </row>
        <row r="1739">
          <cell r="B1739" t="str">
            <v>A0826</v>
          </cell>
          <cell r="C1739" t="str">
            <v>UEC</v>
          </cell>
          <cell r="D1739" t="str">
            <v>Y</v>
          </cell>
          <cell r="E1739" t="str">
            <v>A</v>
          </cell>
          <cell r="F1739" t="str">
            <v>01/31/1998</v>
          </cell>
        </row>
        <row r="1740">
          <cell r="B1740" t="str">
            <v>A0828</v>
          </cell>
          <cell r="C1740" t="str">
            <v>004B</v>
          </cell>
          <cell r="D1740" t="str">
            <v>Y</v>
          </cell>
          <cell r="E1740" t="str">
            <v>A</v>
          </cell>
          <cell r="F1740" t="str">
            <v>01/12/1999</v>
          </cell>
        </row>
        <row r="1741">
          <cell r="B1741" t="str">
            <v>A0832</v>
          </cell>
          <cell r="C1741" t="str">
            <v>UEC</v>
          </cell>
          <cell r="D1741" t="str">
            <v>Y</v>
          </cell>
          <cell r="E1741" t="str">
            <v>I</v>
          </cell>
          <cell r="F1741" t="str">
            <v>01/28/1998</v>
          </cell>
        </row>
        <row r="1742">
          <cell r="B1742" t="str">
            <v>A0833</v>
          </cell>
          <cell r="C1742" t="str">
            <v>CIP</v>
          </cell>
          <cell r="D1742" t="str">
            <v>Y</v>
          </cell>
          <cell r="E1742" t="str">
            <v>A</v>
          </cell>
          <cell r="F1742" t="str">
            <v>01/30/1998</v>
          </cell>
        </row>
        <row r="1743">
          <cell r="B1743" t="str">
            <v>A0834</v>
          </cell>
          <cell r="C1743" t="str">
            <v>CIP</v>
          </cell>
          <cell r="D1743" t="str">
            <v>Y</v>
          </cell>
          <cell r="E1743" t="str">
            <v>A</v>
          </cell>
          <cell r="F1743" t="str">
            <v>02/02/1998</v>
          </cell>
        </row>
        <row r="1744">
          <cell r="B1744" t="str">
            <v>A0835</v>
          </cell>
          <cell r="C1744" t="str">
            <v>UEC</v>
          </cell>
          <cell r="D1744" t="str">
            <v>Y</v>
          </cell>
          <cell r="E1744" t="str">
            <v>A</v>
          </cell>
          <cell r="F1744" t="str">
            <v>02/02/1998</v>
          </cell>
        </row>
        <row r="1745">
          <cell r="B1745" t="str">
            <v>A0837</v>
          </cell>
          <cell r="C1745" t="str">
            <v>001D</v>
          </cell>
          <cell r="D1745" t="str">
            <v>Y</v>
          </cell>
          <cell r="E1745" t="str">
            <v>A</v>
          </cell>
          <cell r="F1745" t="str">
            <v>02/02/1998</v>
          </cell>
        </row>
        <row r="1746">
          <cell r="B1746" t="str">
            <v>A0838</v>
          </cell>
          <cell r="C1746" t="str">
            <v>002D</v>
          </cell>
          <cell r="D1746" t="str">
            <v>Y</v>
          </cell>
          <cell r="E1746" t="str">
            <v>A</v>
          </cell>
          <cell r="F1746" t="str">
            <v>02/02/1998</v>
          </cell>
        </row>
        <row r="1747">
          <cell r="B1747" t="str">
            <v>A0839</v>
          </cell>
          <cell r="C1747" t="str">
            <v>UEC</v>
          </cell>
          <cell r="D1747" t="str">
            <v>Y</v>
          </cell>
          <cell r="E1747" t="str">
            <v>A</v>
          </cell>
          <cell r="F1747" t="str">
            <v>02/02/1998</v>
          </cell>
        </row>
        <row r="1748">
          <cell r="B1748" t="str">
            <v>A0841</v>
          </cell>
          <cell r="C1748" t="str">
            <v>CIP</v>
          </cell>
          <cell r="D1748" t="str">
            <v>Y</v>
          </cell>
          <cell r="E1748" t="str">
            <v>A</v>
          </cell>
          <cell r="F1748" t="str">
            <v>02/02/1998</v>
          </cell>
        </row>
        <row r="1749">
          <cell r="B1749" t="str">
            <v>A0850</v>
          </cell>
          <cell r="C1749"/>
          <cell r="D1749" t="str">
            <v>Y</v>
          </cell>
          <cell r="E1749" t="str">
            <v>A</v>
          </cell>
          <cell r="F1749" t="str">
            <v>02/03/1998</v>
          </cell>
        </row>
        <row r="1750">
          <cell r="B1750" t="str">
            <v>A0852</v>
          </cell>
          <cell r="C1750" t="str">
            <v>004A</v>
          </cell>
          <cell r="D1750" t="str">
            <v>Y</v>
          </cell>
          <cell r="E1750" t="str">
            <v>A</v>
          </cell>
          <cell r="F1750" t="str">
            <v>11/10/1998</v>
          </cell>
        </row>
        <row r="1751">
          <cell r="B1751" t="str">
            <v>A0859</v>
          </cell>
          <cell r="C1751" t="str">
            <v>UEC</v>
          </cell>
          <cell r="D1751" t="str">
            <v>Y</v>
          </cell>
          <cell r="E1751" t="str">
            <v>A</v>
          </cell>
          <cell r="F1751" t="str">
            <v>02/03/1998</v>
          </cell>
        </row>
        <row r="1752">
          <cell r="B1752" t="str">
            <v>A0861</v>
          </cell>
          <cell r="C1752" t="str">
            <v>UEC</v>
          </cell>
          <cell r="D1752" t="str">
            <v>Y</v>
          </cell>
          <cell r="E1752" t="str">
            <v>A</v>
          </cell>
          <cell r="F1752" t="str">
            <v>02/05/1998</v>
          </cell>
        </row>
        <row r="1753">
          <cell r="B1753" t="str">
            <v>A0862</v>
          </cell>
          <cell r="C1753" t="str">
            <v>CIP</v>
          </cell>
          <cell r="D1753" t="str">
            <v>Y</v>
          </cell>
          <cell r="E1753" t="str">
            <v>A</v>
          </cell>
          <cell r="F1753" t="str">
            <v>02/05/1998</v>
          </cell>
        </row>
        <row r="1754">
          <cell r="B1754" t="str">
            <v>A0864</v>
          </cell>
          <cell r="C1754" t="str">
            <v>CIP</v>
          </cell>
          <cell r="D1754" t="str">
            <v>Y</v>
          </cell>
          <cell r="E1754" t="str">
            <v>A</v>
          </cell>
          <cell r="F1754" t="str">
            <v>11/10/1998</v>
          </cell>
        </row>
        <row r="1755">
          <cell r="B1755" t="str">
            <v>A0865</v>
          </cell>
          <cell r="C1755" t="str">
            <v>UEC</v>
          </cell>
          <cell r="D1755" t="str">
            <v>Y</v>
          </cell>
          <cell r="E1755" t="str">
            <v>A</v>
          </cell>
          <cell r="F1755" t="str">
            <v>11/10/1998</v>
          </cell>
        </row>
        <row r="1756">
          <cell r="B1756" t="str">
            <v>A0866</v>
          </cell>
          <cell r="C1756"/>
          <cell r="D1756" t="str">
            <v>N</v>
          </cell>
          <cell r="E1756" t="str">
            <v>A</v>
          </cell>
          <cell r="F1756" t="str">
            <v>02/09/1998</v>
          </cell>
        </row>
        <row r="1757">
          <cell r="B1757" t="str">
            <v>A0868</v>
          </cell>
          <cell r="C1757" t="str">
            <v>UEC</v>
          </cell>
          <cell r="D1757" t="str">
            <v>Y</v>
          </cell>
          <cell r="E1757" t="str">
            <v>A</v>
          </cell>
          <cell r="F1757" t="str">
            <v>02/11/1998</v>
          </cell>
        </row>
        <row r="1758">
          <cell r="B1758" t="str">
            <v>A0869</v>
          </cell>
          <cell r="C1758" t="str">
            <v>004A</v>
          </cell>
          <cell r="D1758" t="str">
            <v>Y</v>
          </cell>
          <cell r="E1758" t="str">
            <v>A</v>
          </cell>
          <cell r="F1758" t="str">
            <v>11/10/1998</v>
          </cell>
        </row>
        <row r="1759">
          <cell r="B1759" t="str">
            <v>A0871</v>
          </cell>
          <cell r="C1759" t="str">
            <v>004F</v>
          </cell>
          <cell r="D1759" t="str">
            <v>Y</v>
          </cell>
          <cell r="E1759" t="str">
            <v>A</v>
          </cell>
          <cell r="F1759" t="str">
            <v>01/22/1999</v>
          </cell>
        </row>
        <row r="1760">
          <cell r="B1760" t="str">
            <v>A0877</v>
          </cell>
          <cell r="C1760" t="str">
            <v>AME</v>
          </cell>
          <cell r="D1760" t="str">
            <v>Y</v>
          </cell>
          <cell r="E1760" t="str">
            <v>A</v>
          </cell>
          <cell r="F1760" t="str">
            <v>12/22/1998</v>
          </cell>
        </row>
        <row r="1761">
          <cell r="B1761" t="str">
            <v>A0878</v>
          </cell>
          <cell r="C1761" t="str">
            <v>004B</v>
          </cell>
          <cell r="D1761" t="str">
            <v>Y</v>
          </cell>
          <cell r="E1761" t="str">
            <v>A</v>
          </cell>
          <cell r="F1761" t="str">
            <v>12/22/1998</v>
          </cell>
        </row>
        <row r="1762">
          <cell r="B1762" t="str">
            <v>A0880</v>
          </cell>
          <cell r="C1762" t="str">
            <v>010A</v>
          </cell>
          <cell r="D1762" t="str">
            <v>N</v>
          </cell>
          <cell r="E1762" t="str">
            <v>A</v>
          </cell>
          <cell r="F1762" t="str">
            <v>02/23/1999</v>
          </cell>
        </row>
        <row r="1763">
          <cell r="B1763" t="str">
            <v>A0881</v>
          </cell>
          <cell r="C1763" t="str">
            <v>AME</v>
          </cell>
          <cell r="D1763" t="str">
            <v>Y</v>
          </cell>
          <cell r="E1763" t="str">
            <v>A</v>
          </cell>
          <cell r="F1763" t="str">
            <v>02/23/1999</v>
          </cell>
        </row>
        <row r="1764">
          <cell r="B1764" t="str">
            <v>A0882</v>
          </cell>
          <cell r="C1764" t="str">
            <v>AMC</v>
          </cell>
          <cell r="D1764" t="str">
            <v>Y</v>
          </cell>
          <cell r="E1764" t="str">
            <v>A</v>
          </cell>
          <cell r="F1764" t="str">
            <v>03/02/1999</v>
          </cell>
        </row>
        <row r="1765">
          <cell r="B1765" t="str">
            <v>A0886</v>
          </cell>
          <cell r="C1765" t="str">
            <v>AME</v>
          </cell>
          <cell r="D1765" t="str">
            <v>Y</v>
          </cell>
          <cell r="E1765" t="str">
            <v>A</v>
          </cell>
          <cell r="F1765" t="str">
            <v>03/19/1999</v>
          </cell>
        </row>
        <row r="1766">
          <cell r="B1766" t="str">
            <v>A0887</v>
          </cell>
          <cell r="C1766" t="str">
            <v>AME</v>
          </cell>
          <cell r="D1766" t="str">
            <v>Y</v>
          </cell>
          <cell r="E1766" t="str">
            <v>A</v>
          </cell>
          <cell r="F1766" t="str">
            <v>03/19/1999</v>
          </cell>
        </row>
        <row r="1767">
          <cell r="B1767" t="str">
            <v>A0889</v>
          </cell>
          <cell r="C1767" t="str">
            <v>ERC</v>
          </cell>
          <cell r="D1767" t="str">
            <v>Y</v>
          </cell>
          <cell r="E1767" t="str">
            <v>A</v>
          </cell>
          <cell r="F1767" t="str">
            <v>04/13/1999</v>
          </cell>
        </row>
        <row r="1768">
          <cell r="B1768" t="str">
            <v>A0894</v>
          </cell>
          <cell r="C1768"/>
          <cell r="D1768" t="str">
            <v>Y</v>
          </cell>
          <cell r="E1768" t="str">
            <v>A</v>
          </cell>
          <cell r="F1768" t="str">
            <v>06/04/1999</v>
          </cell>
        </row>
        <row r="1769">
          <cell r="B1769" t="str">
            <v>A0896</v>
          </cell>
          <cell r="C1769" t="str">
            <v>UEC</v>
          </cell>
          <cell r="D1769" t="str">
            <v>Y</v>
          </cell>
          <cell r="E1769" t="str">
            <v>A</v>
          </cell>
          <cell r="F1769" t="str">
            <v>07/02/1999</v>
          </cell>
        </row>
        <row r="1770">
          <cell r="B1770" t="str">
            <v>A0897</v>
          </cell>
          <cell r="C1770" t="str">
            <v>CIP</v>
          </cell>
          <cell r="D1770" t="str">
            <v>Y</v>
          </cell>
          <cell r="E1770" t="str">
            <v>A</v>
          </cell>
          <cell r="F1770" t="str">
            <v>07/06/1999</v>
          </cell>
        </row>
        <row r="1771">
          <cell r="B1771" t="str">
            <v>A0898</v>
          </cell>
          <cell r="C1771" t="str">
            <v>001A</v>
          </cell>
          <cell r="D1771" t="str">
            <v>Y</v>
          </cell>
          <cell r="E1771" t="str">
            <v>A</v>
          </cell>
          <cell r="F1771" t="str">
            <v>07/06/1999</v>
          </cell>
        </row>
        <row r="1772">
          <cell r="B1772" t="str">
            <v>A0902</v>
          </cell>
          <cell r="C1772" t="str">
            <v>AME</v>
          </cell>
          <cell r="D1772" t="str">
            <v>Y</v>
          </cell>
          <cell r="E1772" t="str">
            <v>A</v>
          </cell>
          <cell r="F1772" t="str">
            <v>07/27/1999</v>
          </cell>
        </row>
        <row r="1773">
          <cell r="B1773" t="str">
            <v>A0904</v>
          </cell>
          <cell r="C1773" t="str">
            <v>AFS</v>
          </cell>
          <cell r="D1773" t="str">
            <v>Y</v>
          </cell>
          <cell r="E1773" t="str">
            <v>A</v>
          </cell>
          <cell r="F1773" t="str">
            <v>07/28/1999</v>
          </cell>
        </row>
        <row r="1774">
          <cell r="B1774" t="str">
            <v>A0906</v>
          </cell>
          <cell r="C1774" t="str">
            <v>AEC</v>
          </cell>
          <cell r="D1774" t="str">
            <v>Y</v>
          </cell>
          <cell r="E1774" t="str">
            <v>A</v>
          </cell>
          <cell r="F1774" t="str">
            <v>07/28/1999</v>
          </cell>
        </row>
        <row r="1775">
          <cell r="B1775" t="str">
            <v>A0910</v>
          </cell>
          <cell r="C1775" t="str">
            <v>AEC</v>
          </cell>
          <cell r="D1775" t="str">
            <v>Y</v>
          </cell>
          <cell r="E1775" t="str">
            <v>A</v>
          </cell>
          <cell r="F1775" t="str">
            <v>08/18/1999</v>
          </cell>
        </row>
        <row r="1776">
          <cell r="B1776" t="str">
            <v>A0912</v>
          </cell>
          <cell r="C1776" t="str">
            <v>AEC</v>
          </cell>
          <cell r="D1776" t="str">
            <v>Y</v>
          </cell>
          <cell r="E1776" t="str">
            <v>A</v>
          </cell>
          <cell r="F1776" t="str">
            <v>09/02/1999</v>
          </cell>
        </row>
        <row r="1777">
          <cell r="B1777" t="str">
            <v>A0926</v>
          </cell>
          <cell r="C1777" t="str">
            <v>010A</v>
          </cell>
          <cell r="D1777" t="str">
            <v>Y</v>
          </cell>
          <cell r="E1777" t="str">
            <v>A</v>
          </cell>
          <cell r="F1777" t="str">
            <v>09/27/1999</v>
          </cell>
        </row>
        <row r="1778">
          <cell r="B1778" t="str">
            <v>A0936</v>
          </cell>
          <cell r="C1778" t="str">
            <v>CIP</v>
          </cell>
          <cell r="D1778" t="str">
            <v>N</v>
          </cell>
          <cell r="E1778" t="str">
            <v>A</v>
          </cell>
          <cell r="F1778" t="str">
            <v>10/22/1999</v>
          </cell>
        </row>
        <row r="1779">
          <cell r="B1779" t="str">
            <v>A0940</v>
          </cell>
          <cell r="C1779" t="str">
            <v>002M</v>
          </cell>
          <cell r="D1779" t="str">
            <v>Y</v>
          </cell>
          <cell r="E1779" t="str">
            <v>A</v>
          </cell>
          <cell r="F1779" t="str">
            <v>10/22/1999</v>
          </cell>
        </row>
        <row r="1780">
          <cell r="B1780" t="str">
            <v>A0948</v>
          </cell>
          <cell r="C1780" t="str">
            <v>UEC</v>
          </cell>
          <cell r="D1780" t="str">
            <v>Y</v>
          </cell>
          <cell r="E1780" t="str">
            <v>A</v>
          </cell>
          <cell r="F1780" t="str">
            <v>11/08/1999</v>
          </cell>
        </row>
        <row r="1781">
          <cell r="B1781" t="str">
            <v>A0950</v>
          </cell>
          <cell r="C1781" t="str">
            <v>IHC</v>
          </cell>
          <cell r="D1781" t="str">
            <v>Y</v>
          </cell>
          <cell r="E1781" t="str">
            <v>A</v>
          </cell>
          <cell r="F1781" t="str">
            <v>11/12/1999</v>
          </cell>
        </row>
        <row r="1782">
          <cell r="B1782" t="str">
            <v>A0953</v>
          </cell>
          <cell r="C1782" t="str">
            <v>002F</v>
          </cell>
          <cell r="D1782" t="str">
            <v>Y</v>
          </cell>
          <cell r="E1782" t="str">
            <v>A</v>
          </cell>
          <cell r="F1782" t="str">
            <v>11/15/1999</v>
          </cell>
        </row>
        <row r="1783">
          <cell r="B1783" t="str">
            <v>A0954</v>
          </cell>
          <cell r="C1783" t="str">
            <v>017B</v>
          </cell>
          <cell r="D1783" t="str">
            <v>Y</v>
          </cell>
          <cell r="E1783" t="str">
            <v>A</v>
          </cell>
          <cell r="F1783" t="str">
            <v>11/19/1999</v>
          </cell>
        </row>
        <row r="1784">
          <cell r="B1784" t="str">
            <v>A0955</v>
          </cell>
          <cell r="C1784" t="str">
            <v>008C</v>
          </cell>
          <cell r="D1784" t="str">
            <v>Y</v>
          </cell>
          <cell r="E1784" t="str">
            <v>A</v>
          </cell>
          <cell r="F1784" t="str">
            <v>11/19/1999</v>
          </cell>
        </row>
        <row r="1785">
          <cell r="B1785" t="str">
            <v>A0957</v>
          </cell>
          <cell r="C1785" t="str">
            <v>007A</v>
          </cell>
          <cell r="D1785" t="str">
            <v>Y</v>
          </cell>
          <cell r="E1785" t="str">
            <v>A</v>
          </cell>
          <cell r="F1785" t="str">
            <v>11/19/1999</v>
          </cell>
        </row>
        <row r="1786">
          <cell r="B1786" t="str">
            <v>A0958</v>
          </cell>
          <cell r="C1786" t="str">
            <v>017A</v>
          </cell>
          <cell r="D1786" t="str">
            <v>Y</v>
          </cell>
          <cell r="E1786" t="str">
            <v>A</v>
          </cell>
          <cell r="F1786" t="str">
            <v>11/19/1999</v>
          </cell>
        </row>
        <row r="1787">
          <cell r="B1787" t="str">
            <v>A0959</v>
          </cell>
          <cell r="C1787" t="str">
            <v>001A</v>
          </cell>
          <cell r="D1787" t="str">
            <v>Y</v>
          </cell>
          <cell r="E1787" t="str">
            <v>A</v>
          </cell>
          <cell r="F1787" t="str">
            <v>11/22/1999</v>
          </cell>
        </row>
        <row r="1788">
          <cell r="B1788" t="str">
            <v>A0960</v>
          </cell>
          <cell r="C1788" t="str">
            <v>017C</v>
          </cell>
          <cell r="D1788" t="str">
            <v>Y</v>
          </cell>
          <cell r="E1788" t="str">
            <v>A</v>
          </cell>
          <cell r="F1788" t="str">
            <v>11/22/1999</v>
          </cell>
        </row>
        <row r="1789">
          <cell r="B1789" t="str">
            <v>A0961</v>
          </cell>
          <cell r="C1789" t="str">
            <v>007A</v>
          </cell>
          <cell r="D1789" t="str">
            <v>Y</v>
          </cell>
          <cell r="E1789" t="str">
            <v>A</v>
          </cell>
          <cell r="F1789" t="str">
            <v>11/22/1999</v>
          </cell>
        </row>
        <row r="1790">
          <cell r="B1790" t="str">
            <v>A0962</v>
          </cell>
          <cell r="C1790" t="str">
            <v>008C</v>
          </cell>
          <cell r="D1790" t="str">
            <v>Y</v>
          </cell>
          <cell r="E1790" t="str">
            <v>A</v>
          </cell>
          <cell r="F1790" t="str">
            <v>11/22/1999</v>
          </cell>
        </row>
        <row r="1791">
          <cell r="B1791" t="str">
            <v>A0963</v>
          </cell>
          <cell r="C1791" t="str">
            <v>015A</v>
          </cell>
          <cell r="D1791" t="str">
            <v>Y</v>
          </cell>
          <cell r="E1791" t="str">
            <v>A</v>
          </cell>
          <cell r="F1791" t="str">
            <v>11/22/1999</v>
          </cell>
        </row>
        <row r="1792">
          <cell r="B1792" t="str">
            <v>A0964</v>
          </cell>
          <cell r="C1792" t="str">
            <v>017C</v>
          </cell>
          <cell r="D1792" t="str">
            <v>Y</v>
          </cell>
          <cell r="E1792" t="str">
            <v>A</v>
          </cell>
          <cell r="F1792" t="str">
            <v>11/22/1999</v>
          </cell>
        </row>
        <row r="1793">
          <cell r="B1793" t="str">
            <v>A0966</v>
          </cell>
          <cell r="C1793" t="str">
            <v>011C</v>
          </cell>
          <cell r="D1793" t="str">
            <v>Y</v>
          </cell>
          <cell r="E1793" t="str">
            <v>A</v>
          </cell>
          <cell r="F1793" t="str">
            <v>11/22/1999</v>
          </cell>
        </row>
        <row r="1794">
          <cell r="B1794" t="str">
            <v>A0967</v>
          </cell>
          <cell r="C1794" t="str">
            <v>004A</v>
          </cell>
          <cell r="D1794" t="str">
            <v>Y</v>
          </cell>
          <cell r="E1794" t="str">
            <v>A</v>
          </cell>
          <cell r="F1794" t="str">
            <v>11/22/1999</v>
          </cell>
        </row>
        <row r="1795">
          <cell r="B1795" t="str">
            <v>A0968</v>
          </cell>
          <cell r="C1795" t="str">
            <v>002L</v>
          </cell>
          <cell r="D1795" t="str">
            <v>Y</v>
          </cell>
          <cell r="E1795" t="str">
            <v>A</v>
          </cell>
          <cell r="F1795" t="str">
            <v>11/22/1999</v>
          </cell>
        </row>
        <row r="1796">
          <cell r="B1796" t="str">
            <v>A0974</v>
          </cell>
          <cell r="C1796"/>
          <cell r="D1796" t="str">
            <v>Y</v>
          </cell>
          <cell r="E1796" t="str">
            <v>A</v>
          </cell>
          <cell r="F1796" t="str">
            <v>11/24/1999</v>
          </cell>
        </row>
        <row r="1797">
          <cell r="B1797" t="str">
            <v>A0975</v>
          </cell>
          <cell r="C1797" t="str">
            <v>003A</v>
          </cell>
          <cell r="D1797" t="str">
            <v>Y</v>
          </cell>
          <cell r="E1797" t="str">
            <v>A</v>
          </cell>
          <cell r="F1797" t="str">
            <v>11/24/1999</v>
          </cell>
        </row>
        <row r="1798">
          <cell r="B1798" t="str">
            <v>A0980</v>
          </cell>
          <cell r="C1798" t="str">
            <v>001A</v>
          </cell>
          <cell r="D1798" t="str">
            <v>N</v>
          </cell>
          <cell r="E1798" t="str">
            <v>A</v>
          </cell>
          <cell r="F1798" t="str">
            <v>11/24/1999</v>
          </cell>
        </row>
        <row r="1799">
          <cell r="B1799" t="str">
            <v>A0981</v>
          </cell>
          <cell r="C1799" t="str">
            <v>001A</v>
          </cell>
          <cell r="D1799" t="str">
            <v>Y</v>
          </cell>
          <cell r="E1799" t="str">
            <v>A</v>
          </cell>
          <cell r="F1799" t="str">
            <v>11/24/1999</v>
          </cell>
        </row>
        <row r="1800">
          <cell r="B1800" t="str">
            <v>A0983</v>
          </cell>
          <cell r="C1800" t="str">
            <v>002L</v>
          </cell>
          <cell r="D1800" t="str">
            <v>Y</v>
          </cell>
          <cell r="E1800" t="str">
            <v>A</v>
          </cell>
          <cell r="F1800" t="str">
            <v>11/26/1999</v>
          </cell>
        </row>
        <row r="1801">
          <cell r="B1801" t="str">
            <v>A0985</v>
          </cell>
          <cell r="C1801" t="str">
            <v>007A</v>
          </cell>
          <cell r="D1801" t="str">
            <v>Y</v>
          </cell>
          <cell r="E1801" t="str">
            <v>A</v>
          </cell>
          <cell r="F1801" t="str">
            <v>11/26/1999</v>
          </cell>
        </row>
        <row r="1802">
          <cell r="B1802" t="str">
            <v>A0986</v>
          </cell>
          <cell r="C1802"/>
          <cell r="D1802" t="str">
            <v>Y</v>
          </cell>
          <cell r="E1802" t="str">
            <v>A</v>
          </cell>
          <cell r="F1802" t="str">
            <v>11/26/1999</v>
          </cell>
        </row>
        <row r="1803">
          <cell r="B1803" t="str">
            <v>A0987</v>
          </cell>
          <cell r="C1803" t="str">
            <v>004A</v>
          </cell>
          <cell r="D1803" t="str">
            <v>Y</v>
          </cell>
          <cell r="E1803" t="str">
            <v>A</v>
          </cell>
          <cell r="F1803" t="str">
            <v>11/26/1999</v>
          </cell>
        </row>
        <row r="1804">
          <cell r="B1804" t="str">
            <v>A0988</v>
          </cell>
          <cell r="C1804" t="str">
            <v>018A</v>
          </cell>
          <cell r="D1804" t="str">
            <v>Y</v>
          </cell>
          <cell r="E1804" t="str">
            <v>A</v>
          </cell>
          <cell r="F1804" t="str">
            <v>11/26/1999</v>
          </cell>
        </row>
        <row r="1805">
          <cell r="B1805" t="str">
            <v>A0992</v>
          </cell>
          <cell r="C1805" t="str">
            <v>004A</v>
          </cell>
          <cell r="D1805" t="str">
            <v>Y</v>
          </cell>
          <cell r="E1805" t="str">
            <v>A</v>
          </cell>
          <cell r="F1805" t="str">
            <v>12/15/1999</v>
          </cell>
        </row>
        <row r="1806">
          <cell r="B1806" t="str">
            <v>A0993</v>
          </cell>
          <cell r="C1806" t="str">
            <v>004A</v>
          </cell>
          <cell r="D1806" t="str">
            <v>Y</v>
          </cell>
          <cell r="E1806" t="str">
            <v>A</v>
          </cell>
          <cell r="F1806" t="str">
            <v>12/15/1999</v>
          </cell>
        </row>
        <row r="1807">
          <cell r="B1807" t="str">
            <v>A0994</v>
          </cell>
          <cell r="C1807" t="str">
            <v>004A</v>
          </cell>
          <cell r="D1807" t="str">
            <v>Y</v>
          </cell>
          <cell r="E1807" t="str">
            <v>A</v>
          </cell>
          <cell r="F1807" t="str">
            <v>12/15/1999</v>
          </cell>
        </row>
        <row r="1808">
          <cell r="B1808" t="str">
            <v>A0999</v>
          </cell>
          <cell r="C1808" t="str">
            <v>004B</v>
          </cell>
          <cell r="D1808" t="str">
            <v>Y</v>
          </cell>
          <cell r="E1808" t="str">
            <v>A</v>
          </cell>
          <cell r="F1808" t="str">
            <v>12/21/1999</v>
          </cell>
        </row>
        <row r="1809">
          <cell r="B1809" t="str">
            <v>A1000</v>
          </cell>
          <cell r="C1809" t="str">
            <v>002A</v>
          </cell>
          <cell r="D1809" t="str">
            <v>Y</v>
          </cell>
          <cell r="E1809" t="str">
            <v>A</v>
          </cell>
          <cell r="F1809" t="str">
            <v>12/21/1999</v>
          </cell>
        </row>
        <row r="1810">
          <cell r="B1810" t="str">
            <v>A1001</v>
          </cell>
          <cell r="C1810" t="str">
            <v>GEN</v>
          </cell>
          <cell r="D1810" t="str">
            <v>Y</v>
          </cell>
          <cell r="E1810" t="str">
            <v>A</v>
          </cell>
          <cell r="F1810" t="str">
            <v>12/21/1999</v>
          </cell>
        </row>
        <row r="1811">
          <cell r="B1811" t="str">
            <v>A1002</v>
          </cell>
          <cell r="C1811" t="str">
            <v>002L</v>
          </cell>
          <cell r="D1811" t="str">
            <v>Y</v>
          </cell>
          <cell r="E1811" t="str">
            <v>A</v>
          </cell>
          <cell r="F1811" t="str">
            <v>12/22/1999</v>
          </cell>
        </row>
        <row r="1812">
          <cell r="B1812" t="str">
            <v>A1005</v>
          </cell>
          <cell r="C1812" t="str">
            <v>UEC</v>
          </cell>
          <cell r="D1812" t="str">
            <v>Y</v>
          </cell>
          <cell r="E1812" t="str">
            <v>A</v>
          </cell>
          <cell r="F1812" t="str">
            <v>12/22/1999</v>
          </cell>
        </row>
        <row r="1813">
          <cell r="B1813" t="str">
            <v>A1006</v>
          </cell>
          <cell r="C1813" t="str">
            <v>CIP</v>
          </cell>
          <cell r="D1813" t="str">
            <v>Y</v>
          </cell>
          <cell r="E1813" t="str">
            <v>A</v>
          </cell>
          <cell r="F1813" t="str">
            <v>12/22/1999</v>
          </cell>
        </row>
        <row r="1814">
          <cell r="B1814" t="str">
            <v>A1007</v>
          </cell>
          <cell r="C1814" t="str">
            <v>UEC</v>
          </cell>
          <cell r="D1814" t="str">
            <v>Y</v>
          </cell>
          <cell r="E1814" t="str">
            <v>A</v>
          </cell>
          <cell r="F1814" t="str">
            <v>12/22/1999</v>
          </cell>
        </row>
        <row r="1815">
          <cell r="B1815" t="str">
            <v>A1008</v>
          </cell>
          <cell r="C1815" t="str">
            <v>002K</v>
          </cell>
          <cell r="D1815" t="str">
            <v>Y</v>
          </cell>
          <cell r="E1815" t="str">
            <v>A</v>
          </cell>
          <cell r="F1815" t="str">
            <v>12/22/1999</v>
          </cell>
        </row>
        <row r="1816">
          <cell r="B1816" t="str">
            <v>A1009</v>
          </cell>
          <cell r="C1816" t="str">
            <v>002L</v>
          </cell>
          <cell r="D1816" t="str">
            <v>Y</v>
          </cell>
          <cell r="E1816" t="str">
            <v>A</v>
          </cell>
          <cell r="F1816" t="str">
            <v>12/22/1999</v>
          </cell>
        </row>
        <row r="1817">
          <cell r="B1817" t="str">
            <v>A1010</v>
          </cell>
          <cell r="C1817" t="str">
            <v>UEC</v>
          </cell>
          <cell r="D1817" t="str">
            <v>Y</v>
          </cell>
          <cell r="E1817" t="str">
            <v>A</v>
          </cell>
          <cell r="F1817" t="str">
            <v>12/22/1999</v>
          </cell>
        </row>
        <row r="1818">
          <cell r="B1818" t="str">
            <v>A1011</v>
          </cell>
          <cell r="C1818" t="str">
            <v>CIP</v>
          </cell>
          <cell r="D1818" t="str">
            <v>Y</v>
          </cell>
          <cell r="E1818" t="str">
            <v>A</v>
          </cell>
          <cell r="F1818" t="str">
            <v>12/22/1999</v>
          </cell>
        </row>
        <row r="1819">
          <cell r="B1819" t="str">
            <v>A1012</v>
          </cell>
          <cell r="C1819" t="str">
            <v>CIP</v>
          </cell>
          <cell r="D1819" t="str">
            <v>Y</v>
          </cell>
          <cell r="E1819" t="str">
            <v>A</v>
          </cell>
          <cell r="F1819" t="str">
            <v>12/22/1999</v>
          </cell>
        </row>
        <row r="1820">
          <cell r="B1820" t="str">
            <v>A1013</v>
          </cell>
          <cell r="C1820" t="str">
            <v>002M</v>
          </cell>
          <cell r="D1820" t="str">
            <v>Y</v>
          </cell>
          <cell r="E1820" t="str">
            <v>A</v>
          </cell>
          <cell r="F1820" t="str">
            <v>12/22/1999</v>
          </cell>
        </row>
        <row r="1821">
          <cell r="B1821" t="str">
            <v>A1014</v>
          </cell>
          <cell r="C1821" t="str">
            <v>002L</v>
          </cell>
          <cell r="D1821" t="str">
            <v>Y</v>
          </cell>
          <cell r="E1821" t="str">
            <v>A</v>
          </cell>
          <cell r="F1821" t="str">
            <v>12/22/1999</v>
          </cell>
        </row>
        <row r="1822">
          <cell r="B1822" t="str">
            <v>A1015</v>
          </cell>
          <cell r="C1822" t="str">
            <v>002F</v>
          </cell>
          <cell r="D1822" t="str">
            <v>Y</v>
          </cell>
          <cell r="E1822" t="str">
            <v>A</v>
          </cell>
          <cell r="F1822" t="str">
            <v>12/22/1999</v>
          </cell>
        </row>
        <row r="1823">
          <cell r="B1823" t="str">
            <v>A1017</v>
          </cell>
          <cell r="C1823" t="str">
            <v>002K</v>
          </cell>
          <cell r="D1823" t="str">
            <v>Y</v>
          </cell>
          <cell r="E1823" t="str">
            <v>A</v>
          </cell>
          <cell r="F1823" t="str">
            <v>01/04/2000</v>
          </cell>
        </row>
        <row r="1824">
          <cell r="B1824" t="str">
            <v>A1019</v>
          </cell>
          <cell r="C1824" t="str">
            <v>001A</v>
          </cell>
          <cell r="D1824" t="str">
            <v>Y</v>
          </cell>
          <cell r="E1824" t="str">
            <v>A</v>
          </cell>
          <cell r="F1824" t="str">
            <v>01/05/2000</v>
          </cell>
        </row>
        <row r="1825">
          <cell r="B1825" t="str">
            <v>A1020</v>
          </cell>
          <cell r="C1825" t="str">
            <v>001A</v>
          </cell>
          <cell r="D1825" t="str">
            <v>Y</v>
          </cell>
          <cell r="E1825" t="str">
            <v>I</v>
          </cell>
          <cell r="F1825" t="str">
            <v>01/05/2000</v>
          </cell>
        </row>
        <row r="1826">
          <cell r="B1826" t="str">
            <v>A1021</v>
          </cell>
          <cell r="C1826" t="str">
            <v>001A</v>
          </cell>
          <cell r="D1826" t="str">
            <v>Y</v>
          </cell>
          <cell r="E1826" t="str">
            <v>I</v>
          </cell>
          <cell r="F1826" t="str">
            <v>01/05/2000</v>
          </cell>
        </row>
        <row r="1827">
          <cell r="B1827" t="str">
            <v>A1022</v>
          </cell>
          <cell r="C1827" t="str">
            <v>001A</v>
          </cell>
          <cell r="D1827" t="str">
            <v>Y</v>
          </cell>
          <cell r="E1827" t="str">
            <v>I</v>
          </cell>
          <cell r="F1827" t="str">
            <v>01/05/2000</v>
          </cell>
        </row>
        <row r="1828">
          <cell r="B1828" t="str">
            <v>A1023</v>
          </cell>
          <cell r="C1828" t="str">
            <v>001A</v>
          </cell>
          <cell r="D1828" t="str">
            <v>Y</v>
          </cell>
          <cell r="E1828" t="str">
            <v>A</v>
          </cell>
          <cell r="F1828" t="str">
            <v>01/05/2000</v>
          </cell>
        </row>
        <row r="1829">
          <cell r="B1829" t="str">
            <v>A1024</v>
          </cell>
          <cell r="C1829" t="str">
            <v>008C</v>
          </cell>
          <cell r="D1829" t="str">
            <v>Y</v>
          </cell>
          <cell r="E1829" t="str">
            <v>A</v>
          </cell>
          <cell r="F1829" t="str">
            <v>01/05/2000</v>
          </cell>
        </row>
        <row r="1830">
          <cell r="B1830" t="str">
            <v>A1025</v>
          </cell>
          <cell r="C1830" t="str">
            <v>018A</v>
          </cell>
          <cell r="D1830" t="str">
            <v>Y</v>
          </cell>
          <cell r="E1830" t="str">
            <v>A</v>
          </cell>
          <cell r="F1830" t="str">
            <v>01/05/2000</v>
          </cell>
        </row>
        <row r="1831">
          <cell r="B1831" t="str">
            <v>A1026</v>
          </cell>
          <cell r="C1831" t="str">
            <v>CIP</v>
          </cell>
          <cell r="D1831" t="str">
            <v>N</v>
          </cell>
          <cell r="E1831" t="str">
            <v>A</v>
          </cell>
          <cell r="F1831" t="str">
            <v>01/05/2000</v>
          </cell>
        </row>
        <row r="1832">
          <cell r="B1832" t="str">
            <v>A1027</v>
          </cell>
          <cell r="C1832" t="str">
            <v>UEC</v>
          </cell>
          <cell r="D1832" t="str">
            <v>N</v>
          </cell>
          <cell r="E1832" t="str">
            <v>A</v>
          </cell>
          <cell r="F1832" t="str">
            <v>01/05/2000</v>
          </cell>
        </row>
        <row r="1833">
          <cell r="B1833" t="str">
            <v>A1028</v>
          </cell>
          <cell r="C1833" t="str">
            <v>UDC</v>
          </cell>
          <cell r="D1833" t="str">
            <v>N</v>
          </cell>
          <cell r="E1833" t="str">
            <v>A</v>
          </cell>
          <cell r="F1833" t="str">
            <v>01/06/2000</v>
          </cell>
        </row>
        <row r="1834">
          <cell r="B1834" t="str">
            <v>A1029</v>
          </cell>
          <cell r="C1834" t="str">
            <v>001A</v>
          </cell>
          <cell r="D1834" t="str">
            <v>N</v>
          </cell>
          <cell r="E1834" t="str">
            <v>A</v>
          </cell>
          <cell r="F1834" t="str">
            <v>01/06/2000</v>
          </cell>
        </row>
        <row r="1835">
          <cell r="B1835" t="str">
            <v>A1030</v>
          </cell>
          <cell r="C1835" t="str">
            <v>CIP</v>
          </cell>
          <cell r="D1835" t="str">
            <v>N</v>
          </cell>
          <cell r="E1835" t="str">
            <v>A</v>
          </cell>
          <cell r="F1835" t="str">
            <v>01/06/2000</v>
          </cell>
        </row>
        <row r="1836">
          <cell r="B1836" t="str">
            <v>A1031</v>
          </cell>
          <cell r="C1836" t="str">
            <v>UEC</v>
          </cell>
          <cell r="D1836" t="str">
            <v>N</v>
          </cell>
          <cell r="E1836" t="str">
            <v>A</v>
          </cell>
          <cell r="F1836" t="str">
            <v>01/06/2000</v>
          </cell>
        </row>
        <row r="1837">
          <cell r="B1837" t="str">
            <v>A1032</v>
          </cell>
          <cell r="C1837" t="str">
            <v>GEN</v>
          </cell>
          <cell r="D1837" t="str">
            <v>N</v>
          </cell>
          <cell r="E1837" t="str">
            <v>A</v>
          </cell>
          <cell r="F1837" t="str">
            <v>01/06/2000</v>
          </cell>
        </row>
        <row r="1838">
          <cell r="B1838" t="str">
            <v>A1033</v>
          </cell>
          <cell r="C1838" t="str">
            <v>UEC</v>
          </cell>
          <cell r="D1838" t="str">
            <v>N</v>
          </cell>
          <cell r="E1838" t="str">
            <v>A</v>
          </cell>
          <cell r="F1838" t="str">
            <v>01/06/2000</v>
          </cell>
        </row>
        <row r="1839">
          <cell r="B1839" t="str">
            <v>A1034</v>
          </cell>
          <cell r="C1839" t="str">
            <v>CIP</v>
          </cell>
          <cell r="D1839" t="str">
            <v>N</v>
          </cell>
          <cell r="E1839" t="str">
            <v>A</v>
          </cell>
          <cell r="F1839" t="str">
            <v>01/06/2000</v>
          </cell>
        </row>
        <row r="1840">
          <cell r="B1840" t="str">
            <v>A1035</v>
          </cell>
          <cell r="C1840" t="str">
            <v>UEC</v>
          </cell>
          <cell r="D1840" t="str">
            <v>N</v>
          </cell>
          <cell r="E1840" t="str">
            <v>A</v>
          </cell>
          <cell r="F1840" t="str">
            <v>01/06/2000</v>
          </cell>
        </row>
        <row r="1841">
          <cell r="B1841" t="str">
            <v>A1036</v>
          </cell>
          <cell r="C1841" t="str">
            <v>001A</v>
          </cell>
          <cell r="D1841" t="str">
            <v>N</v>
          </cell>
          <cell r="E1841" t="str">
            <v>A</v>
          </cell>
          <cell r="F1841" t="str">
            <v>01/06/2000</v>
          </cell>
        </row>
        <row r="1842">
          <cell r="B1842" t="str">
            <v>A1037</v>
          </cell>
          <cell r="C1842" t="str">
            <v>CIP</v>
          </cell>
          <cell r="D1842" t="str">
            <v>N</v>
          </cell>
          <cell r="E1842" t="str">
            <v>A</v>
          </cell>
          <cell r="F1842" t="str">
            <v>01/06/2000</v>
          </cell>
        </row>
        <row r="1843">
          <cell r="B1843" t="str">
            <v>A1038</v>
          </cell>
          <cell r="C1843" t="str">
            <v>UEC</v>
          </cell>
          <cell r="D1843" t="str">
            <v>N</v>
          </cell>
          <cell r="E1843" t="str">
            <v>A</v>
          </cell>
          <cell r="F1843" t="str">
            <v>01/06/2000</v>
          </cell>
        </row>
        <row r="1844">
          <cell r="B1844" t="str">
            <v>A1039</v>
          </cell>
          <cell r="C1844" t="str">
            <v>001A</v>
          </cell>
          <cell r="D1844" t="str">
            <v>N</v>
          </cell>
          <cell r="E1844" t="str">
            <v>A</v>
          </cell>
          <cell r="F1844" t="str">
            <v>01/06/2000</v>
          </cell>
        </row>
        <row r="1845">
          <cell r="B1845" t="str">
            <v>A1040</v>
          </cell>
          <cell r="C1845" t="str">
            <v>CIP</v>
          </cell>
          <cell r="D1845" t="str">
            <v>N</v>
          </cell>
          <cell r="E1845" t="str">
            <v>A</v>
          </cell>
          <cell r="F1845" t="str">
            <v>01/06/2000</v>
          </cell>
        </row>
        <row r="1846">
          <cell r="B1846" t="str">
            <v>A1041</v>
          </cell>
          <cell r="C1846" t="str">
            <v>UEC</v>
          </cell>
          <cell r="D1846" t="str">
            <v>N</v>
          </cell>
          <cell r="E1846" t="str">
            <v>A</v>
          </cell>
          <cell r="F1846" t="str">
            <v>01/06/2000</v>
          </cell>
        </row>
        <row r="1847">
          <cell r="B1847" t="str">
            <v>A1042</v>
          </cell>
          <cell r="C1847" t="str">
            <v>CIP</v>
          </cell>
          <cell r="D1847" t="str">
            <v>N</v>
          </cell>
          <cell r="E1847" t="str">
            <v>A</v>
          </cell>
          <cell r="F1847" t="str">
            <v>01/06/2000</v>
          </cell>
        </row>
        <row r="1848">
          <cell r="B1848" t="str">
            <v>A1043</v>
          </cell>
          <cell r="C1848" t="str">
            <v>UEC</v>
          </cell>
          <cell r="D1848" t="str">
            <v>N</v>
          </cell>
          <cell r="E1848" t="str">
            <v>A</v>
          </cell>
          <cell r="F1848" t="str">
            <v>01/06/2000</v>
          </cell>
        </row>
        <row r="1849">
          <cell r="B1849" t="str">
            <v>A1044</v>
          </cell>
          <cell r="C1849" t="str">
            <v>UEC</v>
          </cell>
          <cell r="D1849" t="str">
            <v>N</v>
          </cell>
          <cell r="E1849" t="str">
            <v>A</v>
          </cell>
          <cell r="F1849" t="str">
            <v>01/06/2000</v>
          </cell>
        </row>
        <row r="1850">
          <cell r="B1850" t="str">
            <v>A1045</v>
          </cell>
          <cell r="C1850" t="str">
            <v>012D</v>
          </cell>
          <cell r="D1850" t="str">
            <v>N</v>
          </cell>
          <cell r="E1850" t="str">
            <v>A</v>
          </cell>
          <cell r="F1850" t="str">
            <v>01/06/2000</v>
          </cell>
        </row>
        <row r="1851">
          <cell r="B1851" t="str">
            <v>A1046</v>
          </cell>
          <cell r="C1851" t="str">
            <v>003A</v>
          </cell>
          <cell r="D1851" t="str">
            <v>N</v>
          </cell>
          <cell r="E1851" t="str">
            <v>A</v>
          </cell>
          <cell r="F1851" t="str">
            <v>01/06/2000</v>
          </cell>
        </row>
        <row r="1852">
          <cell r="B1852" t="str">
            <v>A1047</v>
          </cell>
          <cell r="C1852"/>
          <cell r="D1852" t="str">
            <v>N</v>
          </cell>
          <cell r="E1852" t="str">
            <v>A</v>
          </cell>
          <cell r="F1852" t="str">
            <v>01/06/2000</v>
          </cell>
        </row>
        <row r="1853">
          <cell r="B1853" t="str">
            <v>A1048</v>
          </cell>
          <cell r="C1853" t="str">
            <v>001A</v>
          </cell>
          <cell r="D1853" t="str">
            <v>N</v>
          </cell>
          <cell r="E1853" t="str">
            <v>A</v>
          </cell>
          <cell r="F1853" t="str">
            <v>01/06/2000</v>
          </cell>
        </row>
        <row r="1854">
          <cell r="B1854" t="str">
            <v>A1049</v>
          </cell>
          <cell r="C1854" t="str">
            <v>001A</v>
          </cell>
          <cell r="D1854" t="str">
            <v>Y</v>
          </cell>
          <cell r="E1854" t="str">
            <v>A</v>
          </cell>
          <cell r="F1854" t="str">
            <v>01/06/2000</v>
          </cell>
        </row>
        <row r="1855">
          <cell r="B1855" t="str">
            <v>A1050</v>
          </cell>
          <cell r="C1855" t="str">
            <v>CIP</v>
          </cell>
          <cell r="D1855" t="str">
            <v>Y</v>
          </cell>
          <cell r="E1855" t="str">
            <v>A</v>
          </cell>
          <cell r="F1855" t="str">
            <v>01/06/2000</v>
          </cell>
        </row>
        <row r="1856">
          <cell r="B1856" t="str">
            <v>A1051</v>
          </cell>
          <cell r="C1856" t="str">
            <v>UEC</v>
          </cell>
          <cell r="D1856" t="str">
            <v>Y</v>
          </cell>
          <cell r="E1856" t="str">
            <v>A</v>
          </cell>
          <cell r="F1856" t="str">
            <v>01/06/2000</v>
          </cell>
        </row>
        <row r="1857">
          <cell r="B1857" t="str">
            <v>A1052</v>
          </cell>
          <cell r="C1857" t="str">
            <v>001A</v>
          </cell>
          <cell r="D1857" t="str">
            <v>Y</v>
          </cell>
          <cell r="E1857" t="str">
            <v>A</v>
          </cell>
          <cell r="F1857" t="str">
            <v>01/06/2000</v>
          </cell>
        </row>
        <row r="1858">
          <cell r="B1858" t="str">
            <v>A1054</v>
          </cell>
          <cell r="C1858" t="str">
            <v>IHC</v>
          </cell>
          <cell r="D1858" t="str">
            <v>Y</v>
          </cell>
          <cell r="E1858" t="str">
            <v>A</v>
          </cell>
          <cell r="F1858" t="str">
            <v>01/07/2000</v>
          </cell>
        </row>
        <row r="1859">
          <cell r="B1859" t="str">
            <v>A1055</v>
          </cell>
          <cell r="C1859"/>
          <cell r="D1859" t="str">
            <v>Y</v>
          </cell>
          <cell r="E1859" t="str">
            <v>A</v>
          </cell>
          <cell r="F1859" t="str">
            <v>01/09/2000</v>
          </cell>
        </row>
        <row r="1860">
          <cell r="B1860" t="str">
            <v>A1056</v>
          </cell>
          <cell r="C1860"/>
          <cell r="D1860" t="str">
            <v>Y</v>
          </cell>
          <cell r="E1860" t="str">
            <v>A</v>
          </cell>
          <cell r="F1860" t="str">
            <v>01/09/2000</v>
          </cell>
        </row>
        <row r="1861">
          <cell r="B1861" t="str">
            <v>A1057</v>
          </cell>
          <cell r="C1861"/>
          <cell r="D1861" t="str">
            <v>Y</v>
          </cell>
          <cell r="E1861" t="str">
            <v>A</v>
          </cell>
          <cell r="F1861" t="str">
            <v>01/09/2000</v>
          </cell>
        </row>
        <row r="1862">
          <cell r="B1862" t="str">
            <v>A1059</v>
          </cell>
          <cell r="C1862"/>
          <cell r="D1862" t="str">
            <v>Y</v>
          </cell>
          <cell r="E1862" t="str">
            <v>A</v>
          </cell>
          <cell r="F1862" t="str">
            <v>01/09/2000</v>
          </cell>
        </row>
        <row r="1863">
          <cell r="B1863" t="str">
            <v>A1063</v>
          </cell>
          <cell r="C1863" t="str">
            <v>002L</v>
          </cell>
          <cell r="D1863" t="str">
            <v>Y</v>
          </cell>
          <cell r="E1863" t="str">
            <v>A</v>
          </cell>
          <cell r="F1863" t="str">
            <v>01/12/2000</v>
          </cell>
        </row>
        <row r="1864">
          <cell r="B1864" t="str">
            <v>A1064</v>
          </cell>
          <cell r="C1864" t="str">
            <v>UEC</v>
          </cell>
          <cell r="D1864" t="str">
            <v>Y</v>
          </cell>
          <cell r="E1864" t="str">
            <v>A</v>
          </cell>
          <cell r="F1864" t="str">
            <v>01/12/2000</v>
          </cell>
        </row>
        <row r="1865">
          <cell r="B1865" t="str">
            <v>A1065</v>
          </cell>
          <cell r="C1865" t="str">
            <v>CIP</v>
          </cell>
          <cell r="D1865" t="str">
            <v>N</v>
          </cell>
          <cell r="E1865" t="str">
            <v>A</v>
          </cell>
          <cell r="F1865" t="str">
            <v>01/12/2000</v>
          </cell>
        </row>
        <row r="1866">
          <cell r="B1866" t="str">
            <v>A1066</v>
          </cell>
          <cell r="C1866" t="str">
            <v>017A</v>
          </cell>
          <cell r="D1866" t="str">
            <v>Y</v>
          </cell>
          <cell r="E1866" t="str">
            <v>A</v>
          </cell>
          <cell r="F1866" t="str">
            <v>01/14/2000</v>
          </cell>
        </row>
        <row r="1867">
          <cell r="B1867" t="str">
            <v>A1067</v>
          </cell>
          <cell r="C1867" t="str">
            <v>011C</v>
          </cell>
          <cell r="D1867" t="str">
            <v>Y</v>
          </cell>
          <cell r="E1867" t="str">
            <v>A</v>
          </cell>
          <cell r="F1867" t="str">
            <v>01/14/2000</v>
          </cell>
        </row>
        <row r="1868">
          <cell r="B1868" t="str">
            <v>A1068</v>
          </cell>
          <cell r="C1868" t="str">
            <v>004A</v>
          </cell>
          <cell r="D1868" t="str">
            <v>Y</v>
          </cell>
          <cell r="E1868" t="str">
            <v>A</v>
          </cell>
          <cell r="F1868" t="str">
            <v>01/14/2000</v>
          </cell>
        </row>
        <row r="1869">
          <cell r="B1869" t="str">
            <v>A1069</v>
          </cell>
          <cell r="C1869" t="str">
            <v>002L</v>
          </cell>
          <cell r="D1869" t="str">
            <v>Y</v>
          </cell>
          <cell r="E1869" t="str">
            <v>A</v>
          </cell>
          <cell r="F1869" t="str">
            <v>01/14/2000</v>
          </cell>
        </row>
        <row r="1870">
          <cell r="B1870" t="str">
            <v>A1078</v>
          </cell>
          <cell r="C1870" t="str">
            <v>002L</v>
          </cell>
          <cell r="D1870" t="str">
            <v>Y</v>
          </cell>
          <cell r="E1870" t="str">
            <v>A</v>
          </cell>
          <cell r="F1870" t="str">
            <v>01/20/2000</v>
          </cell>
        </row>
        <row r="1871">
          <cell r="B1871" t="str">
            <v>A1080</v>
          </cell>
          <cell r="C1871" t="str">
            <v>AED</v>
          </cell>
          <cell r="D1871" t="str">
            <v>Y</v>
          </cell>
          <cell r="E1871" t="str">
            <v>A</v>
          </cell>
          <cell r="F1871" t="str">
            <v>01/21/2000</v>
          </cell>
        </row>
        <row r="1872">
          <cell r="B1872" t="str">
            <v>A1081</v>
          </cell>
          <cell r="C1872" t="str">
            <v>UEC</v>
          </cell>
          <cell r="D1872" t="str">
            <v>Y</v>
          </cell>
          <cell r="E1872" t="str">
            <v>A</v>
          </cell>
          <cell r="F1872" t="str">
            <v>01/21/2000</v>
          </cell>
        </row>
        <row r="1873">
          <cell r="B1873" t="str">
            <v>A1084</v>
          </cell>
          <cell r="C1873" t="str">
            <v>GEN</v>
          </cell>
          <cell r="D1873" t="str">
            <v>Y</v>
          </cell>
          <cell r="E1873" t="str">
            <v>A</v>
          </cell>
          <cell r="F1873" t="str">
            <v>01/24/2000</v>
          </cell>
        </row>
        <row r="1874">
          <cell r="B1874" t="str">
            <v>A1085</v>
          </cell>
          <cell r="C1874" t="str">
            <v>011A</v>
          </cell>
          <cell r="D1874" t="str">
            <v>Y</v>
          </cell>
          <cell r="E1874" t="str">
            <v>A</v>
          </cell>
          <cell r="F1874" t="str">
            <v>01/24/2000</v>
          </cell>
        </row>
        <row r="1875">
          <cell r="B1875" t="str">
            <v>A1086</v>
          </cell>
          <cell r="C1875" t="str">
            <v>UEC</v>
          </cell>
          <cell r="D1875" t="str">
            <v>Y</v>
          </cell>
          <cell r="E1875" t="str">
            <v>A</v>
          </cell>
          <cell r="F1875" t="str">
            <v>01/24/2000</v>
          </cell>
        </row>
        <row r="1876">
          <cell r="B1876" t="str">
            <v>A1087</v>
          </cell>
          <cell r="C1876" t="str">
            <v>UEC</v>
          </cell>
          <cell r="D1876" t="str">
            <v>Y</v>
          </cell>
          <cell r="E1876" t="str">
            <v>A</v>
          </cell>
          <cell r="F1876" t="str">
            <v>01/26/2000</v>
          </cell>
        </row>
        <row r="1877">
          <cell r="B1877" t="str">
            <v>A1088</v>
          </cell>
          <cell r="C1877" t="str">
            <v>CIP</v>
          </cell>
          <cell r="D1877" t="str">
            <v>Y</v>
          </cell>
          <cell r="E1877" t="str">
            <v>A</v>
          </cell>
          <cell r="F1877" t="str">
            <v>01/26/2000</v>
          </cell>
        </row>
        <row r="1878">
          <cell r="B1878" t="str">
            <v>A1089</v>
          </cell>
          <cell r="C1878" t="str">
            <v>002L</v>
          </cell>
          <cell r="D1878" t="str">
            <v>Y</v>
          </cell>
          <cell r="E1878" t="str">
            <v>A</v>
          </cell>
          <cell r="F1878" t="str">
            <v>01/26/2000</v>
          </cell>
        </row>
        <row r="1879">
          <cell r="B1879" t="str">
            <v>A1100</v>
          </cell>
          <cell r="C1879" t="str">
            <v>UEC</v>
          </cell>
          <cell r="D1879" t="str">
            <v>Y</v>
          </cell>
          <cell r="E1879" t="str">
            <v>A</v>
          </cell>
          <cell r="F1879" t="str">
            <v>02/02/2000</v>
          </cell>
        </row>
        <row r="1880">
          <cell r="B1880" t="str">
            <v>A1103</v>
          </cell>
          <cell r="C1880" t="str">
            <v>CIP</v>
          </cell>
          <cell r="D1880" t="str">
            <v>Y</v>
          </cell>
          <cell r="E1880" t="str">
            <v>A</v>
          </cell>
          <cell r="F1880" t="str">
            <v>02/03/2000</v>
          </cell>
        </row>
        <row r="1881">
          <cell r="B1881" t="str">
            <v>A1107</v>
          </cell>
          <cell r="C1881" t="str">
            <v>IMS</v>
          </cell>
          <cell r="D1881" t="str">
            <v>Y</v>
          </cell>
          <cell r="E1881" t="str">
            <v>A</v>
          </cell>
          <cell r="F1881" t="str">
            <v>02/17/2000</v>
          </cell>
        </row>
        <row r="1882">
          <cell r="B1882" t="str">
            <v>A1111</v>
          </cell>
          <cell r="C1882" t="str">
            <v>ERC</v>
          </cell>
          <cell r="D1882" t="str">
            <v>Y</v>
          </cell>
          <cell r="E1882" t="str">
            <v>A</v>
          </cell>
          <cell r="F1882" t="str">
            <v>02/22/2000</v>
          </cell>
        </row>
        <row r="1883">
          <cell r="B1883" t="str">
            <v>A1112</v>
          </cell>
          <cell r="C1883" t="str">
            <v>011A</v>
          </cell>
          <cell r="D1883" t="str">
            <v>Y</v>
          </cell>
          <cell r="E1883" t="str">
            <v>A</v>
          </cell>
          <cell r="F1883" t="str">
            <v>02/23/2000</v>
          </cell>
        </row>
        <row r="1884">
          <cell r="B1884" t="str">
            <v>A1113</v>
          </cell>
          <cell r="C1884" t="str">
            <v>003A</v>
          </cell>
          <cell r="D1884" t="str">
            <v>Y</v>
          </cell>
          <cell r="E1884" t="str">
            <v>A</v>
          </cell>
          <cell r="F1884" t="str">
            <v>02/23/2000</v>
          </cell>
        </row>
        <row r="1885">
          <cell r="B1885" t="str">
            <v>A1114</v>
          </cell>
          <cell r="C1885" t="str">
            <v>003A</v>
          </cell>
          <cell r="D1885" t="str">
            <v>Y</v>
          </cell>
          <cell r="E1885" t="str">
            <v>A</v>
          </cell>
          <cell r="F1885" t="str">
            <v>02/23/2000</v>
          </cell>
        </row>
        <row r="1886">
          <cell r="B1886" t="str">
            <v>A1115</v>
          </cell>
          <cell r="C1886" t="str">
            <v>GEN</v>
          </cell>
          <cell r="D1886" t="str">
            <v>Y</v>
          </cell>
          <cell r="E1886" t="str">
            <v>A</v>
          </cell>
          <cell r="F1886" t="str">
            <v>02/23/2000</v>
          </cell>
        </row>
        <row r="1887">
          <cell r="B1887" t="str">
            <v>A1116</v>
          </cell>
          <cell r="C1887" t="str">
            <v>UEC</v>
          </cell>
          <cell r="D1887" t="str">
            <v>Y</v>
          </cell>
          <cell r="E1887" t="str">
            <v>A</v>
          </cell>
          <cell r="F1887" t="str">
            <v>02/24/2000</v>
          </cell>
        </row>
        <row r="1888">
          <cell r="B1888" t="str">
            <v>A1117</v>
          </cell>
          <cell r="C1888" t="str">
            <v>UEC</v>
          </cell>
          <cell r="D1888" t="str">
            <v>Y</v>
          </cell>
          <cell r="E1888" t="str">
            <v>A</v>
          </cell>
          <cell r="F1888" t="str">
            <v>02/24/2000</v>
          </cell>
        </row>
        <row r="1889">
          <cell r="B1889" t="str">
            <v>A1118</v>
          </cell>
          <cell r="C1889" t="str">
            <v>UEC</v>
          </cell>
          <cell r="D1889" t="str">
            <v>Y</v>
          </cell>
          <cell r="E1889" t="str">
            <v>A</v>
          </cell>
          <cell r="F1889" t="str">
            <v>02/24/2000</v>
          </cell>
        </row>
        <row r="1890">
          <cell r="B1890" t="str">
            <v>A1119</v>
          </cell>
          <cell r="C1890" t="str">
            <v>CIP</v>
          </cell>
          <cell r="D1890" t="str">
            <v>Y</v>
          </cell>
          <cell r="E1890" t="str">
            <v>A</v>
          </cell>
          <cell r="F1890" t="str">
            <v>02/24/2000</v>
          </cell>
        </row>
        <row r="1891">
          <cell r="B1891" t="str">
            <v>A1120</v>
          </cell>
          <cell r="C1891" t="str">
            <v>UEC</v>
          </cell>
          <cell r="D1891" t="str">
            <v>Y</v>
          </cell>
          <cell r="E1891" t="str">
            <v>A</v>
          </cell>
          <cell r="F1891" t="str">
            <v>02/24/2000</v>
          </cell>
        </row>
        <row r="1892">
          <cell r="B1892" t="str">
            <v>A1121</v>
          </cell>
          <cell r="C1892" t="str">
            <v>GEN</v>
          </cell>
          <cell r="D1892" t="str">
            <v>Y</v>
          </cell>
          <cell r="E1892" t="str">
            <v>A</v>
          </cell>
          <cell r="F1892" t="str">
            <v>02/24/2000</v>
          </cell>
        </row>
        <row r="1893">
          <cell r="B1893" t="str">
            <v>A1122</v>
          </cell>
          <cell r="C1893" t="str">
            <v>UEC</v>
          </cell>
          <cell r="D1893" t="str">
            <v>Y</v>
          </cell>
          <cell r="E1893" t="str">
            <v>A</v>
          </cell>
          <cell r="F1893" t="str">
            <v>02/24/2000</v>
          </cell>
        </row>
        <row r="1894">
          <cell r="B1894" t="str">
            <v>A1123</v>
          </cell>
          <cell r="C1894" t="str">
            <v>UEC</v>
          </cell>
          <cell r="D1894" t="str">
            <v>Y</v>
          </cell>
          <cell r="E1894" t="str">
            <v>A</v>
          </cell>
          <cell r="F1894" t="str">
            <v>02/24/2000</v>
          </cell>
        </row>
        <row r="1895">
          <cell r="B1895" t="str">
            <v>A1124</v>
          </cell>
          <cell r="C1895" t="str">
            <v>CIP</v>
          </cell>
          <cell r="D1895" t="str">
            <v>Y</v>
          </cell>
          <cell r="E1895" t="str">
            <v>A</v>
          </cell>
          <cell r="F1895" t="str">
            <v>02/24/2000</v>
          </cell>
        </row>
        <row r="1896">
          <cell r="B1896" t="str">
            <v>A1129</v>
          </cell>
          <cell r="C1896" t="str">
            <v>004F</v>
          </cell>
          <cell r="D1896" t="str">
            <v>Y</v>
          </cell>
          <cell r="E1896" t="str">
            <v>A</v>
          </cell>
          <cell r="F1896" t="str">
            <v>03/01/2000</v>
          </cell>
        </row>
        <row r="1897">
          <cell r="B1897" t="str">
            <v>A1134</v>
          </cell>
          <cell r="C1897" t="str">
            <v>002M</v>
          </cell>
          <cell r="D1897" t="str">
            <v>Y</v>
          </cell>
          <cell r="E1897" t="str">
            <v>C</v>
          </cell>
          <cell r="F1897" t="str">
            <v>03/10/2000</v>
          </cell>
        </row>
        <row r="1898">
          <cell r="B1898" t="str">
            <v>A1135</v>
          </cell>
          <cell r="C1898" t="str">
            <v>002M</v>
          </cell>
          <cell r="D1898" t="str">
            <v>Y</v>
          </cell>
          <cell r="E1898" t="str">
            <v>C</v>
          </cell>
          <cell r="F1898" t="str">
            <v>03/10/2000</v>
          </cell>
        </row>
        <row r="1899">
          <cell r="B1899" t="str">
            <v>A1136</v>
          </cell>
          <cell r="C1899" t="str">
            <v>001A</v>
          </cell>
          <cell r="D1899" t="str">
            <v>Y</v>
          </cell>
          <cell r="E1899" t="str">
            <v>A</v>
          </cell>
          <cell r="F1899" t="str">
            <v>03/23/2000</v>
          </cell>
        </row>
        <row r="1900">
          <cell r="B1900" t="str">
            <v>A1138</v>
          </cell>
          <cell r="C1900" t="str">
            <v>ADC</v>
          </cell>
          <cell r="D1900" t="str">
            <v>Y</v>
          </cell>
          <cell r="E1900" t="str">
            <v>A</v>
          </cell>
          <cell r="F1900" t="str">
            <v>04/06/2000</v>
          </cell>
        </row>
        <row r="1901">
          <cell r="B1901" t="str">
            <v>A1147</v>
          </cell>
          <cell r="C1901" t="str">
            <v>AED</v>
          </cell>
          <cell r="D1901" t="str">
            <v>Y</v>
          </cell>
          <cell r="E1901" t="str">
            <v>A</v>
          </cell>
          <cell r="F1901" t="str">
            <v>04/07/2000</v>
          </cell>
        </row>
        <row r="1902">
          <cell r="B1902" t="str">
            <v>A1155</v>
          </cell>
          <cell r="C1902" t="str">
            <v>GEN</v>
          </cell>
          <cell r="D1902" t="str">
            <v>Y</v>
          </cell>
          <cell r="E1902" t="str">
            <v>A</v>
          </cell>
          <cell r="F1902" t="str">
            <v>04/24/2000</v>
          </cell>
        </row>
        <row r="1903">
          <cell r="B1903" t="str">
            <v>A1163</v>
          </cell>
          <cell r="C1903" t="str">
            <v>GMC</v>
          </cell>
          <cell r="D1903" t="str">
            <v>Y</v>
          </cell>
          <cell r="E1903" t="str">
            <v>A</v>
          </cell>
          <cell r="F1903" t="str">
            <v>04/24/2000</v>
          </cell>
        </row>
        <row r="1904">
          <cell r="B1904" t="str">
            <v>A1171</v>
          </cell>
          <cell r="C1904" t="str">
            <v>001A</v>
          </cell>
          <cell r="D1904" t="str">
            <v>Y</v>
          </cell>
          <cell r="E1904" t="str">
            <v>A</v>
          </cell>
          <cell r="F1904" t="str">
            <v>04/26/2000</v>
          </cell>
        </row>
        <row r="1905">
          <cell r="B1905" t="str">
            <v>A1175</v>
          </cell>
          <cell r="C1905" t="str">
            <v>GEN</v>
          </cell>
          <cell r="D1905" t="str">
            <v>Y</v>
          </cell>
          <cell r="E1905" t="str">
            <v>A</v>
          </cell>
          <cell r="F1905" t="str">
            <v>04/27/2000</v>
          </cell>
        </row>
        <row r="1906">
          <cell r="B1906" t="str">
            <v>A1176</v>
          </cell>
          <cell r="C1906" t="str">
            <v>GEN</v>
          </cell>
          <cell r="D1906" t="str">
            <v>Y</v>
          </cell>
          <cell r="E1906" t="str">
            <v>A</v>
          </cell>
          <cell r="F1906" t="str">
            <v>04/27/2000</v>
          </cell>
        </row>
        <row r="1907">
          <cell r="B1907" t="str">
            <v>A1181</v>
          </cell>
          <cell r="C1907" t="str">
            <v>GEN</v>
          </cell>
          <cell r="D1907" t="str">
            <v>N</v>
          </cell>
          <cell r="E1907" t="str">
            <v>A</v>
          </cell>
          <cell r="F1907" t="str">
            <v>04/27/2000</v>
          </cell>
        </row>
        <row r="1908">
          <cell r="B1908" t="str">
            <v>A1182</v>
          </cell>
          <cell r="C1908" t="str">
            <v>GEN</v>
          </cell>
          <cell r="D1908" t="str">
            <v>N</v>
          </cell>
          <cell r="E1908" t="str">
            <v>A</v>
          </cell>
          <cell r="F1908" t="str">
            <v>04/27/2000</v>
          </cell>
        </row>
        <row r="1909">
          <cell r="B1909" t="str">
            <v>A1187</v>
          </cell>
          <cell r="C1909" t="str">
            <v>GMC</v>
          </cell>
          <cell r="D1909" t="str">
            <v>Y</v>
          </cell>
          <cell r="E1909" t="str">
            <v>A</v>
          </cell>
          <cell r="F1909" t="str">
            <v>04/28/2000</v>
          </cell>
        </row>
        <row r="1910">
          <cell r="B1910" t="str">
            <v>A1188</v>
          </cell>
          <cell r="C1910" t="str">
            <v>GEN</v>
          </cell>
          <cell r="D1910" t="str">
            <v>Y</v>
          </cell>
          <cell r="E1910" t="str">
            <v>A</v>
          </cell>
          <cell r="F1910" t="str">
            <v>04/28/2000</v>
          </cell>
        </row>
        <row r="1911">
          <cell r="B1911" t="str">
            <v>A1191</v>
          </cell>
          <cell r="C1911" t="str">
            <v>UEC</v>
          </cell>
          <cell r="D1911" t="str">
            <v>Y</v>
          </cell>
          <cell r="E1911" t="str">
            <v>A</v>
          </cell>
          <cell r="F1911" t="str">
            <v>05/01/2000</v>
          </cell>
        </row>
        <row r="1912">
          <cell r="B1912" t="str">
            <v>A1193</v>
          </cell>
          <cell r="C1912" t="str">
            <v>UEC</v>
          </cell>
          <cell r="D1912" t="str">
            <v>Y</v>
          </cell>
          <cell r="E1912" t="str">
            <v>A</v>
          </cell>
          <cell r="F1912" t="str">
            <v>05/01/2000</v>
          </cell>
        </row>
        <row r="1913">
          <cell r="B1913" t="str">
            <v>A1195</v>
          </cell>
          <cell r="C1913" t="str">
            <v>UEC</v>
          </cell>
          <cell r="D1913" t="str">
            <v>Y</v>
          </cell>
          <cell r="E1913" t="str">
            <v>A</v>
          </cell>
          <cell r="F1913" t="str">
            <v>05/01/2000</v>
          </cell>
        </row>
        <row r="1914">
          <cell r="B1914" t="str">
            <v>A1197</v>
          </cell>
          <cell r="C1914" t="str">
            <v>UEC</v>
          </cell>
          <cell r="D1914" t="str">
            <v>Y</v>
          </cell>
          <cell r="E1914" t="str">
            <v>A</v>
          </cell>
          <cell r="F1914" t="str">
            <v>05/01/2000</v>
          </cell>
        </row>
        <row r="1915">
          <cell r="B1915" t="str">
            <v>A1198</v>
          </cell>
          <cell r="C1915" t="str">
            <v>UEC</v>
          </cell>
          <cell r="D1915" t="str">
            <v>Y</v>
          </cell>
          <cell r="E1915" t="str">
            <v>A</v>
          </cell>
          <cell r="F1915" t="str">
            <v>05/01/2000</v>
          </cell>
        </row>
        <row r="1916">
          <cell r="B1916" t="str">
            <v>A1200</v>
          </cell>
          <cell r="C1916" t="str">
            <v>UEC</v>
          </cell>
          <cell r="D1916" t="str">
            <v>Y</v>
          </cell>
          <cell r="E1916" t="str">
            <v>A</v>
          </cell>
          <cell r="F1916" t="str">
            <v>05/01/2000</v>
          </cell>
        </row>
        <row r="1917">
          <cell r="B1917" t="str">
            <v>A1202</v>
          </cell>
          <cell r="C1917" t="str">
            <v>UEC</v>
          </cell>
          <cell r="D1917" t="str">
            <v>Y</v>
          </cell>
          <cell r="E1917" t="str">
            <v>A</v>
          </cell>
          <cell r="F1917" t="str">
            <v>05/02/2000</v>
          </cell>
        </row>
        <row r="1918">
          <cell r="B1918" t="str">
            <v>A1203</v>
          </cell>
          <cell r="C1918" t="str">
            <v>UEC</v>
          </cell>
          <cell r="D1918" t="str">
            <v>Y</v>
          </cell>
          <cell r="E1918" t="str">
            <v>A</v>
          </cell>
          <cell r="F1918" t="str">
            <v>05/02/2000</v>
          </cell>
        </row>
        <row r="1919">
          <cell r="B1919" t="str">
            <v>A1204</v>
          </cell>
          <cell r="C1919" t="str">
            <v>UEC</v>
          </cell>
          <cell r="D1919" t="str">
            <v>Y</v>
          </cell>
          <cell r="E1919" t="str">
            <v>A</v>
          </cell>
          <cell r="F1919" t="str">
            <v>05/02/2000</v>
          </cell>
        </row>
        <row r="1920">
          <cell r="B1920" t="str">
            <v>A1206</v>
          </cell>
          <cell r="C1920" t="str">
            <v>GEN</v>
          </cell>
          <cell r="D1920" t="str">
            <v>Y</v>
          </cell>
          <cell r="E1920" t="str">
            <v>A</v>
          </cell>
          <cell r="F1920" t="str">
            <v>05/03/2000</v>
          </cell>
        </row>
        <row r="1921">
          <cell r="B1921" t="str">
            <v>A1207</v>
          </cell>
          <cell r="C1921" t="str">
            <v>AED</v>
          </cell>
          <cell r="D1921" t="str">
            <v>Y</v>
          </cell>
          <cell r="E1921" t="str">
            <v>A</v>
          </cell>
          <cell r="F1921" t="str">
            <v>05/03/2000</v>
          </cell>
        </row>
        <row r="1922">
          <cell r="B1922" t="str">
            <v>A1208</v>
          </cell>
          <cell r="C1922" t="str">
            <v>GMC</v>
          </cell>
          <cell r="D1922" t="str">
            <v>Y</v>
          </cell>
          <cell r="E1922" t="str">
            <v>A</v>
          </cell>
          <cell r="F1922" t="str">
            <v>05/03/2000</v>
          </cell>
        </row>
        <row r="1923">
          <cell r="B1923" t="str">
            <v>A1209</v>
          </cell>
          <cell r="C1923" t="str">
            <v>IMS</v>
          </cell>
          <cell r="D1923" t="str">
            <v>Y</v>
          </cell>
          <cell r="E1923" t="str">
            <v>A</v>
          </cell>
          <cell r="F1923" t="str">
            <v>05/04/2000</v>
          </cell>
        </row>
        <row r="1924">
          <cell r="B1924" t="str">
            <v>A1210</v>
          </cell>
          <cell r="C1924" t="str">
            <v>GMC</v>
          </cell>
          <cell r="D1924" t="str">
            <v>Y</v>
          </cell>
          <cell r="E1924" t="str">
            <v>A</v>
          </cell>
          <cell r="F1924" t="str">
            <v>05/04/2000</v>
          </cell>
        </row>
        <row r="1925">
          <cell r="B1925" t="str">
            <v>A1214</v>
          </cell>
          <cell r="C1925" t="str">
            <v>IHC</v>
          </cell>
          <cell r="D1925" t="str">
            <v>Y</v>
          </cell>
          <cell r="E1925" t="str">
            <v>A</v>
          </cell>
          <cell r="F1925" t="str">
            <v>05/08/2000</v>
          </cell>
        </row>
        <row r="1926">
          <cell r="B1926" t="str">
            <v>A1216</v>
          </cell>
          <cell r="C1926" t="str">
            <v>GEN</v>
          </cell>
          <cell r="D1926" t="str">
            <v>Y</v>
          </cell>
          <cell r="E1926" t="str">
            <v>A</v>
          </cell>
          <cell r="F1926" t="str">
            <v>05/08/2000</v>
          </cell>
        </row>
        <row r="1927">
          <cell r="B1927" t="str">
            <v>A1217</v>
          </cell>
          <cell r="C1927" t="str">
            <v>GEN</v>
          </cell>
          <cell r="D1927" t="str">
            <v>Y</v>
          </cell>
          <cell r="E1927" t="str">
            <v>A</v>
          </cell>
          <cell r="F1927" t="str">
            <v>05/08/2000</v>
          </cell>
        </row>
        <row r="1928">
          <cell r="B1928" t="str">
            <v>A1218</v>
          </cell>
          <cell r="C1928" t="str">
            <v>GEN</v>
          </cell>
          <cell r="D1928" t="str">
            <v>Y</v>
          </cell>
          <cell r="E1928" t="str">
            <v>A</v>
          </cell>
          <cell r="F1928" t="str">
            <v>05/08/2000</v>
          </cell>
        </row>
        <row r="1929">
          <cell r="B1929" t="str">
            <v>A1219</v>
          </cell>
          <cell r="C1929" t="str">
            <v>GEN</v>
          </cell>
          <cell r="D1929" t="str">
            <v>Y</v>
          </cell>
          <cell r="E1929" t="str">
            <v>A</v>
          </cell>
          <cell r="F1929" t="str">
            <v>05/08/2000</v>
          </cell>
        </row>
        <row r="1930">
          <cell r="B1930" t="str">
            <v>A1220</v>
          </cell>
          <cell r="C1930" t="str">
            <v>GEN</v>
          </cell>
          <cell r="D1930" t="str">
            <v>Y</v>
          </cell>
          <cell r="E1930" t="str">
            <v>A</v>
          </cell>
          <cell r="F1930" t="str">
            <v>05/08/2000</v>
          </cell>
        </row>
        <row r="1931">
          <cell r="B1931" t="str">
            <v>A1221</v>
          </cell>
          <cell r="C1931" t="str">
            <v>IHC</v>
          </cell>
          <cell r="D1931" t="str">
            <v>Y</v>
          </cell>
          <cell r="E1931" t="str">
            <v>A</v>
          </cell>
          <cell r="F1931" t="str">
            <v>05/08/2000</v>
          </cell>
        </row>
        <row r="1932">
          <cell r="B1932" t="str">
            <v>A1222</v>
          </cell>
          <cell r="C1932" t="str">
            <v>GEN</v>
          </cell>
          <cell r="D1932" t="str">
            <v>N</v>
          </cell>
          <cell r="E1932" t="str">
            <v>A</v>
          </cell>
          <cell r="F1932" t="str">
            <v>05/08/2000</v>
          </cell>
        </row>
        <row r="1933">
          <cell r="B1933" t="str">
            <v>A1223</v>
          </cell>
          <cell r="C1933" t="str">
            <v>GMC</v>
          </cell>
          <cell r="D1933" t="str">
            <v>Y</v>
          </cell>
          <cell r="E1933" t="str">
            <v>A</v>
          </cell>
          <cell r="F1933" t="str">
            <v>05/08/2000</v>
          </cell>
        </row>
        <row r="1934">
          <cell r="B1934" t="str">
            <v>A1224</v>
          </cell>
          <cell r="C1934" t="str">
            <v>GEN</v>
          </cell>
          <cell r="D1934" t="str">
            <v>Y</v>
          </cell>
          <cell r="E1934" t="str">
            <v>A</v>
          </cell>
          <cell r="F1934" t="str">
            <v>05/08/2000</v>
          </cell>
        </row>
        <row r="1935">
          <cell r="B1935" t="str">
            <v>A1225</v>
          </cell>
          <cell r="C1935" t="str">
            <v>IHC</v>
          </cell>
          <cell r="D1935" t="str">
            <v>Y</v>
          </cell>
          <cell r="E1935" t="str">
            <v>A</v>
          </cell>
          <cell r="F1935" t="str">
            <v>05/08/2000</v>
          </cell>
        </row>
        <row r="1936">
          <cell r="B1936" t="str">
            <v>A1226</v>
          </cell>
          <cell r="C1936" t="str">
            <v>AED</v>
          </cell>
          <cell r="D1936" t="str">
            <v>Y</v>
          </cell>
          <cell r="E1936" t="str">
            <v>A</v>
          </cell>
          <cell r="F1936" t="str">
            <v>05/08/2000</v>
          </cell>
        </row>
        <row r="1937">
          <cell r="B1937" t="str">
            <v>A1227</v>
          </cell>
          <cell r="C1937" t="str">
            <v>IMS</v>
          </cell>
          <cell r="D1937" t="str">
            <v>Y</v>
          </cell>
          <cell r="E1937" t="str">
            <v>A</v>
          </cell>
          <cell r="F1937" t="str">
            <v>05/09/2000</v>
          </cell>
        </row>
        <row r="1938">
          <cell r="B1938" t="str">
            <v>A1228</v>
          </cell>
          <cell r="C1938" t="str">
            <v>IHC</v>
          </cell>
          <cell r="D1938" t="str">
            <v>Y</v>
          </cell>
          <cell r="E1938" t="str">
            <v>A</v>
          </cell>
          <cell r="F1938" t="str">
            <v>05/09/2000</v>
          </cell>
        </row>
        <row r="1939">
          <cell r="B1939" t="str">
            <v>A1229</v>
          </cell>
          <cell r="C1939" t="str">
            <v>IHC</v>
          </cell>
          <cell r="D1939" t="str">
            <v>Y</v>
          </cell>
          <cell r="E1939" t="str">
            <v>I</v>
          </cell>
          <cell r="F1939" t="str">
            <v>05/09/2000</v>
          </cell>
        </row>
        <row r="1940">
          <cell r="B1940" t="str">
            <v>A1231</v>
          </cell>
          <cell r="C1940" t="str">
            <v>GEN</v>
          </cell>
          <cell r="D1940" t="str">
            <v>Y</v>
          </cell>
          <cell r="E1940" t="str">
            <v>A</v>
          </cell>
          <cell r="F1940" t="str">
            <v>05/11/2000</v>
          </cell>
        </row>
        <row r="1941">
          <cell r="B1941" t="str">
            <v>A1233</v>
          </cell>
          <cell r="C1941" t="str">
            <v>GEN</v>
          </cell>
          <cell r="D1941" t="str">
            <v>Y</v>
          </cell>
          <cell r="E1941" t="str">
            <v>A</v>
          </cell>
          <cell r="F1941" t="str">
            <v>05/12/2000</v>
          </cell>
        </row>
        <row r="1942">
          <cell r="B1942" t="str">
            <v>A1235</v>
          </cell>
          <cell r="C1942" t="str">
            <v>IHC</v>
          </cell>
          <cell r="D1942" t="str">
            <v>Y</v>
          </cell>
          <cell r="E1942" t="str">
            <v>A</v>
          </cell>
          <cell r="F1942" t="str">
            <v>05/16/2000</v>
          </cell>
        </row>
        <row r="1943">
          <cell r="B1943" t="str">
            <v>A1237</v>
          </cell>
          <cell r="C1943" t="str">
            <v>GEN</v>
          </cell>
          <cell r="D1943" t="str">
            <v>Y</v>
          </cell>
          <cell r="E1943" t="str">
            <v>A</v>
          </cell>
          <cell r="F1943" t="str">
            <v>05/17/2000</v>
          </cell>
        </row>
        <row r="1944">
          <cell r="B1944" t="str">
            <v>A1238</v>
          </cell>
          <cell r="C1944" t="str">
            <v>GMC</v>
          </cell>
          <cell r="D1944" t="str">
            <v>Y</v>
          </cell>
          <cell r="E1944" t="str">
            <v>A</v>
          </cell>
          <cell r="F1944" t="str">
            <v>05/17/2000</v>
          </cell>
        </row>
        <row r="1945">
          <cell r="B1945" t="str">
            <v>A1239</v>
          </cell>
          <cell r="C1945" t="str">
            <v>004C</v>
          </cell>
          <cell r="D1945" t="str">
            <v>N</v>
          </cell>
          <cell r="E1945" t="str">
            <v>A</v>
          </cell>
          <cell r="F1945" t="str">
            <v>05/18/2000</v>
          </cell>
        </row>
        <row r="1946">
          <cell r="B1946" t="str">
            <v>A1247</v>
          </cell>
          <cell r="C1946" t="str">
            <v>004B</v>
          </cell>
          <cell r="D1946" t="str">
            <v>N</v>
          </cell>
          <cell r="E1946" t="str">
            <v>A</v>
          </cell>
          <cell r="F1946" t="str">
            <v>05/18/2000</v>
          </cell>
        </row>
        <row r="1947">
          <cell r="B1947" t="str">
            <v>A1248</v>
          </cell>
          <cell r="C1947" t="str">
            <v>GEN</v>
          </cell>
          <cell r="D1947" t="str">
            <v>Y</v>
          </cell>
          <cell r="E1947" t="str">
            <v>A</v>
          </cell>
          <cell r="F1947" t="str">
            <v>05/22/2000</v>
          </cell>
        </row>
        <row r="1948">
          <cell r="B1948" t="str">
            <v>A1251</v>
          </cell>
          <cell r="C1948" t="str">
            <v>CIP</v>
          </cell>
          <cell r="D1948" t="str">
            <v>Y</v>
          </cell>
          <cell r="E1948" t="str">
            <v>A</v>
          </cell>
          <cell r="F1948" t="str">
            <v>05/25/2000</v>
          </cell>
        </row>
        <row r="1949">
          <cell r="B1949" t="str">
            <v>A1252</v>
          </cell>
          <cell r="C1949" t="str">
            <v>CIP</v>
          </cell>
          <cell r="D1949" t="str">
            <v>Y</v>
          </cell>
          <cell r="E1949" t="str">
            <v>A</v>
          </cell>
          <cell r="F1949" t="str">
            <v>05/25/2000</v>
          </cell>
        </row>
        <row r="1950">
          <cell r="B1950" t="str">
            <v>A1253</v>
          </cell>
          <cell r="C1950" t="str">
            <v>CIP</v>
          </cell>
          <cell r="D1950" t="str">
            <v>Y</v>
          </cell>
          <cell r="E1950" t="str">
            <v>A</v>
          </cell>
          <cell r="F1950" t="str">
            <v>05/25/2000</v>
          </cell>
        </row>
        <row r="1951">
          <cell r="B1951" t="str">
            <v>A1257</v>
          </cell>
          <cell r="C1951" t="str">
            <v>GEN</v>
          </cell>
          <cell r="D1951" t="str">
            <v>Y</v>
          </cell>
          <cell r="E1951" t="str">
            <v>A</v>
          </cell>
          <cell r="F1951" t="str">
            <v>05/25/2000</v>
          </cell>
        </row>
        <row r="1952">
          <cell r="B1952" t="str">
            <v>A1258</v>
          </cell>
          <cell r="C1952" t="str">
            <v>IHC</v>
          </cell>
          <cell r="D1952" t="str">
            <v>Y</v>
          </cell>
          <cell r="E1952" t="str">
            <v>A</v>
          </cell>
          <cell r="F1952" t="str">
            <v>05/25/2000</v>
          </cell>
        </row>
        <row r="1953">
          <cell r="B1953" t="str">
            <v>A1259</v>
          </cell>
          <cell r="C1953" t="str">
            <v>GMC</v>
          </cell>
          <cell r="D1953" t="str">
            <v>Y</v>
          </cell>
          <cell r="E1953" t="str">
            <v>A</v>
          </cell>
          <cell r="F1953" t="str">
            <v>05/25/2000</v>
          </cell>
        </row>
        <row r="1954">
          <cell r="B1954" t="str">
            <v>A1261</v>
          </cell>
          <cell r="C1954" t="str">
            <v>GEN</v>
          </cell>
          <cell r="D1954" t="str">
            <v>Y</v>
          </cell>
          <cell r="E1954" t="str">
            <v>A</v>
          </cell>
          <cell r="F1954" t="str">
            <v>05/25/2000</v>
          </cell>
        </row>
        <row r="1955">
          <cell r="B1955" t="str">
            <v>A1262</v>
          </cell>
          <cell r="C1955" t="str">
            <v>IHC</v>
          </cell>
          <cell r="D1955" t="str">
            <v>Y</v>
          </cell>
          <cell r="E1955" t="str">
            <v>A</v>
          </cell>
          <cell r="F1955" t="str">
            <v>05/25/2000</v>
          </cell>
        </row>
        <row r="1956">
          <cell r="B1956" t="str">
            <v>A1263</v>
          </cell>
          <cell r="C1956" t="str">
            <v>CIP</v>
          </cell>
          <cell r="D1956" t="str">
            <v>Y</v>
          </cell>
          <cell r="E1956" t="str">
            <v>A</v>
          </cell>
          <cell r="F1956" t="str">
            <v>05/30/2000</v>
          </cell>
        </row>
        <row r="1957">
          <cell r="B1957" t="str">
            <v>A1264</v>
          </cell>
          <cell r="C1957" t="str">
            <v>UEC</v>
          </cell>
          <cell r="D1957" t="str">
            <v>Y</v>
          </cell>
          <cell r="E1957" t="str">
            <v>A</v>
          </cell>
          <cell r="F1957" t="str">
            <v>06/07/2000</v>
          </cell>
        </row>
        <row r="1958">
          <cell r="B1958" t="str">
            <v>A1265</v>
          </cell>
          <cell r="C1958" t="str">
            <v>GEN</v>
          </cell>
          <cell r="D1958" t="str">
            <v>Y</v>
          </cell>
          <cell r="E1958" t="str">
            <v>A</v>
          </cell>
          <cell r="F1958" t="str">
            <v>05/30/2000</v>
          </cell>
        </row>
        <row r="1959">
          <cell r="B1959" t="str">
            <v>A1266</v>
          </cell>
          <cell r="C1959" t="str">
            <v>GMC</v>
          </cell>
          <cell r="D1959" t="str">
            <v>Y</v>
          </cell>
          <cell r="E1959" t="str">
            <v>A</v>
          </cell>
          <cell r="F1959" t="str">
            <v>05/30/2000</v>
          </cell>
        </row>
        <row r="1960">
          <cell r="B1960" t="str">
            <v>A1267</v>
          </cell>
          <cell r="C1960" t="str">
            <v>GEN</v>
          </cell>
          <cell r="D1960" t="str">
            <v>Y</v>
          </cell>
          <cell r="E1960" t="str">
            <v>A</v>
          </cell>
          <cell r="F1960" t="str">
            <v>05/30/2000</v>
          </cell>
        </row>
        <row r="1961">
          <cell r="B1961" t="str">
            <v>A1268</v>
          </cell>
          <cell r="C1961" t="str">
            <v>GMC</v>
          </cell>
          <cell r="D1961" t="str">
            <v>Y</v>
          </cell>
          <cell r="E1961" t="str">
            <v>A</v>
          </cell>
          <cell r="F1961" t="str">
            <v>05/30/2000</v>
          </cell>
        </row>
        <row r="1962">
          <cell r="B1962" t="str">
            <v>A1269</v>
          </cell>
          <cell r="C1962" t="str">
            <v>CIP</v>
          </cell>
          <cell r="D1962" t="str">
            <v>Y</v>
          </cell>
          <cell r="E1962" t="str">
            <v>A</v>
          </cell>
          <cell r="F1962" t="str">
            <v>05/30/2000</v>
          </cell>
        </row>
        <row r="1963">
          <cell r="B1963" t="str">
            <v>A1272</v>
          </cell>
          <cell r="C1963" t="str">
            <v>IHC</v>
          </cell>
          <cell r="D1963" t="str">
            <v>Y</v>
          </cell>
          <cell r="E1963" t="str">
            <v>A</v>
          </cell>
          <cell r="F1963" t="str">
            <v>05/31/2000</v>
          </cell>
        </row>
        <row r="1964">
          <cell r="B1964" t="str">
            <v>A1276</v>
          </cell>
          <cell r="C1964" t="str">
            <v>GMC</v>
          </cell>
          <cell r="D1964" t="str">
            <v>Y</v>
          </cell>
          <cell r="E1964" t="str">
            <v>A</v>
          </cell>
          <cell r="F1964" t="str">
            <v>05/31/2000</v>
          </cell>
        </row>
        <row r="1965">
          <cell r="B1965" t="str">
            <v>A1278</v>
          </cell>
          <cell r="C1965" t="str">
            <v>GEN</v>
          </cell>
          <cell r="D1965" t="str">
            <v>Y</v>
          </cell>
          <cell r="E1965" t="str">
            <v>A</v>
          </cell>
          <cell r="F1965" t="str">
            <v>05/31/2000</v>
          </cell>
        </row>
        <row r="1966">
          <cell r="B1966" t="str">
            <v>A1282</v>
          </cell>
          <cell r="C1966" t="str">
            <v>UEC</v>
          </cell>
          <cell r="D1966" t="str">
            <v>Y</v>
          </cell>
          <cell r="E1966" t="str">
            <v>A</v>
          </cell>
          <cell r="F1966" t="str">
            <v>06/07/2000</v>
          </cell>
        </row>
        <row r="1967">
          <cell r="B1967" t="str">
            <v>A1283</v>
          </cell>
          <cell r="C1967" t="str">
            <v>CIP</v>
          </cell>
          <cell r="D1967" t="str">
            <v>Y</v>
          </cell>
          <cell r="E1967" t="str">
            <v>A</v>
          </cell>
          <cell r="F1967" t="str">
            <v>06/07/2000</v>
          </cell>
        </row>
        <row r="1968">
          <cell r="B1968" t="str">
            <v>A1284</v>
          </cell>
          <cell r="C1968" t="str">
            <v>GEN</v>
          </cell>
          <cell r="D1968" t="str">
            <v>Y</v>
          </cell>
          <cell r="E1968" t="str">
            <v>A</v>
          </cell>
          <cell r="F1968" t="str">
            <v>06/07/2000</v>
          </cell>
        </row>
        <row r="1969">
          <cell r="B1969" t="str">
            <v>A1296</v>
          </cell>
          <cell r="C1969" t="str">
            <v>CIP</v>
          </cell>
          <cell r="D1969" t="str">
            <v>Y</v>
          </cell>
          <cell r="E1969" t="str">
            <v>A</v>
          </cell>
          <cell r="F1969" t="str">
            <v>06/15/2000</v>
          </cell>
        </row>
        <row r="1970">
          <cell r="B1970" t="str">
            <v>A1297</v>
          </cell>
          <cell r="C1970" t="str">
            <v>UEC</v>
          </cell>
          <cell r="D1970" t="str">
            <v>Y</v>
          </cell>
          <cell r="E1970" t="str">
            <v>A</v>
          </cell>
          <cell r="F1970" t="str">
            <v>06/15/2000</v>
          </cell>
        </row>
        <row r="1971">
          <cell r="B1971" t="str">
            <v>A1298</v>
          </cell>
          <cell r="C1971" t="str">
            <v>GEN</v>
          </cell>
          <cell r="D1971" t="str">
            <v>Y</v>
          </cell>
          <cell r="E1971" t="str">
            <v>A</v>
          </cell>
          <cell r="F1971" t="str">
            <v>06/15/2000</v>
          </cell>
        </row>
        <row r="1972">
          <cell r="B1972" t="str">
            <v>A1299</v>
          </cell>
          <cell r="C1972" t="str">
            <v>GMC</v>
          </cell>
          <cell r="D1972" t="str">
            <v>Y</v>
          </cell>
          <cell r="E1972" t="str">
            <v>A</v>
          </cell>
          <cell r="F1972" t="str">
            <v>06/15/2000</v>
          </cell>
        </row>
        <row r="1973">
          <cell r="B1973" t="str">
            <v>A1303</v>
          </cell>
          <cell r="C1973" t="str">
            <v>001G</v>
          </cell>
          <cell r="D1973" t="str">
            <v>Y</v>
          </cell>
          <cell r="E1973" t="str">
            <v>A</v>
          </cell>
          <cell r="F1973" t="str">
            <v>06/16/2000</v>
          </cell>
        </row>
        <row r="1974">
          <cell r="B1974" t="str">
            <v>A1307</v>
          </cell>
          <cell r="C1974" t="str">
            <v>GEN</v>
          </cell>
          <cell r="D1974" t="str">
            <v>Y</v>
          </cell>
          <cell r="E1974" t="str">
            <v>A</v>
          </cell>
          <cell r="F1974" t="str">
            <v>06/21/2000</v>
          </cell>
        </row>
        <row r="1975">
          <cell r="B1975" t="str">
            <v>A1308</v>
          </cell>
          <cell r="C1975" t="str">
            <v>IHC</v>
          </cell>
          <cell r="D1975" t="str">
            <v>Y</v>
          </cell>
          <cell r="E1975" t="str">
            <v>A</v>
          </cell>
          <cell r="F1975" t="str">
            <v>06/21/2000</v>
          </cell>
        </row>
        <row r="1976">
          <cell r="B1976" t="str">
            <v>A1309</v>
          </cell>
          <cell r="C1976" t="str">
            <v>IHC</v>
          </cell>
          <cell r="D1976" t="str">
            <v>Y</v>
          </cell>
          <cell r="E1976" t="str">
            <v>A</v>
          </cell>
          <cell r="F1976" t="str">
            <v>06/21/2000</v>
          </cell>
        </row>
        <row r="1977">
          <cell r="B1977" t="str">
            <v>A1310</v>
          </cell>
          <cell r="C1977" t="str">
            <v>GEN</v>
          </cell>
          <cell r="D1977" t="str">
            <v>Y</v>
          </cell>
          <cell r="E1977" t="str">
            <v>A</v>
          </cell>
          <cell r="F1977" t="str">
            <v>06/21/2000</v>
          </cell>
        </row>
        <row r="1978">
          <cell r="B1978" t="str">
            <v>A1316</v>
          </cell>
          <cell r="C1978" t="str">
            <v>UEC</v>
          </cell>
          <cell r="D1978" t="str">
            <v>N</v>
          </cell>
          <cell r="E1978" t="str">
            <v>A</v>
          </cell>
          <cell r="F1978" t="str">
            <v>06/28/2000</v>
          </cell>
        </row>
        <row r="1979">
          <cell r="B1979" t="str">
            <v>A1317</v>
          </cell>
          <cell r="C1979" t="str">
            <v>UEC</v>
          </cell>
          <cell r="D1979" t="str">
            <v>N</v>
          </cell>
          <cell r="E1979" t="str">
            <v>A</v>
          </cell>
          <cell r="F1979" t="str">
            <v>06/28/2000</v>
          </cell>
        </row>
        <row r="1980">
          <cell r="B1980" t="str">
            <v>A2003</v>
          </cell>
          <cell r="C1980" t="str">
            <v>UEC</v>
          </cell>
          <cell r="D1980" t="str">
            <v>Y</v>
          </cell>
          <cell r="E1980" t="str">
            <v>A</v>
          </cell>
          <cell r="F1980" t="str">
            <v>08/15/2000</v>
          </cell>
        </row>
        <row r="1981">
          <cell r="B1981" t="str">
            <v>A2005</v>
          </cell>
          <cell r="C1981" t="str">
            <v>CIP</v>
          </cell>
          <cell r="D1981" t="str">
            <v>Y</v>
          </cell>
          <cell r="E1981" t="str">
            <v>A</v>
          </cell>
          <cell r="F1981" t="str">
            <v>08/15/2000</v>
          </cell>
        </row>
        <row r="1982">
          <cell r="B1982" t="str">
            <v>A2006</v>
          </cell>
          <cell r="C1982" t="str">
            <v>004A</v>
          </cell>
          <cell r="D1982" t="str">
            <v>Y</v>
          </cell>
          <cell r="E1982" t="str">
            <v>A</v>
          </cell>
          <cell r="F1982" t="str">
            <v>08/17/2000</v>
          </cell>
        </row>
        <row r="1983">
          <cell r="B1983" t="str">
            <v>A2009</v>
          </cell>
          <cell r="C1983" t="str">
            <v>UEC</v>
          </cell>
          <cell r="D1983" t="str">
            <v>Y</v>
          </cell>
          <cell r="E1983" t="str">
            <v>I</v>
          </cell>
          <cell r="F1983" t="str">
            <v>08/18/2000</v>
          </cell>
        </row>
        <row r="1984">
          <cell r="B1984" t="str">
            <v>A2010</v>
          </cell>
          <cell r="C1984" t="str">
            <v>002L</v>
          </cell>
          <cell r="D1984" t="str">
            <v>Y</v>
          </cell>
          <cell r="E1984" t="str">
            <v>A</v>
          </cell>
          <cell r="F1984" t="str">
            <v>08/11/2000</v>
          </cell>
        </row>
        <row r="1985">
          <cell r="B1985" t="str">
            <v>A2011</v>
          </cell>
          <cell r="C1985" t="str">
            <v>001A</v>
          </cell>
          <cell r="D1985" t="str">
            <v>Y</v>
          </cell>
          <cell r="E1985" t="str">
            <v>A</v>
          </cell>
          <cell r="F1985" t="str">
            <v>08/11/2000</v>
          </cell>
        </row>
        <row r="1986">
          <cell r="B1986" t="str">
            <v>A2012</v>
          </cell>
          <cell r="C1986" t="str">
            <v>AME</v>
          </cell>
          <cell r="D1986" t="str">
            <v>Y</v>
          </cell>
          <cell r="E1986" t="str">
            <v>A</v>
          </cell>
          <cell r="F1986" t="str">
            <v>08/11/2000</v>
          </cell>
        </row>
        <row r="1987">
          <cell r="B1987" t="str">
            <v>A2013</v>
          </cell>
          <cell r="C1987" t="str">
            <v>GEN</v>
          </cell>
          <cell r="D1987" t="str">
            <v>Y</v>
          </cell>
          <cell r="E1987" t="str">
            <v>I</v>
          </cell>
          <cell r="F1987" t="str">
            <v>08/11/2000</v>
          </cell>
        </row>
        <row r="1988">
          <cell r="B1988" t="str">
            <v>A2014</v>
          </cell>
          <cell r="C1988" t="str">
            <v>GMC</v>
          </cell>
          <cell r="D1988" t="str">
            <v>Y</v>
          </cell>
          <cell r="E1988" t="str">
            <v>A</v>
          </cell>
          <cell r="F1988" t="str">
            <v>08/11/2000</v>
          </cell>
        </row>
        <row r="1989">
          <cell r="B1989" t="str">
            <v>A2015</v>
          </cell>
          <cell r="C1989" t="str">
            <v>UEC</v>
          </cell>
          <cell r="D1989" t="str">
            <v>Y</v>
          </cell>
          <cell r="E1989" t="str">
            <v>I</v>
          </cell>
          <cell r="F1989" t="str">
            <v>08/11/2000</v>
          </cell>
        </row>
        <row r="1990">
          <cell r="B1990" t="str">
            <v>A2016</v>
          </cell>
          <cell r="C1990" t="str">
            <v>CIP</v>
          </cell>
          <cell r="D1990" t="str">
            <v>Y</v>
          </cell>
          <cell r="E1990" t="str">
            <v>I</v>
          </cell>
          <cell r="F1990" t="str">
            <v>08/11/2000</v>
          </cell>
        </row>
        <row r="1991">
          <cell r="B1991" t="str">
            <v>A2017</v>
          </cell>
          <cell r="C1991" t="str">
            <v>002A</v>
          </cell>
          <cell r="D1991" t="str">
            <v>Y</v>
          </cell>
          <cell r="E1991" t="str">
            <v>A</v>
          </cell>
          <cell r="F1991" t="str">
            <v>08/11/2000</v>
          </cell>
        </row>
        <row r="1992">
          <cell r="B1992" t="str">
            <v>A2018</v>
          </cell>
          <cell r="C1992" t="str">
            <v>004A</v>
          </cell>
          <cell r="D1992" t="str">
            <v>Y</v>
          </cell>
          <cell r="E1992" t="str">
            <v>I</v>
          </cell>
          <cell r="F1992" t="str">
            <v>08/11/2000</v>
          </cell>
        </row>
        <row r="1993">
          <cell r="B1993" t="str">
            <v>A2019</v>
          </cell>
          <cell r="C1993" t="str">
            <v>011A</v>
          </cell>
          <cell r="D1993" t="str">
            <v>Y</v>
          </cell>
          <cell r="E1993" t="str">
            <v>A</v>
          </cell>
          <cell r="F1993" t="str">
            <v>08/11/2000</v>
          </cell>
        </row>
        <row r="1994">
          <cell r="B1994" t="str">
            <v>A2020</v>
          </cell>
          <cell r="C1994"/>
          <cell r="D1994" t="str">
            <v>Y</v>
          </cell>
          <cell r="E1994" t="str">
            <v>I</v>
          </cell>
          <cell r="F1994" t="str">
            <v>08/11/2000</v>
          </cell>
        </row>
        <row r="1995">
          <cell r="B1995" t="str">
            <v>A2022</v>
          </cell>
          <cell r="C1995" t="str">
            <v>CIP</v>
          </cell>
          <cell r="D1995" t="str">
            <v>Y</v>
          </cell>
          <cell r="E1995" t="str">
            <v>A</v>
          </cell>
          <cell r="F1995" t="str">
            <v>08/18/2000</v>
          </cell>
        </row>
        <row r="1996">
          <cell r="B1996" t="str">
            <v>A2023</v>
          </cell>
          <cell r="C1996" t="str">
            <v>UEC</v>
          </cell>
          <cell r="D1996" t="str">
            <v>Y</v>
          </cell>
          <cell r="E1996" t="str">
            <v>A</v>
          </cell>
          <cell r="F1996" t="str">
            <v>08/17/2000</v>
          </cell>
        </row>
        <row r="1997">
          <cell r="B1997" t="str">
            <v>A2024</v>
          </cell>
          <cell r="C1997" t="str">
            <v>GEN</v>
          </cell>
          <cell r="D1997" t="str">
            <v>Y</v>
          </cell>
          <cell r="E1997" t="str">
            <v>A</v>
          </cell>
          <cell r="F1997" t="str">
            <v>08/18/2000</v>
          </cell>
        </row>
        <row r="1998">
          <cell r="B1998" t="str">
            <v>A2025</v>
          </cell>
          <cell r="C1998" t="str">
            <v>GEN</v>
          </cell>
          <cell r="D1998" t="str">
            <v>Y</v>
          </cell>
          <cell r="E1998" t="str">
            <v>A</v>
          </cell>
          <cell r="F1998" t="str">
            <v>08/18/2000</v>
          </cell>
        </row>
        <row r="1999">
          <cell r="B1999" t="str">
            <v>A2026</v>
          </cell>
          <cell r="C1999" t="str">
            <v>GEN</v>
          </cell>
          <cell r="D1999" t="str">
            <v>Y</v>
          </cell>
          <cell r="E1999" t="str">
            <v>A</v>
          </cell>
          <cell r="F1999" t="str">
            <v>08/18/2000</v>
          </cell>
        </row>
        <row r="2000">
          <cell r="B2000" t="str">
            <v>A2027</v>
          </cell>
          <cell r="C2000" t="str">
            <v>GEN</v>
          </cell>
          <cell r="D2000" t="str">
            <v>Y</v>
          </cell>
          <cell r="E2000" t="str">
            <v>A</v>
          </cell>
          <cell r="F2000" t="str">
            <v>08/18/2000</v>
          </cell>
        </row>
        <row r="2001">
          <cell r="B2001" t="str">
            <v>A2029</v>
          </cell>
          <cell r="C2001" t="str">
            <v>002L</v>
          </cell>
          <cell r="D2001" t="str">
            <v>Y</v>
          </cell>
          <cell r="E2001" t="str">
            <v>A</v>
          </cell>
          <cell r="F2001" t="str">
            <v>08/16/2000</v>
          </cell>
        </row>
        <row r="2002">
          <cell r="B2002" t="str">
            <v>A2031</v>
          </cell>
          <cell r="C2002" t="str">
            <v>GEN</v>
          </cell>
          <cell r="D2002" t="str">
            <v>Y</v>
          </cell>
          <cell r="E2002" t="str">
            <v>A</v>
          </cell>
          <cell r="F2002" t="str">
            <v>08/18/2000</v>
          </cell>
        </row>
        <row r="2003">
          <cell r="B2003" t="str">
            <v>A2032</v>
          </cell>
          <cell r="C2003" t="str">
            <v>002A</v>
          </cell>
          <cell r="D2003" t="str">
            <v>Y</v>
          </cell>
          <cell r="E2003" t="str">
            <v>A</v>
          </cell>
          <cell r="F2003" t="str">
            <v>08/18/2000</v>
          </cell>
        </row>
        <row r="2004">
          <cell r="B2004" t="str">
            <v>A2033</v>
          </cell>
          <cell r="C2004" t="str">
            <v>011B</v>
          </cell>
          <cell r="D2004" t="str">
            <v>N</v>
          </cell>
          <cell r="E2004" t="str">
            <v>A</v>
          </cell>
          <cell r="F2004" t="str">
            <v>08/21/2000</v>
          </cell>
        </row>
        <row r="2005">
          <cell r="B2005" t="str">
            <v>A2034</v>
          </cell>
          <cell r="C2005" t="str">
            <v>UEC</v>
          </cell>
          <cell r="D2005" t="str">
            <v>N</v>
          </cell>
          <cell r="E2005" t="str">
            <v>A</v>
          </cell>
          <cell r="F2005" t="str">
            <v>08/20/2000</v>
          </cell>
        </row>
        <row r="2006">
          <cell r="B2006" t="str">
            <v>A2035</v>
          </cell>
          <cell r="C2006" t="str">
            <v>UEC</v>
          </cell>
          <cell r="D2006" t="str">
            <v>N</v>
          </cell>
          <cell r="E2006" t="str">
            <v>A</v>
          </cell>
          <cell r="F2006" t="str">
            <v>08/18/2000</v>
          </cell>
        </row>
        <row r="2007">
          <cell r="B2007" t="str">
            <v>A2036</v>
          </cell>
          <cell r="C2007" t="str">
            <v>UEC</v>
          </cell>
          <cell r="D2007" t="str">
            <v>N</v>
          </cell>
          <cell r="E2007" t="str">
            <v>A</v>
          </cell>
          <cell r="F2007" t="str">
            <v>08/20/2000</v>
          </cell>
        </row>
        <row r="2008">
          <cell r="B2008" t="str">
            <v>A2037</v>
          </cell>
          <cell r="C2008" t="str">
            <v>UEC</v>
          </cell>
          <cell r="D2008" t="str">
            <v>N</v>
          </cell>
          <cell r="E2008" t="str">
            <v>A</v>
          </cell>
          <cell r="F2008" t="str">
            <v>08/20/2000</v>
          </cell>
        </row>
        <row r="2009">
          <cell r="B2009" t="str">
            <v>A2038</v>
          </cell>
          <cell r="C2009" t="str">
            <v>UEC</v>
          </cell>
          <cell r="D2009" t="str">
            <v>N</v>
          </cell>
          <cell r="E2009" t="str">
            <v>A</v>
          </cell>
          <cell r="F2009" t="str">
            <v>08/20/2000</v>
          </cell>
        </row>
        <row r="2010">
          <cell r="B2010" t="str">
            <v>A2039</v>
          </cell>
          <cell r="C2010" t="str">
            <v>UEC</v>
          </cell>
          <cell r="D2010" t="str">
            <v>N</v>
          </cell>
          <cell r="E2010" t="str">
            <v>A</v>
          </cell>
          <cell r="F2010" t="str">
            <v>08/20/2000</v>
          </cell>
        </row>
        <row r="2011">
          <cell r="B2011" t="str">
            <v>A2040</v>
          </cell>
          <cell r="C2011" t="str">
            <v>UEC</v>
          </cell>
          <cell r="D2011" t="str">
            <v>N</v>
          </cell>
          <cell r="E2011" t="str">
            <v>A</v>
          </cell>
          <cell r="F2011" t="str">
            <v>08/20/2000</v>
          </cell>
        </row>
        <row r="2012">
          <cell r="B2012" t="str">
            <v>A2041</v>
          </cell>
          <cell r="C2012" t="str">
            <v>UEC</v>
          </cell>
          <cell r="D2012" t="str">
            <v>N</v>
          </cell>
          <cell r="E2012" t="str">
            <v>A</v>
          </cell>
          <cell r="F2012" t="str">
            <v>08/20/2000</v>
          </cell>
        </row>
        <row r="2013">
          <cell r="B2013" t="str">
            <v>A2042</v>
          </cell>
          <cell r="C2013" t="str">
            <v>UEC</v>
          </cell>
          <cell r="D2013" t="str">
            <v>N</v>
          </cell>
          <cell r="E2013" t="str">
            <v>A</v>
          </cell>
          <cell r="F2013" t="str">
            <v>08/20/2000</v>
          </cell>
        </row>
        <row r="2014">
          <cell r="B2014" t="str">
            <v>A2043</v>
          </cell>
          <cell r="C2014" t="str">
            <v>UEC</v>
          </cell>
          <cell r="D2014" t="str">
            <v>N</v>
          </cell>
          <cell r="E2014" t="str">
            <v>A</v>
          </cell>
          <cell r="F2014" t="str">
            <v>08/20/2000</v>
          </cell>
        </row>
        <row r="2015">
          <cell r="B2015" t="str">
            <v>A2044</v>
          </cell>
          <cell r="C2015" t="str">
            <v>GEN</v>
          </cell>
          <cell r="D2015" t="str">
            <v>N</v>
          </cell>
          <cell r="E2015" t="str">
            <v>A</v>
          </cell>
          <cell r="F2015" t="str">
            <v>08/20/2000</v>
          </cell>
        </row>
        <row r="2016">
          <cell r="B2016" t="str">
            <v>A2045</v>
          </cell>
          <cell r="C2016" t="str">
            <v>GEN</v>
          </cell>
          <cell r="D2016" t="str">
            <v>N</v>
          </cell>
          <cell r="E2016" t="str">
            <v>A</v>
          </cell>
          <cell r="F2016" t="str">
            <v>08/20/2000</v>
          </cell>
        </row>
        <row r="2017">
          <cell r="B2017" t="str">
            <v>A2046</v>
          </cell>
          <cell r="C2017" t="str">
            <v>GEN</v>
          </cell>
          <cell r="D2017" t="str">
            <v>N</v>
          </cell>
          <cell r="E2017" t="str">
            <v>A</v>
          </cell>
          <cell r="F2017" t="str">
            <v>08/20/2000</v>
          </cell>
        </row>
        <row r="2018">
          <cell r="B2018" t="str">
            <v>A2047</v>
          </cell>
          <cell r="C2018" t="str">
            <v>GEN</v>
          </cell>
          <cell r="D2018" t="str">
            <v>N</v>
          </cell>
          <cell r="E2018" t="str">
            <v>A</v>
          </cell>
          <cell r="F2018" t="str">
            <v>08/20/2000</v>
          </cell>
        </row>
        <row r="2019">
          <cell r="B2019" t="str">
            <v>A2048</v>
          </cell>
          <cell r="C2019" t="str">
            <v>GEN</v>
          </cell>
          <cell r="D2019" t="str">
            <v>N</v>
          </cell>
          <cell r="E2019" t="str">
            <v>A</v>
          </cell>
          <cell r="F2019" t="str">
            <v>08/20/2000</v>
          </cell>
        </row>
        <row r="2020">
          <cell r="B2020" t="str">
            <v>A2049</v>
          </cell>
          <cell r="C2020" t="str">
            <v>GEN</v>
          </cell>
          <cell r="D2020" t="str">
            <v>N</v>
          </cell>
          <cell r="E2020" t="str">
            <v>A</v>
          </cell>
          <cell r="F2020" t="str">
            <v>08/20/2000</v>
          </cell>
        </row>
        <row r="2021">
          <cell r="B2021" t="str">
            <v>A2050</v>
          </cell>
          <cell r="C2021" t="str">
            <v>GEN</v>
          </cell>
          <cell r="D2021" t="str">
            <v>N</v>
          </cell>
          <cell r="E2021" t="str">
            <v>A</v>
          </cell>
          <cell r="F2021" t="str">
            <v>08/20/2000</v>
          </cell>
        </row>
        <row r="2022">
          <cell r="B2022" t="str">
            <v>A2051</v>
          </cell>
          <cell r="C2022" t="str">
            <v>GEN</v>
          </cell>
          <cell r="D2022" t="str">
            <v>N</v>
          </cell>
          <cell r="E2022" t="str">
            <v>A</v>
          </cell>
          <cell r="F2022" t="str">
            <v>08/20/2000</v>
          </cell>
        </row>
        <row r="2023">
          <cell r="B2023" t="str">
            <v>A2067</v>
          </cell>
          <cell r="C2023" t="str">
            <v>011A</v>
          </cell>
          <cell r="D2023" t="str">
            <v>Y</v>
          </cell>
          <cell r="E2023" t="str">
            <v>A</v>
          </cell>
          <cell r="F2023" t="str">
            <v>08/22/2000</v>
          </cell>
        </row>
        <row r="2024">
          <cell r="B2024" t="str">
            <v>A2074</v>
          </cell>
          <cell r="C2024" t="str">
            <v>AEC</v>
          </cell>
          <cell r="D2024" t="str">
            <v>Y</v>
          </cell>
          <cell r="E2024" t="str">
            <v>A</v>
          </cell>
          <cell r="F2024" t="str">
            <v>09/01/2000</v>
          </cell>
        </row>
        <row r="2025">
          <cell r="B2025" t="str">
            <v>A2078</v>
          </cell>
          <cell r="C2025"/>
          <cell r="D2025" t="str">
            <v>Y</v>
          </cell>
          <cell r="E2025" t="str">
            <v>A</v>
          </cell>
          <cell r="F2025" t="str">
            <v>09/05/2000</v>
          </cell>
        </row>
        <row r="2026">
          <cell r="B2026" t="str">
            <v>A2079</v>
          </cell>
          <cell r="C2026" t="str">
            <v>002A</v>
          </cell>
          <cell r="D2026" t="str">
            <v>Y</v>
          </cell>
          <cell r="E2026" t="str">
            <v>A</v>
          </cell>
          <cell r="F2026" t="str">
            <v>09/07/2000</v>
          </cell>
        </row>
        <row r="2027">
          <cell r="B2027" t="str">
            <v>A2080</v>
          </cell>
          <cell r="C2027" t="str">
            <v>004A</v>
          </cell>
          <cell r="D2027" t="str">
            <v>Y</v>
          </cell>
          <cell r="E2027" t="str">
            <v>A</v>
          </cell>
          <cell r="F2027" t="str">
            <v>09/05/2000</v>
          </cell>
        </row>
        <row r="2028">
          <cell r="B2028" t="str">
            <v>A2081</v>
          </cell>
          <cell r="C2028" t="str">
            <v>GEN</v>
          </cell>
          <cell r="D2028" t="str">
            <v>Y</v>
          </cell>
          <cell r="E2028" t="str">
            <v>A</v>
          </cell>
          <cell r="F2028" t="str">
            <v>09/06/2000</v>
          </cell>
        </row>
        <row r="2029">
          <cell r="B2029" t="str">
            <v>A2084</v>
          </cell>
          <cell r="C2029" t="str">
            <v>001A</v>
          </cell>
          <cell r="D2029" t="str">
            <v>Y</v>
          </cell>
          <cell r="E2029" t="str">
            <v>A</v>
          </cell>
          <cell r="F2029" t="str">
            <v>09/14/2000</v>
          </cell>
        </row>
        <row r="2030">
          <cell r="B2030" t="str">
            <v>A2085</v>
          </cell>
          <cell r="C2030" t="str">
            <v>001A</v>
          </cell>
          <cell r="D2030" t="str">
            <v>Y</v>
          </cell>
          <cell r="E2030" t="str">
            <v>A</v>
          </cell>
          <cell r="F2030" t="str">
            <v>09/12/2000</v>
          </cell>
        </row>
        <row r="2031">
          <cell r="B2031" t="str">
            <v>A2091</v>
          </cell>
          <cell r="C2031" t="str">
            <v>001A</v>
          </cell>
          <cell r="D2031" t="str">
            <v>N</v>
          </cell>
          <cell r="E2031" t="str">
            <v>I</v>
          </cell>
          <cell r="F2031" t="str">
            <v>09/14/2000</v>
          </cell>
        </row>
        <row r="2032">
          <cell r="B2032" t="str">
            <v>A2092</v>
          </cell>
          <cell r="C2032" t="str">
            <v>001A</v>
          </cell>
          <cell r="D2032" t="str">
            <v>Y</v>
          </cell>
          <cell r="E2032" t="str">
            <v>A</v>
          </cell>
          <cell r="F2032" t="str">
            <v>09/14/2000</v>
          </cell>
        </row>
        <row r="2033">
          <cell r="B2033" t="str">
            <v>A2093</v>
          </cell>
          <cell r="C2033" t="str">
            <v>001G</v>
          </cell>
          <cell r="D2033" t="str">
            <v>Y</v>
          </cell>
          <cell r="E2033" t="str">
            <v>I</v>
          </cell>
          <cell r="F2033" t="str">
            <v>09/19/2000</v>
          </cell>
        </row>
        <row r="2034">
          <cell r="B2034" t="str">
            <v>A2094</v>
          </cell>
          <cell r="C2034" t="str">
            <v>AFS</v>
          </cell>
          <cell r="D2034" t="str">
            <v>N</v>
          </cell>
          <cell r="E2034" t="str">
            <v>I</v>
          </cell>
          <cell r="F2034" t="str">
            <v>01/12/2004</v>
          </cell>
        </row>
        <row r="2035">
          <cell r="B2035" t="str">
            <v>A2096</v>
          </cell>
          <cell r="C2035" t="str">
            <v>AFS</v>
          </cell>
          <cell r="D2035" t="str">
            <v>Y</v>
          </cell>
          <cell r="E2035" t="str">
            <v>A</v>
          </cell>
          <cell r="F2035" t="str">
            <v>09/21/2000</v>
          </cell>
        </row>
        <row r="2036">
          <cell r="B2036" t="str">
            <v>A2104</v>
          </cell>
          <cell r="C2036" t="str">
            <v>004A</v>
          </cell>
          <cell r="D2036" t="str">
            <v>Y</v>
          </cell>
          <cell r="E2036" t="str">
            <v>A</v>
          </cell>
          <cell r="F2036" t="str">
            <v>09/22/2000</v>
          </cell>
        </row>
        <row r="2037">
          <cell r="B2037" t="str">
            <v>A2105</v>
          </cell>
          <cell r="C2037" t="str">
            <v>UEC</v>
          </cell>
          <cell r="D2037" t="str">
            <v>Y</v>
          </cell>
          <cell r="E2037" t="str">
            <v>A</v>
          </cell>
          <cell r="F2037" t="str">
            <v>09/22/2000</v>
          </cell>
        </row>
        <row r="2038">
          <cell r="B2038" t="str">
            <v>A2106</v>
          </cell>
          <cell r="C2038" t="str">
            <v>017C</v>
          </cell>
          <cell r="D2038" t="str">
            <v>Y</v>
          </cell>
          <cell r="E2038" t="str">
            <v>A</v>
          </cell>
          <cell r="F2038" t="str">
            <v>09/22/2000</v>
          </cell>
        </row>
        <row r="2039">
          <cell r="B2039" t="str">
            <v>A2107</v>
          </cell>
          <cell r="C2039" t="str">
            <v>001G</v>
          </cell>
          <cell r="D2039" t="str">
            <v>Y</v>
          </cell>
          <cell r="E2039" t="str">
            <v>A</v>
          </cell>
          <cell r="F2039" t="str">
            <v>09/22/2000</v>
          </cell>
        </row>
        <row r="2040">
          <cell r="B2040" t="str">
            <v>A2108</v>
          </cell>
          <cell r="C2040" t="str">
            <v>GEN</v>
          </cell>
          <cell r="D2040" t="str">
            <v>Y</v>
          </cell>
          <cell r="E2040" t="str">
            <v>A</v>
          </cell>
          <cell r="F2040" t="str">
            <v>09/22/2000</v>
          </cell>
        </row>
        <row r="2041">
          <cell r="B2041" t="str">
            <v>A2109</v>
          </cell>
          <cell r="C2041" t="str">
            <v>UEC</v>
          </cell>
          <cell r="D2041" t="str">
            <v>Y</v>
          </cell>
          <cell r="E2041" t="str">
            <v>A</v>
          </cell>
          <cell r="F2041" t="str">
            <v>09/22/2000</v>
          </cell>
        </row>
        <row r="2042">
          <cell r="B2042" t="str">
            <v>A2111</v>
          </cell>
          <cell r="C2042" t="str">
            <v>002K</v>
          </cell>
          <cell r="D2042" t="str">
            <v>Y</v>
          </cell>
          <cell r="E2042" t="str">
            <v>A</v>
          </cell>
          <cell r="F2042" t="str">
            <v>10/09/2000</v>
          </cell>
        </row>
        <row r="2043">
          <cell r="B2043" t="str">
            <v>A2112</v>
          </cell>
          <cell r="C2043" t="str">
            <v>004C</v>
          </cell>
          <cell r="D2043" t="str">
            <v>Y</v>
          </cell>
          <cell r="E2043" t="str">
            <v>A</v>
          </cell>
          <cell r="F2043" t="str">
            <v>10/06/2000</v>
          </cell>
        </row>
        <row r="2044">
          <cell r="B2044" t="str">
            <v>A2113</v>
          </cell>
          <cell r="C2044" t="str">
            <v>004A</v>
          </cell>
          <cell r="D2044" t="str">
            <v>Y</v>
          </cell>
          <cell r="E2044" t="str">
            <v>A</v>
          </cell>
          <cell r="F2044" t="str">
            <v>10/06/2000</v>
          </cell>
        </row>
        <row r="2045">
          <cell r="B2045" t="str">
            <v>A2114</v>
          </cell>
          <cell r="C2045" t="str">
            <v>004A</v>
          </cell>
          <cell r="D2045" t="str">
            <v>Y</v>
          </cell>
          <cell r="E2045" t="str">
            <v>A</v>
          </cell>
          <cell r="F2045" t="str">
            <v>10/06/2000</v>
          </cell>
        </row>
        <row r="2046">
          <cell r="B2046" t="str">
            <v>A2115</v>
          </cell>
          <cell r="C2046" t="str">
            <v>AFS</v>
          </cell>
          <cell r="D2046" t="str">
            <v>Y</v>
          </cell>
          <cell r="E2046" t="str">
            <v>A</v>
          </cell>
          <cell r="F2046" t="str">
            <v>10/03/2000</v>
          </cell>
        </row>
        <row r="2047">
          <cell r="B2047" t="str">
            <v>A2116</v>
          </cell>
          <cell r="C2047" t="str">
            <v>007A</v>
          </cell>
          <cell r="D2047" t="str">
            <v>Y</v>
          </cell>
          <cell r="E2047" t="str">
            <v>A</v>
          </cell>
          <cell r="F2047" t="str">
            <v>01/17/2001</v>
          </cell>
        </row>
        <row r="2048">
          <cell r="B2048" t="str">
            <v>A2122</v>
          </cell>
          <cell r="C2048"/>
          <cell r="D2048" t="str">
            <v>Y</v>
          </cell>
          <cell r="E2048" t="str">
            <v>A</v>
          </cell>
          <cell r="F2048" t="str">
            <v>10/17/2000</v>
          </cell>
        </row>
        <row r="2049">
          <cell r="B2049" t="str">
            <v>A2124</v>
          </cell>
          <cell r="C2049" t="str">
            <v>007A</v>
          </cell>
          <cell r="D2049" t="str">
            <v>Y</v>
          </cell>
          <cell r="E2049" t="str">
            <v>A</v>
          </cell>
          <cell r="F2049" t="str">
            <v>11/08/2000</v>
          </cell>
        </row>
        <row r="2050">
          <cell r="B2050" t="str">
            <v>A2126</v>
          </cell>
          <cell r="C2050" t="str">
            <v>001G</v>
          </cell>
          <cell r="D2050" t="str">
            <v>Y</v>
          </cell>
          <cell r="E2050" t="str">
            <v>A</v>
          </cell>
          <cell r="F2050" t="str">
            <v>11/30/2000</v>
          </cell>
        </row>
        <row r="2051">
          <cell r="B2051" t="str">
            <v>A2127</v>
          </cell>
          <cell r="C2051" t="str">
            <v>UEC</v>
          </cell>
          <cell r="D2051" t="str">
            <v>N</v>
          </cell>
          <cell r="E2051" t="str">
            <v>A</v>
          </cell>
          <cell r="F2051" t="str">
            <v>12/11/2000</v>
          </cell>
        </row>
        <row r="2052">
          <cell r="B2052" t="str">
            <v>A2128</v>
          </cell>
          <cell r="C2052" t="str">
            <v>UEC</v>
          </cell>
          <cell r="D2052" t="str">
            <v>N</v>
          </cell>
          <cell r="E2052" t="str">
            <v>A</v>
          </cell>
          <cell r="F2052" t="str">
            <v>12/11/2000</v>
          </cell>
        </row>
        <row r="2053">
          <cell r="B2053" t="str">
            <v>A2129</v>
          </cell>
          <cell r="C2053" t="str">
            <v>001G</v>
          </cell>
          <cell r="D2053" t="str">
            <v>N</v>
          </cell>
          <cell r="E2053" t="str">
            <v>I</v>
          </cell>
          <cell r="F2053" t="str">
            <v>12/13/2000</v>
          </cell>
        </row>
        <row r="2054">
          <cell r="B2054" t="str">
            <v>A2130</v>
          </cell>
          <cell r="C2054" t="str">
            <v>AFS</v>
          </cell>
          <cell r="D2054" t="str">
            <v>Y</v>
          </cell>
          <cell r="E2054" t="str">
            <v>A</v>
          </cell>
          <cell r="F2054" t="str">
            <v>12/13/2000</v>
          </cell>
        </row>
        <row r="2055">
          <cell r="B2055" t="str">
            <v>A2132</v>
          </cell>
          <cell r="C2055" t="str">
            <v>AFS</v>
          </cell>
          <cell r="D2055" t="str">
            <v>Y</v>
          </cell>
          <cell r="E2055" t="str">
            <v>A</v>
          </cell>
          <cell r="F2055" t="str">
            <v>01/16/2001</v>
          </cell>
        </row>
        <row r="2056">
          <cell r="B2056" t="str">
            <v>A2133</v>
          </cell>
          <cell r="C2056" t="str">
            <v>GEN</v>
          </cell>
          <cell r="D2056" t="str">
            <v>Y</v>
          </cell>
          <cell r="E2056" t="str">
            <v>A</v>
          </cell>
          <cell r="F2056" t="str">
            <v>01/16/2001</v>
          </cell>
        </row>
        <row r="2057">
          <cell r="B2057" t="str">
            <v>A2134</v>
          </cell>
          <cell r="C2057" t="str">
            <v>IMS</v>
          </cell>
          <cell r="D2057" t="str">
            <v>Y</v>
          </cell>
          <cell r="E2057" t="str">
            <v>A</v>
          </cell>
          <cell r="F2057" t="str">
            <v>02/05/2001</v>
          </cell>
        </row>
        <row r="2058">
          <cell r="B2058" t="str">
            <v>A2135</v>
          </cell>
          <cell r="C2058" t="str">
            <v>001G</v>
          </cell>
          <cell r="D2058" t="str">
            <v>Y</v>
          </cell>
          <cell r="E2058" t="str">
            <v>A</v>
          </cell>
          <cell r="F2058" t="str">
            <v>02/06/2001</v>
          </cell>
        </row>
        <row r="2059">
          <cell r="B2059" t="str">
            <v>A2136</v>
          </cell>
          <cell r="C2059" t="str">
            <v>UEC</v>
          </cell>
          <cell r="D2059" t="str">
            <v>N</v>
          </cell>
          <cell r="E2059" t="str">
            <v>A</v>
          </cell>
          <cell r="F2059" t="str">
            <v>02/07/2001</v>
          </cell>
        </row>
        <row r="2060">
          <cell r="B2060" t="str">
            <v>A2139</v>
          </cell>
          <cell r="C2060" t="str">
            <v>001A</v>
          </cell>
          <cell r="D2060" t="str">
            <v>Y</v>
          </cell>
          <cell r="E2060" t="str">
            <v>A</v>
          </cell>
          <cell r="F2060" t="str">
            <v>02/15/2001</v>
          </cell>
        </row>
        <row r="2061">
          <cell r="B2061" t="str">
            <v>A2140</v>
          </cell>
          <cell r="C2061" t="str">
            <v>004A</v>
          </cell>
          <cell r="D2061" t="str">
            <v>Y</v>
          </cell>
          <cell r="E2061" t="str">
            <v>A</v>
          </cell>
          <cell r="F2061" t="str">
            <v>03/07/2001</v>
          </cell>
        </row>
        <row r="2062">
          <cell r="B2062" t="str">
            <v>A2142</v>
          </cell>
          <cell r="C2062" t="str">
            <v>GEN</v>
          </cell>
          <cell r="D2062" t="str">
            <v>Y</v>
          </cell>
          <cell r="E2062" t="str">
            <v>A</v>
          </cell>
          <cell r="F2062" t="str">
            <v>03/14/2001</v>
          </cell>
        </row>
        <row r="2063">
          <cell r="B2063" t="str">
            <v>A2145</v>
          </cell>
          <cell r="C2063" t="str">
            <v>001A</v>
          </cell>
          <cell r="D2063" t="str">
            <v>Y</v>
          </cell>
          <cell r="E2063" t="str">
            <v>A</v>
          </cell>
          <cell r="F2063" t="str">
            <v>04/11/2001</v>
          </cell>
        </row>
        <row r="2064">
          <cell r="B2064" t="str">
            <v>A2148</v>
          </cell>
          <cell r="C2064" t="str">
            <v>007A</v>
          </cell>
          <cell r="D2064" t="str">
            <v>Y</v>
          </cell>
          <cell r="E2064" t="str">
            <v>A</v>
          </cell>
          <cell r="F2064" t="str">
            <v>05/08/2001</v>
          </cell>
        </row>
        <row r="2065">
          <cell r="B2065" t="str">
            <v>A2149</v>
          </cell>
          <cell r="C2065" t="str">
            <v>GMC</v>
          </cell>
          <cell r="D2065" t="str">
            <v>Y</v>
          </cell>
          <cell r="E2065" t="str">
            <v>A</v>
          </cell>
          <cell r="F2065" t="str">
            <v>05/09/2001</v>
          </cell>
        </row>
        <row r="2066">
          <cell r="B2066" t="str">
            <v>A2150</v>
          </cell>
          <cell r="C2066" t="str">
            <v>GEN</v>
          </cell>
          <cell r="D2066" t="str">
            <v>Y</v>
          </cell>
          <cell r="E2066" t="str">
            <v>A</v>
          </cell>
          <cell r="F2066" t="str">
            <v>06/04/2001</v>
          </cell>
        </row>
        <row r="2067">
          <cell r="B2067" t="str">
            <v>A2151</v>
          </cell>
          <cell r="C2067" t="str">
            <v>UEC</v>
          </cell>
          <cell r="D2067" t="str">
            <v>Y</v>
          </cell>
          <cell r="E2067" t="str">
            <v>A</v>
          </cell>
          <cell r="F2067" t="str">
            <v>06/13/2001</v>
          </cell>
        </row>
        <row r="2068">
          <cell r="B2068" t="str">
            <v>A2152</v>
          </cell>
          <cell r="C2068" t="str">
            <v>002K</v>
          </cell>
          <cell r="D2068" t="str">
            <v>Y</v>
          </cell>
          <cell r="E2068" t="str">
            <v>A</v>
          </cell>
          <cell r="F2068" t="str">
            <v>06/13/2001</v>
          </cell>
        </row>
        <row r="2069">
          <cell r="B2069" t="str">
            <v>A2153</v>
          </cell>
          <cell r="C2069" t="str">
            <v>CIP</v>
          </cell>
          <cell r="D2069" t="str">
            <v>Y</v>
          </cell>
          <cell r="E2069" t="str">
            <v>A</v>
          </cell>
          <cell r="F2069" t="str">
            <v>06/13/2001</v>
          </cell>
        </row>
        <row r="2070">
          <cell r="B2070" t="str">
            <v>A2154</v>
          </cell>
          <cell r="C2070" t="str">
            <v>GEN</v>
          </cell>
          <cell r="D2070" t="str">
            <v>N</v>
          </cell>
          <cell r="E2070" t="str">
            <v>A</v>
          </cell>
          <cell r="F2070" t="str">
            <v>06/13/2001</v>
          </cell>
        </row>
        <row r="2071">
          <cell r="B2071" t="str">
            <v>A2155</v>
          </cell>
          <cell r="C2071" t="str">
            <v>UEC</v>
          </cell>
          <cell r="D2071" t="str">
            <v>N</v>
          </cell>
          <cell r="E2071" t="str">
            <v>A</v>
          </cell>
          <cell r="F2071" t="str">
            <v>06/13/2001</v>
          </cell>
        </row>
        <row r="2072">
          <cell r="B2072" t="str">
            <v>A2156</v>
          </cell>
          <cell r="C2072" t="str">
            <v>AED</v>
          </cell>
          <cell r="D2072" t="str">
            <v>N</v>
          </cell>
          <cell r="E2072" t="str">
            <v>A</v>
          </cell>
          <cell r="F2072" t="str">
            <v>06/13/2001</v>
          </cell>
        </row>
        <row r="2073">
          <cell r="B2073" t="str">
            <v>A2158</v>
          </cell>
          <cell r="C2073" t="str">
            <v>001A</v>
          </cell>
          <cell r="D2073" t="str">
            <v>N</v>
          </cell>
          <cell r="E2073" t="str">
            <v>A</v>
          </cell>
          <cell r="F2073" t="str">
            <v>07/10/2001</v>
          </cell>
        </row>
        <row r="2074">
          <cell r="B2074" t="str">
            <v>A2161</v>
          </cell>
          <cell r="C2074" t="str">
            <v>UEC</v>
          </cell>
          <cell r="D2074" t="str">
            <v>Y</v>
          </cell>
          <cell r="E2074" t="str">
            <v>A</v>
          </cell>
          <cell r="F2074" t="str">
            <v>07/17/2001</v>
          </cell>
        </row>
        <row r="2075">
          <cell r="B2075" t="str">
            <v>A2162</v>
          </cell>
          <cell r="C2075" t="str">
            <v>CIP</v>
          </cell>
          <cell r="D2075" t="str">
            <v>Y</v>
          </cell>
          <cell r="E2075" t="str">
            <v>A</v>
          </cell>
          <cell r="F2075" t="str">
            <v>07/17/2001</v>
          </cell>
        </row>
        <row r="2076">
          <cell r="B2076" t="str">
            <v>A2163</v>
          </cell>
          <cell r="C2076" t="str">
            <v>002K</v>
          </cell>
          <cell r="D2076" t="str">
            <v>Y</v>
          </cell>
          <cell r="E2076" t="str">
            <v>A</v>
          </cell>
          <cell r="F2076" t="str">
            <v>07/17/2001</v>
          </cell>
        </row>
        <row r="2077">
          <cell r="B2077" t="str">
            <v>A2164</v>
          </cell>
          <cell r="C2077" t="str">
            <v>UEC</v>
          </cell>
          <cell r="D2077" t="str">
            <v>Y</v>
          </cell>
          <cell r="E2077" t="str">
            <v>A</v>
          </cell>
          <cell r="F2077" t="str">
            <v>07/18/2001</v>
          </cell>
        </row>
        <row r="2078">
          <cell r="B2078" t="str">
            <v>A2165</v>
          </cell>
          <cell r="C2078" t="str">
            <v>CIP</v>
          </cell>
          <cell r="D2078" t="str">
            <v>Y</v>
          </cell>
          <cell r="E2078" t="str">
            <v>A</v>
          </cell>
          <cell r="F2078" t="str">
            <v>07/18/2001</v>
          </cell>
        </row>
        <row r="2079">
          <cell r="B2079" t="str">
            <v>A2166</v>
          </cell>
          <cell r="C2079" t="str">
            <v>002K</v>
          </cell>
          <cell r="D2079" t="str">
            <v>Y</v>
          </cell>
          <cell r="E2079" t="str">
            <v>A</v>
          </cell>
          <cell r="F2079" t="str">
            <v>07/18/2001</v>
          </cell>
        </row>
        <row r="2080">
          <cell r="B2080" t="str">
            <v>A2167</v>
          </cell>
          <cell r="C2080"/>
          <cell r="D2080" t="str">
            <v>Y</v>
          </cell>
          <cell r="E2080" t="str">
            <v>A</v>
          </cell>
          <cell r="F2080" t="str">
            <v>07/17/2001</v>
          </cell>
        </row>
        <row r="2081">
          <cell r="B2081" t="str">
            <v>A2168</v>
          </cell>
          <cell r="C2081" t="str">
            <v>017B</v>
          </cell>
          <cell r="D2081" t="str">
            <v>Y</v>
          </cell>
          <cell r="E2081" t="str">
            <v>A</v>
          </cell>
          <cell r="F2081" t="str">
            <v>07/18/2001</v>
          </cell>
        </row>
        <row r="2082">
          <cell r="B2082" t="str">
            <v>A2173</v>
          </cell>
          <cell r="C2082" t="str">
            <v>007A</v>
          </cell>
          <cell r="D2082" t="str">
            <v>Y</v>
          </cell>
          <cell r="E2082" t="str">
            <v>I</v>
          </cell>
          <cell r="F2082" t="str">
            <v>07/18/2001</v>
          </cell>
        </row>
        <row r="2083">
          <cell r="B2083" t="str">
            <v>A2174</v>
          </cell>
          <cell r="C2083" t="str">
            <v>UEC</v>
          </cell>
          <cell r="D2083" t="str">
            <v>Y</v>
          </cell>
          <cell r="E2083" t="str">
            <v>A</v>
          </cell>
          <cell r="F2083" t="str">
            <v>07/25/2001</v>
          </cell>
        </row>
        <row r="2084">
          <cell r="B2084" t="str">
            <v>A2175</v>
          </cell>
          <cell r="C2084" t="str">
            <v>CIP</v>
          </cell>
          <cell r="D2084" t="str">
            <v>Y</v>
          </cell>
          <cell r="E2084" t="str">
            <v>A</v>
          </cell>
          <cell r="F2084" t="str">
            <v>07/25/2001</v>
          </cell>
        </row>
        <row r="2085">
          <cell r="B2085" t="str">
            <v>A2176</v>
          </cell>
          <cell r="C2085" t="str">
            <v>002K</v>
          </cell>
          <cell r="D2085" t="str">
            <v>Y</v>
          </cell>
          <cell r="E2085" t="str">
            <v>A</v>
          </cell>
          <cell r="F2085" t="str">
            <v>07/25/2001</v>
          </cell>
        </row>
        <row r="2086">
          <cell r="B2086" t="str">
            <v>A2177</v>
          </cell>
          <cell r="C2086" t="str">
            <v>UEC</v>
          </cell>
          <cell r="D2086" t="str">
            <v>Y</v>
          </cell>
          <cell r="E2086" t="str">
            <v>A</v>
          </cell>
          <cell r="F2086" t="str">
            <v>07/17/2001</v>
          </cell>
        </row>
        <row r="2087">
          <cell r="B2087" t="str">
            <v>A2178</v>
          </cell>
          <cell r="C2087" t="str">
            <v>CIP</v>
          </cell>
          <cell r="D2087" t="str">
            <v>Y</v>
          </cell>
          <cell r="E2087" t="str">
            <v>A</v>
          </cell>
          <cell r="F2087" t="str">
            <v>07/17/2001</v>
          </cell>
        </row>
        <row r="2088">
          <cell r="B2088" t="str">
            <v>A2179</v>
          </cell>
          <cell r="C2088" t="str">
            <v>002K</v>
          </cell>
          <cell r="D2088" t="str">
            <v>Y</v>
          </cell>
          <cell r="E2088" t="str">
            <v>A</v>
          </cell>
          <cell r="F2088" t="str">
            <v>07/17/2001</v>
          </cell>
        </row>
        <row r="2089">
          <cell r="B2089" t="str">
            <v>A2181</v>
          </cell>
          <cell r="C2089" t="str">
            <v>002A</v>
          </cell>
          <cell r="D2089" t="str">
            <v>Y</v>
          </cell>
          <cell r="E2089" t="str">
            <v>A</v>
          </cell>
          <cell r="F2089" t="str">
            <v>07/18/2001</v>
          </cell>
        </row>
        <row r="2090">
          <cell r="B2090" t="str">
            <v>A2184</v>
          </cell>
          <cell r="C2090" t="str">
            <v>004A</v>
          </cell>
          <cell r="D2090" t="str">
            <v>Y</v>
          </cell>
          <cell r="E2090" t="str">
            <v>A</v>
          </cell>
          <cell r="F2090" t="str">
            <v>08/17/2001</v>
          </cell>
        </row>
        <row r="2091">
          <cell r="B2091" t="str">
            <v>A2186</v>
          </cell>
          <cell r="C2091" t="str">
            <v>004H</v>
          </cell>
          <cell r="D2091" t="str">
            <v>N</v>
          </cell>
          <cell r="E2091" t="str">
            <v>A</v>
          </cell>
          <cell r="F2091" t="str">
            <v>08/10/2001</v>
          </cell>
        </row>
        <row r="2092">
          <cell r="B2092" t="str">
            <v>A2187</v>
          </cell>
          <cell r="C2092" t="str">
            <v>004I</v>
          </cell>
          <cell r="D2092" t="str">
            <v>N</v>
          </cell>
          <cell r="E2092" t="str">
            <v>A</v>
          </cell>
          <cell r="F2092" t="str">
            <v>08/10/2001</v>
          </cell>
        </row>
        <row r="2093">
          <cell r="B2093" t="str">
            <v>A2188</v>
          </cell>
          <cell r="C2093" t="str">
            <v>004J</v>
          </cell>
          <cell r="D2093" t="str">
            <v>N</v>
          </cell>
          <cell r="E2093" t="str">
            <v>A</v>
          </cell>
          <cell r="F2093" t="str">
            <v>08/10/2001</v>
          </cell>
        </row>
        <row r="2094">
          <cell r="B2094" t="str">
            <v>A2189</v>
          </cell>
          <cell r="C2094" t="str">
            <v>004M</v>
          </cell>
          <cell r="D2094" t="str">
            <v>N</v>
          </cell>
          <cell r="E2094" t="str">
            <v>A</v>
          </cell>
          <cell r="F2094" t="str">
            <v>08/10/2001</v>
          </cell>
        </row>
        <row r="2095">
          <cell r="B2095" t="str">
            <v>A2190</v>
          </cell>
          <cell r="C2095" t="str">
            <v>UEC</v>
          </cell>
          <cell r="D2095" t="str">
            <v>N</v>
          </cell>
          <cell r="E2095" t="str">
            <v>A</v>
          </cell>
          <cell r="F2095" t="str">
            <v>08/10/2001</v>
          </cell>
        </row>
        <row r="2096">
          <cell r="B2096" t="str">
            <v>A2191</v>
          </cell>
          <cell r="C2096" t="str">
            <v>004K</v>
          </cell>
          <cell r="D2096" t="str">
            <v>N</v>
          </cell>
          <cell r="E2096" t="str">
            <v>A</v>
          </cell>
          <cell r="F2096" t="str">
            <v>08/10/2001</v>
          </cell>
        </row>
        <row r="2097">
          <cell r="B2097" t="str">
            <v>A2192</v>
          </cell>
          <cell r="C2097" t="str">
            <v>004L</v>
          </cell>
          <cell r="D2097" t="str">
            <v>N</v>
          </cell>
          <cell r="E2097" t="str">
            <v>A</v>
          </cell>
          <cell r="F2097" t="str">
            <v>08/10/2001</v>
          </cell>
        </row>
        <row r="2098">
          <cell r="B2098" t="str">
            <v>A2193</v>
          </cell>
          <cell r="C2098" t="str">
            <v>002I</v>
          </cell>
          <cell r="D2098" t="str">
            <v>Y</v>
          </cell>
          <cell r="E2098" t="str">
            <v>A</v>
          </cell>
          <cell r="F2098" t="str">
            <v>08/09/2001</v>
          </cell>
        </row>
        <row r="2099">
          <cell r="B2099" t="str">
            <v>A2194</v>
          </cell>
          <cell r="C2099" t="str">
            <v>002F</v>
          </cell>
          <cell r="D2099" t="str">
            <v>Y</v>
          </cell>
          <cell r="E2099" t="str">
            <v>A</v>
          </cell>
          <cell r="F2099" t="str">
            <v>08/09/2001</v>
          </cell>
        </row>
        <row r="2100">
          <cell r="B2100" t="str">
            <v>A2195</v>
          </cell>
          <cell r="C2100" t="str">
            <v>002G</v>
          </cell>
          <cell r="D2100" t="str">
            <v>Y</v>
          </cell>
          <cell r="E2100" t="str">
            <v>A</v>
          </cell>
          <cell r="F2100" t="str">
            <v>08/09/2001</v>
          </cell>
        </row>
        <row r="2101">
          <cell r="B2101" t="str">
            <v>A2196</v>
          </cell>
          <cell r="C2101" t="str">
            <v>UEC</v>
          </cell>
          <cell r="D2101" t="str">
            <v>Y</v>
          </cell>
          <cell r="E2101" t="str">
            <v>A</v>
          </cell>
          <cell r="F2101" t="str">
            <v>08/09/2001</v>
          </cell>
        </row>
        <row r="2102">
          <cell r="B2102" t="str">
            <v>A2197</v>
          </cell>
          <cell r="C2102" t="str">
            <v>UEC</v>
          </cell>
          <cell r="D2102" t="str">
            <v>Y</v>
          </cell>
          <cell r="E2102" t="str">
            <v>A</v>
          </cell>
          <cell r="F2102" t="str">
            <v>08/09/2001</v>
          </cell>
        </row>
        <row r="2103">
          <cell r="B2103" t="str">
            <v>A2198</v>
          </cell>
          <cell r="C2103" t="str">
            <v>CIP</v>
          </cell>
          <cell r="D2103" t="str">
            <v>Y</v>
          </cell>
          <cell r="E2103" t="str">
            <v>A</v>
          </cell>
          <cell r="F2103" t="str">
            <v>08/09/2001</v>
          </cell>
        </row>
        <row r="2104">
          <cell r="B2104" t="str">
            <v>A2199</v>
          </cell>
          <cell r="C2104" t="str">
            <v>CIP</v>
          </cell>
          <cell r="D2104" t="str">
            <v>Y</v>
          </cell>
          <cell r="E2104" t="str">
            <v>A</v>
          </cell>
          <cell r="F2104" t="str">
            <v>08/09/2001</v>
          </cell>
        </row>
        <row r="2105">
          <cell r="B2105" t="str">
            <v>A2201</v>
          </cell>
          <cell r="C2105" t="str">
            <v>UEC</v>
          </cell>
          <cell r="D2105" t="str">
            <v>N</v>
          </cell>
          <cell r="E2105" t="str">
            <v>A</v>
          </cell>
          <cell r="F2105" t="str">
            <v>08/20/2001</v>
          </cell>
        </row>
        <row r="2106">
          <cell r="B2106" t="str">
            <v>A2202</v>
          </cell>
          <cell r="C2106" t="str">
            <v>CIP</v>
          </cell>
          <cell r="D2106" t="str">
            <v>N</v>
          </cell>
          <cell r="E2106" t="str">
            <v>A</v>
          </cell>
          <cell r="F2106" t="str">
            <v>08/21/2001</v>
          </cell>
        </row>
        <row r="2107">
          <cell r="B2107" t="str">
            <v>A2203</v>
          </cell>
          <cell r="C2107" t="str">
            <v>UEC</v>
          </cell>
          <cell r="D2107" t="str">
            <v>N</v>
          </cell>
          <cell r="E2107" t="str">
            <v>A</v>
          </cell>
          <cell r="F2107" t="str">
            <v>08/21/2001</v>
          </cell>
        </row>
        <row r="2108">
          <cell r="B2108" t="str">
            <v>A2206</v>
          </cell>
          <cell r="C2108" t="str">
            <v>GEN</v>
          </cell>
          <cell r="D2108" t="str">
            <v>N</v>
          </cell>
          <cell r="E2108" t="str">
            <v>A</v>
          </cell>
          <cell r="F2108" t="str">
            <v>08/24/2001</v>
          </cell>
        </row>
        <row r="2109">
          <cell r="B2109" t="str">
            <v>A2209</v>
          </cell>
          <cell r="C2109"/>
          <cell r="D2109" t="str">
            <v>Y</v>
          </cell>
          <cell r="E2109" t="str">
            <v>A</v>
          </cell>
          <cell r="F2109" t="str">
            <v>08/30/2001</v>
          </cell>
        </row>
        <row r="2110">
          <cell r="B2110" t="str">
            <v>A2216</v>
          </cell>
          <cell r="C2110" t="str">
            <v>UEC</v>
          </cell>
          <cell r="D2110" t="str">
            <v>Y</v>
          </cell>
          <cell r="E2110" t="str">
            <v>A</v>
          </cell>
          <cell r="F2110" t="str">
            <v>10/23/2001</v>
          </cell>
        </row>
        <row r="2111">
          <cell r="B2111" t="str">
            <v>A2217</v>
          </cell>
          <cell r="C2111" t="str">
            <v>CIP</v>
          </cell>
          <cell r="D2111" t="str">
            <v>Y</v>
          </cell>
          <cell r="E2111" t="str">
            <v>A</v>
          </cell>
          <cell r="F2111" t="str">
            <v>10/23/2001</v>
          </cell>
        </row>
        <row r="2112">
          <cell r="B2112" t="str">
            <v>A2220</v>
          </cell>
          <cell r="C2112" t="str">
            <v>UEC</v>
          </cell>
          <cell r="D2112" t="str">
            <v>Y</v>
          </cell>
          <cell r="E2112" t="str">
            <v>A</v>
          </cell>
          <cell r="F2112" t="str">
            <v>12/04/2001</v>
          </cell>
        </row>
        <row r="2113">
          <cell r="B2113" t="str">
            <v>A2223</v>
          </cell>
          <cell r="C2113" t="str">
            <v>CIC</v>
          </cell>
          <cell r="D2113" t="str">
            <v>N</v>
          </cell>
          <cell r="E2113" t="str">
            <v>A</v>
          </cell>
          <cell r="F2113" t="str">
            <v>01/06/2002</v>
          </cell>
        </row>
        <row r="2114">
          <cell r="B2114" t="str">
            <v>A2224</v>
          </cell>
          <cell r="C2114" t="str">
            <v>001A</v>
          </cell>
          <cell r="D2114" t="str">
            <v>Y</v>
          </cell>
          <cell r="E2114" t="str">
            <v>A</v>
          </cell>
          <cell r="F2114" t="str">
            <v>12/13/2001</v>
          </cell>
        </row>
        <row r="2115">
          <cell r="B2115" t="str">
            <v>A2225</v>
          </cell>
          <cell r="C2115" t="str">
            <v>UEC</v>
          </cell>
          <cell r="D2115" t="str">
            <v>Y</v>
          </cell>
          <cell r="E2115" t="str">
            <v>A</v>
          </cell>
          <cell r="F2115" t="str">
            <v>01/14/2002</v>
          </cell>
        </row>
        <row r="2116">
          <cell r="B2116" t="str">
            <v>A2226</v>
          </cell>
          <cell r="C2116" t="str">
            <v>CIP</v>
          </cell>
          <cell r="D2116" t="str">
            <v>Y</v>
          </cell>
          <cell r="E2116" t="str">
            <v>A</v>
          </cell>
          <cell r="F2116" t="str">
            <v>01/24/2002</v>
          </cell>
        </row>
        <row r="2117">
          <cell r="B2117" t="str">
            <v>A2227</v>
          </cell>
          <cell r="C2117" t="str">
            <v>AMC</v>
          </cell>
          <cell r="D2117" t="str">
            <v>Y</v>
          </cell>
          <cell r="E2117" t="str">
            <v>A</v>
          </cell>
          <cell r="F2117" t="str">
            <v>01/24/2002</v>
          </cell>
        </row>
        <row r="2118">
          <cell r="B2118" t="str">
            <v>A2228</v>
          </cell>
          <cell r="C2118" t="str">
            <v>IMS</v>
          </cell>
          <cell r="D2118" t="str">
            <v>Y</v>
          </cell>
          <cell r="E2118" t="str">
            <v>A</v>
          </cell>
          <cell r="F2118" t="str">
            <v>12/18/2001</v>
          </cell>
        </row>
        <row r="2119">
          <cell r="B2119" t="str">
            <v>A2230</v>
          </cell>
          <cell r="C2119" t="str">
            <v>GMC</v>
          </cell>
          <cell r="D2119" t="str">
            <v>Y</v>
          </cell>
          <cell r="E2119" t="str">
            <v>A</v>
          </cell>
          <cell r="F2119" t="str">
            <v>12/27/2001</v>
          </cell>
        </row>
        <row r="2120">
          <cell r="B2120" t="str">
            <v>A2231</v>
          </cell>
          <cell r="C2120" t="str">
            <v>GMC</v>
          </cell>
          <cell r="D2120" t="str">
            <v>Y</v>
          </cell>
          <cell r="E2120" t="str">
            <v>A</v>
          </cell>
          <cell r="F2120" t="str">
            <v>01/02/2002</v>
          </cell>
        </row>
        <row r="2121">
          <cell r="B2121" t="str">
            <v>A2232</v>
          </cell>
          <cell r="C2121" t="str">
            <v>GMC</v>
          </cell>
          <cell r="D2121" t="str">
            <v>Y</v>
          </cell>
          <cell r="E2121" t="str">
            <v>A</v>
          </cell>
          <cell r="F2121" t="str">
            <v>01/02/2002</v>
          </cell>
        </row>
        <row r="2122">
          <cell r="B2122" t="str">
            <v>A2233</v>
          </cell>
          <cell r="C2122" t="str">
            <v>GMC</v>
          </cell>
          <cell r="D2122" t="str">
            <v>Y</v>
          </cell>
          <cell r="E2122" t="str">
            <v>A</v>
          </cell>
          <cell r="F2122" t="str">
            <v>01/02/2002</v>
          </cell>
        </row>
        <row r="2123">
          <cell r="B2123" t="str">
            <v>A2234</v>
          </cell>
          <cell r="C2123" t="str">
            <v>GMC</v>
          </cell>
          <cell r="D2123" t="str">
            <v>Y</v>
          </cell>
          <cell r="E2123" t="str">
            <v>A</v>
          </cell>
          <cell r="F2123" t="str">
            <v>01/02/2002</v>
          </cell>
        </row>
        <row r="2124">
          <cell r="B2124" t="str">
            <v>A2235</v>
          </cell>
          <cell r="C2124" t="str">
            <v>GMC</v>
          </cell>
          <cell r="D2124" t="str">
            <v>Y</v>
          </cell>
          <cell r="E2124" t="str">
            <v>A</v>
          </cell>
          <cell r="F2124" t="str">
            <v>01/02/2002</v>
          </cell>
        </row>
        <row r="2125">
          <cell r="B2125" t="str">
            <v>A2236</v>
          </cell>
          <cell r="C2125" t="str">
            <v>GMC</v>
          </cell>
          <cell r="D2125" t="str">
            <v>Y</v>
          </cell>
          <cell r="E2125" t="str">
            <v>A</v>
          </cell>
          <cell r="F2125" t="str">
            <v>01/02/2002</v>
          </cell>
        </row>
        <row r="2126">
          <cell r="B2126" t="str">
            <v>A2237</v>
          </cell>
          <cell r="C2126" t="str">
            <v>GMC</v>
          </cell>
          <cell r="D2126" t="str">
            <v>Y</v>
          </cell>
          <cell r="E2126" t="str">
            <v>A</v>
          </cell>
          <cell r="F2126" t="str">
            <v>01/02/2002</v>
          </cell>
        </row>
        <row r="2127">
          <cell r="B2127" t="str">
            <v>A2238</v>
          </cell>
          <cell r="C2127" t="str">
            <v>GMC</v>
          </cell>
          <cell r="D2127" t="str">
            <v>Y</v>
          </cell>
          <cell r="E2127" t="str">
            <v>A</v>
          </cell>
          <cell r="F2127" t="str">
            <v>01/02/2002</v>
          </cell>
        </row>
        <row r="2128">
          <cell r="B2128" t="str">
            <v>A2239</v>
          </cell>
          <cell r="C2128" t="str">
            <v>IHC</v>
          </cell>
          <cell r="D2128" t="str">
            <v>Y</v>
          </cell>
          <cell r="E2128" t="str">
            <v>A</v>
          </cell>
          <cell r="F2128" t="str">
            <v>01/02/2002</v>
          </cell>
        </row>
        <row r="2129">
          <cell r="B2129" t="str">
            <v>A2240</v>
          </cell>
          <cell r="C2129" t="str">
            <v>IHC</v>
          </cell>
          <cell r="D2129" t="str">
            <v>Y</v>
          </cell>
          <cell r="E2129" t="str">
            <v>A</v>
          </cell>
          <cell r="F2129" t="str">
            <v>01/02/2002</v>
          </cell>
        </row>
        <row r="2130">
          <cell r="B2130" t="str">
            <v>A2241</v>
          </cell>
          <cell r="C2130" t="str">
            <v>IHC</v>
          </cell>
          <cell r="D2130" t="str">
            <v>Y</v>
          </cell>
          <cell r="E2130" t="str">
            <v>A</v>
          </cell>
          <cell r="F2130" t="str">
            <v>01/02/2002</v>
          </cell>
        </row>
        <row r="2131">
          <cell r="B2131" t="str">
            <v>A2242</v>
          </cell>
          <cell r="C2131" t="str">
            <v>AED</v>
          </cell>
          <cell r="D2131" t="str">
            <v>Y</v>
          </cell>
          <cell r="E2131" t="str">
            <v>A</v>
          </cell>
          <cell r="F2131" t="str">
            <v>01/02/2002</v>
          </cell>
        </row>
        <row r="2132">
          <cell r="B2132" t="str">
            <v>A2243</v>
          </cell>
          <cell r="C2132" t="str">
            <v>GMC</v>
          </cell>
          <cell r="D2132" t="str">
            <v>Y</v>
          </cell>
          <cell r="E2132" t="str">
            <v>A</v>
          </cell>
          <cell r="F2132" t="str">
            <v>01/02/2002</v>
          </cell>
        </row>
        <row r="2133">
          <cell r="B2133" t="str">
            <v>A2244</v>
          </cell>
          <cell r="C2133" t="str">
            <v>GMC</v>
          </cell>
          <cell r="D2133" t="str">
            <v>Y</v>
          </cell>
          <cell r="E2133" t="str">
            <v>A</v>
          </cell>
          <cell r="F2133" t="str">
            <v>01/02/2002</v>
          </cell>
        </row>
        <row r="2134">
          <cell r="B2134" t="str">
            <v>A2245</v>
          </cell>
          <cell r="C2134" t="str">
            <v>GMC</v>
          </cell>
          <cell r="D2134" t="str">
            <v>Y</v>
          </cell>
          <cell r="E2134" t="str">
            <v>A</v>
          </cell>
          <cell r="F2134" t="str">
            <v>01/02/2002</v>
          </cell>
        </row>
        <row r="2135">
          <cell r="B2135" t="str">
            <v>A2246</v>
          </cell>
          <cell r="C2135" t="str">
            <v>AME</v>
          </cell>
          <cell r="D2135" t="str">
            <v>Y</v>
          </cell>
          <cell r="E2135" t="str">
            <v>A</v>
          </cell>
          <cell r="F2135" t="str">
            <v>01/02/2002</v>
          </cell>
        </row>
        <row r="2136">
          <cell r="B2136" t="str">
            <v>A2247</v>
          </cell>
          <cell r="C2136" t="str">
            <v>AME</v>
          </cell>
          <cell r="D2136" t="str">
            <v>Y</v>
          </cell>
          <cell r="E2136" t="str">
            <v>A</v>
          </cell>
          <cell r="F2136" t="str">
            <v>01/02/2002</v>
          </cell>
        </row>
        <row r="2137">
          <cell r="B2137" t="str">
            <v>A2248</v>
          </cell>
          <cell r="C2137" t="str">
            <v>AME</v>
          </cell>
          <cell r="D2137" t="str">
            <v>Y</v>
          </cell>
          <cell r="E2137" t="str">
            <v>A</v>
          </cell>
          <cell r="F2137" t="str">
            <v>01/02/2002</v>
          </cell>
        </row>
        <row r="2138">
          <cell r="B2138" t="str">
            <v>A2249</v>
          </cell>
          <cell r="C2138" t="str">
            <v>AME</v>
          </cell>
          <cell r="D2138" t="str">
            <v>Y</v>
          </cell>
          <cell r="E2138" t="str">
            <v>A</v>
          </cell>
          <cell r="F2138" t="str">
            <v>01/02/2002</v>
          </cell>
        </row>
        <row r="2139">
          <cell r="B2139" t="str">
            <v>A2250</v>
          </cell>
          <cell r="C2139" t="str">
            <v>AME</v>
          </cell>
          <cell r="D2139" t="str">
            <v>Y</v>
          </cell>
          <cell r="E2139" t="str">
            <v>A</v>
          </cell>
          <cell r="F2139" t="str">
            <v>01/02/2002</v>
          </cell>
        </row>
        <row r="2140">
          <cell r="B2140" t="str">
            <v>A2251</v>
          </cell>
          <cell r="C2140" t="str">
            <v>AFS</v>
          </cell>
          <cell r="D2140" t="str">
            <v>Y</v>
          </cell>
          <cell r="E2140" t="str">
            <v>A</v>
          </cell>
          <cell r="F2140" t="str">
            <v>01/02/2002</v>
          </cell>
        </row>
        <row r="2141">
          <cell r="B2141" t="str">
            <v>A2257</v>
          </cell>
          <cell r="C2141" t="str">
            <v>004A</v>
          </cell>
          <cell r="D2141" t="str">
            <v>Y</v>
          </cell>
          <cell r="E2141" t="str">
            <v>A</v>
          </cell>
          <cell r="F2141" t="str">
            <v>01/18/2002</v>
          </cell>
        </row>
        <row r="2142">
          <cell r="B2142" t="str">
            <v>A2258</v>
          </cell>
          <cell r="C2142" t="str">
            <v>AME</v>
          </cell>
          <cell r="D2142" t="str">
            <v>Y</v>
          </cell>
          <cell r="E2142" t="str">
            <v>A</v>
          </cell>
          <cell r="F2142" t="str">
            <v>01/24/2002</v>
          </cell>
        </row>
        <row r="2143">
          <cell r="B2143" t="str">
            <v>A2263</v>
          </cell>
          <cell r="C2143" t="str">
            <v>GEN</v>
          </cell>
          <cell r="D2143" t="str">
            <v>Y</v>
          </cell>
          <cell r="E2143" t="str">
            <v>A</v>
          </cell>
          <cell r="F2143" t="str">
            <v>02/06/2002</v>
          </cell>
        </row>
        <row r="2144">
          <cell r="B2144" t="str">
            <v>A2264</v>
          </cell>
          <cell r="C2144" t="str">
            <v>UEC</v>
          </cell>
          <cell r="D2144" t="str">
            <v>N</v>
          </cell>
          <cell r="E2144" t="str">
            <v>A</v>
          </cell>
          <cell r="F2144" t="str">
            <v>02/05/2002</v>
          </cell>
        </row>
        <row r="2145">
          <cell r="B2145" t="str">
            <v>A2265</v>
          </cell>
          <cell r="C2145" t="str">
            <v>002L</v>
          </cell>
          <cell r="D2145" t="str">
            <v>N</v>
          </cell>
          <cell r="E2145" t="str">
            <v>A</v>
          </cell>
          <cell r="F2145" t="str">
            <v>02/05/2002</v>
          </cell>
        </row>
        <row r="2146">
          <cell r="B2146" t="str">
            <v>A2266</v>
          </cell>
          <cell r="C2146" t="str">
            <v>GEN</v>
          </cell>
          <cell r="D2146" t="str">
            <v>Y</v>
          </cell>
          <cell r="E2146" t="str">
            <v>A</v>
          </cell>
          <cell r="F2146" t="str">
            <v>02/12/2002</v>
          </cell>
        </row>
        <row r="2147">
          <cell r="B2147" t="str">
            <v>A2268</v>
          </cell>
          <cell r="C2147" t="str">
            <v>GMC</v>
          </cell>
          <cell r="D2147" t="str">
            <v>Y</v>
          </cell>
          <cell r="E2147" t="str">
            <v>A</v>
          </cell>
          <cell r="F2147" t="str">
            <v>02/13/2002</v>
          </cell>
        </row>
        <row r="2148">
          <cell r="B2148" t="str">
            <v>A2269</v>
          </cell>
          <cell r="C2148" t="str">
            <v>AFS</v>
          </cell>
          <cell r="D2148" t="str">
            <v>Y</v>
          </cell>
          <cell r="E2148" t="str">
            <v>A</v>
          </cell>
          <cell r="F2148" t="str">
            <v>02/13/2002</v>
          </cell>
        </row>
        <row r="2149">
          <cell r="B2149" t="str">
            <v>A2271</v>
          </cell>
          <cell r="C2149" t="str">
            <v>010A</v>
          </cell>
          <cell r="D2149" t="str">
            <v>Y</v>
          </cell>
          <cell r="E2149" t="str">
            <v>A</v>
          </cell>
          <cell r="F2149" t="str">
            <v>02/20/2002</v>
          </cell>
        </row>
        <row r="2150">
          <cell r="B2150" t="str">
            <v>A2272</v>
          </cell>
          <cell r="C2150" t="str">
            <v>001A</v>
          </cell>
          <cell r="D2150" t="str">
            <v>Y</v>
          </cell>
          <cell r="E2150" t="str">
            <v>I</v>
          </cell>
          <cell r="F2150" t="str">
            <v>03/08/2002</v>
          </cell>
        </row>
        <row r="2151">
          <cell r="B2151" t="str">
            <v>A2274</v>
          </cell>
          <cell r="C2151" t="str">
            <v>001A</v>
          </cell>
          <cell r="D2151" t="str">
            <v>Y</v>
          </cell>
          <cell r="E2151" t="str">
            <v>A</v>
          </cell>
          <cell r="F2151" t="str">
            <v>03/20/2002</v>
          </cell>
        </row>
        <row r="2152">
          <cell r="B2152" t="str">
            <v>A2275</v>
          </cell>
          <cell r="C2152" t="str">
            <v>002A</v>
          </cell>
          <cell r="D2152" t="str">
            <v>Y</v>
          </cell>
          <cell r="E2152" t="str">
            <v>A</v>
          </cell>
          <cell r="F2152" t="str">
            <v>03/20/2002</v>
          </cell>
        </row>
        <row r="2153">
          <cell r="B2153" t="str">
            <v>A2276</v>
          </cell>
          <cell r="C2153" t="str">
            <v>001A</v>
          </cell>
          <cell r="D2153" t="str">
            <v>Y</v>
          </cell>
          <cell r="E2153" t="str">
            <v>A</v>
          </cell>
          <cell r="F2153" t="str">
            <v>03/20/2002</v>
          </cell>
        </row>
        <row r="2154">
          <cell r="B2154" t="str">
            <v>A2278</v>
          </cell>
          <cell r="C2154" t="str">
            <v>AFS</v>
          </cell>
          <cell r="D2154" t="str">
            <v>Y</v>
          </cell>
          <cell r="E2154" t="str">
            <v>A</v>
          </cell>
          <cell r="F2154" t="str">
            <v>05/07/2002</v>
          </cell>
        </row>
        <row r="2155">
          <cell r="B2155" t="str">
            <v>A2280</v>
          </cell>
          <cell r="C2155" t="str">
            <v>AMC</v>
          </cell>
          <cell r="D2155" t="str">
            <v>Y</v>
          </cell>
          <cell r="E2155" t="str">
            <v>A</v>
          </cell>
          <cell r="F2155" t="str">
            <v>05/07/2002</v>
          </cell>
        </row>
        <row r="2156">
          <cell r="B2156" t="str">
            <v>A2282</v>
          </cell>
          <cell r="C2156" t="str">
            <v>IMS</v>
          </cell>
          <cell r="D2156" t="str">
            <v>Y</v>
          </cell>
          <cell r="E2156" t="str">
            <v>A</v>
          </cell>
          <cell r="F2156" t="str">
            <v>05/10/2002</v>
          </cell>
        </row>
        <row r="2157">
          <cell r="B2157" t="str">
            <v>A2284</v>
          </cell>
          <cell r="C2157" t="str">
            <v>GEN</v>
          </cell>
          <cell r="D2157" t="str">
            <v>Y</v>
          </cell>
          <cell r="E2157" t="str">
            <v>A</v>
          </cell>
          <cell r="F2157" t="str">
            <v>05/09/2002</v>
          </cell>
        </row>
        <row r="2158">
          <cell r="B2158" t="str">
            <v>A2285</v>
          </cell>
          <cell r="C2158" t="str">
            <v>GEN</v>
          </cell>
          <cell r="D2158" t="str">
            <v>Y</v>
          </cell>
          <cell r="E2158" t="str">
            <v>A</v>
          </cell>
          <cell r="F2158" t="str">
            <v>05/14/2002</v>
          </cell>
        </row>
        <row r="2159">
          <cell r="B2159" t="str">
            <v>A2286</v>
          </cell>
          <cell r="C2159" t="str">
            <v>AFS</v>
          </cell>
          <cell r="D2159" t="str">
            <v>Y</v>
          </cell>
          <cell r="E2159" t="str">
            <v>A</v>
          </cell>
          <cell r="F2159" t="str">
            <v>05/14/2002</v>
          </cell>
        </row>
        <row r="2160">
          <cell r="B2160" t="str">
            <v>A2287</v>
          </cell>
          <cell r="C2160" t="str">
            <v>GMC</v>
          </cell>
          <cell r="D2160" t="str">
            <v>Y</v>
          </cell>
          <cell r="E2160" t="str">
            <v>A</v>
          </cell>
          <cell r="F2160" t="str">
            <v>05/17/2002</v>
          </cell>
        </row>
        <row r="2161">
          <cell r="B2161" t="str">
            <v>A2288</v>
          </cell>
          <cell r="C2161" t="str">
            <v>GEN</v>
          </cell>
          <cell r="D2161" t="str">
            <v>Y</v>
          </cell>
          <cell r="E2161" t="str">
            <v>A</v>
          </cell>
          <cell r="F2161" t="str">
            <v>05/24/2002</v>
          </cell>
        </row>
        <row r="2162">
          <cell r="B2162" t="str">
            <v>A2289</v>
          </cell>
          <cell r="C2162" t="str">
            <v>CIP</v>
          </cell>
          <cell r="D2162" t="str">
            <v>Y</v>
          </cell>
          <cell r="E2162" t="str">
            <v>A</v>
          </cell>
          <cell r="F2162" t="str">
            <v>05/24/2002</v>
          </cell>
        </row>
        <row r="2163">
          <cell r="B2163" t="str">
            <v>A2290</v>
          </cell>
          <cell r="C2163" t="str">
            <v>CIP</v>
          </cell>
          <cell r="D2163" t="str">
            <v>Y</v>
          </cell>
          <cell r="E2163" t="str">
            <v>A</v>
          </cell>
          <cell r="F2163" t="str">
            <v>05/31/2002</v>
          </cell>
        </row>
        <row r="2164">
          <cell r="B2164" t="str">
            <v>A2291</v>
          </cell>
          <cell r="C2164" t="str">
            <v>UEC</v>
          </cell>
          <cell r="D2164" t="str">
            <v>Y</v>
          </cell>
          <cell r="E2164" t="str">
            <v>A</v>
          </cell>
          <cell r="F2164" t="str">
            <v>05/31/2002</v>
          </cell>
        </row>
        <row r="2165">
          <cell r="B2165" t="str">
            <v>A2292</v>
          </cell>
          <cell r="C2165" t="str">
            <v>001D</v>
          </cell>
          <cell r="D2165" t="str">
            <v>Y</v>
          </cell>
          <cell r="E2165" t="str">
            <v>A</v>
          </cell>
          <cell r="F2165" t="str">
            <v>05/31/2002</v>
          </cell>
        </row>
        <row r="2166">
          <cell r="B2166" t="str">
            <v>A2293</v>
          </cell>
          <cell r="C2166" t="str">
            <v>UEC</v>
          </cell>
          <cell r="D2166" t="str">
            <v>Y</v>
          </cell>
          <cell r="E2166" t="str">
            <v>A</v>
          </cell>
          <cell r="F2166" t="str">
            <v>06/10/2002</v>
          </cell>
        </row>
        <row r="2167">
          <cell r="B2167" t="str">
            <v>A2294</v>
          </cell>
          <cell r="C2167" t="str">
            <v>UEC</v>
          </cell>
          <cell r="D2167" t="str">
            <v>Y</v>
          </cell>
          <cell r="E2167" t="str">
            <v>A</v>
          </cell>
          <cell r="F2167" t="str">
            <v>06/11/2002</v>
          </cell>
        </row>
        <row r="2168">
          <cell r="B2168" t="str">
            <v>A2295</v>
          </cell>
          <cell r="C2168" t="str">
            <v>AFS</v>
          </cell>
          <cell r="D2168" t="str">
            <v>N</v>
          </cell>
          <cell r="E2168" t="str">
            <v>A</v>
          </cell>
          <cell r="F2168" t="str">
            <v>06/17/2002</v>
          </cell>
        </row>
        <row r="2169">
          <cell r="B2169" t="str">
            <v>A2296</v>
          </cell>
          <cell r="C2169" t="str">
            <v>002L</v>
          </cell>
          <cell r="D2169" t="str">
            <v>Y</v>
          </cell>
          <cell r="E2169" t="str">
            <v>A</v>
          </cell>
          <cell r="F2169" t="str">
            <v>06/26/2002</v>
          </cell>
        </row>
        <row r="2170">
          <cell r="B2170" t="str">
            <v>A2297</v>
          </cell>
          <cell r="C2170" t="str">
            <v>010A</v>
          </cell>
          <cell r="D2170" t="str">
            <v>Y</v>
          </cell>
          <cell r="E2170" t="str">
            <v>A</v>
          </cell>
          <cell r="F2170" t="str">
            <v>06/26/2002</v>
          </cell>
        </row>
        <row r="2171">
          <cell r="B2171" t="str">
            <v>A2298</v>
          </cell>
          <cell r="C2171" t="str">
            <v>AFS</v>
          </cell>
          <cell r="D2171" t="str">
            <v>Y</v>
          </cell>
          <cell r="E2171" t="str">
            <v>A</v>
          </cell>
          <cell r="F2171" t="str">
            <v>06/27/2002</v>
          </cell>
        </row>
        <row r="2172">
          <cell r="B2172" t="str">
            <v>A2299</v>
          </cell>
          <cell r="C2172" t="str">
            <v>AMC</v>
          </cell>
          <cell r="D2172" t="str">
            <v>Y</v>
          </cell>
          <cell r="E2172" t="str">
            <v>A</v>
          </cell>
          <cell r="F2172" t="str">
            <v>06/27/2002</v>
          </cell>
        </row>
        <row r="2173">
          <cell r="B2173" t="str">
            <v>A2300</v>
          </cell>
          <cell r="C2173" t="str">
            <v>002L</v>
          </cell>
          <cell r="D2173" t="str">
            <v>Y</v>
          </cell>
          <cell r="E2173" t="str">
            <v>A</v>
          </cell>
          <cell r="F2173" t="str">
            <v>07/01/2002</v>
          </cell>
        </row>
        <row r="2174">
          <cell r="B2174" t="str">
            <v>A2301</v>
          </cell>
          <cell r="C2174"/>
          <cell r="D2174" t="str">
            <v>Y</v>
          </cell>
          <cell r="E2174" t="str">
            <v>A</v>
          </cell>
          <cell r="F2174" t="str">
            <v>07/09/2002</v>
          </cell>
        </row>
        <row r="2175">
          <cell r="B2175" t="str">
            <v>A2302</v>
          </cell>
          <cell r="C2175"/>
          <cell r="D2175" t="str">
            <v>Y</v>
          </cell>
          <cell r="E2175" t="str">
            <v>A</v>
          </cell>
          <cell r="F2175" t="str">
            <v>07/11/2002</v>
          </cell>
        </row>
        <row r="2176">
          <cell r="B2176" t="str">
            <v>A2303</v>
          </cell>
          <cell r="C2176" t="str">
            <v>CIP</v>
          </cell>
          <cell r="D2176" t="str">
            <v>Y</v>
          </cell>
          <cell r="E2176" t="str">
            <v>A</v>
          </cell>
          <cell r="F2176" t="str">
            <v>07/11/2002</v>
          </cell>
        </row>
        <row r="2177">
          <cell r="B2177" t="str">
            <v>A2304</v>
          </cell>
          <cell r="C2177" t="str">
            <v>001A</v>
          </cell>
          <cell r="D2177" t="str">
            <v>Y</v>
          </cell>
          <cell r="E2177" t="str">
            <v>A</v>
          </cell>
          <cell r="F2177" t="str">
            <v>07/19/2002</v>
          </cell>
        </row>
        <row r="2178">
          <cell r="B2178" t="str">
            <v>A2305</v>
          </cell>
          <cell r="C2178" t="str">
            <v>GEN</v>
          </cell>
          <cell r="D2178" t="str">
            <v>N</v>
          </cell>
          <cell r="E2178" t="str">
            <v>A</v>
          </cell>
          <cell r="F2178" t="str">
            <v>07/30/2002</v>
          </cell>
        </row>
        <row r="2179">
          <cell r="B2179" t="str">
            <v>A2306</v>
          </cell>
          <cell r="C2179" t="str">
            <v>UEC</v>
          </cell>
          <cell r="D2179" t="str">
            <v>N</v>
          </cell>
          <cell r="E2179" t="str">
            <v>A</v>
          </cell>
          <cell r="F2179" t="str">
            <v>07/30/2002</v>
          </cell>
        </row>
        <row r="2180">
          <cell r="B2180" t="str">
            <v>A2307</v>
          </cell>
          <cell r="C2180" t="str">
            <v>002L</v>
          </cell>
          <cell r="D2180" t="str">
            <v>Y</v>
          </cell>
          <cell r="E2180" t="str">
            <v>A</v>
          </cell>
          <cell r="F2180" t="str">
            <v>08/06/2002</v>
          </cell>
        </row>
        <row r="2181">
          <cell r="B2181" t="str">
            <v>A2308</v>
          </cell>
          <cell r="C2181" t="str">
            <v>001A</v>
          </cell>
          <cell r="D2181" t="str">
            <v>Y</v>
          </cell>
          <cell r="E2181" t="str">
            <v>A</v>
          </cell>
          <cell r="F2181" t="str">
            <v>08/09/2002</v>
          </cell>
        </row>
        <row r="2182">
          <cell r="B2182" t="str">
            <v>A2309</v>
          </cell>
          <cell r="C2182" t="str">
            <v>004A</v>
          </cell>
          <cell r="D2182" t="str">
            <v>Y</v>
          </cell>
          <cell r="E2182" t="str">
            <v>A</v>
          </cell>
          <cell r="F2182" t="str">
            <v>08/13/2002</v>
          </cell>
        </row>
        <row r="2183">
          <cell r="B2183" t="str">
            <v>A2310</v>
          </cell>
          <cell r="C2183" t="str">
            <v>CIC</v>
          </cell>
          <cell r="D2183" t="str">
            <v>N</v>
          </cell>
          <cell r="E2183" t="str">
            <v>I</v>
          </cell>
          <cell r="F2183" t="str">
            <v>08/16/2002</v>
          </cell>
        </row>
        <row r="2184">
          <cell r="B2184" t="str">
            <v>A2312</v>
          </cell>
          <cell r="C2184" t="str">
            <v>010A</v>
          </cell>
          <cell r="D2184" t="str">
            <v>Y</v>
          </cell>
          <cell r="E2184" t="str">
            <v>A</v>
          </cell>
          <cell r="F2184" t="str">
            <v>08/16/2002</v>
          </cell>
        </row>
        <row r="2185">
          <cell r="B2185" t="str">
            <v>A2316</v>
          </cell>
          <cell r="C2185" t="str">
            <v>IHC</v>
          </cell>
          <cell r="D2185" t="str">
            <v>Y</v>
          </cell>
          <cell r="E2185" t="str">
            <v>A</v>
          </cell>
          <cell r="F2185" t="str">
            <v>08/27/2002</v>
          </cell>
        </row>
        <row r="2186">
          <cell r="B2186" t="str">
            <v>A2317</v>
          </cell>
          <cell r="C2186" t="str">
            <v>IHC</v>
          </cell>
          <cell r="D2186" t="str">
            <v>Y</v>
          </cell>
          <cell r="E2186" t="str">
            <v>A</v>
          </cell>
          <cell r="F2186" t="str">
            <v>08/30/2002</v>
          </cell>
        </row>
        <row r="2187">
          <cell r="B2187" t="str">
            <v>A2321</v>
          </cell>
          <cell r="C2187"/>
          <cell r="D2187" t="str">
            <v>Y</v>
          </cell>
          <cell r="E2187" t="str">
            <v>A</v>
          </cell>
          <cell r="F2187" t="str">
            <v>10/07/2002</v>
          </cell>
        </row>
        <row r="2188">
          <cell r="B2188" t="str">
            <v>A2322</v>
          </cell>
          <cell r="C2188" t="str">
            <v>003A</v>
          </cell>
          <cell r="D2188" t="str">
            <v>Y</v>
          </cell>
          <cell r="E2188" t="str">
            <v>I</v>
          </cell>
          <cell r="F2188" t="str">
            <v>09/18/2002</v>
          </cell>
        </row>
        <row r="2189">
          <cell r="B2189" t="str">
            <v>A2323</v>
          </cell>
          <cell r="C2189" t="str">
            <v>IHC</v>
          </cell>
          <cell r="D2189" t="str">
            <v>Y</v>
          </cell>
          <cell r="E2189" t="str">
            <v>A</v>
          </cell>
          <cell r="F2189" t="str">
            <v>09/19/2002</v>
          </cell>
        </row>
        <row r="2190">
          <cell r="B2190" t="str">
            <v>A2324</v>
          </cell>
          <cell r="C2190" t="str">
            <v>GMC</v>
          </cell>
          <cell r="D2190" t="str">
            <v>Y</v>
          </cell>
          <cell r="E2190" t="str">
            <v>A</v>
          </cell>
          <cell r="F2190" t="str">
            <v>09/19/2002</v>
          </cell>
        </row>
        <row r="2191">
          <cell r="B2191" t="str">
            <v>A2325</v>
          </cell>
          <cell r="C2191" t="str">
            <v>AME</v>
          </cell>
          <cell r="D2191" t="str">
            <v>Y</v>
          </cell>
          <cell r="E2191" t="str">
            <v>A</v>
          </cell>
          <cell r="F2191" t="str">
            <v>09/19/2002</v>
          </cell>
        </row>
        <row r="2192">
          <cell r="B2192" t="str">
            <v>A2326</v>
          </cell>
          <cell r="C2192" t="str">
            <v>AFS</v>
          </cell>
          <cell r="D2192" t="str">
            <v>Y</v>
          </cell>
          <cell r="E2192" t="str">
            <v>A</v>
          </cell>
          <cell r="F2192" t="str">
            <v>09/19/2002</v>
          </cell>
        </row>
        <row r="2193">
          <cell r="B2193" t="str">
            <v>A2327</v>
          </cell>
          <cell r="C2193" t="str">
            <v>GEN</v>
          </cell>
          <cell r="D2193" t="str">
            <v>Y</v>
          </cell>
          <cell r="E2193" t="str">
            <v>A</v>
          </cell>
          <cell r="F2193" t="str">
            <v>09/25/2002</v>
          </cell>
        </row>
        <row r="2194">
          <cell r="B2194" t="str">
            <v>A2328</v>
          </cell>
          <cell r="C2194" t="str">
            <v>004A</v>
          </cell>
          <cell r="D2194" t="str">
            <v>Y</v>
          </cell>
          <cell r="E2194" t="str">
            <v>I</v>
          </cell>
          <cell r="F2194" t="str">
            <v>10/25/2002</v>
          </cell>
        </row>
        <row r="2195">
          <cell r="B2195" t="str">
            <v>A2329</v>
          </cell>
          <cell r="C2195" t="str">
            <v>004A</v>
          </cell>
          <cell r="D2195" t="str">
            <v>Y</v>
          </cell>
          <cell r="E2195" t="str">
            <v>I</v>
          </cell>
          <cell r="F2195" t="str">
            <v>10/29/2002</v>
          </cell>
        </row>
        <row r="2196">
          <cell r="B2196" t="str">
            <v>A2330</v>
          </cell>
          <cell r="C2196" t="str">
            <v>015A</v>
          </cell>
          <cell r="D2196" t="str">
            <v>N</v>
          </cell>
          <cell r="E2196" t="str">
            <v>A</v>
          </cell>
          <cell r="F2196" t="str">
            <v>11/05/2002</v>
          </cell>
        </row>
        <row r="2197">
          <cell r="B2197" t="str">
            <v>A2331</v>
          </cell>
          <cell r="C2197" t="str">
            <v>UEC</v>
          </cell>
          <cell r="D2197" t="str">
            <v>Y</v>
          </cell>
          <cell r="E2197" t="str">
            <v>A</v>
          </cell>
          <cell r="F2197" t="str">
            <v>11/05/2002</v>
          </cell>
        </row>
        <row r="2198">
          <cell r="B2198" t="str">
            <v>A2332</v>
          </cell>
          <cell r="C2198" t="str">
            <v>UEC</v>
          </cell>
          <cell r="D2198" t="str">
            <v>Y</v>
          </cell>
          <cell r="E2198" t="str">
            <v>A</v>
          </cell>
          <cell r="F2198" t="str">
            <v>11/05/2002</v>
          </cell>
        </row>
        <row r="2199">
          <cell r="B2199" t="str">
            <v>A2333</v>
          </cell>
          <cell r="C2199" t="str">
            <v>UEC</v>
          </cell>
          <cell r="D2199" t="str">
            <v>Y</v>
          </cell>
          <cell r="E2199" t="str">
            <v>A</v>
          </cell>
          <cell r="F2199" t="str">
            <v>11/05/2002</v>
          </cell>
        </row>
        <row r="2200">
          <cell r="B2200" t="str">
            <v>A2334</v>
          </cell>
          <cell r="C2200" t="str">
            <v>UEC</v>
          </cell>
          <cell r="D2200" t="str">
            <v>Y</v>
          </cell>
          <cell r="E2200" t="str">
            <v>A</v>
          </cell>
          <cell r="F2200" t="str">
            <v>11/05/2002</v>
          </cell>
        </row>
        <row r="2201">
          <cell r="B2201" t="str">
            <v>A2335</v>
          </cell>
          <cell r="C2201" t="str">
            <v>CIP</v>
          </cell>
          <cell r="D2201" t="str">
            <v>Y</v>
          </cell>
          <cell r="E2201" t="str">
            <v>I</v>
          </cell>
          <cell r="F2201" t="str">
            <v>11/05/2002</v>
          </cell>
        </row>
        <row r="2202">
          <cell r="B2202" t="str">
            <v>A2336</v>
          </cell>
          <cell r="C2202" t="str">
            <v>CIP</v>
          </cell>
          <cell r="D2202" t="str">
            <v>Y</v>
          </cell>
          <cell r="E2202" t="str">
            <v>I</v>
          </cell>
          <cell r="F2202" t="str">
            <v>11/05/2002</v>
          </cell>
        </row>
        <row r="2203">
          <cell r="B2203" t="str">
            <v>A2337</v>
          </cell>
          <cell r="C2203" t="str">
            <v>002M</v>
          </cell>
          <cell r="D2203" t="str">
            <v>Y</v>
          </cell>
          <cell r="E2203" t="str">
            <v>A</v>
          </cell>
          <cell r="F2203" t="str">
            <v>11/12/2002</v>
          </cell>
        </row>
        <row r="2204">
          <cell r="B2204" t="str">
            <v>A2338</v>
          </cell>
          <cell r="C2204" t="str">
            <v>002M</v>
          </cell>
          <cell r="D2204" t="str">
            <v>Y</v>
          </cell>
          <cell r="E2204" t="str">
            <v>A</v>
          </cell>
          <cell r="F2204" t="str">
            <v>11/13/2002</v>
          </cell>
        </row>
        <row r="2205">
          <cell r="B2205" t="str">
            <v>A2339</v>
          </cell>
          <cell r="C2205" t="str">
            <v>011A</v>
          </cell>
          <cell r="D2205" t="str">
            <v>Y</v>
          </cell>
          <cell r="E2205" t="str">
            <v>A</v>
          </cell>
          <cell r="F2205" t="str">
            <v>11/13/2002</v>
          </cell>
        </row>
        <row r="2206">
          <cell r="B2206" t="str">
            <v>A2340</v>
          </cell>
          <cell r="C2206" t="str">
            <v>010A</v>
          </cell>
          <cell r="D2206" t="str">
            <v>Y</v>
          </cell>
          <cell r="E2206" t="str">
            <v>A</v>
          </cell>
          <cell r="F2206" t="str">
            <v>11/13/2002</v>
          </cell>
        </row>
        <row r="2207">
          <cell r="B2207" t="str">
            <v>A2341</v>
          </cell>
          <cell r="C2207" t="str">
            <v>002D</v>
          </cell>
          <cell r="D2207" t="str">
            <v>Y</v>
          </cell>
          <cell r="E2207" t="str">
            <v>A</v>
          </cell>
          <cell r="F2207" t="str">
            <v>11/13/2002</v>
          </cell>
        </row>
        <row r="2208">
          <cell r="B2208" t="str">
            <v>A2342</v>
          </cell>
          <cell r="C2208" t="str">
            <v>UEC</v>
          </cell>
          <cell r="D2208" t="str">
            <v>Y</v>
          </cell>
          <cell r="E2208" t="str">
            <v>A</v>
          </cell>
          <cell r="F2208" t="str">
            <v>11/19/2002</v>
          </cell>
        </row>
        <row r="2209">
          <cell r="B2209" t="str">
            <v>A2343</v>
          </cell>
          <cell r="C2209" t="str">
            <v>CIP</v>
          </cell>
          <cell r="D2209" t="str">
            <v>Y</v>
          </cell>
          <cell r="E2209" t="str">
            <v>A</v>
          </cell>
          <cell r="F2209" t="str">
            <v>11/19/2002</v>
          </cell>
        </row>
        <row r="2210">
          <cell r="B2210" t="str">
            <v>A2344</v>
          </cell>
          <cell r="C2210" t="str">
            <v>002K</v>
          </cell>
          <cell r="D2210" t="str">
            <v>Y</v>
          </cell>
          <cell r="E2210" t="str">
            <v>A</v>
          </cell>
          <cell r="F2210" t="str">
            <v>11/19/2002</v>
          </cell>
        </row>
        <row r="2211">
          <cell r="B2211" t="str">
            <v>A2345</v>
          </cell>
          <cell r="C2211" t="str">
            <v>CIL</v>
          </cell>
          <cell r="D2211" t="str">
            <v>Y</v>
          </cell>
          <cell r="E2211" t="str">
            <v>A</v>
          </cell>
          <cell r="F2211" t="str">
            <v>12/16/2002</v>
          </cell>
        </row>
        <row r="2212">
          <cell r="B2212" t="str">
            <v>A2347</v>
          </cell>
          <cell r="C2212"/>
          <cell r="D2212" t="str">
            <v>Y</v>
          </cell>
          <cell r="E2212" t="str">
            <v>A</v>
          </cell>
          <cell r="F2212" t="str">
            <v>01/10/2003</v>
          </cell>
        </row>
        <row r="2213">
          <cell r="B2213" t="str">
            <v>A2348</v>
          </cell>
          <cell r="C2213" t="str">
            <v>GMC</v>
          </cell>
          <cell r="D2213" t="str">
            <v>Y</v>
          </cell>
          <cell r="E2213" t="str">
            <v>A</v>
          </cell>
          <cell r="F2213" t="str">
            <v>01/22/2003</v>
          </cell>
        </row>
        <row r="2214">
          <cell r="B2214" t="str">
            <v>A2349</v>
          </cell>
          <cell r="C2214" t="str">
            <v>UEC</v>
          </cell>
          <cell r="D2214" t="str">
            <v>Y</v>
          </cell>
          <cell r="E2214" t="str">
            <v>A</v>
          </cell>
          <cell r="F2214" t="str">
            <v>01/24/2003</v>
          </cell>
        </row>
        <row r="2215">
          <cell r="B2215" t="str">
            <v>A2350</v>
          </cell>
          <cell r="C2215" t="str">
            <v>001G</v>
          </cell>
          <cell r="D2215" t="str">
            <v>Y</v>
          </cell>
          <cell r="E2215" t="str">
            <v>A</v>
          </cell>
          <cell r="F2215" t="str">
            <v>01/27/2003</v>
          </cell>
        </row>
        <row r="2216">
          <cell r="B2216" t="str">
            <v>A2351</v>
          </cell>
          <cell r="C2216" t="str">
            <v>CIL</v>
          </cell>
          <cell r="D2216" t="str">
            <v>Y</v>
          </cell>
          <cell r="E2216" t="str">
            <v>A</v>
          </cell>
          <cell r="F2216" t="str">
            <v>02/03/2003</v>
          </cell>
        </row>
        <row r="2217">
          <cell r="B2217" t="str">
            <v>A2352</v>
          </cell>
          <cell r="C2217" t="str">
            <v>CIL</v>
          </cell>
          <cell r="D2217" t="str">
            <v>Y</v>
          </cell>
          <cell r="E2217" t="str">
            <v>A</v>
          </cell>
          <cell r="F2217" t="str">
            <v>02/03/2003</v>
          </cell>
        </row>
        <row r="2218">
          <cell r="B2218" t="str">
            <v>A2353</v>
          </cell>
          <cell r="C2218" t="str">
            <v>CIL</v>
          </cell>
          <cell r="D2218" t="str">
            <v>Y</v>
          </cell>
          <cell r="E2218" t="str">
            <v>A</v>
          </cell>
          <cell r="F2218" t="str">
            <v>02/04/2003</v>
          </cell>
        </row>
        <row r="2219">
          <cell r="B2219" t="str">
            <v>A2354</v>
          </cell>
          <cell r="C2219" t="str">
            <v>CIL</v>
          </cell>
          <cell r="D2219" t="str">
            <v>Y</v>
          </cell>
          <cell r="E2219" t="str">
            <v>A</v>
          </cell>
          <cell r="F2219" t="str">
            <v>02/11/2003</v>
          </cell>
        </row>
        <row r="2220">
          <cell r="B2220" t="str">
            <v>A2355</v>
          </cell>
          <cell r="C2220" t="str">
            <v>ARG</v>
          </cell>
          <cell r="D2220" t="str">
            <v>N</v>
          </cell>
          <cell r="E2220" t="str">
            <v>A</v>
          </cell>
          <cell r="F2220" t="str">
            <v>02/05/2003</v>
          </cell>
        </row>
        <row r="2221">
          <cell r="B2221" t="str">
            <v>A2356</v>
          </cell>
          <cell r="C2221" t="str">
            <v>ARG</v>
          </cell>
          <cell r="D2221" t="str">
            <v>N</v>
          </cell>
          <cell r="E2221" t="str">
            <v>A</v>
          </cell>
          <cell r="F2221" t="str">
            <v>02/05/2003</v>
          </cell>
        </row>
        <row r="2222">
          <cell r="B2222" t="str">
            <v>A2357</v>
          </cell>
          <cell r="C2222" t="str">
            <v>CIL</v>
          </cell>
          <cell r="D2222" t="str">
            <v>N</v>
          </cell>
          <cell r="E2222" t="str">
            <v>A</v>
          </cell>
          <cell r="F2222" t="str">
            <v>02/05/2003</v>
          </cell>
        </row>
        <row r="2223">
          <cell r="B2223" t="str">
            <v>A2358</v>
          </cell>
          <cell r="C2223" t="str">
            <v>CIL</v>
          </cell>
          <cell r="D2223" t="str">
            <v>N</v>
          </cell>
          <cell r="E2223" t="str">
            <v>A</v>
          </cell>
          <cell r="F2223" t="str">
            <v>02/06/2003</v>
          </cell>
        </row>
        <row r="2224">
          <cell r="B2224" t="str">
            <v>A2359</v>
          </cell>
          <cell r="C2224" t="str">
            <v>CIL</v>
          </cell>
          <cell r="D2224" t="str">
            <v>N</v>
          </cell>
          <cell r="E2224" t="str">
            <v>A</v>
          </cell>
          <cell r="F2224" t="str">
            <v>03/12/2003</v>
          </cell>
        </row>
        <row r="2225">
          <cell r="B2225" t="str">
            <v>A2360</v>
          </cell>
          <cell r="C2225" t="str">
            <v>UEC</v>
          </cell>
          <cell r="D2225" t="str">
            <v>N</v>
          </cell>
          <cell r="E2225" t="str">
            <v>A</v>
          </cell>
          <cell r="F2225" t="str">
            <v>02/07/2003</v>
          </cell>
        </row>
        <row r="2226">
          <cell r="B2226" t="str">
            <v>A2361</v>
          </cell>
          <cell r="C2226" t="str">
            <v>CIP</v>
          </cell>
          <cell r="D2226" t="str">
            <v>N</v>
          </cell>
          <cell r="E2226" t="str">
            <v>A</v>
          </cell>
          <cell r="F2226" t="str">
            <v>02/07/2003</v>
          </cell>
        </row>
        <row r="2227">
          <cell r="B2227" t="str">
            <v>A2362</v>
          </cell>
          <cell r="C2227" t="str">
            <v>CIL</v>
          </cell>
          <cell r="D2227" t="str">
            <v>N</v>
          </cell>
          <cell r="E2227" t="str">
            <v>A</v>
          </cell>
          <cell r="F2227" t="str">
            <v>09/19/2003</v>
          </cell>
        </row>
        <row r="2228">
          <cell r="B2228" t="str">
            <v>A2363</v>
          </cell>
          <cell r="C2228" t="str">
            <v>UEC</v>
          </cell>
          <cell r="D2228" t="str">
            <v>Y</v>
          </cell>
          <cell r="E2228" t="str">
            <v>A</v>
          </cell>
          <cell r="F2228" t="str">
            <v>02/07/2003</v>
          </cell>
        </row>
        <row r="2229">
          <cell r="B2229" t="str">
            <v>A2364</v>
          </cell>
          <cell r="C2229" t="str">
            <v>UEC</v>
          </cell>
          <cell r="D2229" t="str">
            <v>Y</v>
          </cell>
          <cell r="E2229" t="str">
            <v>A</v>
          </cell>
          <cell r="F2229" t="str">
            <v>02/07/2003</v>
          </cell>
        </row>
        <row r="2230">
          <cell r="B2230" t="str">
            <v>A2365</v>
          </cell>
          <cell r="C2230" t="str">
            <v>UEC</v>
          </cell>
          <cell r="D2230" t="str">
            <v>Y</v>
          </cell>
          <cell r="E2230" t="str">
            <v>A</v>
          </cell>
          <cell r="F2230" t="str">
            <v>02/07/2003</v>
          </cell>
        </row>
        <row r="2231">
          <cell r="B2231" t="str">
            <v>A2366</v>
          </cell>
          <cell r="C2231" t="str">
            <v>002I</v>
          </cell>
          <cell r="D2231" t="str">
            <v>Y</v>
          </cell>
          <cell r="E2231" t="str">
            <v>A</v>
          </cell>
          <cell r="F2231" t="str">
            <v>02/25/2003</v>
          </cell>
        </row>
        <row r="2232">
          <cell r="B2232" t="str">
            <v>A2367</v>
          </cell>
          <cell r="C2232" t="str">
            <v>CIL</v>
          </cell>
          <cell r="D2232" t="str">
            <v>Y</v>
          </cell>
          <cell r="E2232" t="str">
            <v>A</v>
          </cell>
          <cell r="F2232" t="str">
            <v>02/25/2003</v>
          </cell>
        </row>
        <row r="2233">
          <cell r="B2233" t="str">
            <v>A2368</v>
          </cell>
          <cell r="C2233" t="str">
            <v>CIL</v>
          </cell>
          <cell r="D2233" t="str">
            <v>Y</v>
          </cell>
          <cell r="E2233" t="str">
            <v>A</v>
          </cell>
          <cell r="F2233" t="str">
            <v>02/14/2003</v>
          </cell>
        </row>
        <row r="2234">
          <cell r="B2234" t="str">
            <v>A2369</v>
          </cell>
          <cell r="C2234" t="str">
            <v>CIL</v>
          </cell>
          <cell r="D2234" t="str">
            <v>Y</v>
          </cell>
          <cell r="E2234" t="str">
            <v>A</v>
          </cell>
          <cell r="F2234" t="str">
            <v>02/14/2003</v>
          </cell>
        </row>
        <row r="2235">
          <cell r="B2235" t="str">
            <v>A2370</v>
          </cell>
          <cell r="C2235" t="str">
            <v>UEC</v>
          </cell>
          <cell r="D2235" t="str">
            <v>Y</v>
          </cell>
          <cell r="E2235" t="str">
            <v>I</v>
          </cell>
          <cell r="F2235" t="str">
            <v>02/14/2003</v>
          </cell>
        </row>
        <row r="2236">
          <cell r="B2236" t="str">
            <v>A2371</v>
          </cell>
          <cell r="C2236" t="str">
            <v>CIP</v>
          </cell>
          <cell r="D2236" t="str">
            <v>Y</v>
          </cell>
          <cell r="E2236" t="str">
            <v>I</v>
          </cell>
          <cell r="F2236" t="str">
            <v>02/14/2003</v>
          </cell>
        </row>
        <row r="2237">
          <cell r="B2237" t="str">
            <v>A2372</v>
          </cell>
          <cell r="C2237" t="str">
            <v>CIL</v>
          </cell>
          <cell r="D2237" t="str">
            <v>Y</v>
          </cell>
          <cell r="E2237" t="str">
            <v>A</v>
          </cell>
          <cell r="F2237" t="str">
            <v>02/21/2003</v>
          </cell>
        </row>
        <row r="2238">
          <cell r="B2238" t="str">
            <v>A2373</v>
          </cell>
          <cell r="C2238" t="str">
            <v>UEC</v>
          </cell>
          <cell r="D2238" t="str">
            <v>Y</v>
          </cell>
          <cell r="E2238" t="str">
            <v>A</v>
          </cell>
          <cell r="F2238" t="str">
            <v>02/20/2003</v>
          </cell>
        </row>
        <row r="2239">
          <cell r="B2239" t="str">
            <v>A2374</v>
          </cell>
          <cell r="C2239" t="str">
            <v>CIL</v>
          </cell>
          <cell r="D2239" t="str">
            <v>Y</v>
          </cell>
          <cell r="E2239" t="str">
            <v>A</v>
          </cell>
          <cell r="F2239" t="str">
            <v>02/20/2003</v>
          </cell>
        </row>
        <row r="2240">
          <cell r="B2240" t="str">
            <v>A2375</v>
          </cell>
          <cell r="C2240" t="str">
            <v>CIL</v>
          </cell>
          <cell r="D2240" t="str">
            <v>Y</v>
          </cell>
          <cell r="E2240" t="str">
            <v>I</v>
          </cell>
          <cell r="F2240" t="str">
            <v>03/04/2003</v>
          </cell>
        </row>
        <row r="2241">
          <cell r="B2241" t="str">
            <v>A2376</v>
          </cell>
          <cell r="C2241" t="str">
            <v>CIL</v>
          </cell>
          <cell r="D2241" t="str">
            <v>Y</v>
          </cell>
          <cell r="E2241" t="str">
            <v>I</v>
          </cell>
          <cell r="F2241" t="str">
            <v>03/04/2003</v>
          </cell>
        </row>
        <row r="2242">
          <cell r="B2242" t="str">
            <v>A2377</v>
          </cell>
          <cell r="C2242" t="str">
            <v>CIL</v>
          </cell>
          <cell r="D2242" t="str">
            <v>Y</v>
          </cell>
          <cell r="E2242" t="str">
            <v>I</v>
          </cell>
          <cell r="F2242" t="str">
            <v>03/04/2003</v>
          </cell>
        </row>
        <row r="2243">
          <cell r="B2243" t="str">
            <v>A2378</v>
          </cell>
          <cell r="C2243" t="str">
            <v>CIL</v>
          </cell>
          <cell r="D2243" t="str">
            <v>Y</v>
          </cell>
          <cell r="E2243" t="str">
            <v>A</v>
          </cell>
          <cell r="F2243" t="str">
            <v>03/04/2003</v>
          </cell>
        </row>
        <row r="2244">
          <cell r="B2244" t="str">
            <v>A2379</v>
          </cell>
          <cell r="C2244" t="str">
            <v>ARG</v>
          </cell>
          <cell r="D2244" t="str">
            <v>Y</v>
          </cell>
          <cell r="E2244" t="str">
            <v>A</v>
          </cell>
          <cell r="F2244" t="str">
            <v>03/04/2003</v>
          </cell>
        </row>
        <row r="2245">
          <cell r="B2245" t="str">
            <v>A2380</v>
          </cell>
          <cell r="C2245" t="str">
            <v>CIL</v>
          </cell>
          <cell r="D2245" t="str">
            <v>Y</v>
          </cell>
          <cell r="E2245" t="str">
            <v>A</v>
          </cell>
          <cell r="F2245" t="str">
            <v>03/04/2003</v>
          </cell>
        </row>
        <row r="2246">
          <cell r="B2246" t="str">
            <v>A2381</v>
          </cell>
          <cell r="C2246" t="str">
            <v>MV1</v>
          </cell>
          <cell r="D2246" t="str">
            <v>Y</v>
          </cell>
          <cell r="E2246" t="str">
            <v>A</v>
          </cell>
          <cell r="F2246" t="str">
            <v>10/16/2003</v>
          </cell>
        </row>
        <row r="2247">
          <cell r="B2247" t="str">
            <v>A2382</v>
          </cell>
          <cell r="C2247" t="str">
            <v>CIL</v>
          </cell>
          <cell r="D2247" t="str">
            <v>Y</v>
          </cell>
          <cell r="E2247" t="str">
            <v>I</v>
          </cell>
          <cell r="F2247" t="str">
            <v>03/04/2003</v>
          </cell>
        </row>
        <row r="2248">
          <cell r="B2248" t="str">
            <v>A2383</v>
          </cell>
          <cell r="C2248" t="str">
            <v>CIL</v>
          </cell>
          <cell r="D2248" t="str">
            <v>Y</v>
          </cell>
          <cell r="E2248" t="str">
            <v>A</v>
          </cell>
          <cell r="F2248" t="str">
            <v>03/04/2003</v>
          </cell>
        </row>
        <row r="2249">
          <cell r="B2249" t="str">
            <v>A2384</v>
          </cell>
          <cell r="C2249" t="str">
            <v>UEC</v>
          </cell>
          <cell r="D2249" t="str">
            <v>N</v>
          </cell>
          <cell r="E2249" t="str">
            <v>I</v>
          </cell>
          <cell r="F2249" t="str">
            <v>01/05/2004</v>
          </cell>
        </row>
        <row r="2250">
          <cell r="B2250" t="str">
            <v>A2385</v>
          </cell>
          <cell r="C2250" t="str">
            <v>CIP</v>
          </cell>
          <cell r="D2250" t="str">
            <v>N</v>
          </cell>
          <cell r="E2250" t="str">
            <v>I</v>
          </cell>
          <cell r="F2250" t="str">
            <v>01/05/2004</v>
          </cell>
        </row>
        <row r="2251">
          <cell r="B2251" t="str">
            <v>A2386</v>
          </cell>
          <cell r="C2251" t="str">
            <v>002L</v>
          </cell>
          <cell r="D2251" t="str">
            <v>N</v>
          </cell>
          <cell r="E2251" t="str">
            <v>I</v>
          </cell>
          <cell r="F2251" t="str">
            <v>01/05/2004</v>
          </cell>
        </row>
        <row r="2252">
          <cell r="B2252" t="str">
            <v>A2389</v>
          </cell>
          <cell r="C2252" t="str">
            <v>CIL</v>
          </cell>
          <cell r="D2252" t="str">
            <v>Y</v>
          </cell>
          <cell r="E2252" t="str">
            <v>A</v>
          </cell>
          <cell r="F2252" t="str">
            <v>02/26/2003</v>
          </cell>
        </row>
        <row r="2253">
          <cell r="B2253" t="str">
            <v>A2391</v>
          </cell>
          <cell r="C2253" t="str">
            <v>CIL</v>
          </cell>
          <cell r="D2253" t="str">
            <v>Y</v>
          </cell>
          <cell r="E2253" t="str">
            <v>I</v>
          </cell>
          <cell r="F2253" t="str">
            <v>02/26/2003</v>
          </cell>
        </row>
        <row r="2254">
          <cell r="B2254" t="str">
            <v>A2392</v>
          </cell>
          <cell r="C2254" t="str">
            <v>UEC</v>
          </cell>
          <cell r="D2254" t="str">
            <v>Y</v>
          </cell>
          <cell r="E2254" t="str">
            <v>A</v>
          </cell>
          <cell r="F2254" t="str">
            <v>07/30/2003</v>
          </cell>
        </row>
        <row r="2255">
          <cell r="B2255" t="str">
            <v>A2393</v>
          </cell>
          <cell r="C2255" t="str">
            <v>CIP</v>
          </cell>
          <cell r="D2255" t="str">
            <v>Y</v>
          </cell>
          <cell r="E2255" t="str">
            <v>A</v>
          </cell>
          <cell r="F2255" t="str">
            <v>07/30/2003</v>
          </cell>
        </row>
        <row r="2256">
          <cell r="B2256" t="str">
            <v>A2394</v>
          </cell>
          <cell r="C2256" t="str">
            <v>002L</v>
          </cell>
          <cell r="D2256" t="str">
            <v>Y</v>
          </cell>
          <cell r="E2256" t="str">
            <v>A</v>
          </cell>
          <cell r="F2256" t="str">
            <v>07/30/2003</v>
          </cell>
        </row>
        <row r="2257">
          <cell r="B2257" t="str">
            <v>A2395</v>
          </cell>
          <cell r="C2257" t="str">
            <v>CIP</v>
          </cell>
          <cell r="D2257" t="str">
            <v>Y</v>
          </cell>
          <cell r="E2257" t="str">
            <v>A</v>
          </cell>
          <cell r="F2257" t="str">
            <v>03/03/2003</v>
          </cell>
        </row>
        <row r="2258">
          <cell r="B2258" t="str">
            <v>A2396</v>
          </cell>
          <cell r="C2258" t="str">
            <v>CIP</v>
          </cell>
          <cell r="D2258" t="str">
            <v>Y</v>
          </cell>
          <cell r="E2258" t="str">
            <v>A</v>
          </cell>
          <cell r="F2258" t="str">
            <v>03/03/2003</v>
          </cell>
        </row>
        <row r="2259">
          <cell r="B2259" t="str">
            <v>A2397</v>
          </cell>
          <cell r="C2259"/>
          <cell r="D2259" t="str">
            <v>Y</v>
          </cell>
          <cell r="E2259" t="str">
            <v>A</v>
          </cell>
          <cell r="F2259" t="str">
            <v>03/04/2003</v>
          </cell>
        </row>
        <row r="2260">
          <cell r="B2260" t="str">
            <v>A2398</v>
          </cell>
          <cell r="C2260" t="str">
            <v>CIL</v>
          </cell>
          <cell r="D2260" t="str">
            <v>Y</v>
          </cell>
          <cell r="E2260" t="str">
            <v>A</v>
          </cell>
          <cell r="F2260" t="str">
            <v>03/04/2003</v>
          </cell>
        </row>
        <row r="2261">
          <cell r="B2261" t="str">
            <v>A2399</v>
          </cell>
          <cell r="C2261" t="str">
            <v>004A</v>
          </cell>
          <cell r="D2261" t="str">
            <v>Y</v>
          </cell>
          <cell r="E2261" t="str">
            <v>A</v>
          </cell>
          <cell r="F2261" t="str">
            <v>03/06/2003</v>
          </cell>
        </row>
        <row r="2262">
          <cell r="B2262" t="str">
            <v>A2400</v>
          </cell>
          <cell r="C2262" t="str">
            <v>004A</v>
          </cell>
          <cell r="D2262" t="str">
            <v>Y</v>
          </cell>
          <cell r="E2262" t="str">
            <v>A</v>
          </cell>
          <cell r="F2262" t="str">
            <v>03/06/2003</v>
          </cell>
        </row>
        <row r="2263">
          <cell r="B2263" t="str">
            <v>A2401</v>
          </cell>
          <cell r="C2263" t="str">
            <v>CIL</v>
          </cell>
          <cell r="D2263" t="str">
            <v>Y</v>
          </cell>
          <cell r="E2263" t="str">
            <v>A</v>
          </cell>
          <cell r="F2263" t="str">
            <v>03/06/2003</v>
          </cell>
        </row>
        <row r="2264">
          <cell r="B2264" t="str">
            <v>A2403</v>
          </cell>
          <cell r="C2264" t="str">
            <v>CIP</v>
          </cell>
          <cell r="D2264" t="str">
            <v>Y</v>
          </cell>
          <cell r="E2264" t="str">
            <v>A</v>
          </cell>
          <cell r="F2264" t="str">
            <v>03/12/2003</v>
          </cell>
        </row>
        <row r="2265">
          <cell r="B2265" t="str">
            <v>A2404</v>
          </cell>
          <cell r="C2265" t="str">
            <v>CIP</v>
          </cell>
          <cell r="D2265" t="str">
            <v>Y</v>
          </cell>
          <cell r="E2265" t="str">
            <v>A</v>
          </cell>
          <cell r="F2265" t="str">
            <v>03/12/2003</v>
          </cell>
        </row>
        <row r="2266">
          <cell r="B2266" t="str">
            <v>A2405</v>
          </cell>
          <cell r="C2266" t="str">
            <v>002I</v>
          </cell>
          <cell r="D2266" t="str">
            <v>Y</v>
          </cell>
          <cell r="E2266" t="str">
            <v>A</v>
          </cell>
          <cell r="F2266" t="str">
            <v>03/12/2003</v>
          </cell>
        </row>
        <row r="2267">
          <cell r="B2267" t="str">
            <v>A2408</v>
          </cell>
          <cell r="C2267" t="str">
            <v>CIL</v>
          </cell>
          <cell r="D2267" t="str">
            <v>Y</v>
          </cell>
          <cell r="E2267" t="str">
            <v>I</v>
          </cell>
          <cell r="F2267" t="str">
            <v>03/12/2003</v>
          </cell>
        </row>
        <row r="2268">
          <cell r="B2268" t="str">
            <v>A2409</v>
          </cell>
          <cell r="C2268" t="str">
            <v>CIL</v>
          </cell>
          <cell r="D2268" t="str">
            <v>Y</v>
          </cell>
          <cell r="E2268" t="str">
            <v>A</v>
          </cell>
          <cell r="F2268" t="str">
            <v>03/12/2003</v>
          </cell>
        </row>
        <row r="2269">
          <cell r="B2269" t="str">
            <v>A2411</v>
          </cell>
          <cell r="C2269" t="str">
            <v>CIL</v>
          </cell>
          <cell r="D2269" t="str">
            <v>N</v>
          </cell>
          <cell r="E2269" t="str">
            <v>A</v>
          </cell>
          <cell r="F2269" t="str">
            <v>10/27/2003</v>
          </cell>
        </row>
        <row r="2270">
          <cell r="B2270" t="str">
            <v>A2412</v>
          </cell>
          <cell r="C2270" t="str">
            <v>CIL</v>
          </cell>
          <cell r="D2270" t="str">
            <v>Y</v>
          </cell>
          <cell r="E2270" t="str">
            <v>A</v>
          </cell>
          <cell r="F2270" t="str">
            <v>04/01/2003</v>
          </cell>
        </row>
        <row r="2271">
          <cell r="B2271" t="str">
            <v>A2413</v>
          </cell>
          <cell r="C2271" t="str">
            <v>MV1</v>
          </cell>
          <cell r="D2271" t="str">
            <v>Y</v>
          </cell>
          <cell r="E2271" t="str">
            <v>A</v>
          </cell>
          <cell r="F2271" t="str">
            <v>04/01/2003</v>
          </cell>
        </row>
        <row r="2272">
          <cell r="B2272" t="str">
            <v>A2414</v>
          </cell>
          <cell r="C2272" t="str">
            <v>MV1</v>
          </cell>
          <cell r="D2272" t="str">
            <v>Y</v>
          </cell>
          <cell r="E2272" t="str">
            <v>A</v>
          </cell>
          <cell r="F2272" t="str">
            <v>04/22/2003</v>
          </cell>
        </row>
        <row r="2273">
          <cell r="B2273" t="str">
            <v>A2416</v>
          </cell>
          <cell r="C2273" t="str">
            <v>AMC</v>
          </cell>
          <cell r="D2273" t="str">
            <v>Y</v>
          </cell>
          <cell r="E2273" t="str">
            <v>A</v>
          </cell>
          <cell r="F2273" t="str">
            <v>04/16/2003</v>
          </cell>
        </row>
        <row r="2274">
          <cell r="B2274" t="str">
            <v>A2417</v>
          </cell>
          <cell r="C2274" t="str">
            <v>CIL</v>
          </cell>
          <cell r="D2274" t="str">
            <v>Y</v>
          </cell>
          <cell r="E2274" t="str">
            <v>A</v>
          </cell>
          <cell r="F2274" t="str">
            <v>04/16/2003</v>
          </cell>
        </row>
        <row r="2275">
          <cell r="B2275" t="str">
            <v>A2418</v>
          </cell>
          <cell r="C2275" t="str">
            <v>CIL</v>
          </cell>
          <cell r="D2275" t="str">
            <v>Y</v>
          </cell>
          <cell r="E2275" t="str">
            <v>A</v>
          </cell>
          <cell r="F2275" t="str">
            <v>04/16/2003</v>
          </cell>
        </row>
        <row r="2276">
          <cell r="B2276" t="str">
            <v>A2419</v>
          </cell>
          <cell r="C2276" t="str">
            <v>CIL</v>
          </cell>
          <cell r="D2276" t="str">
            <v>N</v>
          </cell>
          <cell r="E2276" t="str">
            <v>A</v>
          </cell>
          <cell r="F2276" t="str">
            <v>04/23/2003</v>
          </cell>
        </row>
        <row r="2277">
          <cell r="B2277" t="str">
            <v>A2420</v>
          </cell>
          <cell r="C2277" t="str">
            <v>CIL</v>
          </cell>
          <cell r="D2277" t="str">
            <v>N</v>
          </cell>
          <cell r="E2277" t="str">
            <v>A</v>
          </cell>
          <cell r="F2277" t="str">
            <v>05/06/2003</v>
          </cell>
        </row>
        <row r="2278">
          <cell r="B2278" t="str">
            <v>A2421</v>
          </cell>
          <cell r="C2278" t="str">
            <v>CIL</v>
          </cell>
          <cell r="D2278" t="str">
            <v>Y</v>
          </cell>
          <cell r="E2278" t="str">
            <v>A</v>
          </cell>
          <cell r="F2278" t="str">
            <v>05/08/2003</v>
          </cell>
        </row>
        <row r="2279">
          <cell r="B2279" t="str">
            <v>A2422</v>
          </cell>
          <cell r="C2279" t="str">
            <v>CIL</v>
          </cell>
          <cell r="D2279" t="str">
            <v>Y</v>
          </cell>
          <cell r="E2279" t="str">
            <v>A</v>
          </cell>
          <cell r="F2279" t="str">
            <v>05/08/2003</v>
          </cell>
        </row>
        <row r="2280">
          <cell r="B2280" t="str">
            <v>A2426</v>
          </cell>
          <cell r="C2280" t="str">
            <v>002D</v>
          </cell>
          <cell r="D2280" t="str">
            <v>Y</v>
          </cell>
          <cell r="E2280" t="str">
            <v>A</v>
          </cell>
          <cell r="F2280" t="str">
            <v>05/30/2003</v>
          </cell>
        </row>
        <row r="2281">
          <cell r="B2281" t="str">
            <v>A2427</v>
          </cell>
          <cell r="C2281" t="str">
            <v>UEC</v>
          </cell>
          <cell r="D2281" t="str">
            <v>Y</v>
          </cell>
          <cell r="E2281" t="str">
            <v>A</v>
          </cell>
          <cell r="F2281" t="str">
            <v>06/25/2003</v>
          </cell>
        </row>
        <row r="2282">
          <cell r="B2282" t="str">
            <v>A2429</v>
          </cell>
          <cell r="C2282" t="str">
            <v>004B</v>
          </cell>
          <cell r="D2282" t="str">
            <v>Y</v>
          </cell>
          <cell r="E2282" t="str">
            <v>A</v>
          </cell>
          <cell r="F2282" t="str">
            <v>07/02/2003</v>
          </cell>
        </row>
        <row r="2283">
          <cell r="B2283" t="str">
            <v>A2430</v>
          </cell>
          <cell r="C2283" t="str">
            <v>CIL</v>
          </cell>
          <cell r="D2283" t="str">
            <v>Y</v>
          </cell>
          <cell r="E2283" t="str">
            <v>A</v>
          </cell>
          <cell r="F2283" t="str">
            <v>01/05/2004</v>
          </cell>
        </row>
        <row r="2284">
          <cell r="B2284" t="str">
            <v>A2431</v>
          </cell>
          <cell r="C2284" t="str">
            <v>CIL</v>
          </cell>
          <cell r="D2284" t="str">
            <v>Y</v>
          </cell>
          <cell r="E2284" t="str">
            <v>A</v>
          </cell>
          <cell r="F2284" t="str">
            <v>09/03/2003</v>
          </cell>
        </row>
        <row r="2285">
          <cell r="B2285" t="str">
            <v>A2432</v>
          </cell>
          <cell r="C2285" t="str">
            <v>CIL</v>
          </cell>
          <cell r="D2285" t="str">
            <v>Y</v>
          </cell>
          <cell r="E2285" t="str">
            <v>A</v>
          </cell>
          <cell r="F2285" t="str">
            <v>09/03/2003</v>
          </cell>
        </row>
        <row r="2286">
          <cell r="B2286" t="str">
            <v>A2434</v>
          </cell>
          <cell r="C2286" t="str">
            <v>CIL</v>
          </cell>
          <cell r="D2286" t="str">
            <v>Y</v>
          </cell>
          <cell r="E2286" t="str">
            <v>A</v>
          </cell>
          <cell r="F2286" t="str">
            <v>09/03/2003</v>
          </cell>
        </row>
        <row r="2287">
          <cell r="B2287" t="str">
            <v>A2435</v>
          </cell>
          <cell r="C2287" t="str">
            <v>CIL</v>
          </cell>
          <cell r="D2287" t="str">
            <v>Y</v>
          </cell>
          <cell r="E2287" t="str">
            <v>A</v>
          </cell>
          <cell r="F2287" t="str">
            <v>09/03/2003</v>
          </cell>
        </row>
        <row r="2288">
          <cell r="B2288" t="str">
            <v>A2436</v>
          </cell>
          <cell r="C2288" t="str">
            <v>CIL</v>
          </cell>
          <cell r="D2288" t="str">
            <v>Y</v>
          </cell>
          <cell r="E2288" t="str">
            <v>A</v>
          </cell>
          <cell r="F2288" t="str">
            <v>09/04/2003</v>
          </cell>
        </row>
        <row r="2289">
          <cell r="B2289" t="str">
            <v>A2437</v>
          </cell>
          <cell r="C2289" t="str">
            <v>CIL</v>
          </cell>
          <cell r="D2289" t="str">
            <v>Y</v>
          </cell>
          <cell r="E2289" t="str">
            <v>A</v>
          </cell>
          <cell r="F2289" t="str">
            <v>01/20/2004</v>
          </cell>
        </row>
        <row r="2290">
          <cell r="B2290" t="str">
            <v>A2439</v>
          </cell>
          <cell r="C2290" t="str">
            <v>CIL</v>
          </cell>
          <cell r="D2290" t="str">
            <v>Y</v>
          </cell>
          <cell r="E2290" t="str">
            <v>A</v>
          </cell>
          <cell r="F2290" t="str">
            <v>09/03/2003</v>
          </cell>
        </row>
        <row r="2291">
          <cell r="B2291" t="str">
            <v>A2440</v>
          </cell>
          <cell r="C2291" t="str">
            <v>CIL</v>
          </cell>
          <cell r="D2291" t="str">
            <v>Y</v>
          </cell>
          <cell r="E2291" t="str">
            <v>A</v>
          </cell>
          <cell r="F2291" t="str">
            <v>09/03/2003</v>
          </cell>
        </row>
        <row r="2292">
          <cell r="B2292" t="str">
            <v>A2441</v>
          </cell>
          <cell r="C2292" t="str">
            <v>CIL</v>
          </cell>
          <cell r="D2292" t="str">
            <v>Y</v>
          </cell>
          <cell r="E2292" t="str">
            <v>A</v>
          </cell>
          <cell r="F2292" t="str">
            <v>09/03/2003</v>
          </cell>
        </row>
        <row r="2293">
          <cell r="B2293" t="str">
            <v>A2442</v>
          </cell>
          <cell r="C2293" t="str">
            <v>CIL</v>
          </cell>
          <cell r="D2293" t="str">
            <v>Y</v>
          </cell>
          <cell r="E2293" t="str">
            <v>A</v>
          </cell>
          <cell r="F2293" t="str">
            <v>09/03/2003</v>
          </cell>
        </row>
        <row r="2294">
          <cell r="B2294" t="str">
            <v>A2443</v>
          </cell>
          <cell r="C2294" t="str">
            <v>CIL</v>
          </cell>
          <cell r="D2294" t="str">
            <v>Y</v>
          </cell>
          <cell r="E2294" t="str">
            <v>A</v>
          </cell>
          <cell r="F2294" t="str">
            <v>09/04/2003</v>
          </cell>
        </row>
        <row r="2295">
          <cell r="B2295" t="str">
            <v>A2444</v>
          </cell>
          <cell r="C2295" t="str">
            <v>CIP</v>
          </cell>
          <cell r="D2295" t="str">
            <v>Y</v>
          </cell>
          <cell r="E2295" t="str">
            <v>A</v>
          </cell>
          <cell r="F2295" t="str">
            <v>10/01/2003</v>
          </cell>
        </row>
        <row r="2296">
          <cell r="B2296" t="str">
            <v>A2445</v>
          </cell>
          <cell r="C2296" t="str">
            <v>CIL</v>
          </cell>
          <cell r="D2296" t="str">
            <v>Y</v>
          </cell>
          <cell r="E2296" t="str">
            <v>A</v>
          </cell>
          <cell r="F2296" t="str">
            <v>09/04/2003</v>
          </cell>
        </row>
        <row r="2297">
          <cell r="B2297" t="str">
            <v>A2446</v>
          </cell>
          <cell r="C2297" t="str">
            <v>CIL</v>
          </cell>
          <cell r="D2297" t="str">
            <v>Y</v>
          </cell>
          <cell r="E2297" t="str">
            <v>A</v>
          </cell>
          <cell r="F2297" t="str">
            <v>09/04/2003</v>
          </cell>
        </row>
        <row r="2298">
          <cell r="B2298" t="str">
            <v>A2447</v>
          </cell>
          <cell r="C2298" t="str">
            <v>CIL</v>
          </cell>
          <cell r="D2298" t="str">
            <v>Y</v>
          </cell>
          <cell r="E2298" t="str">
            <v>A</v>
          </cell>
          <cell r="F2298" t="str">
            <v>09/04/2003</v>
          </cell>
        </row>
        <row r="2299">
          <cell r="B2299" t="str">
            <v>A2448</v>
          </cell>
          <cell r="C2299" t="str">
            <v>CIL</v>
          </cell>
          <cell r="D2299" t="str">
            <v>Y</v>
          </cell>
          <cell r="E2299" t="str">
            <v>A</v>
          </cell>
          <cell r="F2299" t="str">
            <v>09/03/2003</v>
          </cell>
        </row>
        <row r="2300">
          <cell r="B2300" t="str">
            <v>A2449</v>
          </cell>
          <cell r="C2300" t="str">
            <v>CIL</v>
          </cell>
          <cell r="D2300" t="str">
            <v>Y</v>
          </cell>
          <cell r="E2300" t="str">
            <v>A</v>
          </cell>
          <cell r="F2300" t="str">
            <v>09/03/2003</v>
          </cell>
        </row>
        <row r="2301">
          <cell r="B2301" t="str">
            <v>A2450</v>
          </cell>
          <cell r="C2301" t="str">
            <v>CIL</v>
          </cell>
          <cell r="D2301" t="str">
            <v>Y</v>
          </cell>
          <cell r="E2301" t="str">
            <v>A</v>
          </cell>
          <cell r="F2301" t="str">
            <v>09/03/2003</v>
          </cell>
        </row>
        <row r="2302">
          <cell r="B2302" t="str">
            <v>A2451</v>
          </cell>
          <cell r="C2302" t="str">
            <v>CIL</v>
          </cell>
          <cell r="D2302" t="str">
            <v>Y</v>
          </cell>
          <cell r="E2302" t="str">
            <v>A</v>
          </cell>
          <cell r="F2302" t="str">
            <v>09/03/2003</v>
          </cell>
        </row>
        <row r="2303">
          <cell r="B2303" t="str">
            <v>A2452</v>
          </cell>
          <cell r="C2303" t="str">
            <v>CIL</v>
          </cell>
          <cell r="D2303" t="str">
            <v>Y</v>
          </cell>
          <cell r="E2303" t="str">
            <v>A</v>
          </cell>
          <cell r="F2303" t="str">
            <v>09/03/2003</v>
          </cell>
        </row>
        <row r="2304">
          <cell r="B2304" t="str">
            <v>A2455</v>
          </cell>
          <cell r="C2304" t="str">
            <v>CIL</v>
          </cell>
          <cell r="D2304" t="str">
            <v>Y</v>
          </cell>
          <cell r="E2304" t="str">
            <v>A</v>
          </cell>
          <cell r="F2304" t="str">
            <v>09/03/2003</v>
          </cell>
        </row>
        <row r="2305">
          <cell r="B2305" t="str">
            <v>A2456</v>
          </cell>
          <cell r="C2305" t="str">
            <v>CIL</v>
          </cell>
          <cell r="D2305" t="str">
            <v>Y</v>
          </cell>
          <cell r="E2305" t="str">
            <v>A</v>
          </cell>
          <cell r="F2305" t="str">
            <v>09/03/2003</v>
          </cell>
        </row>
        <row r="2306">
          <cell r="B2306" t="str">
            <v>A2457</v>
          </cell>
          <cell r="C2306" t="str">
            <v>CIL</v>
          </cell>
          <cell r="D2306" t="str">
            <v>Y</v>
          </cell>
          <cell r="E2306" t="str">
            <v>A</v>
          </cell>
          <cell r="F2306" t="str">
            <v>09/04/2003</v>
          </cell>
        </row>
        <row r="2307">
          <cell r="B2307" t="str">
            <v>A2459</v>
          </cell>
          <cell r="C2307" t="str">
            <v>CIL</v>
          </cell>
          <cell r="D2307" t="str">
            <v>Y</v>
          </cell>
          <cell r="E2307" t="str">
            <v>A</v>
          </cell>
          <cell r="F2307" t="str">
            <v>09/03/2003</v>
          </cell>
        </row>
        <row r="2308">
          <cell r="B2308" t="str">
            <v>A2460</v>
          </cell>
          <cell r="C2308" t="str">
            <v>CIL</v>
          </cell>
          <cell r="D2308" t="str">
            <v>Y</v>
          </cell>
          <cell r="E2308" t="str">
            <v>A</v>
          </cell>
          <cell r="F2308" t="str">
            <v>09/03/2003</v>
          </cell>
        </row>
        <row r="2309">
          <cell r="B2309" t="str">
            <v>A2461</v>
          </cell>
          <cell r="C2309" t="str">
            <v>CIL</v>
          </cell>
          <cell r="D2309" t="str">
            <v>Y</v>
          </cell>
          <cell r="E2309" t="str">
            <v>A</v>
          </cell>
          <cell r="F2309" t="str">
            <v>09/03/2003</v>
          </cell>
        </row>
        <row r="2310">
          <cell r="B2310" t="str">
            <v>A2462</v>
          </cell>
          <cell r="C2310" t="str">
            <v>CIL</v>
          </cell>
          <cell r="D2310" t="str">
            <v>Y</v>
          </cell>
          <cell r="E2310" t="str">
            <v>A</v>
          </cell>
          <cell r="F2310" t="str">
            <v>09/03/2003</v>
          </cell>
        </row>
        <row r="2311">
          <cell r="B2311" t="str">
            <v>A2465</v>
          </cell>
          <cell r="C2311" t="str">
            <v>CIL</v>
          </cell>
          <cell r="D2311" t="str">
            <v>Y</v>
          </cell>
          <cell r="E2311" t="str">
            <v>A</v>
          </cell>
          <cell r="F2311" t="str">
            <v>09/03/2003</v>
          </cell>
        </row>
        <row r="2312">
          <cell r="B2312" t="str">
            <v>A2466</v>
          </cell>
          <cell r="C2312" t="str">
            <v>CIL</v>
          </cell>
          <cell r="D2312" t="str">
            <v>N</v>
          </cell>
          <cell r="E2312" t="str">
            <v>A</v>
          </cell>
          <cell r="F2312" t="str">
            <v>08/01/2003</v>
          </cell>
        </row>
        <row r="2313">
          <cell r="B2313" t="str">
            <v>A2467</v>
          </cell>
          <cell r="C2313" t="str">
            <v>CIL</v>
          </cell>
          <cell r="D2313" t="str">
            <v>N</v>
          </cell>
          <cell r="E2313" t="str">
            <v>A</v>
          </cell>
          <cell r="F2313" t="str">
            <v>08/01/2003</v>
          </cell>
        </row>
        <row r="2314">
          <cell r="B2314" t="str">
            <v>A2468</v>
          </cell>
          <cell r="C2314" t="str">
            <v>CIL</v>
          </cell>
          <cell r="D2314" t="str">
            <v>N</v>
          </cell>
          <cell r="E2314" t="str">
            <v>A</v>
          </cell>
          <cell r="F2314" t="str">
            <v>08/07/2003</v>
          </cell>
        </row>
        <row r="2315">
          <cell r="B2315" t="str">
            <v>A2469</v>
          </cell>
          <cell r="C2315" t="str">
            <v>MV1</v>
          </cell>
          <cell r="D2315" t="str">
            <v>N</v>
          </cell>
          <cell r="E2315" t="str">
            <v>A</v>
          </cell>
          <cell r="F2315" t="str">
            <v>08/07/2003</v>
          </cell>
        </row>
        <row r="2316">
          <cell r="B2316" t="str">
            <v>A2470</v>
          </cell>
          <cell r="C2316" t="str">
            <v>CIS</v>
          </cell>
          <cell r="D2316" t="str">
            <v>N</v>
          </cell>
          <cell r="E2316" t="str">
            <v>A</v>
          </cell>
          <cell r="F2316" t="str">
            <v>08/07/2003</v>
          </cell>
        </row>
        <row r="2317">
          <cell r="B2317" t="str">
            <v>A2471</v>
          </cell>
          <cell r="C2317" t="str">
            <v>CIL</v>
          </cell>
          <cell r="D2317" t="str">
            <v>Y</v>
          </cell>
          <cell r="E2317" t="str">
            <v>A</v>
          </cell>
          <cell r="F2317" t="str">
            <v>09/18/2003</v>
          </cell>
        </row>
        <row r="2318">
          <cell r="B2318" t="str">
            <v>A2472</v>
          </cell>
          <cell r="C2318" t="str">
            <v>CIL</v>
          </cell>
          <cell r="D2318" t="str">
            <v>Y</v>
          </cell>
          <cell r="E2318" t="str">
            <v>A</v>
          </cell>
          <cell r="F2318" t="str">
            <v>09/18/2003</v>
          </cell>
        </row>
        <row r="2319">
          <cell r="B2319" t="str">
            <v>A2473</v>
          </cell>
          <cell r="C2319" t="str">
            <v>CIL</v>
          </cell>
          <cell r="D2319" t="str">
            <v>N</v>
          </cell>
          <cell r="E2319" t="str">
            <v>A</v>
          </cell>
          <cell r="F2319" t="str">
            <v>08/07/2003</v>
          </cell>
        </row>
        <row r="2320">
          <cell r="B2320" t="str">
            <v>A2474</v>
          </cell>
          <cell r="C2320" t="str">
            <v>CIL</v>
          </cell>
          <cell r="D2320" t="str">
            <v>N</v>
          </cell>
          <cell r="E2320" t="str">
            <v>A</v>
          </cell>
          <cell r="F2320" t="str">
            <v>08/07/2003</v>
          </cell>
        </row>
        <row r="2321">
          <cell r="B2321" t="str">
            <v>A2475</v>
          </cell>
          <cell r="C2321" t="str">
            <v>CIL</v>
          </cell>
          <cell r="D2321" t="str">
            <v>Y</v>
          </cell>
          <cell r="E2321" t="str">
            <v>A</v>
          </cell>
          <cell r="F2321" t="str">
            <v>08/06/2003</v>
          </cell>
        </row>
        <row r="2322">
          <cell r="B2322" t="str">
            <v>A2476</v>
          </cell>
          <cell r="C2322" t="str">
            <v>CIL</v>
          </cell>
          <cell r="D2322" t="str">
            <v>Y</v>
          </cell>
          <cell r="E2322" t="str">
            <v>A</v>
          </cell>
          <cell r="F2322" t="str">
            <v>08/06/2003</v>
          </cell>
        </row>
        <row r="2323">
          <cell r="B2323" t="str">
            <v>A2477</v>
          </cell>
          <cell r="C2323" t="str">
            <v>UEC</v>
          </cell>
          <cell r="D2323" t="str">
            <v>Y</v>
          </cell>
          <cell r="E2323" t="str">
            <v>A</v>
          </cell>
          <cell r="F2323" t="str">
            <v>08/07/2003</v>
          </cell>
        </row>
        <row r="2324">
          <cell r="B2324" t="str">
            <v>A2478</v>
          </cell>
          <cell r="C2324" t="str">
            <v>CIP</v>
          </cell>
          <cell r="D2324" t="str">
            <v>Y</v>
          </cell>
          <cell r="E2324" t="str">
            <v>A</v>
          </cell>
          <cell r="F2324" t="str">
            <v>08/07/2003</v>
          </cell>
        </row>
        <row r="2325">
          <cell r="B2325" t="str">
            <v>A2479</v>
          </cell>
          <cell r="C2325" t="str">
            <v>CIL</v>
          </cell>
          <cell r="D2325" t="str">
            <v>Y</v>
          </cell>
          <cell r="E2325" t="str">
            <v>A</v>
          </cell>
          <cell r="F2325" t="str">
            <v>08/07/2003</v>
          </cell>
        </row>
        <row r="2326">
          <cell r="B2326" t="str">
            <v>A2481</v>
          </cell>
          <cell r="C2326" t="str">
            <v>CIL</v>
          </cell>
          <cell r="D2326" t="str">
            <v>Y</v>
          </cell>
          <cell r="E2326" t="str">
            <v>A</v>
          </cell>
          <cell r="F2326" t="str">
            <v>08/18/2003</v>
          </cell>
        </row>
        <row r="2327">
          <cell r="B2327" t="str">
            <v>A2482</v>
          </cell>
          <cell r="C2327" t="str">
            <v>CIL</v>
          </cell>
          <cell r="D2327" t="str">
            <v>Y</v>
          </cell>
          <cell r="E2327" t="str">
            <v>A</v>
          </cell>
          <cell r="F2327" t="str">
            <v>08/26/2003</v>
          </cell>
        </row>
        <row r="2328">
          <cell r="B2328" t="str">
            <v>A2483</v>
          </cell>
          <cell r="C2328" t="str">
            <v>CIL</v>
          </cell>
          <cell r="D2328" t="str">
            <v>Y</v>
          </cell>
          <cell r="E2328" t="str">
            <v>A</v>
          </cell>
          <cell r="F2328" t="str">
            <v>12/31/2003</v>
          </cell>
        </row>
        <row r="2329">
          <cell r="B2329" t="str">
            <v>A2484</v>
          </cell>
          <cell r="C2329" t="str">
            <v>CIL</v>
          </cell>
          <cell r="D2329" t="str">
            <v>Y</v>
          </cell>
          <cell r="E2329" t="str">
            <v>A</v>
          </cell>
          <cell r="F2329" t="str">
            <v>12/31/2003</v>
          </cell>
        </row>
        <row r="2330">
          <cell r="B2330" t="str">
            <v>A2485</v>
          </cell>
          <cell r="C2330" t="str">
            <v>CIL</v>
          </cell>
          <cell r="D2330" t="str">
            <v>Y</v>
          </cell>
          <cell r="E2330" t="str">
            <v>A</v>
          </cell>
          <cell r="F2330" t="str">
            <v>12/31/2003</v>
          </cell>
        </row>
        <row r="2331">
          <cell r="B2331" t="str">
            <v>A2486</v>
          </cell>
          <cell r="C2331" t="str">
            <v>CIL</v>
          </cell>
          <cell r="D2331" t="str">
            <v>Y</v>
          </cell>
          <cell r="E2331" t="str">
            <v>A</v>
          </cell>
          <cell r="F2331" t="str">
            <v>09/04/2003</v>
          </cell>
        </row>
        <row r="2332">
          <cell r="B2332" t="str">
            <v>A2487</v>
          </cell>
          <cell r="C2332" t="str">
            <v>CIL</v>
          </cell>
          <cell r="D2332" t="str">
            <v>N</v>
          </cell>
          <cell r="E2332" t="str">
            <v>A</v>
          </cell>
          <cell r="F2332" t="str">
            <v>08/19/2003</v>
          </cell>
        </row>
        <row r="2333">
          <cell r="B2333" t="str">
            <v>A2488</v>
          </cell>
          <cell r="C2333" t="str">
            <v>CIL</v>
          </cell>
          <cell r="D2333" t="str">
            <v>Y</v>
          </cell>
          <cell r="E2333" t="str">
            <v>A</v>
          </cell>
          <cell r="F2333" t="str">
            <v>10/27/2003</v>
          </cell>
        </row>
        <row r="2334">
          <cell r="B2334" t="str">
            <v>A2489</v>
          </cell>
          <cell r="C2334" t="str">
            <v>CCP</v>
          </cell>
          <cell r="D2334" t="str">
            <v>Y</v>
          </cell>
          <cell r="E2334" t="str">
            <v>A</v>
          </cell>
          <cell r="F2334" t="str">
            <v>08/29/2003</v>
          </cell>
        </row>
        <row r="2335">
          <cell r="B2335" t="str">
            <v>A2490</v>
          </cell>
          <cell r="C2335" t="str">
            <v>CIL</v>
          </cell>
          <cell r="D2335" t="str">
            <v>Y</v>
          </cell>
          <cell r="E2335" t="str">
            <v>A</v>
          </cell>
          <cell r="F2335" t="str">
            <v>08/29/2003</v>
          </cell>
        </row>
        <row r="2336">
          <cell r="B2336" t="str">
            <v>A2491</v>
          </cell>
          <cell r="C2336" t="str">
            <v>CCP</v>
          </cell>
          <cell r="D2336" t="str">
            <v>Y</v>
          </cell>
          <cell r="E2336" t="str">
            <v>A</v>
          </cell>
          <cell r="F2336" t="str">
            <v>08/28/2003</v>
          </cell>
        </row>
        <row r="2337">
          <cell r="B2337" t="str">
            <v>A2492</v>
          </cell>
          <cell r="C2337" t="str">
            <v>CIL</v>
          </cell>
          <cell r="D2337" t="str">
            <v>Y</v>
          </cell>
          <cell r="E2337" t="str">
            <v>A</v>
          </cell>
          <cell r="F2337" t="str">
            <v>08/28/2003</v>
          </cell>
        </row>
        <row r="2338">
          <cell r="B2338" t="str">
            <v>A2493</v>
          </cell>
          <cell r="C2338" t="str">
            <v>CCP</v>
          </cell>
          <cell r="D2338" t="str">
            <v>Y</v>
          </cell>
          <cell r="E2338" t="str">
            <v>A</v>
          </cell>
          <cell r="F2338" t="str">
            <v>08/28/2003</v>
          </cell>
        </row>
        <row r="2339">
          <cell r="B2339" t="str">
            <v>A2494</v>
          </cell>
          <cell r="C2339" t="str">
            <v>CIL</v>
          </cell>
          <cell r="D2339" t="str">
            <v>Y</v>
          </cell>
          <cell r="E2339" t="str">
            <v>A</v>
          </cell>
          <cell r="F2339" t="str">
            <v>08/28/2003</v>
          </cell>
        </row>
        <row r="2340">
          <cell r="B2340" t="str">
            <v>A2495</v>
          </cell>
          <cell r="C2340" t="str">
            <v>002M</v>
          </cell>
          <cell r="D2340" t="str">
            <v>Y</v>
          </cell>
          <cell r="E2340" t="str">
            <v>A</v>
          </cell>
          <cell r="F2340" t="str">
            <v>08/28/2003</v>
          </cell>
        </row>
        <row r="2341">
          <cell r="B2341" t="str">
            <v>A2496</v>
          </cell>
          <cell r="C2341" t="str">
            <v>CIM</v>
          </cell>
          <cell r="D2341" t="str">
            <v>Y</v>
          </cell>
          <cell r="E2341" t="str">
            <v>A</v>
          </cell>
          <cell r="F2341" t="str">
            <v>08/28/2003</v>
          </cell>
        </row>
        <row r="2342">
          <cell r="B2342" t="str">
            <v>A2497</v>
          </cell>
          <cell r="C2342" t="str">
            <v>ARG</v>
          </cell>
          <cell r="D2342" t="str">
            <v>Y</v>
          </cell>
          <cell r="E2342" t="str">
            <v>A</v>
          </cell>
          <cell r="F2342" t="str">
            <v>08/28/2003</v>
          </cell>
        </row>
        <row r="2343">
          <cell r="B2343" t="str">
            <v>A2498</v>
          </cell>
          <cell r="C2343" t="str">
            <v>011A</v>
          </cell>
          <cell r="D2343" t="str">
            <v>Y</v>
          </cell>
          <cell r="E2343" t="str">
            <v>I</v>
          </cell>
          <cell r="F2343" t="str">
            <v>09/08/2003</v>
          </cell>
        </row>
        <row r="2344">
          <cell r="B2344" t="str">
            <v>A2499</v>
          </cell>
          <cell r="C2344" t="str">
            <v>004A</v>
          </cell>
          <cell r="D2344" t="str">
            <v>Y</v>
          </cell>
          <cell r="E2344" t="str">
            <v>I</v>
          </cell>
          <cell r="F2344" t="str">
            <v>09/08/2003</v>
          </cell>
        </row>
        <row r="2345">
          <cell r="B2345" t="str">
            <v>A2500</v>
          </cell>
          <cell r="C2345" t="str">
            <v>002K</v>
          </cell>
          <cell r="D2345" t="str">
            <v>Y</v>
          </cell>
          <cell r="E2345" t="str">
            <v>I</v>
          </cell>
          <cell r="F2345" t="str">
            <v>09/08/2003</v>
          </cell>
        </row>
        <row r="2346">
          <cell r="B2346" t="str">
            <v>A2501</v>
          </cell>
          <cell r="C2346" t="str">
            <v>002D</v>
          </cell>
          <cell r="D2346" t="str">
            <v>Y</v>
          </cell>
          <cell r="E2346" t="str">
            <v>I</v>
          </cell>
          <cell r="F2346" t="str">
            <v>09/08/2003</v>
          </cell>
        </row>
        <row r="2347">
          <cell r="B2347" t="str">
            <v>A2502</v>
          </cell>
          <cell r="C2347" t="str">
            <v>AFS</v>
          </cell>
          <cell r="D2347" t="str">
            <v>Y</v>
          </cell>
          <cell r="E2347" t="str">
            <v>I</v>
          </cell>
          <cell r="F2347" t="str">
            <v>09/08/2003</v>
          </cell>
        </row>
        <row r="2348">
          <cell r="B2348" t="str">
            <v>A2503</v>
          </cell>
          <cell r="C2348" t="str">
            <v>007A</v>
          </cell>
          <cell r="D2348" t="str">
            <v>Y</v>
          </cell>
          <cell r="E2348" t="str">
            <v>I</v>
          </cell>
          <cell r="F2348" t="str">
            <v>09/08/2003</v>
          </cell>
        </row>
        <row r="2349">
          <cell r="B2349" t="str">
            <v>A2504</v>
          </cell>
          <cell r="C2349" t="str">
            <v>004A</v>
          </cell>
          <cell r="D2349" t="str">
            <v>Y</v>
          </cell>
          <cell r="E2349" t="str">
            <v>I</v>
          </cell>
          <cell r="F2349" t="str">
            <v>09/08/2003</v>
          </cell>
        </row>
        <row r="2350">
          <cell r="B2350" t="str">
            <v>A2505</v>
          </cell>
          <cell r="C2350" t="str">
            <v>004A</v>
          </cell>
          <cell r="D2350" t="str">
            <v>Y</v>
          </cell>
          <cell r="E2350" t="str">
            <v>I</v>
          </cell>
          <cell r="F2350" t="str">
            <v>09/08/2003</v>
          </cell>
        </row>
        <row r="2351">
          <cell r="B2351" t="str">
            <v>A2506</v>
          </cell>
          <cell r="C2351"/>
          <cell r="D2351" t="str">
            <v>Y</v>
          </cell>
          <cell r="E2351" t="str">
            <v>I</v>
          </cell>
          <cell r="F2351" t="str">
            <v>09/09/2003</v>
          </cell>
        </row>
        <row r="2352">
          <cell r="B2352" t="str">
            <v>A2507</v>
          </cell>
          <cell r="C2352" t="str">
            <v>004A</v>
          </cell>
          <cell r="D2352" t="str">
            <v>Y</v>
          </cell>
          <cell r="E2352" t="str">
            <v>I</v>
          </cell>
          <cell r="F2352" t="str">
            <v>09/09/2003</v>
          </cell>
        </row>
        <row r="2353">
          <cell r="B2353" t="str">
            <v>A2508</v>
          </cell>
          <cell r="C2353" t="str">
            <v>009A</v>
          </cell>
          <cell r="D2353" t="str">
            <v>Y</v>
          </cell>
          <cell r="E2353" t="str">
            <v>I</v>
          </cell>
          <cell r="F2353" t="str">
            <v>09/09/2003</v>
          </cell>
        </row>
        <row r="2354">
          <cell r="B2354" t="str">
            <v>A2509</v>
          </cell>
          <cell r="C2354" t="str">
            <v>MV1</v>
          </cell>
          <cell r="D2354" t="str">
            <v>N</v>
          </cell>
          <cell r="E2354" t="str">
            <v>A</v>
          </cell>
          <cell r="F2354" t="str">
            <v>09/22/2003</v>
          </cell>
        </row>
        <row r="2355">
          <cell r="B2355" t="str">
            <v>A2510</v>
          </cell>
          <cell r="C2355" t="str">
            <v>012B</v>
          </cell>
          <cell r="D2355" t="str">
            <v>Y</v>
          </cell>
          <cell r="E2355" t="str">
            <v>A</v>
          </cell>
          <cell r="F2355" t="str">
            <v>10/03/2003</v>
          </cell>
        </row>
        <row r="2356">
          <cell r="B2356" t="str">
            <v>A2511</v>
          </cell>
          <cell r="C2356" t="str">
            <v>CIS</v>
          </cell>
          <cell r="D2356" t="str">
            <v>Y</v>
          </cell>
          <cell r="E2356" t="str">
            <v>A</v>
          </cell>
          <cell r="F2356" t="str">
            <v>10/07/2003</v>
          </cell>
        </row>
        <row r="2357">
          <cell r="B2357" t="str">
            <v>A2513</v>
          </cell>
          <cell r="C2357" t="str">
            <v>ARG</v>
          </cell>
          <cell r="D2357" t="str">
            <v>Y</v>
          </cell>
          <cell r="E2357" t="str">
            <v>I</v>
          </cell>
          <cell r="F2357" t="str">
            <v>10/16/2003</v>
          </cell>
        </row>
        <row r="2358">
          <cell r="B2358" t="str">
            <v>A2514</v>
          </cell>
          <cell r="C2358" t="str">
            <v>GEN</v>
          </cell>
          <cell r="D2358" t="str">
            <v>Y</v>
          </cell>
          <cell r="E2358" t="str">
            <v>A</v>
          </cell>
          <cell r="F2358" t="str">
            <v>10/21/2003</v>
          </cell>
        </row>
        <row r="2359">
          <cell r="B2359" t="str">
            <v>A2515</v>
          </cell>
          <cell r="C2359" t="str">
            <v>ARG</v>
          </cell>
          <cell r="D2359" t="str">
            <v>Y</v>
          </cell>
          <cell r="E2359" t="str">
            <v>A</v>
          </cell>
          <cell r="F2359" t="str">
            <v>10/21/2003</v>
          </cell>
        </row>
        <row r="2360">
          <cell r="B2360" t="str">
            <v>A2516</v>
          </cell>
          <cell r="C2360" t="str">
            <v>ARG</v>
          </cell>
          <cell r="D2360" t="str">
            <v>Y</v>
          </cell>
          <cell r="E2360" t="str">
            <v>A</v>
          </cell>
          <cell r="F2360" t="str">
            <v>10/21/2003</v>
          </cell>
        </row>
        <row r="2361">
          <cell r="B2361" t="str">
            <v>A2517</v>
          </cell>
          <cell r="C2361" t="str">
            <v>UEC</v>
          </cell>
          <cell r="D2361" t="str">
            <v>Y</v>
          </cell>
          <cell r="E2361" t="str">
            <v>A</v>
          </cell>
          <cell r="F2361" t="str">
            <v>10/21/2003</v>
          </cell>
        </row>
        <row r="2362">
          <cell r="B2362" t="str">
            <v>A2518</v>
          </cell>
          <cell r="C2362" t="str">
            <v>ARG</v>
          </cell>
          <cell r="D2362" t="str">
            <v>Y</v>
          </cell>
          <cell r="E2362" t="str">
            <v>A</v>
          </cell>
          <cell r="F2362" t="str">
            <v>10/30/2003</v>
          </cell>
        </row>
        <row r="2363">
          <cell r="B2363" t="str">
            <v>A2519</v>
          </cell>
          <cell r="C2363" t="str">
            <v>ARG</v>
          </cell>
          <cell r="D2363" t="str">
            <v>Y</v>
          </cell>
          <cell r="E2363" t="str">
            <v>A</v>
          </cell>
          <cell r="F2363" t="str">
            <v>10/30/2003</v>
          </cell>
        </row>
        <row r="2364">
          <cell r="B2364" t="str">
            <v>A2520</v>
          </cell>
          <cell r="C2364" t="str">
            <v>ARG</v>
          </cell>
          <cell r="D2364" t="str">
            <v>Y</v>
          </cell>
          <cell r="E2364" t="str">
            <v>A</v>
          </cell>
          <cell r="F2364" t="str">
            <v>10/30/2003</v>
          </cell>
        </row>
        <row r="2365">
          <cell r="B2365" t="str">
            <v>A2521</v>
          </cell>
          <cell r="C2365" t="str">
            <v>ARG</v>
          </cell>
          <cell r="D2365" t="str">
            <v>Y</v>
          </cell>
          <cell r="E2365" t="str">
            <v>I</v>
          </cell>
          <cell r="F2365" t="str">
            <v>10/30/2003</v>
          </cell>
        </row>
        <row r="2366">
          <cell r="B2366" t="str">
            <v>A2522</v>
          </cell>
          <cell r="C2366" t="str">
            <v>011B</v>
          </cell>
          <cell r="D2366" t="str">
            <v>Y</v>
          </cell>
          <cell r="E2366" t="str">
            <v>A</v>
          </cell>
          <cell r="F2366" t="str">
            <v>11/14/2003</v>
          </cell>
        </row>
        <row r="2367">
          <cell r="B2367" t="str">
            <v>A2523</v>
          </cell>
          <cell r="C2367" t="str">
            <v>ARG</v>
          </cell>
          <cell r="D2367" t="str">
            <v>Y</v>
          </cell>
          <cell r="E2367" t="str">
            <v>A</v>
          </cell>
          <cell r="F2367" t="str">
            <v>11/14/2003</v>
          </cell>
        </row>
        <row r="2368">
          <cell r="B2368" t="str">
            <v>A2524</v>
          </cell>
          <cell r="C2368" t="str">
            <v>UEC</v>
          </cell>
          <cell r="D2368" t="str">
            <v>Y</v>
          </cell>
          <cell r="E2368" t="str">
            <v>A</v>
          </cell>
          <cell r="F2368" t="str">
            <v>11/17/2003</v>
          </cell>
        </row>
        <row r="2369">
          <cell r="B2369" t="str">
            <v>A2531</v>
          </cell>
          <cell r="C2369" t="str">
            <v>CIL</v>
          </cell>
          <cell r="D2369" t="str">
            <v>Y</v>
          </cell>
          <cell r="E2369" t="str">
            <v>A</v>
          </cell>
          <cell r="F2369" t="str">
            <v>12/03/2003</v>
          </cell>
        </row>
        <row r="2370">
          <cell r="B2370" t="str">
            <v>A2532</v>
          </cell>
          <cell r="C2370" t="str">
            <v>ARG</v>
          </cell>
          <cell r="D2370" t="str">
            <v>Y</v>
          </cell>
          <cell r="E2370" t="str">
            <v>A</v>
          </cell>
          <cell r="F2370" t="str">
            <v>12/04/2003</v>
          </cell>
        </row>
        <row r="2371">
          <cell r="B2371" t="str">
            <v>A2533</v>
          </cell>
          <cell r="C2371" t="str">
            <v>CIL</v>
          </cell>
          <cell r="D2371" t="str">
            <v>N</v>
          </cell>
          <cell r="E2371" t="str">
            <v>A</v>
          </cell>
          <cell r="F2371" t="str">
            <v>01/02/2004</v>
          </cell>
        </row>
        <row r="2372">
          <cell r="B2372" t="str">
            <v>A2534</v>
          </cell>
          <cell r="C2372" t="str">
            <v>ARG</v>
          </cell>
          <cell r="D2372" t="str">
            <v>N</v>
          </cell>
          <cell r="E2372" t="str">
            <v>A</v>
          </cell>
          <cell r="F2372" t="str">
            <v>01/05/2004</v>
          </cell>
        </row>
        <row r="2373">
          <cell r="B2373" t="str">
            <v>A2535</v>
          </cell>
          <cell r="C2373" t="str">
            <v>ARG</v>
          </cell>
          <cell r="D2373" t="str">
            <v>Y</v>
          </cell>
          <cell r="E2373" t="str">
            <v>I</v>
          </cell>
          <cell r="F2373" t="str">
            <v>01/21/2004</v>
          </cell>
        </row>
        <row r="2374">
          <cell r="B2374" t="str">
            <v>A2536</v>
          </cell>
          <cell r="C2374" t="str">
            <v>MV1</v>
          </cell>
          <cell r="D2374" t="str">
            <v>Y</v>
          </cell>
          <cell r="E2374" t="str">
            <v>A</v>
          </cell>
          <cell r="F2374" t="str">
            <v>01/21/2004</v>
          </cell>
        </row>
        <row r="2375">
          <cell r="B2375" t="str">
            <v>A2537</v>
          </cell>
          <cell r="C2375" t="str">
            <v>UEC</v>
          </cell>
          <cell r="D2375" t="str">
            <v>Y</v>
          </cell>
          <cell r="E2375" t="str">
            <v>A</v>
          </cell>
          <cell r="F2375" t="str">
            <v>01/15/2004</v>
          </cell>
        </row>
        <row r="2376">
          <cell r="B2376" t="str">
            <v>A2538</v>
          </cell>
          <cell r="C2376" t="str">
            <v>007A</v>
          </cell>
          <cell r="D2376" t="str">
            <v>Y</v>
          </cell>
          <cell r="E2376" t="str">
            <v>A</v>
          </cell>
          <cell r="F2376" t="str">
            <v>01/22/2004</v>
          </cell>
        </row>
        <row r="2377">
          <cell r="B2377" t="str">
            <v>A2539</v>
          </cell>
          <cell r="C2377" t="str">
            <v>CIM</v>
          </cell>
          <cell r="D2377" t="str">
            <v>Y</v>
          </cell>
          <cell r="E2377" t="str">
            <v>I</v>
          </cell>
          <cell r="F2377" t="str">
            <v>01/23/2004</v>
          </cell>
        </row>
        <row r="2378">
          <cell r="B2378" t="str">
            <v>AXA11</v>
          </cell>
          <cell r="C2378"/>
          <cell r="D2378" t="str">
            <v>Y</v>
          </cell>
          <cell r="E2378" t="str">
            <v>A</v>
          </cell>
          <cell r="F2378" t="str">
            <v>12/15/1997</v>
          </cell>
        </row>
        <row r="2379">
          <cell r="B2379" t="str">
            <v>AXA1F</v>
          </cell>
          <cell r="C2379" t="str">
            <v>AFS</v>
          </cell>
          <cell r="D2379" t="str">
            <v>Y</v>
          </cell>
          <cell r="E2379" t="str">
            <v>A</v>
          </cell>
          <cell r="F2379" t="str">
            <v>12/07/2000</v>
          </cell>
        </row>
        <row r="2380">
          <cell r="B2380" t="str">
            <v>AXA21</v>
          </cell>
          <cell r="C2380" t="str">
            <v>UEC</v>
          </cell>
          <cell r="D2380" t="str">
            <v>Y</v>
          </cell>
          <cell r="E2380" t="str">
            <v>A</v>
          </cell>
          <cell r="F2380" t="str">
            <v>12/21/1997</v>
          </cell>
        </row>
        <row r="2381">
          <cell r="B2381" t="str">
            <v>AXA41</v>
          </cell>
          <cell r="C2381" t="str">
            <v>CIP</v>
          </cell>
          <cell r="D2381" t="str">
            <v>Y</v>
          </cell>
          <cell r="E2381" t="str">
            <v>A</v>
          </cell>
          <cell r="F2381" t="str">
            <v>12/21/1997</v>
          </cell>
        </row>
        <row r="2382">
          <cell r="B2382" t="str">
            <v>AXB10</v>
          </cell>
          <cell r="C2382" t="str">
            <v>AMC</v>
          </cell>
          <cell r="D2382" t="str">
            <v>Y</v>
          </cell>
          <cell r="E2382" t="str">
            <v>A</v>
          </cell>
          <cell r="F2382" t="str">
            <v>12/26/1997</v>
          </cell>
        </row>
        <row r="2383">
          <cell r="B2383" t="str">
            <v>AXB11</v>
          </cell>
          <cell r="C2383"/>
          <cell r="D2383" t="str">
            <v>Y</v>
          </cell>
          <cell r="E2383" t="str">
            <v>A</v>
          </cell>
          <cell r="F2383" t="str">
            <v>12/26/1997</v>
          </cell>
        </row>
        <row r="2384">
          <cell r="B2384" t="str">
            <v>AXB12</v>
          </cell>
          <cell r="C2384" t="str">
            <v>AEC</v>
          </cell>
          <cell r="D2384" t="str">
            <v>Y</v>
          </cell>
          <cell r="E2384" t="str">
            <v>A</v>
          </cell>
          <cell r="F2384" t="str">
            <v>10/13/1998</v>
          </cell>
        </row>
        <row r="2385">
          <cell r="B2385" t="str">
            <v>AXB13</v>
          </cell>
          <cell r="C2385" t="str">
            <v>CIC</v>
          </cell>
          <cell r="D2385" t="str">
            <v>Y</v>
          </cell>
          <cell r="E2385" t="str">
            <v>A</v>
          </cell>
          <cell r="F2385" t="str">
            <v>12/26/1997</v>
          </cell>
        </row>
        <row r="2386">
          <cell r="B2386" t="str">
            <v>AXB14</v>
          </cell>
          <cell r="C2386" t="str">
            <v>UDC</v>
          </cell>
          <cell r="D2386" t="str">
            <v>Y</v>
          </cell>
          <cell r="E2386" t="str">
            <v>A</v>
          </cell>
          <cell r="F2386" t="str">
            <v>12/26/1997</v>
          </cell>
        </row>
        <row r="2387">
          <cell r="B2387" t="str">
            <v>AXB16</v>
          </cell>
          <cell r="C2387" t="str">
            <v>AME</v>
          </cell>
          <cell r="D2387" t="str">
            <v>Y</v>
          </cell>
          <cell r="E2387" t="str">
            <v>A</v>
          </cell>
          <cell r="F2387" t="str">
            <v>10/13/1998</v>
          </cell>
        </row>
        <row r="2388">
          <cell r="B2388" t="str">
            <v>AXB18</v>
          </cell>
          <cell r="C2388" t="str">
            <v>ERC</v>
          </cell>
          <cell r="D2388" t="str">
            <v>Y</v>
          </cell>
          <cell r="E2388" t="str">
            <v>A</v>
          </cell>
          <cell r="F2388" t="str">
            <v>04/28/1998</v>
          </cell>
        </row>
        <row r="2389">
          <cell r="B2389" t="str">
            <v>AXB1D</v>
          </cell>
          <cell r="C2389" t="str">
            <v>AED</v>
          </cell>
          <cell r="D2389" t="str">
            <v>Y</v>
          </cell>
          <cell r="E2389" t="str">
            <v>A</v>
          </cell>
          <cell r="F2389" t="str">
            <v>05/12/2000</v>
          </cell>
        </row>
        <row r="2390">
          <cell r="B2390" t="str">
            <v>AXB1G</v>
          </cell>
          <cell r="C2390" t="str">
            <v>GMC</v>
          </cell>
          <cell r="D2390" t="str">
            <v>Y</v>
          </cell>
          <cell r="E2390" t="str">
            <v>A</v>
          </cell>
          <cell r="F2390" t="str">
            <v>05/29/2000</v>
          </cell>
        </row>
        <row r="2391">
          <cell r="B2391" t="str">
            <v>AXB1H</v>
          </cell>
          <cell r="C2391" t="str">
            <v>IHC</v>
          </cell>
          <cell r="D2391" t="str">
            <v>Y</v>
          </cell>
          <cell r="E2391" t="str">
            <v>A</v>
          </cell>
          <cell r="F2391" t="str">
            <v>12/20/1999</v>
          </cell>
        </row>
        <row r="2392">
          <cell r="B2392" t="str">
            <v>AXB1M</v>
          </cell>
          <cell r="C2392" t="str">
            <v>IMS</v>
          </cell>
          <cell r="D2392" t="str">
            <v>Y</v>
          </cell>
          <cell r="E2392" t="str">
            <v>A</v>
          </cell>
          <cell r="F2392" t="str">
            <v>05/29/2000</v>
          </cell>
        </row>
        <row r="2393">
          <cell r="B2393" t="str">
            <v>AXB21</v>
          </cell>
          <cell r="C2393" t="str">
            <v>UEC</v>
          </cell>
          <cell r="D2393" t="str">
            <v>Y</v>
          </cell>
          <cell r="E2393" t="str">
            <v>A</v>
          </cell>
          <cell r="F2393" t="str">
            <v>12/26/1997</v>
          </cell>
        </row>
        <row r="2394">
          <cell r="B2394" t="str">
            <v>AXB41</v>
          </cell>
          <cell r="C2394" t="str">
            <v>CIP</v>
          </cell>
          <cell r="D2394" t="str">
            <v>Y</v>
          </cell>
          <cell r="E2394" t="str">
            <v>A</v>
          </cell>
          <cell r="F2394" t="str">
            <v>12/26/1997</v>
          </cell>
        </row>
        <row r="2395">
          <cell r="B2395" t="str">
            <v>AXB90</v>
          </cell>
          <cell r="C2395" t="str">
            <v>GEN</v>
          </cell>
          <cell r="D2395" t="str">
            <v>Y</v>
          </cell>
          <cell r="E2395" t="str">
            <v>A</v>
          </cell>
          <cell r="F2395" t="str">
            <v>05/29/2000</v>
          </cell>
        </row>
        <row r="2396">
          <cell r="B2396" t="str">
            <v>C0012</v>
          </cell>
          <cell r="C2396" t="str">
            <v>CIP</v>
          </cell>
          <cell r="D2396" t="str">
            <v>N</v>
          </cell>
          <cell r="E2396" t="str">
            <v>A</v>
          </cell>
          <cell r="F2396" t="str">
            <v>01/31/2002</v>
          </cell>
        </row>
        <row r="2397">
          <cell r="B2397" t="str">
            <v>C0022</v>
          </cell>
          <cell r="C2397" t="str">
            <v>CIP</v>
          </cell>
          <cell r="D2397" t="str">
            <v>N</v>
          </cell>
          <cell r="E2397" t="str">
            <v>A</v>
          </cell>
          <cell r="F2397" t="str">
            <v>05/30/2002</v>
          </cell>
        </row>
        <row r="2398">
          <cell r="B2398" t="str">
            <v>C0023</v>
          </cell>
          <cell r="C2398" t="str">
            <v>CIP</v>
          </cell>
          <cell r="D2398" t="str">
            <v>N</v>
          </cell>
          <cell r="E2398" t="str">
            <v>I</v>
          </cell>
          <cell r="F2398" t="str">
            <v>09/18/2002</v>
          </cell>
        </row>
        <row r="2399">
          <cell r="B2399" t="str">
            <v>C0025</v>
          </cell>
          <cell r="C2399" t="str">
            <v>CIP</v>
          </cell>
          <cell r="D2399" t="str">
            <v>N</v>
          </cell>
          <cell r="E2399" t="str">
            <v>A</v>
          </cell>
          <cell r="F2399" t="str">
            <v>01/13/1998</v>
          </cell>
        </row>
        <row r="2400">
          <cell r="B2400" t="str">
            <v>C0030</v>
          </cell>
          <cell r="C2400" t="str">
            <v>CIP</v>
          </cell>
          <cell r="D2400" t="str">
            <v>N</v>
          </cell>
          <cell r="E2400" t="str">
            <v>A</v>
          </cell>
          <cell r="F2400" t="str">
            <v>05/04/1999</v>
          </cell>
        </row>
        <row r="2401">
          <cell r="B2401" t="str">
            <v>C0032</v>
          </cell>
          <cell r="C2401" t="str">
            <v>CIP</v>
          </cell>
          <cell r="D2401" t="str">
            <v>N</v>
          </cell>
          <cell r="E2401" t="str">
            <v>A</v>
          </cell>
          <cell r="F2401" t="str">
            <v>01/06/1998</v>
          </cell>
        </row>
        <row r="2402">
          <cell r="B2402" t="str">
            <v>C0101</v>
          </cell>
          <cell r="C2402" t="str">
            <v>CIP</v>
          </cell>
          <cell r="D2402" t="str">
            <v>N</v>
          </cell>
          <cell r="E2402" t="str">
            <v>A</v>
          </cell>
          <cell r="F2402" t="str">
            <v>01/12/1998</v>
          </cell>
        </row>
        <row r="2403">
          <cell r="B2403" t="str">
            <v>C0102</v>
          </cell>
          <cell r="C2403" t="str">
            <v>CIP</v>
          </cell>
          <cell r="D2403" t="str">
            <v>N</v>
          </cell>
          <cell r="E2403" t="str">
            <v>A</v>
          </cell>
          <cell r="F2403" t="str">
            <v>01/12/1998</v>
          </cell>
        </row>
        <row r="2404">
          <cell r="B2404" t="str">
            <v>C0103</v>
          </cell>
          <cell r="C2404" t="str">
            <v>CIP</v>
          </cell>
          <cell r="D2404" t="str">
            <v>N</v>
          </cell>
          <cell r="E2404" t="str">
            <v>A</v>
          </cell>
          <cell r="F2404" t="str">
            <v>01/12/1998</v>
          </cell>
        </row>
        <row r="2405">
          <cell r="B2405" t="str">
            <v>C0105</v>
          </cell>
          <cell r="C2405" t="str">
            <v>CIP</v>
          </cell>
          <cell r="D2405" t="str">
            <v>N</v>
          </cell>
          <cell r="E2405" t="str">
            <v>A</v>
          </cell>
          <cell r="F2405" t="str">
            <v>01/12/1998</v>
          </cell>
        </row>
        <row r="2406">
          <cell r="B2406" t="str">
            <v>C0111</v>
          </cell>
          <cell r="C2406" t="str">
            <v>CIP</v>
          </cell>
          <cell r="D2406" t="str">
            <v>N</v>
          </cell>
          <cell r="E2406" t="str">
            <v>A</v>
          </cell>
          <cell r="F2406" t="str">
            <v>12/07/1997</v>
          </cell>
        </row>
        <row r="2407">
          <cell r="B2407" t="str">
            <v>C0113</v>
          </cell>
          <cell r="C2407" t="str">
            <v>CIP</v>
          </cell>
          <cell r="D2407" t="str">
            <v>N</v>
          </cell>
          <cell r="E2407" t="str">
            <v>A</v>
          </cell>
          <cell r="F2407" t="str">
            <v>12/07/1997</v>
          </cell>
        </row>
        <row r="2408">
          <cell r="B2408" t="str">
            <v>C0114</v>
          </cell>
          <cell r="C2408" t="str">
            <v>CIP</v>
          </cell>
          <cell r="D2408" t="str">
            <v>N</v>
          </cell>
          <cell r="E2408" t="str">
            <v>A</v>
          </cell>
          <cell r="F2408" t="str">
            <v>08/02/2003</v>
          </cell>
        </row>
        <row r="2409">
          <cell r="B2409" t="str">
            <v>C0201</v>
          </cell>
          <cell r="C2409" t="str">
            <v>CIP</v>
          </cell>
          <cell r="D2409" t="str">
            <v>N</v>
          </cell>
          <cell r="E2409" t="str">
            <v>A</v>
          </cell>
          <cell r="F2409" t="str">
            <v>12/07/1997</v>
          </cell>
        </row>
        <row r="2410">
          <cell r="B2410" t="str">
            <v>C0202</v>
          </cell>
          <cell r="C2410" t="str">
            <v>CIP</v>
          </cell>
          <cell r="D2410" t="str">
            <v>N</v>
          </cell>
          <cell r="E2410" t="str">
            <v>A</v>
          </cell>
          <cell r="F2410" t="str">
            <v>12/07/1997</v>
          </cell>
        </row>
        <row r="2411">
          <cell r="B2411" t="str">
            <v>C0203</v>
          </cell>
          <cell r="C2411" t="str">
            <v>CIP</v>
          </cell>
          <cell r="D2411" t="str">
            <v>N</v>
          </cell>
          <cell r="E2411" t="str">
            <v>A</v>
          </cell>
          <cell r="F2411" t="str">
            <v>12/07/1997</v>
          </cell>
        </row>
        <row r="2412">
          <cell r="B2412" t="str">
            <v>C0204</v>
          </cell>
          <cell r="C2412" t="str">
            <v>CIP</v>
          </cell>
          <cell r="D2412" t="str">
            <v>N</v>
          </cell>
          <cell r="E2412" t="str">
            <v>I</v>
          </cell>
          <cell r="F2412" t="str">
            <v>12/07/1997</v>
          </cell>
        </row>
        <row r="2413">
          <cell r="B2413" t="str">
            <v>C0205</v>
          </cell>
          <cell r="C2413" t="str">
            <v>CIP</v>
          </cell>
          <cell r="D2413" t="str">
            <v>N</v>
          </cell>
          <cell r="E2413" t="str">
            <v>I</v>
          </cell>
          <cell r="F2413" t="str">
            <v>12/07/1997</v>
          </cell>
        </row>
        <row r="2414">
          <cell r="B2414" t="str">
            <v>C0211</v>
          </cell>
          <cell r="C2414" t="str">
            <v>CIP</v>
          </cell>
          <cell r="D2414" t="str">
            <v>N</v>
          </cell>
          <cell r="E2414" t="str">
            <v>A</v>
          </cell>
          <cell r="F2414" t="str">
            <v>12/07/1997</v>
          </cell>
        </row>
        <row r="2415">
          <cell r="B2415" t="str">
            <v>C0213</v>
          </cell>
          <cell r="C2415" t="str">
            <v>CIP</v>
          </cell>
          <cell r="D2415" t="str">
            <v>N</v>
          </cell>
          <cell r="E2415" t="str">
            <v>A</v>
          </cell>
          <cell r="F2415" t="str">
            <v>12/07/1997</v>
          </cell>
        </row>
        <row r="2416">
          <cell r="B2416" t="str">
            <v>C0214</v>
          </cell>
          <cell r="C2416" t="str">
            <v>CIP</v>
          </cell>
          <cell r="D2416" t="str">
            <v>N</v>
          </cell>
          <cell r="E2416" t="str">
            <v>A</v>
          </cell>
          <cell r="F2416" t="str">
            <v>12/07/1997</v>
          </cell>
        </row>
        <row r="2417">
          <cell r="B2417" t="str">
            <v>C0301</v>
          </cell>
          <cell r="C2417" t="str">
            <v>CIP</v>
          </cell>
          <cell r="D2417" t="str">
            <v>N</v>
          </cell>
          <cell r="E2417" t="str">
            <v>A</v>
          </cell>
          <cell r="F2417" t="str">
            <v>12/07/1997</v>
          </cell>
        </row>
        <row r="2418">
          <cell r="B2418" t="str">
            <v>C0302</v>
          </cell>
          <cell r="C2418" t="str">
            <v>CIP</v>
          </cell>
          <cell r="D2418" t="str">
            <v>N</v>
          </cell>
          <cell r="E2418" t="str">
            <v>A</v>
          </cell>
          <cell r="F2418" t="str">
            <v>12/07/1997</v>
          </cell>
        </row>
        <row r="2419">
          <cell r="B2419" t="str">
            <v>C0303</v>
          </cell>
          <cell r="C2419" t="str">
            <v>CIP</v>
          </cell>
          <cell r="D2419" t="str">
            <v>N</v>
          </cell>
          <cell r="E2419" t="str">
            <v>A</v>
          </cell>
          <cell r="F2419" t="str">
            <v>12/07/1997</v>
          </cell>
        </row>
        <row r="2420">
          <cell r="B2420" t="str">
            <v>C0305</v>
          </cell>
          <cell r="C2420" t="str">
            <v>CIP</v>
          </cell>
          <cell r="D2420" t="str">
            <v>N</v>
          </cell>
          <cell r="E2420" t="str">
            <v>A</v>
          </cell>
          <cell r="F2420" t="str">
            <v>12/07/1997</v>
          </cell>
        </row>
        <row r="2421">
          <cell r="B2421" t="str">
            <v>C0311</v>
          </cell>
          <cell r="C2421" t="str">
            <v>CIP</v>
          </cell>
          <cell r="D2421" t="str">
            <v>N</v>
          </cell>
          <cell r="E2421" t="str">
            <v>A</v>
          </cell>
          <cell r="F2421" t="str">
            <v>12/07/1997</v>
          </cell>
        </row>
        <row r="2422">
          <cell r="B2422" t="str">
            <v>C0313</v>
          </cell>
          <cell r="C2422" t="str">
            <v>CIP</v>
          </cell>
          <cell r="D2422" t="str">
            <v>N</v>
          </cell>
          <cell r="E2422" t="str">
            <v>A</v>
          </cell>
          <cell r="F2422" t="str">
            <v>12/07/1997</v>
          </cell>
        </row>
        <row r="2423">
          <cell r="B2423" t="str">
            <v>C0314</v>
          </cell>
          <cell r="C2423" t="str">
            <v>CIP</v>
          </cell>
          <cell r="D2423" t="str">
            <v>N</v>
          </cell>
          <cell r="E2423" t="str">
            <v>A</v>
          </cell>
          <cell r="F2423" t="str">
            <v>12/07/1997</v>
          </cell>
        </row>
        <row r="2424">
          <cell r="B2424" t="str">
            <v>C0401</v>
          </cell>
          <cell r="C2424" t="str">
            <v>CIP</v>
          </cell>
          <cell r="D2424" t="str">
            <v>N</v>
          </cell>
          <cell r="E2424" t="str">
            <v>A</v>
          </cell>
          <cell r="F2424" t="str">
            <v>12/07/1997</v>
          </cell>
        </row>
        <row r="2425">
          <cell r="B2425" t="str">
            <v>C0402</v>
          </cell>
          <cell r="C2425" t="str">
            <v>CIP</v>
          </cell>
          <cell r="D2425" t="str">
            <v>N</v>
          </cell>
          <cell r="E2425" t="str">
            <v>A</v>
          </cell>
          <cell r="F2425" t="str">
            <v>12/07/1997</v>
          </cell>
        </row>
        <row r="2426">
          <cell r="B2426" t="str">
            <v>C0403</v>
          </cell>
          <cell r="C2426" t="str">
            <v>CIP</v>
          </cell>
          <cell r="D2426" t="str">
            <v>N</v>
          </cell>
          <cell r="E2426" t="str">
            <v>A</v>
          </cell>
          <cell r="F2426" t="str">
            <v>12/07/1997</v>
          </cell>
        </row>
        <row r="2427">
          <cell r="B2427" t="str">
            <v>C0407</v>
          </cell>
          <cell r="C2427" t="str">
            <v>CIP</v>
          </cell>
          <cell r="D2427" t="str">
            <v>N</v>
          </cell>
          <cell r="E2427" t="str">
            <v>A</v>
          </cell>
          <cell r="F2427" t="str">
            <v>06/26/1998</v>
          </cell>
        </row>
        <row r="2428">
          <cell r="B2428" t="str">
            <v>C0411</v>
          </cell>
          <cell r="C2428" t="str">
            <v>CIP</v>
          </cell>
          <cell r="D2428" t="str">
            <v>N</v>
          </cell>
          <cell r="E2428" t="str">
            <v>A</v>
          </cell>
          <cell r="F2428" t="str">
            <v>12/07/1997</v>
          </cell>
        </row>
        <row r="2429">
          <cell r="B2429" t="str">
            <v>C0413</v>
          </cell>
          <cell r="C2429" t="str">
            <v>CIP</v>
          </cell>
          <cell r="D2429" t="str">
            <v>N</v>
          </cell>
          <cell r="E2429" t="str">
            <v>A</v>
          </cell>
          <cell r="F2429" t="str">
            <v>12/07/1997</v>
          </cell>
        </row>
        <row r="2430">
          <cell r="B2430" t="str">
            <v>C0414</v>
          </cell>
          <cell r="C2430" t="str">
            <v>CIP</v>
          </cell>
          <cell r="D2430" t="str">
            <v>N</v>
          </cell>
          <cell r="E2430" t="str">
            <v>A</v>
          </cell>
          <cell r="F2430" t="str">
            <v>12/07/1997</v>
          </cell>
        </row>
        <row r="2431">
          <cell r="B2431" t="str">
            <v>C0701</v>
          </cell>
          <cell r="C2431" t="str">
            <v>CIP</v>
          </cell>
          <cell r="D2431" t="str">
            <v>N</v>
          </cell>
          <cell r="E2431" t="str">
            <v>A</v>
          </cell>
          <cell r="F2431" t="str">
            <v>12/07/1997</v>
          </cell>
        </row>
        <row r="2432">
          <cell r="B2432" t="str">
            <v>C0702</v>
          </cell>
          <cell r="C2432" t="str">
            <v>CIP</v>
          </cell>
          <cell r="D2432" t="str">
            <v>N</v>
          </cell>
          <cell r="E2432" t="str">
            <v>A</v>
          </cell>
          <cell r="F2432" t="str">
            <v>12/07/1997</v>
          </cell>
        </row>
        <row r="2433">
          <cell r="B2433" t="str">
            <v>C0703</v>
          </cell>
          <cell r="C2433" t="str">
            <v>CIP</v>
          </cell>
          <cell r="D2433" t="str">
            <v>N</v>
          </cell>
          <cell r="E2433" t="str">
            <v>A</v>
          </cell>
          <cell r="F2433" t="str">
            <v>12/07/1997</v>
          </cell>
        </row>
        <row r="2434">
          <cell r="B2434" t="str">
            <v>C0711</v>
          </cell>
          <cell r="C2434" t="str">
            <v>CIP</v>
          </cell>
          <cell r="D2434" t="str">
            <v>N</v>
          </cell>
          <cell r="E2434" t="str">
            <v>A</v>
          </cell>
          <cell r="F2434" t="str">
            <v>12/07/1997</v>
          </cell>
        </row>
        <row r="2435">
          <cell r="B2435" t="str">
            <v>C0713</v>
          </cell>
          <cell r="C2435" t="str">
            <v>CIP</v>
          </cell>
          <cell r="D2435" t="str">
            <v>N</v>
          </cell>
          <cell r="E2435" t="str">
            <v>A</v>
          </cell>
          <cell r="F2435" t="str">
            <v>12/07/1997</v>
          </cell>
        </row>
        <row r="2436">
          <cell r="B2436" t="str">
            <v>C0801</v>
          </cell>
          <cell r="C2436" t="str">
            <v>CIP</v>
          </cell>
          <cell r="D2436" t="str">
            <v>N</v>
          </cell>
          <cell r="E2436" t="str">
            <v>A</v>
          </cell>
          <cell r="F2436" t="str">
            <v>12/07/1997</v>
          </cell>
        </row>
        <row r="2437">
          <cell r="B2437" t="str">
            <v>C0802</v>
          </cell>
          <cell r="C2437" t="str">
            <v>CIP</v>
          </cell>
          <cell r="D2437" t="str">
            <v>N</v>
          </cell>
          <cell r="E2437" t="str">
            <v>A</v>
          </cell>
          <cell r="F2437" t="str">
            <v>12/07/1997</v>
          </cell>
        </row>
        <row r="2438">
          <cell r="B2438" t="str">
            <v>C0803</v>
          </cell>
          <cell r="C2438" t="str">
            <v>CIP</v>
          </cell>
          <cell r="D2438" t="str">
            <v>N</v>
          </cell>
          <cell r="E2438" t="str">
            <v>A</v>
          </cell>
          <cell r="F2438" t="str">
            <v>12/07/1997</v>
          </cell>
        </row>
        <row r="2439">
          <cell r="B2439" t="str">
            <v>C0805</v>
          </cell>
          <cell r="C2439" t="str">
            <v>CIP</v>
          </cell>
          <cell r="D2439" t="str">
            <v>N</v>
          </cell>
          <cell r="E2439" t="str">
            <v>A</v>
          </cell>
          <cell r="F2439" t="str">
            <v>12/07/1997</v>
          </cell>
        </row>
        <row r="2440">
          <cell r="B2440" t="str">
            <v>C0811</v>
          </cell>
          <cell r="C2440" t="str">
            <v>CIP</v>
          </cell>
          <cell r="D2440" t="str">
            <v>N</v>
          </cell>
          <cell r="E2440" t="str">
            <v>A</v>
          </cell>
          <cell r="F2440" t="str">
            <v>12/07/1997</v>
          </cell>
        </row>
        <row r="2441">
          <cell r="B2441" t="str">
            <v>C0813</v>
          </cell>
          <cell r="C2441" t="str">
            <v>CIP</v>
          </cell>
          <cell r="D2441" t="str">
            <v>N</v>
          </cell>
          <cell r="E2441" t="str">
            <v>A</v>
          </cell>
          <cell r="F2441" t="str">
            <v>12/07/1997</v>
          </cell>
        </row>
        <row r="2442">
          <cell r="B2442" t="str">
            <v>C0920</v>
          </cell>
          <cell r="C2442" t="str">
            <v>GEN</v>
          </cell>
          <cell r="D2442" t="str">
            <v>N</v>
          </cell>
          <cell r="E2442" t="str">
            <v>A</v>
          </cell>
          <cell r="F2442" t="str">
            <v>01/12/1998</v>
          </cell>
        </row>
        <row r="2443">
          <cell r="B2443" t="str">
            <v>C0930</v>
          </cell>
          <cell r="C2443" t="str">
            <v>GEN</v>
          </cell>
          <cell r="D2443" t="str">
            <v>N</v>
          </cell>
          <cell r="E2443" t="str">
            <v>A</v>
          </cell>
          <cell r="F2443" t="str">
            <v>01/12/1998</v>
          </cell>
        </row>
        <row r="2444">
          <cell r="B2444" t="str">
            <v>C0940</v>
          </cell>
          <cell r="C2444" t="str">
            <v>GEN</v>
          </cell>
          <cell r="D2444" t="str">
            <v>N</v>
          </cell>
          <cell r="E2444" t="str">
            <v>A</v>
          </cell>
          <cell r="F2444" t="str">
            <v>01/12/1998</v>
          </cell>
        </row>
        <row r="2445">
          <cell r="B2445" t="str">
            <v>C0950</v>
          </cell>
          <cell r="C2445" t="str">
            <v>GEN</v>
          </cell>
          <cell r="D2445" t="str">
            <v>N</v>
          </cell>
          <cell r="E2445" t="str">
            <v>A</v>
          </cell>
          <cell r="F2445" t="str">
            <v>01/12/1998</v>
          </cell>
        </row>
        <row r="2446">
          <cell r="B2446" t="str">
            <v>C0992</v>
          </cell>
          <cell r="C2446" t="str">
            <v>CIP</v>
          </cell>
          <cell r="D2446" t="str">
            <v>N</v>
          </cell>
          <cell r="E2446" t="str">
            <v>A</v>
          </cell>
          <cell r="F2446" t="str">
            <v>05/09/2003</v>
          </cell>
        </row>
        <row r="2447">
          <cell r="B2447" t="str">
            <v>C1201</v>
          </cell>
          <cell r="C2447" t="str">
            <v>CIL</v>
          </cell>
          <cell r="D2447" t="str">
            <v>N</v>
          </cell>
          <cell r="E2447" t="str">
            <v>A</v>
          </cell>
          <cell r="F2447" t="str">
            <v>11/17/2003</v>
          </cell>
        </row>
        <row r="2448">
          <cell r="B2448" t="str">
            <v>C1209</v>
          </cell>
          <cell r="C2448" t="str">
            <v>CIL</v>
          </cell>
          <cell r="D2448" t="str">
            <v>N</v>
          </cell>
          <cell r="E2448" t="str">
            <v>A</v>
          </cell>
          <cell r="F2448" t="str">
            <v>01/05/2004</v>
          </cell>
        </row>
        <row r="2449">
          <cell r="B2449" t="str">
            <v>C1209</v>
          </cell>
          <cell r="C2449" t="str">
            <v>CIL</v>
          </cell>
          <cell r="D2449" t="str">
            <v>N</v>
          </cell>
          <cell r="E2449" t="str">
            <v>A</v>
          </cell>
          <cell r="F2449" t="str">
            <v>01/05/2004</v>
          </cell>
        </row>
        <row r="2450">
          <cell r="B2450" t="str">
            <v>C1220</v>
          </cell>
          <cell r="C2450" t="str">
            <v>CIL</v>
          </cell>
          <cell r="D2450" t="str">
            <v>N</v>
          </cell>
          <cell r="E2450" t="str">
            <v>A</v>
          </cell>
          <cell r="F2450" t="str">
            <v>12/21/2003</v>
          </cell>
        </row>
        <row r="2451">
          <cell r="B2451" t="str">
            <v>C1250</v>
          </cell>
          <cell r="C2451" t="str">
            <v>CIL</v>
          </cell>
          <cell r="D2451" t="str">
            <v>N</v>
          </cell>
          <cell r="E2451" t="str">
            <v>A</v>
          </cell>
          <cell r="F2451" t="str">
            <v>12/21/2003</v>
          </cell>
        </row>
        <row r="2452">
          <cell r="B2452" t="str">
            <v>C1250</v>
          </cell>
          <cell r="C2452" t="str">
            <v>CIL</v>
          </cell>
          <cell r="D2452" t="str">
            <v>N</v>
          </cell>
          <cell r="E2452" t="str">
            <v>A</v>
          </cell>
          <cell r="F2452" t="str">
            <v>12/21/2003</v>
          </cell>
        </row>
        <row r="2453">
          <cell r="B2453" t="str">
            <v>C1310</v>
          </cell>
          <cell r="C2453" t="str">
            <v>CIL</v>
          </cell>
          <cell r="D2453" t="str">
            <v>N</v>
          </cell>
          <cell r="E2453" t="str">
            <v>A</v>
          </cell>
          <cell r="F2453" t="str">
            <v>12/21/2003</v>
          </cell>
        </row>
        <row r="2454">
          <cell r="B2454" t="str">
            <v>C2023</v>
          </cell>
          <cell r="C2454" t="str">
            <v>CIL</v>
          </cell>
          <cell r="D2454" t="str">
            <v>N</v>
          </cell>
          <cell r="E2454" t="str">
            <v>A</v>
          </cell>
          <cell r="F2454" t="str">
            <v>12/21/2003</v>
          </cell>
        </row>
        <row r="2455">
          <cell r="B2455" t="str">
            <v>CIL01</v>
          </cell>
          <cell r="C2455" t="str">
            <v>CIL</v>
          </cell>
          <cell r="D2455" t="str">
            <v>N</v>
          </cell>
          <cell r="E2455" t="str">
            <v>A</v>
          </cell>
          <cell r="F2455" t="str">
            <v>01/06/2004</v>
          </cell>
        </row>
        <row r="2456">
          <cell r="B2456" t="str">
            <v>CIP01</v>
          </cell>
          <cell r="C2456" t="str">
            <v>CIP</v>
          </cell>
          <cell r="D2456" t="str">
            <v>N</v>
          </cell>
          <cell r="E2456" t="str">
            <v>A</v>
          </cell>
          <cell r="F2456" t="str">
            <v>01/12/2001</v>
          </cell>
        </row>
        <row r="2457">
          <cell r="B2457" t="str">
            <v>GEN03</v>
          </cell>
          <cell r="C2457" t="str">
            <v>GEN</v>
          </cell>
          <cell r="D2457" t="str">
            <v>N</v>
          </cell>
          <cell r="E2457" t="str">
            <v>A</v>
          </cell>
          <cell r="F2457" t="str">
            <v>01/12/2001</v>
          </cell>
        </row>
        <row r="2458">
          <cell r="B2458" t="str">
            <v>UEC01</v>
          </cell>
          <cell r="C2458" t="str">
            <v>UEC</v>
          </cell>
          <cell r="D2458" t="str">
            <v>N</v>
          </cell>
          <cell r="E2458" t="str">
            <v>A</v>
          </cell>
          <cell r="F2458" t="str">
            <v>01/12/2001</v>
          </cell>
        </row>
        <row r="2459">
          <cell r="B2459" t="str">
            <v>UEC03</v>
          </cell>
          <cell r="C2459" t="str">
            <v>UEC</v>
          </cell>
          <cell r="D2459" t="str">
            <v>N</v>
          </cell>
          <cell r="E2459" t="str">
            <v>A</v>
          </cell>
          <cell r="F2459" t="str">
            <v>01/12/2001</v>
          </cell>
        </row>
        <row r="2460">
          <cell r="B2460" t="str">
            <v>X9998</v>
          </cell>
          <cell r="C2460" t="str">
            <v>CIP</v>
          </cell>
          <cell r="D2460" t="str">
            <v>N</v>
          </cell>
          <cell r="E2460" t="str">
            <v>A</v>
          </cell>
          <cell r="F2460" t="str">
            <v>01/15/1998</v>
          </cell>
        </row>
        <row r="2461">
          <cell r="B2461" t="str">
            <v>X9999</v>
          </cell>
          <cell r="C2461" t="str">
            <v>UEC</v>
          </cell>
          <cell r="D2461" t="str">
            <v>N</v>
          </cell>
          <cell r="E2461" t="str">
            <v>A</v>
          </cell>
          <cell r="F2461" t="str">
            <v>01/15/1998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Ex Direct-Indirect Summary"/>
      <sheetName val="CapEx Direct-Indirect By Month"/>
      <sheetName val="CapEx on CWIP to InSrvc WOs"/>
      <sheetName val="Gas CWIP Cancelled WOs"/>
      <sheetName val="CapEx on CWIP to InSrvc"/>
      <sheetName val="Cost Element Table"/>
      <sheetName val="Summary of CapEx Jan-Apr 2004"/>
      <sheetName val="Gas CWIP Open WOs"/>
      <sheetName val="Gas CWIP Open WO D&amp;L$s"/>
      <sheetName val="Elec CapEx by CWO"/>
      <sheetName val="Gas CapEx by CWO"/>
      <sheetName val="WO 30010 Directs"/>
      <sheetName val="WO 30010 Loadings"/>
      <sheetName val="Gas CapEx by WO w Est"/>
      <sheetName val="Gas CapEx RWO Forecast"/>
      <sheetName val="CapEx CWIP-Jan-Apr 2004 Data"/>
      <sheetName val="Estimate Grouping RWOs"/>
      <sheetName val="Estimate Grouping"/>
      <sheetName val="Gas WO Est Data"/>
      <sheetName val="Gas WO Estimate Notes"/>
      <sheetName val="CWIP to InSrvc WO List"/>
      <sheetName val="Reversal of Dec 2003 Load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5">
            <v>70010</v>
          </cell>
          <cell r="G5">
            <v>29579.321561912468</v>
          </cell>
          <cell r="H5">
            <v>68628.636977464485</v>
          </cell>
        </row>
        <row r="6">
          <cell r="A6">
            <v>70011</v>
          </cell>
          <cell r="G6">
            <v>1186.093983818573</v>
          </cell>
          <cell r="H6">
            <v>3124.1701165950371</v>
          </cell>
        </row>
        <row r="7">
          <cell r="A7">
            <v>70020</v>
          </cell>
          <cell r="G7">
            <v>21421.577064110959</v>
          </cell>
          <cell r="H7">
            <v>48115.569216274751</v>
          </cell>
        </row>
        <row r="8">
          <cell r="A8">
            <v>70021</v>
          </cell>
          <cell r="G8">
            <v>2117.6230673168934</v>
          </cell>
          <cell r="H8">
            <v>5387.9495112893628</v>
          </cell>
        </row>
        <row r="9">
          <cell r="A9">
            <v>70022</v>
          </cell>
          <cell r="G9">
            <v>3856.683092229493</v>
          </cell>
          <cell r="H9">
            <v>8483.3226057981301</v>
          </cell>
        </row>
        <row r="10">
          <cell r="A10">
            <v>70023</v>
          </cell>
          <cell r="G10">
            <v>678.07934167583176</v>
          </cell>
          <cell r="H10">
            <v>1417.9913995867196</v>
          </cell>
        </row>
        <row r="11">
          <cell r="A11">
            <v>70025</v>
          </cell>
          <cell r="G11">
            <v>15255.331511520526</v>
          </cell>
          <cell r="H11">
            <v>33143.111427206903</v>
          </cell>
        </row>
        <row r="12">
          <cell r="A12">
            <v>70026</v>
          </cell>
          <cell r="G12">
            <v>6745.8218725368488</v>
          </cell>
          <cell r="H12">
            <v>14988.926257110628</v>
          </cell>
        </row>
        <row r="13">
          <cell r="A13">
            <v>70027</v>
          </cell>
          <cell r="G13">
            <v>7285.8154279532664</v>
          </cell>
          <cell r="H13">
            <v>17402.938236361748</v>
          </cell>
        </row>
        <row r="14">
          <cell r="A14">
            <v>70028</v>
          </cell>
          <cell r="B14" t="str">
            <v>BWO Actual Jan - Apr 2004</v>
          </cell>
          <cell r="G14">
            <v>0</v>
          </cell>
          <cell r="H14">
            <v>0</v>
          </cell>
        </row>
        <row r="15">
          <cell r="A15">
            <v>70029</v>
          </cell>
          <cell r="B15" t="str">
            <v>BWO Actual Jan - Apr 2004</v>
          </cell>
          <cell r="G15">
            <v>0</v>
          </cell>
          <cell r="H15">
            <v>0</v>
          </cell>
        </row>
        <row r="16">
          <cell r="A16">
            <v>70030</v>
          </cell>
          <cell r="G16">
            <v>157.75</v>
          </cell>
          <cell r="H16">
            <v>415.82</v>
          </cell>
        </row>
        <row r="17">
          <cell r="A17">
            <v>70045</v>
          </cell>
          <cell r="B17" t="str">
            <v>BWO Actual Jan - Apr 2004</v>
          </cell>
          <cell r="G17">
            <v>0</v>
          </cell>
          <cell r="H17">
            <v>0</v>
          </cell>
        </row>
        <row r="18">
          <cell r="A18">
            <v>70051</v>
          </cell>
          <cell r="B18" t="str">
            <v>BWO Actual Jan - Apr 2004</v>
          </cell>
          <cell r="G18">
            <v>0</v>
          </cell>
          <cell r="H18">
            <v>0</v>
          </cell>
        </row>
        <row r="19">
          <cell r="A19">
            <v>70060</v>
          </cell>
          <cell r="G19">
            <v>3393.3744343963058</v>
          </cell>
          <cell r="H19">
            <v>8092.017582459117</v>
          </cell>
        </row>
        <row r="20">
          <cell r="A20">
            <v>70061</v>
          </cell>
          <cell r="B20" t="str">
            <v>BWO Actual Jan - Apr 2004</v>
          </cell>
          <cell r="G20">
            <v>0</v>
          </cell>
          <cell r="H20">
            <v>0</v>
          </cell>
        </row>
        <row r="21">
          <cell r="A21">
            <v>70062</v>
          </cell>
          <cell r="G21">
            <v>357.75533560023172</v>
          </cell>
          <cell r="H21">
            <v>881.98439429330699</v>
          </cell>
        </row>
        <row r="22">
          <cell r="A22">
            <v>70063</v>
          </cell>
          <cell r="G22">
            <v>2634.2345860289861</v>
          </cell>
          <cell r="H22">
            <v>5976.605714231423</v>
          </cell>
        </row>
        <row r="23">
          <cell r="A23">
            <v>70064</v>
          </cell>
          <cell r="G23">
            <v>775.93138867095331</v>
          </cell>
          <cell r="H23">
            <v>1723.5809184120455</v>
          </cell>
        </row>
        <row r="24">
          <cell r="A24">
            <v>70065</v>
          </cell>
          <cell r="G24">
            <v>1270.929764716107</v>
          </cell>
          <cell r="H24">
            <v>2890.7036851988423</v>
          </cell>
        </row>
        <row r="25">
          <cell r="A25">
            <v>70075</v>
          </cell>
          <cell r="G25">
            <v>0</v>
          </cell>
          <cell r="H25">
            <v>0</v>
          </cell>
        </row>
        <row r="26">
          <cell r="A26">
            <v>72469</v>
          </cell>
          <cell r="G26">
            <v>400.22756429365461</v>
          </cell>
          <cell r="H26">
            <v>875.69791067451627</v>
          </cell>
        </row>
        <row r="27">
          <cell r="A27">
            <v>75322</v>
          </cell>
          <cell r="B27">
            <v>5073913993</v>
          </cell>
          <cell r="G27">
            <v>1486.4427488886959</v>
          </cell>
          <cell r="H27">
            <v>3252.3367345684665</v>
          </cell>
        </row>
        <row r="28">
          <cell r="A28">
            <v>76937</v>
          </cell>
          <cell r="G28">
            <v>118.67158464305047</v>
          </cell>
          <cell r="H28">
            <v>275.16380331184109</v>
          </cell>
        </row>
        <row r="29">
          <cell r="A29">
            <v>78634</v>
          </cell>
          <cell r="B29">
            <v>2466127259</v>
          </cell>
          <cell r="G29">
            <v>55.382126729182126</v>
          </cell>
          <cell r="H29">
            <v>121.1760932834505</v>
          </cell>
        </row>
        <row r="30">
          <cell r="A30">
            <v>78650</v>
          </cell>
          <cell r="B30">
            <v>1227239564</v>
          </cell>
          <cell r="G30">
            <v>1485.9856731743964</v>
          </cell>
          <cell r="H30">
            <v>3251.3366529055793</v>
          </cell>
        </row>
        <row r="31">
          <cell r="A31">
            <v>78652</v>
          </cell>
          <cell r="B31">
            <v>6762447705</v>
          </cell>
          <cell r="G31">
            <v>435.99652076542912</v>
          </cell>
          <cell r="H31">
            <v>953.9603874347589</v>
          </cell>
        </row>
        <row r="32">
          <cell r="A32">
            <v>78655</v>
          </cell>
          <cell r="B32">
            <v>8268933828</v>
          </cell>
          <cell r="G32">
            <v>1372.0103344310244</v>
          </cell>
          <cell r="H32">
            <v>3001.9586117350814</v>
          </cell>
        </row>
        <row r="33">
          <cell r="A33">
            <v>79638</v>
          </cell>
          <cell r="G33">
            <v>2200.9759886712718</v>
          </cell>
          <cell r="H33">
            <v>4815.7354632127426</v>
          </cell>
        </row>
        <row r="34">
          <cell r="A34">
            <v>80432</v>
          </cell>
          <cell r="G34">
            <v>5758.5381462835412</v>
          </cell>
          <cell r="H34">
            <v>12599.681464068388</v>
          </cell>
        </row>
        <row r="35">
          <cell r="A35">
            <v>80441</v>
          </cell>
          <cell r="B35">
            <v>6794709010</v>
          </cell>
          <cell r="G35">
            <v>2063.5389828021325</v>
          </cell>
          <cell r="H35">
            <v>4784.7278394233044</v>
          </cell>
        </row>
        <row r="36">
          <cell r="A36">
            <v>80444</v>
          </cell>
          <cell r="B36">
            <v>4336565321</v>
          </cell>
          <cell r="G36">
            <v>2681.2652004251827</v>
          </cell>
          <cell r="H36">
            <v>5866.6082585302993</v>
          </cell>
        </row>
        <row r="37">
          <cell r="A37">
            <v>80448</v>
          </cell>
          <cell r="B37">
            <v>9125071971</v>
          </cell>
          <cell r="G37">
            <v>1346.5730865911796</v>
          </cell>
          <cell r="H37">
            <v>2946.301913461501</v>
          </cell>
        </row>
        <row r="38">
          <cell r="A38">
            <v>80449</v>
          </cell>
          <cell r="B38">
            <v>6260468582</v>
          </cell>
          <cell r="G38">
            <v>167.66351385401339</v>
          </cell>
          <cell r="H38">
            <v>300.65421304301685</v>
          </cell>
        </row>
        <row r="39">
          <cell r="A39">
            <v>80450</v>
          </cell>
          <cell r="B39">
            <v>1894913744</v>
          </cell>
          <cell r="G39">
            <v>1734.1080263559641</v>
          </cell>
          <cell r="H39">
            <v>3794.2283616668492</v>
          </cell>
        </row>
        <row r="40">
          <cell r="A40">
            <v>80452</v>
          </cell>
          <cell r="B40">
            <v>7533745904</v>
          </cell>
          <cell r="G40">
            <v>43.897457447137676</v>
          </cell>
          <cell r="H40">
            <v>96.047636894337231</v>
          </cell>
        </row>
        <row r="41">
          <cell r="A41">
            <v>80455</v>
          </cell>
          <cell r="B41">
            <v>211875428</v>
          </cell>
          <cell r="G41">
            <v>2269.4102439070984</v>
          </cell>
          <cell r="H41">
            <v>5262.0815325473895</v>
          </cell>
        </row>
        <row r="42">
          <cell r="A42">
            <v>80456</v>
          </cell>
          <cell r="G42">
            <v>226.80121173048781</v>
          </cell>
          <cell r="H42">
            <v>525.88396963948219</v>
          </cell>
        </row>
        <row r="43">
          <cell r="A43">
            <v>80457</v>
          </cell>
          <cell r="G43">
            <v>58.484377935009974</v>
          </cell>
          <cell r="H43">
            <v>135.60772711790761</v>
          </cell>
        </row>
        <row r="44">
          <cell r="A44">
            <v>81186</v>
          </cell>
          <cell r="B44">
            <v>8093003599</v>
          </cell>
          <cell r="G44">
            <v>209.24160128032622</v>
          </cell>
          <cell r="H44">
            <v>457.82062360135382</v>
          </cell>
        </row>
        <row r="45">
          <cell r="A45">
            <v>81190</v>
          </cell>
          <cell r="G45">
            <v>31.414967914260867</v>
          </cell>
          <cell r="H45">
            <v>68.735949796402764</v>
          </cell>
        </row>
        <row r="46">
          <cell r="A46">
            <v>82549</v>
          </cell>
          <cell r="G46">
            <v>2609.5582379431053</v>
          </cell>
          <cell r="H46">
            <v>5709.7134246195146</v>
          </cell>
        </row>
        <row r="47">
          <cell r="A47">
            <v>83126</v>
          </cell>
          <cell r="B47">
            <v>8610138333</v>
          </cell>
          <cell r="G47">
            <v>133.9302027307827</v>
          </cell>
          <cell r="H47">
            <v>310.54396107186585</v>
          </cell>
        </row>
        <row r="48">
          <cell r="A48">
            <v>85673</v>
          </cell>
          <cell r="B48">
            <v>5861122059</v>
          </cell>
          <cell r="G48">
            <v>17809.827318113064</v>
          </cell>
          <cell r="H48">
            <v>31936.582346840351</v>
          </cell>
        </row>
        <row r="49">
          <cell r="A49">
            <v>85674</v>
          </cell>
          <cell r="B49">
            <v>8324760918</v>
          </cell>
          <cell r="G49">
            <v>11340.005052077277</v>
          </cell>
          <cell r="H49">
            <v>20334.897059384974</v>
          </cell>
        </row>
        <row r="50">
          <cell r="A50">
            <v>85683</v>
          </cell>
          <cell r="G50">
            <v>3044.8523761574957</v>
          </cell>
          <cell r="H50">
            <v>7060.0992045963849</v>
          </cell>
        </row>
        <row r="51">
          <cell r="A51">
            <v>85700</v>
          </cell>
          <cell r="B51">
            <v>5158365591</v>
          </cell>
          <cell r="G51">
            <v>30326.780013049247</v>
          </cell>
          <cell r="H51">
            <v>54381.981919399914</v>
          </cell>
        </row>
        <row r="52">
          <cell r="A52">
            <v>85707</v>
          </cell>
          <cell r="B52">
            <v>5044282710</v>
          </cell>
          <cell r="G52">
            <v>2164.3245840013424</v>
          </cell>
          <cell r="H52">
            <v>3881.0668440312065</v>
          </cell>
        </row>
        <row r="53">
          <cell r="A53">
            <v>85710</v>
          </cell>
          <cell r="B53">
            <v>1215420402</v>
          </cell>
          <cell r="G53">
            <v>2304.8575704257037</v>
          </cell>
          <cell r="H53">
            <v>5344.2732485460792</v>
          </cell>
        </row>
        <row r="54">
          <cell r="A54">
            <v>85714</v>
          </cell>
          <cell r="B54">
            <v>3230494713</v>
          </cell>
          <cell r="G54">
            <v>14182.586729981049</v>
          </cell>
          <cell r="H54">
            <v>25432.21452420202</v>
          </cell>
        </row>
        <row r="55">
          <cell r="A55">
            <v>85716</v>
          </cell>
          <cell r="B55">
            <v>8152509976</v>
          </cell>
          <cell r="G55">
            <v>0</v>
          </cell>
          <cell r="H55">
            <v>0</v>
          </cell>
        </row>
        <row r="56">
          <cell r="A56">
            <v>85717</v>
          </cell>
          <cell r="B56">
            <v>1008949603</v>
          </cell>
          <cell r="G56">
            <v>5967.9677071032747</v>
          </cell>
          <cell r="H56">
            <v>13837.926722460361</v>
          </cell>
        </row>
        <row r="57">
          <cell r="A57">
            <v>85718</v>
          </cell>
          <cell r="B57">
            <v>256299420</v>
          </cell>
          <cell r="G57">
            <v>5346.8085918735469</v>
          </cell>
          <cell r="H57">
            <v>12397.645081977196</v>
          </cell>
        </row>
        <row r="58">
          <cell r="A58">
            <v>85719</v>
          </cell>
          <cell r="B58">
            <v>5196417030</v>
          </cell>
          <cell r="G58">
            <v>6095.8412051104924</v>
          </cell>
          <cell r="H58">
            <v>14134.427002289698</v>
          </cell>
        </row>
        <row r="59">
          <cell r="A59">
            <v>85720</v>
          </cell>
          <cell r="B59">
            <v>1796745117</v>
          </cell>
          <cell r="G59">
            <v>783.6515739447392</v>
          </cell>
          <cell r="H59">
            <v>1817.0529045056669</v>
          </cell>
        </row>
        <row r="60">
          <cell r="A60">
            <v>85721</v>
          </cell>
          <cell r="G60">
            <v>3925.584015784731</v>
          </cell>
          <cell r="H60">
            <v>9083.4088541242891</v>
          </cell>
        </row>
        <row r="61">
          <cell r="A61">
            <v>85727</v>
          </cell>
          <cell r="B61">
            <v>7371025578</v>
          </cell>
          <cell r="G61">
            <v>3345.5117661512809</v>
          </cell>
          <cell r="H61">
            <v>7319.9797443390025</v>
          </cell>
        </row>
        <row r="62">
          <cell r="A62">
            <v>87005</v>
          </cell>
          <cell r="B62" t="str">
            <v>Not Appl</v>
          </cell>
        </row>
        <row r="63">
          <cell r="A63">
            <v>88522</v>
          </cell>
          <cell r="B63">
            <v>9181219491</v>
          </cell>
          <cell r="G63">
            <v>589.21626025654052</v>
          </cell>
          <cell r="H63">
            <v>736.40248206862429</v>
          </cell>
        </row>
        <row r="64">
          <cell r="A64">
            <v>88523</v>
          </cell>
          <cell r="B64">
            <v>1230016039</v>
          </cell>
          <cell r="G64">
            <v>4939.3309024208193</v>
          </cell>
          <cell r="H64">
            <v>6173.1757618455404</v>
          </cell>
        </row>
        <row r="65">
          <cell r="A65">
            <v>88524</v>
          </cell>
          <cell r="B65">
            <v>6975863502</v>
          </cell>
          <cell r="G65">
            <v>9554.8582744303876</v>
          </cell>
          <cell r="H65">
            <v>11941.661871383098</v>
          </cell>
        </row>
        <row r="66">
          <cell r="A66">
            <v>88525</v>
          </cell>
          <cell r="B66">
            <v>612713765</v>
          </cell>
          <cell r="G66">
            <v>2946.0813012827025</v>
          </cell>
          <cell r="H66">
            <v>3682.0124103431212</v>
          </cell>
        </row>
        <row r="67">
          <cell r="A67" t="str">
            <v>(blank)</v>
          </cell>
          <cell r="G67">
            <v>0</v>
          </cell>
          <cell r="H67">
            <v>0</v>
          </cell>
        </row>
        <row r="68">
          <cell r="A68" t="str">
            <v>WR 6514460654</v>
          </cell>
          <cell r="B68">
            <v>6514460654</v>
          </cell>
          <cell r="G68">
            <v>2182.6649278340474</v>
          </cell>
          <cell r="H68">
            <v>4775.6708621008956</v>
          </cell>
        </row>
        <row r="69">
          <cell r="A69" t="str">
            <v>Not Assigned 1</v>
          </cell>
          <cell r="B69" t="str">
            <v>Emerging WO Est. MAINTAIN EXISTING SYSTEM - GAS</v>
          </cell>
          <cell r="C69">
            <v>6</v>
          </cell>
          <cell r="G69">
            <v>102.31584228034306</v>
          </cell>
          <cell r="H69">
            <v>223.86706290939065</v>
          </cell>
        </row>
        <row r="70">
          <cell r="A70" t="str">
            <v>Not Assigned 2</v>
          </cell>
          <cell r="B70" t="str">
            <v>Emerging WO Est. NEW BUSINESS - GAS</v>
          </cell>
          <cell r="C70">
            <v>6</v>
          </cell>
          <cell r="G70">
            <v>3057.0276587189096</v>
          </cell>
          <cell r="H70">
            <v>6688.776517276975</v>
          </cell>
        </row>
        <row r="71">
          <cell r="A71" t="str">
            <v>Not Assigned 3</v>
          </cell>
          <cell r="B71" t="str">
            <v>Emerging WO Est. NEW BUSINESS - GAS</v>
          </cell>
          <cell r="C71">
            <v>6</v>
          </cell>
          <cell r="G71">
            <v>6426.5968860968287</v>
          </cell>
          <cell r="H71">
            <v>14061.393986779867</v>
          </cell>
        </row>
        <row r="72">
          <cell r="A72" t="str">
            <v>Not Assigned 4</v>
          </cell>
          <cell r="B72" t="str">
            <v>Emerging WO Est. REBUILD DUE TO CONDITION-GAS</v>
          </cell>
          <cell r="C72">
            <v>6</v>
          </cell>
          <cell r="G72">
            <v>614.81522525288733</v>
          </cell>
          <cell r="H72">
            <v>1425.5720627938699</v>
          </cell>
        </row>
        <row r="73">
          <cell r="A73" t="str">
            <v>Not Assigned 5</v>
          </cell>
          <cell r="B73" t="str">
            <v>Emerging WO Est .REBUILD DUE TO CONDITION-GAS</v>
          </cell>
          <cell r="C73">
            <v>6</v>
          </cell>
          <cell r="G73">
            <v>1057.1690218271576</v>
          </cell>
          <cell r="H73">
            <v>2451.2578109106298</v>
          </cell>
        </row>
        <row r="74">
          <cell r="A74" t="str">
            <v>Not Assigned 6</v>
          </cell>
          <cell r="B74" t="str">
            <v>Emerging WO Est. REBUILD DUE TO CONDITION-GAS</v>
          </cell>
          <cell r="C74">
            <v>6</v>
          </cell>
          <cell r="G74">
            <v>128.38148861573987</v>
          </cell>
          <cell r="H74">
            <v>297.67815765331596</v>
          </cell>
        </row>
        <row r="75">
          <cell r="A75" t="str">
            <v>Not Assigned 7</v>
          </cell>
          <cell r="B75" t="str">
            <v>Emerging WO Est. REBUILD DUE TO CONDITION-GAS</v>
          </cell>
          <cell r="C75">
            <v>6</v>
          </cell>
          <cell r="G75">
            <v>10968.603747844902</v>
          </cell>
          <cell r="H75">
            <v>25432.901510127973</v>
          </cell>
        </row>
        <row r="76">
          <cell r="A76" t="str">
            <v>Not Assigned 8</v>
          </cell>
          <cell r="B76" t="str">
            <v>Emerging WO Est. REBUILD DUE TO CONDITION-GAS</v>
          </cell>
          <cell r="C76">
            <v>6</v>
          </cell>
          <cell r="G76">
            <v>359.84120156572288</v>
          </cell>
          <cell r="H76">
            <v>787.33254902580177</v>
          </cell>
        </row>
        <row r="77">
          <cell r="A77" t="str">
            <v>Not Assigned 9</v>
          </cell>
          <cell r="B77" t="str">
            <v>Emerging WO Est. REBUILD DUE TO CONDITION-GAS</v>
          </cell>
          <cell r="C77">
            <v>6</v>
          </cell>
          <cell r="G77">
            <v>225.1515167101754</v>
          </cell>
          <cell r="H77">
            <v>492.63151856186369</v>
          </cell>
        </row>
        <row r="78">
          <cell r="A78" t="str">
            <v>Not Assigned 10</v>
          </cell>
          <cell r="B78" t="str">
            <v>Emerging WO Est. REBUILD DUE TO CONDITION-GAS</v>
          </cell>
          <cell r="C78">
            <v>6</v>
          </cell>
          <cell r="G78">
            <v>694.84731402757404</v>
          </cell>
          <cell r="H78">
            <v>1520.3259230923318</v>
          </cell>
        </row>
        <row r="79">
          <cell r="A79" t="str">
            <v>Not Assigned 11</v>
          </cell>
          <cell r="B79" t="str">
            <v>Emerging WO Est. REBUILD FOR CAPACITY - GAS</v>
          </cell>
          <cell r="C79">
            <v>6</v>
          </cell>
          <cell r="G79">
            <v>396.80206427750096</v>
          </cell>
          <cell r="H79">
            <v>868.20291663917192</v>
          </cell>
        </row>
        <row r="80">
          <cell r="A80" t="str">
            <v>Not Assigned 12</v>
          </cell>
          <cell r="B80" t="str">
            <v>Emerging WO Est. RELOCATE - GAS</v>
          </cell>
          <cell r="C80">
            <v>6</v>
          </cell>
          <cell r="G80">
            <v>87.4587416980374</v>
          </cell>
          <cell r="H80">
            <v>191.35972683530582</v>
          </cell>
        </row>
        <row r="81">
          <cell r="A81" t="str">
            <v>Not Assigned 13</v>
          </cell>
          <cell r="B81" t="str">
            <v>Emerging WO Est. RELOCATE - GAS</v>
          </cell>
          <cell r="C81">
            <v>6</v>
          </cell>
          <cell r="G81">
            <v>1399.9152775598675</v>
          </cell>
          <cell r="H81">
            <v>3063.0146273009905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02 Cost Summary"/>
      <sheetName val="1302 Reserve Summary"/>
      <sheetName val="1302 Net Book Summary"/>
      <sheetName val="1302"/>
      <sheetName val="Alloc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 xml:space="preserve">DRAFT </v>
          </cell>
          <cell r="I1" t="str">
            <v>Updated 061505</v>
          </cell>
        </row>
        <row r="3">
          <cell r="A3" t="str">
            <v>Allocation Table</v>
          </cell>
        </row>
        <row r="4">
          <cell r="A4" t="str">
            <v>Code</v>
          </cell>
          <cell r="B4" t="str">
            <v>Production</v>
          </cell>
          <cell r="C4" t="str">
            <v>E. Trans</v>
          </cell>
          <cell r="D4" t="str">
            <v>E. Dist</v>
          </cell>
          <cell r="E4" t="str">
            <v>Gas</v>
          </cell>
          <cell r="F4" t="str">
            <v>Retired</v>
          </cell>
          <cell r="G4" t="str">
            <v>Total</v>
          </cell>
        </row>
        <row r="5">
          <cell r="A5" t="str">
            <v>BGUSE</v>
          </cell>
          <cell r="B5">
            <v>0</v>
          </cell>
          <cell r="C5">
            <v>4.6617275386662089E-3</v>
          </cell>
          <cell r="D5">
            <v>0.63654760143416056</v>
          </cell>
          <cell r="E5">
            <v>0.35879067102717321</v>
          </cell>
          <cell r="F5">
            <v>0</v>
          </cell>
          <cell r="G5">
            <v>1</v>
          </cell>
        </row>
        <row r="6">
          <cell r="A6" t="str">
            <v>CUSTOMER</v>
          </cell>
          <cell r="B6">
            <v>0</v>
          </cell>
          <cell r="C6">
            <v>0</v>
          </cell>
          <cell r="D6">
            <v>0.59167046681630375</v>
          </cell>
          <cell r="E6">
            <v>0.40832953318369625</v>
          </cell>
          <cell r="F6">
            <v>0</v>
          </cell>
          <cell r="G6">
            <v>1</v>
          </cell>
          <cell r="J6" t="str">
            <v>UPDATED</v>
          </cell>
        </row>
        <row r="7">
          <cell r="A7" t="str">
            <v>E.CUSTOMER</v>
          </cell>
          <cell r="B7">
            <v>0</v>
          </cell>
          <cell r="C7">
            <v>3.8369656608255816E-5</v>
          </cell>
          <cell r="D7">
            <v>0.99996163034339169</v>
          </cell>
          <cell r="E7">
            <v>0</v>
          </cell>
          <cell r="F7">
            <v>0</v>
          </cell>
          <cell r="G7">
            <v>1</v>
          </cell>
          <cell r="J7" t="str">
            <v>UPDATED - using # of transmission customers from Donna Johnson</v>
          </cell>
        </row>
        <row r="8">
          <cell r="A8" t="str">
            <v>DSHARE</v>
          </cell>
          <cell r="B8">
            <v>0</v>
          </cell>
          <cell r="C8">
            <v>0.14946200000000001</v>
          </cell>
          <cell r="D8">
            <v>0.52795700000000001</v>
          </cell>
          <cell r="E8">
            <v>0.32258100000000001</v>
          </cell>
          <cell r="F8">
            <v>0</v>
          </cell>
          <cell r="G8">
            <v>1</v>
          </cell>
          <cell r="J8" t="str">
            <v>UPDATED - No Change</v>
          </cell>
        </row>
        <row r="9">
          <cell r="A9" t="str">
            <v>DSPTCH</v>
          </cell>
          <cell r="B9">
            <v>0</v>
          </cell>
          <cell r="C9">
            <v>0.1288</v>
          </cell>
          <cell r="D9">
            <v>0.62119999999999997</v>
          </cell>
          <cell r="E9">
            <v>0.25</v>
          </cell>
          <cell r="F9">
            <v>0</v>
          </cell>
          <cell r="G9">
            <v>1</v>
          </cell>
          <cell r="J9" t="str">
            <v>UPDATED - No Change</v>
          </cell>
        </row>
        <row r="10">
          <cell r="A10" t="str">
            <v>E.DIST</v>
          </cell>
          <cell r="B10">
            <v>0</v>
          </cell>
          <cell r="C10">
            <v>0</v>
          </cell>
          <cell r="D10">
            <v>1</v>
          </cell>
          <cell r="E10">
            <v>0</v>
          </cell>
          <cell r="F10">
            <v>0</v>
          </cell>
          <cell r="G10">
            <v>1</v>
          </cell>
          <cell r="J10" t="str">
            <v>UPDATED - No Change</v>
          </cell>
        </row>
        <row r="11">
          <cell r="A11" t="str">
            <v>E.TRANS</v>
          </cell>
          <cell r="B11">
            <v>0</v>
          </cell>
          <cell r="C11">
            <v>1</v>
          </cell>
          <cell r="D11">
            <v>0</v>
          </cell>
          <cell r="E11">
            <v>0</v>
          </cell>
          <cell r="F11">
            <v>0</v>
          </cell>
          <cell r="G11">
            <v>1</v>
          </cell>
          <cell r="J11" t="str">
            <v>UPDATED - No Change</v>
          </cell>
        </row>
        <row r="12">
          <cell r="A12" t="str">
            <v>EMPALL</v>
          </cell>
          <cell r="B12">
            <v>0</v>
          </cell>
          <cell r="C12">
            <v>1.2875471207311437E-2</v>
          </cell>
          <cell r="D12">
            <v>0.70329828538024886</v>
          </cell>
          <cell r="E12">
            <v>0.28382624341243962</v>
          </cell>
          <cell r="F12">
            <v>0</v>
          </cell>
          <cell r="G12">
            <v>1</v>
          </cell>
          <cell r="J12" t="str">
            <v>UPDATED</v>
          </cell>
        </row>
        <row r="13">
          <cell r="A13" t="str">
            <v>IT APPS-1</v>
          </cell>
          <cell r="B13">
            <v>0</v>
          </cell>
          <cell r="C13">
            <v>4.421290142633494E-3</v>
          </cell>
          <cell r="D13">
            <v>0.55521730414895176</v>
          </cell>
          <cell r="E13">
            <v>0.44036140570841475</v>
          </cell>
          <cell r="F13">
            <v>0</v>
          </cell>
          <cell r="G13">
            <v>1</v>
          </cell>
          <cell r="I13" t="str">
            <v>Special for Select Intangible</v>
          </cell>
        </row>
        <row r="14">
          <cell r="A14" t="str">
            <v>IT APPS-2</v>
          </cell>
          <cell r="B14">
            <v>0</v>
          </cell>
          <cell r="C14">
            <v>6.4660486473139848E-3</v>
          </cell>
          <cell r="D14">
            <v>0.62164717954752224</v>
          </cell>
          <cell r="E14">
            <v>0.37188677180516383</v>
          </cell>
          <cell r="F14">
            <v>0</v>
          </cell>
          <cell r="G14">
            <v>1</v>
          </cell>
          <cell r="I14" t="str">
            <v>Special for Select Intangible</v>
          </cell>
        </row>
        <row r="15">
          <cell r="A15" t="str">
            <v>IT APPS-3</v>
          </cell>
          <cell r="B15">
            <v>0</v>
          </cell>
          <cell r="C15">
            <v>3.7272957480604992E-3</v>
          </cell>
          <cell r="D15">
            <v>0.84467857462241513</v>
          </cell>
          <cell r="E15">
            <v>0.1515941296295244</v>
          </cell>
          <cell r="F15">
            <v>0</v>
          </cell>
          <cell r="G15">
            <v>1</v>
          </cell>
          <cell r="I15" t="str">
            <v>Special for Select Intangible</v>
          </cell>
        </row>
        <row r="16">
          <cell r="A16" t="str">
            <v>IT APPS-4</v>
          </cell>
          <cell r="B16">
            <v>0</v>
          </cell>
          <cell r="C16">
            <v>1.1934828459391436E-2</v>
          </cell>
          <cell r="D16">
            <v>0.71824207893106795</v>
          </cell>
          <cell r="E16">
            <v>0.26982309260954063</v>
          </cell>
          <cell r="F16">
            <v>0</v>
          </cell>
          <cell r="G16">
            <v>1</v>
          </cell>
          <cell r="I16" t="str">
            <v>Special for Select Intangible</v>
          </cell>
        </row>
        <row r="17">
          <cell r="A17" t="str">
            <v>GAS in Electric</v>
          </cell>
          <cell r="B17">
            <v>0</v>
          </cell>
          <cell r="C17">
            <v>0</v>
          </cell>
          <cell r="D17">
            <v>0</v>
          </cell>
          <cell r="E17">
            <v>1</v>
          </cell>
          <cell r="F17">
            <v>0</v>
          </cell>
          <cell r="G17">
            <v>1</v>
          </cell>
          <cell r="J17" t="str">
            <v>UPDATED - No Change</v>
          </cell>
        </row>
        <row r="18">
          <cell r="A18" t="str">
            <v>GAS</v>
          </cell>
          <cell r="B18">
            <v>0</v>
          </cell>
          <cell r="C18">
            <v>0</v>
          </cell>
          <cell r="D18">
            <v>0</v>
          </cell>
          <cell r="E18">
            <v>1</v>
          </cell>
          <cell r="F18">
            <v>0</v>
          </cell>
          <cell r="G18">
            <v>1</v>
          </cell>
          <cell r="J18" t="str">
            <v>UPDATED - No Change</v>
          </cell>
        </row>
        <row r="19">
          <cell r="A19" t="str">
            <v>LAN</v>
          </cell>
          <cell r="B19">
            <v>0</v>
          </cell>
          <cell r="C19">
            <v>1.2875471207311437E-2</v>
          </cell>
          <cell r="D19">
            <v>0.70329828538024886</v>
          </cell>
          <cell r="E19">
            <v>0.28382624341243962</v>
          </cell>
          <cell r="F19">
            <v>0</v>
          </cell>
          <cell r="G19">
            <v>1</v>
          </cell>
          <cell r="J19" t="str">
            <v>UPDATED - follows EMPALL</v>
          </cell>
        </row>
        <row r="20">
          <cell r="A20" t="str">
            <v>O&amp;MDG</v>
          </cell>
          <cell r="B20">
            <v>0</v>
          </cell>
          <cell r="C20">
            <v>0</v>
          </cell>
          <cell r="D20">
            <v>0.73694029144359885</v>
          </cell>
          <cell r="E20">
            <v>0.26305970855640121</v>
          </cell>
          <cell r="F20">
            <v>0</v>
          </cell>
          <cell r="G20">
            <v>1</v>
          </cell>
          <cell r="J20" t="str">
            <v>UPDATED</v>
          </cell>
        </row>
        <row r="21">
          <cell r="A21" t="str">
            <v>O&amp;MTD</v>
          </cell>
          <cell r="B21">
            <v>0</v>
          </cell>
          <cell r="C21">
            <v>1.7978138809024154E-2</v>
          </cell>
          <cell r="D21">
            <v>0.9820218611909759</v>
          </cell>
          <cell r="E21">
            <v>0</v>
          </cell>
          <cell r="F21">
            <v>0</v>
          </cell>
          <cell r="G21">
            <v>1</v>
          </cell>
          <cell r="J21" t="str">
            <v>UPDATED</v>
          </cell>
        </row>
        <row r="22">
          <cell r="A22" t="str">
            <v>O&amp;MTDG</v>
          </cell>
          <cell r="B22">
            <v>0</v>
          </cell>
          <cell r="C22">
            <v>1.3311770528787495E-2</v>
          </cell>
          <cell r="D22">
            <v>0.7271303113904839</v>
          </cell>
          <cell r="E22">
            <v>0.25955791808072864</v>
          </cell>
          <cell r="F22">
            <v>0</v>
          </cell>
          <cell r="G22">
            <v>1</v>
          </cell>
          <cell r="J22" t="str">
            <v>UPDATED</v>
          </cell>
        </row>
        <row r="23">
          <cell r="A23" t="str">
            <v>PBX</v>
          </cell>
          <cell r="B23">
            <v>0</v>
          </cell>
          <cell r="C23">
            <v>1.2875471207311437E-2</v>
          </cell>
          <cell r="D23">
            <v>0.70329828538024886</v>
          </cell>
          <cell r="E23">
            <v>0.28382624341243962</v>
          </cell>
          <cell r="F23">
            <v>0</v>
          </cell>
          <cell r="G23">
            <v>1</v>
          </cell>
          <cell r="J23" t="str">
            <v>UPDATED - follows EMPALL</v>
          </cell>
        </row>
        <row r="24">
          <cell r="A24" t="str">
            <v>PZUSE</v>
          </cell>
          <cell r="B24">
            <v>0</v>
          </cell>
          <cell r="C24">
            <v>7.0508532801943592E-3</v>
          </cell>
          <cell r="D24">
            <v>0.65279998650608329</v>
          </cell>
          <cell r="E24">
            <v>0.34014916021372243</v>
          </cell>
          <cell r="F24">
            <v>0</v>
          </cell>
          <cell r="G24">
            <v>1</v>
          </cell>
          <cell r="J24" t="str">
            <v>UPDATED</v>
          </cell>
        </row>
        <row r="25">
          <cell r="A25" t="str">
            <v>SBSTNS</v>
          </cell>
          <cell r="B25">
            <v>0</v>
          </cell>
          <cell r="C25">
            <v>0.3387437588452637</v>
          </cell>
          <cell r="D25">
            <v>0.66125624115473636</v>
          </cell>
          <cell r="E25">
            <v>0</v>
          </cell>
          <cell r="F25">
            <v>0</v>
          </cell>
          <cell r="G25">
            <v>1</v>
          </cell>
          <cell r="J25" t="str">
            <v>UPDATED - using T&amp;D Maintenance of station equipment accounts as allocator</v>
          </cell>
        </row>
        <row r="26">
          <cell r="A26" t="str">
            <v>UPIS</v>
          </cell>
          <cell r="B26">
            <v>5.947075961837406E-4</v>
          </cell>
          <cell r="C26">
            <v>9.980668861833604E-2</v>
          </cell>
          <cell r="D26">
            <v>0.67709297015809078</v>
          </cell>
          <cell r="E26">
            <v>0.22250563362738932</v>
          </cell>
          <cell r="F26">
            <v>0</v>
          </cell>
          <cell r="G26">
            <v>0.99999999999999989</v>
          </cell>
          <cell r="J26" t="str">
            <v>UPDATED</v>
          </cell>
        </row>
        <row r="27">
          <cell r="A27" t="str">
            <v>CLNTSYS</v>
          </cell>
          <cell r="B27">
            <v>0</v>
          </cell>
          <cell r="C27">
            <v>9.4168210570352365E-2</v>
          </cell>
          <cell r="D27">
            <v>0.62772027001200248</v>
          </cell>
          <cell r="E27">
            <v>0.27811151941764511</v>
          </cell>
          <cell r="F27">
            <v>0</v>
          </cell>
          <cell r="G27">
            <v>1</v>
          </cell>
        </row>
        <row r="28">
          <cell r="A28" t="str">
            <v>WAN</v>
          </cell>
          <cell r="B28">
            <v>0</v>
          </cell>
          <cell r="C28">
            <v>9.7968407383242029E-2</v>
          </cell>
          <cell r="D28">
            <v>0.62260162731700308</v>
          </cell>
          <cell r="E28">
            <v>0.27942996529975483</v>
          </cell>
          <cell r="F28">
            <v>0</v>
          </cell>
          <cell r="G28">
            <v>1</v>
          </cell>
        </row>
        <row r="29">
          <cell r="A29" t="str">
            <v>Retired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1</v>
          </cell>
          <cell r="G29">
            <v>1</v>
          </cell>
          <cell r="J29" t="str">
            <v>UPDATED - No Change</v>
          </cell>
        </row>
        <row r="31">
          <cell r="A31" t="str">
            <v xml:space="preserve">Source: </v>
          </cell>
          <cell r="B31" t="str">
            <v>DST 2005\Allocators\[AssetSeparationAllocationTable-061505.xls]Alloc Table</v>
          </cell>
        </row>
        <row r="33">
          <cell r="A33" t="str">
            <v>Notes:</v>
          </cell>
          <cell r="B33" t="str">
            <v>Retirements of Intangible Plant will result in a decrease of the plant at 100% but only the reserve on the books.</v>
          </cell>
        </row>
        <row r="34">
          <cell r="B34" t="str">
            <v>Retirements of Other Plant will result in credit to plant and a debit to the reserve in the amount of the asset retired.</v>
          </cell>
        </row>
        <row r="35">
          <cell r="B35" t="str">
            <v>However, the amount of accumulated depreciation associated with the asset retired becomes an over/under</v>
          </cell>
        </row>
        <row r="36">
          <cell r="B36" t="str">
            <v>accrual amount that should be factored into the depr reserve.</v>
          </cell>
        </row>
        <row r="39">
          <cell r="A39" t="str">
            <v>Originally Based on Rev. 4 Data from 2000 Update</v>
          </cell>
        </row>
      </sheetData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"/>
      <sheetName val="WACC"/>
      <sheetName val="Common Stock Equity"/>
      <sheetName val="Preferred"/>
      <sheetName val="Debt Summary"/>
      <sheetName val="TFI Summary"/>
      <sheetName val="TFTd12-08"/>
      <sheetName val="TFT -Cost"/>
      <sheetName val="STD"/>
      <sheetName val="6.75d3-05"/>
      <sheetName val="7.5d7-25"/>
      <sheetName val="PQRd4-32"/>
      <sheetName val="Sd3-28"/>
      <sheetName val="Td3-28"/>
      <sheetName val="7.5d6-09"/>
      <sheetName val="Ud2-24"/>
      <sheetName val="Vd12-24"/>
      <sheetName val="AdjWd11-28"/>
      <sheetName val="AdjXd3-17"/>
      <sheetName val="11.5d12-10"/>
      <sheetName val="6.5d8-03"/>
      <sheetName val="6.0d9-03"/>
      <sheetName val="Template"/>
      <sheetName val="Summary by Test Year"/>
      <sheetName val="Summary by Month"/>
      <sheetName val="189002"/>
      <sheetName val="189012"/>
      <sheetName val="189013"/>
      <sheetName val="189015"/>
      <sheetName val="189015 Secur"/>
      <sheetName val="189017"/>
      <sheetName val="189018"/>
      <sheetName val="189019"/>
      <sheetName val="189021"/>
      <sheetName val="189022"/>
      <sheetName val="189023"/>
      <sheetName val="189024"/>
      <sheetName val="189025"/>
      <sheetName val="189026 Secur"/>
      <sheetName val="189027 Secur"/>
      <sheetName val="189028 Secur"/>
      <sheetName val="189040"/>
      <sheetName val="189999"/>
      <sheetName val="257033"/>
      <sheetName val="257033 Secur"/>
    </sheetNames>
    <sheetDataSet>
      <sheetData sheetId="0"/>
      <sheetData sheetId="1">
        <row r="5">
          <cell r="B5">
            <v>37986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hibit"/>
      <sheetName val="ECRP Assets"/>
      <sheetName val="CBPP Assets"/>
      <sheetName val="Amergen"/>
      <sheetName val="West"/>
      <sheetName val="East"/>
      <sheetName val="Ratio Summary"/>
      <sheetName val="FAS 87"/>
      <sheetName val="Inputs"/>
      <sheetName val="ECRP Alloc"/>
      <sheetName val="CBPP Alloc"/>
      <sheetName val="CBPPU Alloc"/>
      <sheetName val="ENE Alloc"/>
      <sheetName val="SPBP Alloc"/>
      <sheetName val="SMRP Alloc"/>
      <sheetName val="AMG Alloc"/>
      <sheetName val="Total Alloc"/>
      <sheetName val="Forecast Q-NQ"/>
      <sheetName val="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">
          <cell r="B3">
            <v>2007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date"/>
      <sheetName val="2004 IS Actual"/>
      <sheetName val="2005 IS Plan"/>
      <sheetName val="2005 Actual"/>
      <sheetName val="2005 2+10 LE"/>
      <sheetName val="Blank"/>
      <sheetName val="EED IS"/>
      <sheetName val="EED IS Var B"/>
      <sheetName val="EED IS Var LE"/>
      <sheetName val="Blank1"/>
      <sheetName val="ComEd IS"/>
      <sheetName val="ComEd IS- Var 2 B"/>
      <sheetName val="ComEd IS- Var 2 LE"/>
      <sheetName val="Blank2"/>
      <sheetName val="PECO IS"/>
      <sheetName val="PECO IS- Var 2 B"/>
      <sheetName val="PECO IS- Var 2 LE"/>
      <sheetName val="Blank3"/>
      <sheetName val="EED BS "/>
      <sheetName val="EED BS Var B"/>
      <sheetName val="EED BS Var LE"/>
      <sheetName val="Blank4"/>
      <sheetName val="ComEd BS "/>
      <sheetName val="ComEd BS Var B"/>
      <sheetName val="ComEd BS Var LE"/>
      <sheetName val="Blank5"/>
      <sheetName val="PECO BS "/>
      <sheetName val="PECO BS Var B"/>
      <sheetName val="PECO BS Var LE"/>
      <sheetName val="Blank6"/>
      <sheetName val="EED CFS"/>
      <sheetName val="EED CFS Var B"/>
      <sheetName val="EED CFS Var LE"/>
      <sheetName val="Blank7"/>
      <sheetName val="ComEd CFS"/>
      <sheetName val="ComEd CFS Var B"/>
      <sheetName val="ComEd CFS Var LE"/>
      <sheetName val="Blank8"/>
      <sheetName val="PECO CFS"/>
      <sheetName val="PECO CFS Var B"/>
      <sheetName val="PECO CFS Var LE"/>
      <sheetName val="EED &gt;"/>
      <sheetName val="Blank9"/>
      <sheetName val="Blank10"/>
      <sheetName val="E O&amp;M VP M B"/>
      <sheetName val="E Cap VP M B"/>
      <sheetName val="E O&amp;M VP M LE"/>
      <sheetName val="E Cap VP M  LE"/>
      <sheetName val="E O&amp;M VP YTD B"/>
      <sheetName val="E Cap VP YTD B"/>
      <sheetName val="E O&amp;M VP FY B"/>
      <sheetName val="E Cap VP FY B"/>
      <sheetName val="E O&amp;M VP FY LE"/>
      <sheetName val="E Cap VP FY LE"/>
      <sheetName val="E O&amp;M RR"/>
      <sheetName val="E Cap RR"/>
      <sheetName val="E O&amp;M Category"/>
      <sheetName val="E Capital -Category"/>
      <sheetName val="E-Ops O&amp;M"/>
      <sheetName val="E-Ops O&amp;M R&amp;O"/>
      <sheetName val="E Ops Cap"/>
      <sheetName val="E Ops Cap R&amp;O"/>
      <sheetName val="E-TS O&amp;M"/>
      <sheetName val="E-TS O&amp;M R&amp;O"/>
      <sheetName val="E TS Cap"/>
      <sheetName val="E TS Cap R&amp;O"/>
      <sheetName val="E-C&amp;MS O&amp;M"/>
      <sheetName val="E-C&amp;MS O&amp;M R&amp;O"/>
      <sheetName val="E C&amp;MS Cap"/>
      <sheetName val="E C&amp;MS Cap R&amp;O"/>
      <sheetName val="E-CIMS O&amp;M"/>
      <sheetName val="E CIMS O&amp;M R&amp;O"/>
      <sheetName val="E CIMS Cap"/>
      <sheetName val="E CIMS Cap R&amp;O"/>
      <sheetName val="E-TO O&amp;M"/>
      <sheetName val="E-TO O&amp;M R&amp;O"/>
      <sheetName val="E TO Cap"/>
      <sheetName val="E TO Cap R&amp;O"/>
      <sheetName val="C-OFP O&amp;M"/>
      <sheetName val="C-OFP O&amp;M R&amp;O"/>
      <sheetName val="C OFP Cap"/>
      <sheetName val="C OFP Cap R&amp;O"/>
      <sheetName val="C Post 06 O&amp;M"/>
      <sheetName val="C-Post 06 O&amp;M R&amp;O"/>
      <sheetName val="C Post 06 Cap"/>
      <sheetName val="C Post 06 Cap R&amp;O"/>
      <sheetName val="P-OFP O&amp;M"/>
      <sheetName val="P-OFP O&amp;M R&amp;O"/>
      <sheetName val="P OFP Cap"/>
      <sheetName val="P OFP Cap R&amp;O"/>
      <sheetName val="Functional &gt;&gt;"/>
      <sheetName val="Blank9 (2)"/>
      <sheetName val="TOTAL O&amp;M"/>
      <sheetName val="TOTAL Cap"/>
      <sheetName val="Embedded O&amp;M"/>
      <sheetName val="Embedded Cap"/>
      <sheetName val="Finance-Sum O&amp;M"/>
      <sheetName val="Finance Sum Cap"/>
      <sheetName val="Finance O&amp;M"/>
      <sheetName val="Finance Cap"/>
      <sheetName val="Cont O&amp;M"/>
      <sheetName val="Cont Cap"/>
      <sheetName val="Tax O&amp;M"/>
      <sheetName val="Tax Cap"/>
      <sheetName val="HR O&amp;M"/>
      <sheetName val="Blank12"/>
      <sheetName val="IT O&amp;M"/>
      <sheetName val="IT Cap"/>
      <sheetName val="Legal O&amp;M"/>
      <sheetName val="Blank13"/>
      <sheetName val="Supply O&amp;M"/>
      <sheetName val="Supply Cap"/>
      <sheetName val="Com O&amp;M"/>
      <sheetName val="Blank14"/>
      <sheetName val="Allocated O&amp;M"/>
      <sheetName val="Allocated Cap"/>
      <sheetName val="Transactional"/>
      <sheetName val="ComED &gt;"/>
      <sheetName val="Blank15"/>
      <sheetName val="Blank16"/>
      <sheetName val="C O&amp;M VP M B"/>
      <sheetName val="C Cap VP M B"/>
      <sheetName val="C O&amp;M VP M LE"/>
      <sheetName val="C Cap VP M LE"/>
      <sheetName val="C O&amp;M VP Y B"/>
      <sheetName val="C Cap VP Y B"/>
      <sheetName val="C O&amp;M VP FY B"/>
      <sheetName val="C Cap VP FY B"/>
      <sheetName val="C O&amp;M VP FY LE"/>
      <sheetName val="C Cap VP FY LE"/>
      <sheetName val="C O&amp;M -Category"/>
      <sheetName val="C Capital-Category"/>
      <sheetName val="C Ops O&amp;M"/>
      <sheetName val="C Ops O&amp;M V"/>
      <sheetName val="C Ops Cap"/>
      <sheetName val="C Ops Cap V"/>
      <sheetName val="C-TS O&amp;M"/>
      <sheetName val="C TS O&amp;M V"/>
      <sheetName val="C TS Cap"/>
      <sheetName val="C TS Cap V"/>
      <sheetName val="C-C&amp;MS O&amp;M"/>
      <sheetName val="C C&amp;MS O&amp;M V"/>
      <sheetName val="C C&amp;MS Cap"/>
      <sheetName val="C C&amp;MS Cap V"/>
      <sheetName val="C-TO O&amp;M"/>
      <sheetName val="C TO O&amp;M V"/>
      <sheetName val="C TO Cap"/>
      <sheetName val="C TO Cap V"/>
      <sheetName val="PECO &gt;"/>
      <sheetName val="Blank17"/>
      <sheetName val="P O&amp;M VP M B"/>
      <sheetName val="P Cap VP M B"/>
      <sheetName val="P O&amp;M VP M LE"/>
      <sheetName val="P Cap VP M LE"/>
      <sheetName val="P O&amp;M VP Y B"/>
      <sheetName val="P Cap VP Y B"/>
      <sheetName val="P O&amp;M VP FY B"/>
      <sheetName val="P Cap VP FY B"/>
      <sheetName val="P O&amp;M VP FY LE"/>
      <sheetName val="P Cap M VP FY LE"/>
      <sheetName val="P O&amp;M-Category "/>
      <sheetName val="P Capital Category"/>
      <sheetName val="P-Ops O&amp;M"/>
      <sheetName val="P Ops O&amp;M V"/>
      <sheetName val="P Ops Cap"/>
      <sheetName val="P Ops Cap V"/>
      <sheetName val="P-TS O&amp;M"/>
      <sheetName val="P TS O&amp;M V"/>
      <sheetName val="P TS Cap"/>
      <sheetName val="P TS Cap V"/>
      <sheetName val="P-C&amp;MS O&amp;M"/>
      <sheetName val="P C&amp;MS O&amp;M V"/>
      <sheetName val="P C&amp;MS Cap"/>
      <sheetName val="P C&amp;MS Cap V"/>
      <sheetName val="P-CIMS O&amp;M "/>
      <sheetName val="P CIMS O&amp;M V"/>
      <sheetName val="P CIMS Cap"/>
      <sheetName val="P CIMS Cap V"/>
      <sheetName val="P-TO O&amp;M"/>
      <sheetName val="P TO O&amp;M V"/>
      <sheetName val="P TO Cap"/>
      <sheetName val="P TO Cap V"/>
      <sheetName val="RNF &gt;"/>
      <sheetName val="E Acc"/>
      <sheetName val="C Acc"/>
      <sheetName val="P Acc"/>
      <sheetName val="P Acc Elec"/>
      <sheetName val="P Acc Gas"/>
      <sheetName val="C Cust"/>
      <sheetName val="C Rev"/>
      <sheetName val="C Sales"/>
      <sheetName val="C Rates"/>
      <sheetName val="C PPA Price"/>
      <sheetName val="C PPA Vol"/>
      <sheetName val="C Trans"/>
      <sheetName val="P Elec Cust"/>
      <sheetName val="P Elec Rev"/>
      <sheetName val="P Elec Sales"/>
      <sheetName val="P Elec Rates"/>
      <sheetName val="P Elec PPA Price"/>
      <sheetName val="P Elec PPA Vol"/>
      <sheetName val="P Elec Trans"/>
      <sheetName val="P Gas Cust"/>
      <sheetName val="P Gas Rev"/>
      <sheetName val="P Gas Sales"/>
      <sheetName val="P Gas Rates"/>
      <sheetName val="Other P&amp;L &gt;"/>
      <sheetName val="EED Other Op Rev"/>
      <sheetName val="EED TOTI"/>
      <sheetName val="ComEd TOTI"/>
      <sheetName val="PECO TOTI"/>
      <sheetName val="EED Depr"/>
      <sheetName val="ComEd Depr "/>
      <sheetName val="PECO Depr"/>
      <sheetName val="EED Interest"/>
      <sheetName val="ComEd Interest"/>
      <sheetName val="ComEd Other Op Rev"/>
      <sheetName val="PECO Other Op Rev"/>
      <sheetName val="PECO Interest"/>
      <sheetName val="PECO Taxes"/>
      <sheetName val="Incentive &gt;"/>
      <sheetName val="AIP"/>
      <sheetName val="Financial Statements &gt;"/>
      <sheetName val="Functional Costs &gt;"/>
      <sheetName val="EED IS- Variances"/>
      <sheetName val="EED BS Var"/>
      <sheetName val="ComEd BS Var"/>
      <sheetName val="PECO BS Var"/>
      <sheetName val="EED CFS Var"/>
      <sheetName val="ComEd CFS Var"/>
      <sheetName val="PECO CFS Var"/>
      <sheetName val="C O&amp;M RR"/>
      <sheetName val="C Cap RR"/>
      <sheetName val="P O&amp;M RR"/>
      <sheetName val="P Cap RR"/>
      <sheetName val="Rev_Req"/>
      <sheetName val="FAS 87"/>
    </sheetNames>
    <sheetDataSet>
      <sheetData sheetId="0" refreshError="1">
        <row r="2">
          <cell r="B2" t="str">
            <v>April 2005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PC.1, PCR.2F, EO.3"/>
      <sheetName val="PPC.2, PCR.1F"/>
      <sheetName val="PPC.3, PCR.2"/>
      <sheetName val="PCR.1 (M2)"/>
      <sheetName val="PCR.1A (M2)"/>
      <sheetName val="PCR.1 (M3)"/>
      <sheetName val="PCR1.A (M3)"/>
      <sheetName val="PCR1.B (M3)"/>
      <sheetName val="PCR.3 (M2)"/>
      <sheetName val="PCR.3 (M3)"/>
      <sheetName val="PCR.4 (M2)"/>
      <sheetName val="PCR.4 (M3)"/>
      <sheetName val="PCR.5 (M2)"/>
      <sheetName val="PCR.5 (M3)"/>
      <sheetName val="PCR.5F"/>
      <sheetName val="PCR.6, TDR.5, EOR.5, OAR.5"/>
      <sheetName val="PTD.1, TDR.1, &amp; TDR.1F"/>
      <sheetName val="TDR.2 (M2)"/>
      <sheetName val="TDR.2 (M3)"/>
      <sheetName val="TDR.3 (M2)"/>
      <sheetName val="TDR.3 (M3)"/>
      <sheetName val="TDR.4 (M2)"/>
      <sheetName val="TDR.4 (M3)"/>
      <sheetName val="TDR.4F"/>
      <sheetName val="EO.1"/>
      <sheetName val="EO.2"/>
      <sheetName val="EO.3"/>
      <sheetName val="EO.4"/>
      <sheetName val="EOR.1F, EOR.1"/>
      <sheetName val="EOR.2 (M2)"/>
      <sheetName val="EOR.2 (M3)"/>
      <sheetName val="EOR.3 (M2)"/>
      <sheetName val="EOR.3 (M3)"/>
      <sheetName val="EOR.4 (M2)"/>
      <sheetName val="EOR.4 (M3)"/>
      <sheetName val="EOR.4F"/>
      <sheetName val="OAR.1 (M2)"/>
      <sheetName val="OAR.1A (M3)"/>
      <sheetName val="OAR.1B (M3)"/>
      <sheetName val="OAR.2 (M2)"/>
      <sheetName val="OAR.3 (M2)"/>
      <sheetName val="OAR.3A (M2)"/>
      <sheetName val="OAR.3 (M3)"/>
      <sheetName val="OAR.4 (M2)"/>
      <sheetName val="OAR.4 (M3)"/>
      <sheetName val="OAR.4F"/>
    </sheetNames>
    <sheetDataSet>
      <sheetData sheetId="0">
        <row r="27">
          <cell r="B27">
            <v>796812660.43541384</v>
          </cell>
          <cell r="C27">
            <v>1157369057.08395</v>
          </cell>
          <cell r="D27">
            <v>1478634346.33868</v>
          </cell>
          <cell r="E27">
            <v>1323518453.1260486</v>
          </cell>
          <cell r="F27">
            <v>1110791598.7821016</v>
          </cell>
          <cell r="G27">
            <v>839065097.60276854</v>
          </cell>
          <cell r="H27">
            <v>711851889.28208947</v>
          </cell>
          <cell r="I27">
            <v>923148067.42551374</v>
          </cell>
          <cell r="J27">
            <v>1201635038.5335217</v>
          </cell>
          <cell r="K27">
            <v>1264992699.0363278</v>
          </cell>
          <cell r="L27">
            <v>1112196280.8657734</v>
          </cell>
          <cell r="M27">
            <v>794430199.64865971</v>
          </cell>
          <cell r="N27">
            <v>776592236.84661663</v>
          </cell>
          <cell r="O27">
            <v>1131796844.74505</v>
          </cell>
          <cell r="P27">
            <v>1449074036.6106224</v>
          </cell>
        </row>
        <row r="28">
          <cell r="B28">
            <v>217941054.76363721</v>
          </cell>
          <cell r="C28">
            <v>260526356.23743695</v>
          </cell>
          <cell r="D28">
            <v>306274652.53873587</v>
          </cell>
          <cell r="E28">
            <v>285517827.64903766</v>
          </cell>
          <cell r="F28">
            <v>257181425.95938891</v>
          </cell>
          <cell r="G28">
            <v>219502566.31664321</v>
          </cell>
          <cell r="H28">
            <v>205415342.75190684</v>
          </cell>
          <cell r="I28">
            <v>242281417.54910415</v>
          </cell>
          <cell r="J28">
            <v>283647576.54717648</v>
          </cell>
          <cell r="K28">
            <v>289331881.39896315</v>
          </cell>
          <cell r="L28">
            <v>273365539.59096646</v>
          </cell>
          <cell r="M28">
            <v>225709833.69615775</v>
          </cell>
          <cell r="N28">
            <v>217445379.57126927</v>
          </cell>
          <cell r="O28">
            <v>260293096.73863193</v>
          </cell>
          <cell r="P28">
            <v>306051532.59623951</v>
          </cell>
        </row>
        <row r="29">
          <cell r="B29">
            <v>516727312.60267711</v>
          </cell>
          <cell r="C29">
            <v>558551990.87100005</v>
          </cell>
          <cell r="D29">
            <v>610883728.45255411</v>
          </cell>
          <cell r="E29">
            <v>575430083.70531464</v>
          </cell>
          <cell r="F29">
            <v>530185014.36311901</v>
          </cell>
          <cell r="G29">
            <v>500519096.71525455</v>
          </cell>
          <cell r="H29">
            <v>493830553.80443114</v>
          </cell>
          <cell r="I29">
            <v>570196217.27078354</v>
          </cell>
          <cell r="J29">
            <v>625222755.73775768</v>
          </cell>
          <cell r="K29">
            <v>640394294.02634192</v>
          </cell>
          <cell r="L29">
            <v>641507465.15801418</v>
          </cell>
          <cell r="M29">
            <v>556286312.81562757</v>
          </cell>
          <cell r="N29">
            <v>517714035.24129713</v>
          </cell>
          <cell r="O29">
            <v>558980459.35089493</v>
          </cell>
          <cell r="P29">
            <v>621625054.46826029</v>
          </cell>
        </row>
        <row r="30">
          <cell r="B30">
            <v>231625738.06268328</v>
          </cell>
          <cell r="C30">
            <v>240413522.25924894</v>
          </cell>
          <cell r="D30">
            <v>244639931.64925104</v>
          </cell>
          <cell r="E30">
            <v>233049922.16264266</v>
          </cell>
          <cell r="F30">
            <v>229849559.52004918</v>
          </cell>
          <cell r="G30">
            <v>224598437.26976842</v>
          </cell>
          <cell r="H30">
            <v>227370334.59913951</v>
          </cell>
          <cell r="I30">
            <v>246060745.08831936</v>
          </cell>
          <cell r="J30">
            <v>262654356.89546087</v>
          </cell>
          <cell r="K30">
            <v>267226354.874975</v>
          </cell>
          <cell r="L30">
            <v>261622583.21947673</v>
          </cell>
          <cell r="M30">
            <v>244373082.33714232</v>
          </cell>
          <cell r="N30">
            <v>230263072.51766002</v>
          </cell>
          <cell r="O30">
            <v>238613621.292808</v>
          </cell>
          <cell r="P30">
            <v>243467013.54529017</v>
          </cell>
        </row>
        <row r="31">
          <cell r="B31">
            <v>96163830.731033847</v>
          </cell>
          <cell r="C31">
            <v>94109067.558028832</v>
          </cell>
          <cell r="D31">
            <v>93653912.248884782</v>
          </cell>
          <cell r="E31">
            <v>85920997.61912322</v>
          </cell>
          <cell r="F31">
            <v>92937115.673861131</v>
          </cell>
          <cell r="G31">
            <v>95430162.554982468</v>
          </cell>
          <cell r="H31">
            <v>103376400.7354092</v>
          </cell>
          <cell r="I31">
            <v>107783855.10587853</v>
          </cell>
          <cell r="J31">
            <v>116470133.49866222</v>
          </cell>
          <cell r="K31">
            <v>115573128.90151967</v>
          </cell>
          <cell r="L31">
            <v>109282029.6161512</v>
          </cell>
          <cell r="M31">
            <v>106525675.34103945</v>
          </cell>
          <cell r="N31">
            <v>99214570.454463914</v>
          </cell>
          <cell r="O31">
            <v>97087562.389173344</v>
          </cell>
          <cell r="P31">
            <v>96464302.312017411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9">
          <cell r="B9">
            <v>-60467.71</v>
          </cell>
          <cell r="D9">
            <v>-124.32999999999993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9">
          <cell r="Q9">
            <v>-31.022527238338242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PC"/>
      <sheetName val="PCR (M2)"/>
      <sheetName val="PCR (M3)"/>
      <sheetName val="PTD"/>
      <sheetName val="TDR (M2)"/>
      <sheetName val="TDR (M3)"/>
      <sheetName val="EO"/>
      <sheetName val="EOR (M2)"/>
      <sheetName val="EOR (M3)"/>
      <sheetName val="OA"/>
      <sheetName val="OAR (M2)"/>
      <sheetName val="OAR (M3)"/>
      <sheetName val="tariff tables (M3)"/>
      <sheetName val="tariff tables (M2)"/>
      <sheetName val="Sheet 91.23"/>
    </sheetNames>
    <sheetDataSet>
      <sheetData sheetId="0"/>
      <sheetData sheetId="1">
        <row r="15">
          <cell r="BT15">
            <v>0</v>
          </cell>
          <cell r="BU15">
            <v>0</v>
          </cell>
          <cell r="BV15">
            <v>0</v>
          </cell>
        </row>
        <row r="16">
          <cell r="BT16">
            <v>-22603.85</v>
          </cell>
          <cell r="BU16">
            <v>0</v>
          </cell>
          <cell r="BV16">
            <v>0</v>
          </cell>
        </row>
        <row r="17">
          <cell r="BT17">
            <v>96364.57</v>
          </cell>
          <cell r="BU17">
            <v>0</v>
          </cell>
          <cell r="BV17">
            <v>0</v>
          </cell>
        </row>
        <row r="18">
          <cell r="BT18">
            <v>0</v>
          </cell>
          <cell r="BU18">
            <v>0</v>
          </cell>
          <cell r="BV18">
            <v>0</v>
          </cell>
        </row>
        <row r="35">
          <cell r="BT35">
            <v>-44778.700816692595</v>
          </cell>
          <cell r="BU35">
            <v>-65040.988070320149</v>
          </cell>
          <cell r="BV35">
            <v>-83095.222126371285</v>
          </cell>
        </row>
        <row r="36">
          <cell r="BT36">
            <v>29422.042393091026</v>
          </cell>
          <cell r="BU36">
            <v>35171.058092053987</v>
          </cell>
          <cell r="BV36">
            <v>41347.078092729345</v>
          </cell>
        </row>
        <row r="37">
          <cell r="BT37">
            <v>64590.914075334636</v>
          </cell>
          <cell r="BU37">
            <v>69818.998858875013</v>
          </cell>
          <cell r="BV37">
            <v>76360.466056569261</v>
          </cell>
        </row>
        <row r="38">
          <cell r="BT38">
            <v>26868.585615271262</v>
          </cell>
          <cell r="BU38">
            <v>27887.968582072877</v>
          </cell>
          <cell r="BV38">
            <v>28378.232071313123</v>
          </cell>
        </row>
        <row r="39">
          <cell r="BT39">
            <v>11058.840534068893</v>
          </cell>
          <cell r="BU39">
            <v>10822.542769173317</v>
          </cell>
          <cell r="BV39">
            <v>10770.199908621751</v>
          </cell>
        </row>
      </sheetData>
      <sheetData sheetId="2">
        <row r="15">
          <cell r="AK15">
            <v>2395545.6134900958</v>
          </cell>
          <cell r="AL15">
            <v>7374641.6577193961</v>
          </cell>
          <cell r="AM15">
            <v>2434214.7145038308</v>
          </cell>
        </row>
        <row r="16">
          <cell r="AK16">
            <v>3761335</v>
          </cell>
          <cell r="AL16">
            <v>20159326.439999998</v>
          </cell>
          <cell r="AM16">
            <v>233793.33333333334</v>
          </cell>
        </row>
        <row r="17">
          <cell r="AK17">
            <v>827453.40991666669</v>
          </cell>
          <cell r="AL17">
            <v>2139532.2654166636</v>
          </cell>
          <cell r="AM17">
            <v>276471.85649328597</v>
          </cell>
        </row>
        <row r="18">
          <cell r="AK18">
            <v>16666.666666666668</v>
          </cell>
          <cell r="AL18">
            <v>16666.666666666668</v>
          </cell>
          <cell r="AM18">
            <v>45833.333333333336</v>
          </cell>
        </row>
        <row r="35">
          <cell r="AK35">
            <v>2470549.0105761434</v>
          </cell>
          <cell r="AL35">
            <v>3588468.3073280086</v>
          </cell>
          <cell r="AM35">
            <v>4584563.9793860028</v>
          </cell>
        </row>
        <row r="36">
          <cell r="AK36">
            <v>757781.04741316661</v>
          </cell>
          <cell r="AL36">
            <v>905850.14063756831</v>
          </cell>
          <cell r="AM36">
            <v>1064916.9668771846</v>
          </cell>
        </row>
        <row r="37">
          <cell r="AK37">
            <v>1793560.5020438924</v>
          </cell>
          <cell r="AL37">
            <v>1938733.9603132412</v>
          </cell>
          <cell r="AM37">
            <v>2120377.4214588152</v>
          </cell>
        </row>
        <row r="38">
          <cell r="AK38">
            <v>800961.80222075887</v>
          </cell>
          <cell r="AL38">
            <v>831349.95997248287</v>
          </cell>
          <cell r="AM38">
            <v>845964.88364311017</v>
          </cell>
        </row>
        <row r="39">
          <cell r="AK39">
            <v>342343.2374024805</v>
          </cell>
          <cell r="AL39">
            <v>335028.28050658264</v>
          </cell>
          <cell r="AM39">
            <v>333407.92760602979</v>
          </cell>
        </row>
      </sheetData>
      <sheetData sheetId="3"/>
      <sheetData sheetId="4">
        <row r="22">
          <cell r="BT22">
            <v>-218489.17812282767</v>
          </cell>
          <cell r="BU22">
            <v>-317355.16592932073</v>
          </cell>
          <cell r="BV22">
            <v>-405447.3769269496</v>
          </cell>
        </row>
        <row r="23">
          <cell r="BT23">
            <v>-85432.893467345784</v>
          </cell>
          <cell r="BU23">
            <v>-102126.33164507528</v>
          </cell>
          <cell r="BV23">
            <v>-120059.66379518446</v>
          </cell>
        </row>
        <row r="24">
          <cell r="BT24">
            <v>-114196.73608519165</v>
          </cell>
          <cell r="BU24">
            <v>-123439.98998249101</v>
          </cell>
          <cell r="BV24">
            <v>-135005.30398801446</v>
          </cell>
        </row>
        <row r="25">
          <cell r="BT25">
            <v>-27331.837091396625</v>
          </cell>
          <cell r="BU25">
            <v>-28368.795626591374</v>
          </cell>
          <cell r="BV25">
            <v>-28867.511934611623</v>
          </cell>
        </row>
        <row r="26">
          <cell r="BT26">
            <v>1153.9659687724061</v>
          </cell>
          <cell r="BU26">
            <v>1129.308810696346</v>
          </cell>
          <cell r="BV26">
            <v>1123.8469469866175</v>
          </cell>
        </row>
        <row r="36">
          <cell r="BT36">
            <v>7008.8047803944419</v>
          </cell>
          <cell r="BU36">
            <v>10180.277225437108</v>
          </cell>
          <cell r="BV36">
            <v>13006.143086896858</v>
          </cell>
        </row>
      </sheetData>
      <sheetData sheetId="5">
        <row r="22">
          <cell r="AJ22">
            <v>1179687.1525501083</v>
          </cell>
          <cell r="AK22">
            <v>1713493.6167491241</v>
          </cell>
          <cell r="AL22">
            <v>2189129.3001568164</v>
          </cell>
        </row>
        <row r="23">
          <cell r="AJ23">
            <v>315360.70624298305</v>
          </cell>
          <cell r="AK23">
            <v>376981.63747557125</v>
          </cell>
          <cell r="AL23">
            <v>443179.42222355079</v>
          </cell>
        </row>
        <row r="24">
          <cell r="AJ24">
            <v>543597.1328580163</v>
          </cell>
          <cell r="AK24">
            <v>587596.69439629209</v>
          </cell>
          <cell r="AL24">
            <v>642649.68233208696</v>
          </cell>
        </row>
        <row r="25">
          <cell r="AJ25">
            <v>203367.39801903593</v>
          </cell>
          <cell r="AK25">
            <v>211083.07254362057</v>
          </cell>
          <cell r="AL25">
            <v>214793.85998804242</v>
          </cell>
        </row>
        <row r="26">
          <cell r="AJ26">
            <v>45677.819597241076</v>
          </cell>
          <cell r="AK26">
            <v>44701.807090063696</v>
          </cell>
          <cell r="AL26">
            <v>44485.608318220271</v>
          </cell>
        </row>
        <row r="36">
          <cell r="AJ36">
            <v>-37842.592595203911</v>
          </cell>
          <cell r="AK36">
            <v>-54966.302475151606</v>
          </cell>
          <cell r="AL36">
            <v>-70223.981048686925</v>
          </cell>
        </row>
      </sheetData>
      <sheetData sheetId="6"/>
      <sheetData sheetId="7">
        <row r="29">
          <cell r="AA29">
            <v>551911.59568632545</v>
          </cell>
          <cell r="AB29">
            <v>799826.06865945563</v>
          </cell>
          <cell r="AC29">
            <v>1020553.2275740732</v>
          </cell>
        </row>
        <row r="30">
          <cell r="AA30">
            <v>193891.06966950904</v>
          </cell>
          <cell r="AB30">
            <v>231366.32422958809</v>
          </cell>
          <cell r="AC30">
            <v>271726.83066424594</v>
          </cell>
        </row>
        <row r="31">
          <cell r="AA31">
            <v>471590.73207536747</v>
          </cell>
          <cell r="AB31">
            <v>508881.42672974925</v>
          </cell>
          <cell r="AC31">
            <v>556026.2877246096</v>
          </cell>
        </row>
        <row r="32">
          <cell r="AA32">
            <v>214867.41430142091</v>
          </cell>
          <cell r="AB32">
            <v>222640.38087277132</v>
          </cell>
          <cell r="AC32">
            <v>226340.83195831647</v>
          </cell>
        </row>
        <row r="33">
          <cell r="AA33">
            <v>113728.07071082329</v>
          </cell>
          <cell r="AB33">
            <v>111149.64315512213</v>
          </cell>
          <cell r="AC33">
            <v>110530.33467815645</v>
          </cell>
        </row>
      </sheetData>
      <sheetData sheetId="8">
        <row r="29">
          <cell r="L29">
            <v>179253.33876991767</v>
          </cell>
          <cell r="M29">
            <v>259772.56930819925</v>
          </cell>
          <cell r="N29">
            <v>331461.73203260498</v>
          </cell>
        </row>
        <row r="30">
          <cell r="L30">
            <v>52951.604895837416</v>
          </cell>
          <cell r="M30">
            <v>63164.859180913991</v>
          </cell>
          <cell r="N30">
            <v>74169.760124640583</v>
          </cell>
        </row>
        <row r="31">
          <cell r="L31">
            <v>124512.14542476747</v>
          </cell>
          <cell r="M31">
            <v>134304.34956375576</v>
          </cell>
          <cell r="N31">
            <v>146714.40430200848</v>
          </cell>
        </row>
        <row r="32">
          <cell r="L32">
            <v>53265.341532657279</v>
          </cell>
          <cell r="M32">
            <v>55163.10794796476</v>
          </cell>
          <cell r="N32">
            <v>56063.516109427568</v>
          </cell>
        </row>
        <row r="33">
          <cell r="L33">
            <v>22498.774979138576</v>
          </cell>
          <cell r="M33">
            <v>21969.850000878196</v>
          </cell>
          <cell r="N33">
            <v>21837.046506784496</v>
          </cell>
        </row>
      </sheetData>
      <sheetData sheetId="9"/>
      <sheetData sheetId="10">
        <row r="29">
          <cell r="AX29">
            <v>786.19885425402481</v>
          </cell>
          <cell r="AY29">
            <v>1139.3533741587682</v>
          </cell>
          <cell r="AZ29">
            <v>1453.7795264587935</v>
          </cell>
        </row>
        <row r="30">
          <cell r="AX30">
            <v>-220.84410114967818</v>
          </cell>
          <cell r="AY30">
            <v>-264.58172664750492</v>
          </cell>
          <cell r="AZ30">
            <v>-311.42291745052728</v>
          </cell>
        </row>
        <row r="31">
          <cell r="AX31">
            <v>-523.61029001621102</v>
          </cell>
          <cell r="AY31">
            <v>-567.2464479270011</v>
          </cell>
          <cell r="AZ31">
            <v>-621.15226108595198</v>
          </cell>
        </row>
        <row r="32">
          <cell r="AX32">
            <v>-234.71106892210398</v>
          </cell>
          <cell r="AY32">
            <v>-244.15581497170612</v>
          </cell>
          <cell r="AZ32">
            <v>-248.75215956525071</v>
          </cell>
        </row>
        <row r="33">
          <cell r="AX33">
            <v>-97.444764521018243</v>
          </cell>
          <cell r="AY33">
            <v>-95.573975498268453</v>
          </cell>
          <cell r="AZ33">
            <v>-95.228169688363693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Sch A-1"/>
      <sheetName val="Sch A-2"/>
      <sheetName val="Sch A-2.1"/>
      <sheetName val="Sch A-3"/>
      <sheetName val="Sch A-4"/>
      <sheetName val="Sch A-5 RB"/>
      <sheetName val="Sch A-5 Exp"/>
      <sheetName val="WPA-5"/>
      <sheetName val="WPA-5.2"/>
      <sheetName val="Sch B-1"/>
      <sheetName val="Sch B-2"/>
      <sheetName val="Sch B-2.1"/>
      <sheetName val="Sch B-2.2"/>
      <sheetName val="WPB-2.2a"/>
      <sheetName val="WPB-2.2b"/>
      <sheetName val="Sch B-2.3"/>
      <sheetName val="WPB-2.3"/>
      <sheetName val="Sch B-2.4"/>
      <sheetName val="WPB-2.4"/>
      <sheetName val="Sch B-2.5"/>
      <sheetName val="WPB-2.5a"/>
      <sheetName val="Sch B-2.6"/>
      <sheetName val="WPB-2.6"/>
      <sheetName val="Sch B-3"/>
      <sheetName val="Sch B-4"/>
      <sheetName val="Sch B-5"/>
      <sheetName val="WPB-5"/>
      <sheetName val="Sch B-5.1"/>
      <sheetName val="Sch B-6"/>
      <sheetName val="Sch B-7.2"/>
      <sheetName val="Sch B-7.2a"/>
      <sheetName val="Sch B-8"/>
      <sheetName val="Sch B-8.1"/>
      <sheetName val="WPB-8.1a"/>
      <sheetName val="Sch B-9"/>
      <sheetName val="WPB-9"/>
      <sheetName val="WPB-9a"/>
      <sheetName val="WPB-9b"/>
      <sheetName val="Sch B-9.1"/>
      <sheetName val="Sch B-13"/>
      <sheetName val="WPB-13a"/>
      <sheetName val="Sch B-14"/>
      <sheetName val="Sch C-1"/>
      <sheetName val="Sch C-2"/>
      <sheetName val="Sch C-2.1"/>
      <sheetName val="WPC-2.1"/>
      <sheetName val="Sch C-2.2"/>
      <sheetName val="WPC-2.2"/>
      <sheetName val="Sch C-2.3"/>
      <sheetName val="WPC-2.3"/>
      <sheetName val="WPC-2.3.3 Annualized Detail"/>
      <sheetName val="Sch C-2.4"/>
      <sheetName val="Sch C-2.5"/>
      <sheetName val="WPC-2.5"/>
      <sheetName val="Sch C-2.6"/>
      <sheetName val="WPC-2.6"/>
      <sheetName val="Sch C-2.7"/>
      <sheetName val="Sch C-2.8"/>
      <sheetName val="Sch C-2.9"/>
      <sheetName val="Sch C-2.10"/>
      <sheetName val="WPC-2.10"/>
      <sheetName val="Sch C-2.11"/>
      <sheetName val="WPC-2.11"/>
      <sheetName val="Sch C-2.12"/>
      <sheetName val="WPC-2.12"/>
      <sheetName val="Sch C-2.13"/>
      <sheetName val="WPC-2.13"/>
      <sheetName val="Sch C-2.14"/>
      <sheetName val="WPC-2.14"/>
      <sheetName val="WPC-2.14a"/>
      <sheetName val="Sch C-2.15"/>
      <sheetName val="Sch C-2.16"/>
      <sheetName val="Sch C-2.17"/>
      <sheetName val="Sch C-2.18"/>
      <sheetName val="Sch C-2.19"/>
      <sheetName val="WPC-2.19"/>
      <sheetName val="Sch C-2.20"/>
      <sheetName val="WPC-2.20"/>
      <sheetName val="Sch C-2.21"/>
      <sheetName val="WPC-2.21"/>
      <sheetName val="Sch C-2.22"/>
      <sheetName val="Sch C-2.23"/>
      <sheetName val="WPC-2.23"/>
      <sheetName val="Sch C-2.24"/>
      <sheetName val="Sch C-3"/>
      <sheetName val="Sch C-4"/>
      <sheetName val="Sch C-5a"/>
      <sheetName val="Sch C-5b"/>
      <sheetName val="Sch C-5.1"/>
      <sheetName val="Sch C-5.2"/>
      <sheetName val="Sch C-5.3"/>
      <sheetName val="Sch C-5.4"/>
      <sheetName val="WPC-5.4"/>
      <sheetName val="Sch C-6"/>
      <sheetName val="Sch C-6.1"/>
      <sheetName val="Sch C-6.2"/>
      <sheetName val="Sch C-7"/>
      <sheetName val="Schedule C-7"/>
      <sheetName val="Sch C-8"/>
      <sheetName val="Sch C-9"/>
      <sheetName val="Sch C-10"/>
      <sheetName val="WPC-10"/>
      <sheetName val="Sch C-10.1"/>
      <sheetName val="Sch C-11.1"/>
      <sheetName val="WPC-11.1"/>
      <sheetName val="Sch C-11.2a"/>
      <sheetName val="Sch C-11.2b"/>
      <sheetName val="Sch C-11.2c"/>
      <sheetName val="Sch C-11.2d"/>
      <sheetName val="Sch C-11.2e"/>
      <sheetName val="Sch C-11.2f"/>
      <sheetName val="Sch C-11.2g"/>
      <sheetName val="Sch C-11.2h"/>
      <sheetName val="Sch C-11.3"/>
      <sheetName val="WPC-11.3"/>
      <sheetName val="WPC-11.3a"/>
      <sheetName val="WPC-11.3b"/>
      <sheetName val="WPC-11.3c"/>
      <sheetName val="Sch C-12"/>
      <sheetName val="WPC-12"/>
      <sheetName val="Sch C-13"/>
      <sheetName val="Sch C-14"/>
      <sheetName val="WPC-14"/>
      <sheetName val="Sch C-16 OLD-Replaced 12.12.05"/>
      <sheetName val="WPC-16a"/>
      <sheetName val="Sch C-16"/>
      <sheetName val="Sch C-17 2004"/>
      <sheetName val="Sch C-17 2004 to Sept"/>
      <sheetName val="Sch C-17 2003"/>
      <sheetName val="Sch C-17 2002"/>
      <sheetName val="Sch C-17 2001"/>
      <sheetName val="Sch C-18"/>
      <sheetName val="WPC-18a"/>
      <sheetName val="WPC-18b"/>
      <sheetName val="WPC-18c"/>
      <sheetName val="Sch C-19"/>
      <sheetName val="Sch C-21"/>
      <sheetName val="Sch C-22"/>
      <sheetName val="Sch C-23"/>
      <sheetName val="WPC-23"/>
      <sheetName val="Sch C-25"/>
      <sheetName val="Sch C-26"/>
      <sheetName val="Sch C-29"/>
      <sheetName val="Sch C-31"/>
      <sheetName val="Sch C-32"/>
      <sheetName val="WPC-4"/>
      <sheetName val="WPA-5.1.4 Func Factors"/>
      <sheetName val="WPB-1 Cust Adv"/>
      <sheetName val="WPB-2.2.3"/>
      <sheetName val="WPB-2.4.2 Int Plt Gross - AMS"/>
      <sheetName val="WPB-2.4.3 Int Plt Reserve - AMS"/>
      <sheetName val="WPB-2.4.4 Int Plt Net - AMS"/>
      <sheetName val="WPB-2.4.5 Gen Plt Gross -AMS"/>
      <sheetName val="WPB-2.4.6 Gen Plt Reserve - AMS"/>
      <sheetName val="WPB-2.4.7 Gen Plt Net - AMS"/>
      <sheetName val="Sch B-5.2 Merged or Acq Prop"/>
      <sheetName val="Sch B-5.3 Leased Prop"/>
      <sheetName val="Sch B-7 CWIP"/>
      <sheetName val="Sch B-7.1 CWIP % Complete"/>
      <sheetName val="WPB-8.1b"/>
      <sheetName val="Construction"/>
      <sheetName val="GPROD"/>
      <sheetName val="ETRANS"/>
      <sheetName val="GTRANS"/>
      <sheetName val="EDISTR"/>
      <sheetName val="GDISTR"/>
      <sheetName val="DistrMisc"/>
      <sheetName val="Other"/>
      <sheetName val="Sch B-10 Def Charges"/>
      <sheetName val="Sch B-11 PHFFU"/>
      <sheetName val="Sch B-12 Analysis of PHFFU"/>
      <sheetName val="WPC-2.2.2"/>
      <sheetName val="WPC-2.2.3"/>
      <sheetName val="WPC-2.2.4"/>
      <sheetName val="WPC-2.2.5"/>
      <sheetName val="WPC-2.2.6"/>
      <sheetName val="WPC-2.2.7"/>
      <sheetName val="WPC-2.3.4 IP 04-05"/>
      <sheetName val="WPC-2.3.5 IP 05-05"/>
      <sheetName val="WPC-2.3.6 IP 06-05"/>
      <sheetName val="WPC-2.3.6 IP 07-05"/>
      <sheetName val="WPC-2.8"/>
      <sheetName val="WPC-2.13.3"/>
      <sheetName val="WPC-2.13.4"/>
      <sheetName val="WPC-2.13.5"/>
      <sheetName val="WPC-2.13.6"/>
      <sheetName val="WPC-2.13.7"/>
      <sheetName val="WPC-2.13.8"/>
      <sheetName val="WPC-2.13.9"/>
      <sheetName val="WPC-2.13.10"/>
      <sheetName val="WPC-2.13.11"/>
      <sheetName val="WPC-2.13.12"/>
      <sheetName val="WPC-2.22"/>
      <sheetName val="Sch C-5.5 ITC &amp; Job Dev. Cr"/>
      <sheetName val="WPC-6.1"/>
      <sheetName val="WPC-6.1 2004"/>
      <sheetName val="WPC-6.1 2003"/>
      <sheetName val="WPC-6.1 2002"/>
      <sheetName val="WPC-6.1 2001"/>
      <sheetName val="WPC-6.2"/>
      <sheetName val="Sheet2"/>
      <sheetName val="WPC-7"/>
      <sheetName val="WPC-8"/>
      <sheetName val="WPC-9"/>
      <sheetName val="WPC-11.1a"/>
      <sheetName val="Sch 11.4 Recon Est Ovrhd"/>
      <sheetName val="WPC-13.1 Affl Int Trans"/>
      <sheetName val="WPC-14a"/>
      <sheetName val="WPC-14b"/>
      <sheetName val="WPC-14c"/>
      <sheetName val="WPC-14d"/>
      <sheetName val="WPC-14e"/>
      <sheetName val="Sch C-15 Major Maint Proj"/>
      <sheetName val="WPC-16"/>
      <sheetName val="WPC-18b Accr Prop Tax"/>
      <sheetName val="WPC-18a 2004"/>
      <sheetName val="Sch C-18a Oth Tx 2003"/>
      <sheetName val="WPC-18a 2003"/>
      <sheetName val="Sch C-18a Oth Tx 2002"/>
      <sheetName val="WPC-18a Oth Tx 2002"/>
      <sheetName val="WPC-18a 2001"/>
      <sheetName val="Sch C-20 Local Tx"/>
      <sheetName val="Sch C-24 Legal Exp &amp; Res"/>
      <sheetName val="WPC-25"/>
      <sheetName val="Sch C-27 Fuel Adj Rev &amp; Exp"/>
      <sheetName val="Sch C-28 Fuel Transp Exp"/>
      <sheetName val="Sch C-30 PGA Rev &amp; Exp"/>
      <sheetName val="Sch C-33 Billing Exper"/>
      <sheetName val="Comm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>
        <row r="26">
          <cell r="J26">
            <v>0.88519099999999995</v>
          </cell>
        </row>
        <row r="36">
          <cell r="H36">
            <v>0.67503999999999997</v>
          </cell>
        </row>
        <row r="57">
          <cell r="J57">
            <v>0.87614000000000003</v>
          </cell>
        </row>
        <row r="65">
          <cell r="H65">
            <v>0.66896999999999995</v>
          </cell>
        </row>
        <row r="86">
          <cell r="J86">
            <v>0.87372000000000005</v>
          </cell>
        </row>
        <row r="94">
          <cell r="H94">
            <v>0.66110999999999998</v>
          </cell>
        </row>
        <row r="115">
          <cell r="J115">
            <v>0.85875000000000001</v>
          </cell>
        </row>
        <row r="123">
          <cell r="H123">
            <v>0.66471999999999998</v>
          </cell>
        </row>
      </sheetData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 refreshError="1">
        <row r="6">
          <cell r="B6" t="str">
            <v>As of December 31, 2004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int"/>
      <sheetName val="Sch A-1"/>
      <sheetName val="Sch A-2"/>
      <sheetName val="Sch A-2.1"/>
      <sheetName val="Sch A-3"/>
      <sheetName val="Sch A-4"/>
      <sheetName val="Sch A-5 RB"/>
      <sheetName val="Sch A-5 Exp"/>
      <sheetName val="WPA-5"/>
      <sheetName val="Sch B-1"/>
      <sheetName val="Sch B-2"/>
      <sheetName val="Sch B-2.1"/>
      <sheetName val="Sch B-2.2"/>
      <sheetName val="WPB-2.2a"/>
      <sheetName val="WPB-2.2b"/>
      <sheetName val="Sch B-2.3"/>
      <sheetName val="WPB-2.3"/>
      <sheetName val="Sch B-2.4"/>
      <sheetName val="WPB-2.4"/>
      <sheetName val="Sch B-2.5"/>
      <sheetName val="WPB-2.5a"/>
      <sheetName val="Sch B-2.6"/>
      <sheetName val="WPB-2.6"/>
      <sheetName val="Sch B-3"/>
      <sheetName val="Sch B-4"/>
      <sheetName val="Sch B-5"/>
      <sheetName val="WPB-5"/>
      <sheetName val="Sch B-5.1"/>
      <sheetName val="Sch B-6"/>
      <sheetName val="Sch B-7.2"/>
      <sheetName val="Sch B-7.2a"/>
      <sheetName val="Sch B-8"/>
      <sheetName val="Sch B-8.1"/>
      <sheetName val="WPB-8.1a"/>
      <sheetName val="Sch B-9"/>
      <sheetName val="WPB-9"/>
      <sheetName val="WPB-9a"/>
      <sheetName val="WPB-9b"/>
      <sheetName val="Sch B-9.1"/>
      <sheetName val="Sch B-13"/>
      <sheetName val="WPB-13a"/>
      <sheetName val="Sch B-14"/>
      <sheetName val="Sch C-1"/>
      <sheetName val="Sch C-2"/>
      <sheetName val="Sch C-2.1"/>
      <sheetName val="WPC-2.1"/>
      <sheetName val="Sch C-2.2"/>
      <sheetName val="WPC-2.2"/>
      <sheetName val="Sch C-2.3"/>
      <sheetName val="WPC-2.3"/>
      <sheetName val="WPC-2.3.3 Annualized Detail"/>
      <sheetName val="Sch C-2.4"/>
      <sheetName val="Sch C-2.5"/>
      <sheetName val="WPC-2.5"/>
      <sheetName val="Sch C-2.6"/>
      <sheetName val="WPC-2.6"/>
      <sheetName val="Sch C-2.7"/>
      <sheetName val="Sch C-2.8"/>
      <sheetName val="Sch C-2.9"/>
      <sheetName val="Sch C-2.10"/>
      <sheetName val="WPC-2.10"/>
      <sheetName val="Sch C-2.11"/>
      <sheetName val="WPC-2.11"/>
      <sheetName val="Sch C-2.12"/>
      <sheetName val="WPC-2.12"/>
      <sheetName val="Sch C-2.13"/>
      <sheetName val="WPC-2.13"/>
      <sheetName val="Sch C-2.14"/>
      <sheetName val="WPC-2.14"/>
      <sheetName val="WPC-2.14a"/>
      <sheetName val="Sch C-2.15"/>
      <sheetName val="Sch C-2.16"/>
      <sheetName val="Sch C-2.17"/>
      <sheetName val="Sch C-2.18"/>
      <sheetName val="Sch C-2.19"/>
      <sheetName val="WPC-2.19"/>
      <sheetName val="Sch C-2.20"/>
      <sheetName val="WPC-2.20"/>
      <sheetName val="Sch C-2.21"/>
      <sheetName val="WPC-2.21"/>
      <sheetName val="Sch C-2.22"/>
      <sheetName val="Sch C-2.23"/>
      <sheetName val="WPC-2.23"/>
      <sheetName val="Sch C-2.24"/>
      <sheetName val="Sch C-3"/>
      <sheetName val="Sch C-4"/>
      <sheetName val="Sch C-5a"/>
      <sheetName val="Sch C-5b"/>
      <sheetName val="Sch C-5.1"/>
      <sheetName val="Sch C-5.2"/>
      <sheetName val="Sch C-5.3"/>
      <sheetName val="Sch C-5.4"/>
      <sheetName val="WPC-5.4"/>
      <sheetName val="Sch C-6"/>
      <sheetName val="Sch C-6.1"/>
      <sheetName val="Sch C-6.2"/>
      <sheetName val="Sch C-7"/>
      <sheetName val="Sch C-8"/>
      <sheetName val="Sch C-9"/>
      <sheetName val="Sch C-10"/>
      <sheetName val="WPC-10"/>
      <sheetName val="Sch C-10.1"/>
      <sheetName val="Sch C-11.1"/>
      <sheetName val="WPC-11.1"/>
      <sheetName val="Sch C-11.2a"/>
      <sheetName val="Sch C-11.2b"/>
      <sheetName val="Sch C-11.2c"/>
      <sheetName val="Sch C-11.2d"/>
      <sheetName val="Sch C-11.2e"/>
      <sheetName val="Sch C-11.2f"/>
      <sheetName val="Sch C-11.2g"/>
      <sheetName val="Sch C-11.2h"/>
      <sheetName val="Sch C-11.3"/>
      <sheetName val="WPC-11.3"/>
      <sheetName val="WPC-11.3a"/>
      <sheetName val="WPC-11.3b"/>
      <sheetName val="WPC-11.3c"/>
      <sheetName val="Sch C-12"/>
      <sheetName val="WPC-12"/>
      <sheetName val="Sch C-13"/>
      <sheetName val="Sch C-14"/>
      <sheetName val="WPC-14"/>
      <sheetName val="Sch C-16 OLD-Replaced 12.12.05"/>
      <sheetName val="WPC-16a"/>
      <sheetName val="Sch C-16"/>
      <sheetName val="Sch C-17 2004"/>
      <sheetName val="Sch C-17 2004 to Sept"/>
      <sheetName val="Sch C-17 2003"/>
      <sheetName val="Sch C-17 2002"/>
      <sheetName val="Sch C-17 2001"/>
      <sheetName val="Sch C-18"/>
      <sheetName val="WPC-18a"/>
      <sheetName val="WPC-18b"/>
      <sheetName val="WPC-18c"/>
      <sheetName val="Sch C-19"/>
      <sheetName val="Sch C-21"/>
      <sheetName val="Sch C-22"/>
      <sheetName val="Sch C-23"/>
      <sheetName val="WPC-23"/>
      <sheetName val="Sch C-25"/>
      <sheetName val="Sch C-26"/>
      <sheetName val="Sch C-29"/>
      <sheetName val="Sch C-31"/>
      <sheetName val="Sch C-32"/>
      <sheetName val="WPC-4"/>
      <sheetName val="WPA-5.2"/>
      <sheetName val="WPA-5.1.4 Func Factors"/>
      <sheetName val="WPB-1 Cust Adv"/>
      <sheetName val="WPB-2.2.3"/>
      <sheetName val="WPB-2.4.2 Int Plt Gross - AMS"/>
      <sheetName val="WPB-2.4.3 Int Plt Reserve - AMS"/>
      <sheetName val="WPB-2.4.4 Int Plt Net - AMS"/>
      <sheetName val="WPB-2.4.5 Gen Plt Gross -AMS"/>
      <sheetName val="WPB-2.4.6 Gen Plt Reserve - AMS"/>
      <sheetName val="WPB-2.4.7 Gen Plt Net - AMS"/>
      <sheetName val="Sch B-5.2 Merged or Acq Prop"/>
      <sheetName val="Sch B-5.3 Leased Prop"/>
      <sheetName val="Sch B-7 CWIP"/>
      <sheetName val="Sch B-7.1 CWIP % Complete"/>
      <sheetName val="WPB-8.1b"/>
      <sheetName val="Construction"/>
      <sheetName val="GPROD"/>
      <sheetName val="ETRANS"/>
      <sheetName val="GTRANS"/>
      <sheetName val="EDISTR"/>
      <sheetName val="GDISTR"/>
      <sheetName val="DistrMisc"/>
      <sheetName val="Other"/>
      <sheetName val="Sch B-10 Def Charges"/>
      <sheetName val="Sch B-11 PHFFU"/>
      <sheetName val="Sch B-12 Analysis of PHFFU"/>
      <sheetName val="WPC-2.2.2"/>
      <sheetName val="WPC-2.2.3"/>
      <sheetName val="WPC-2.2.4"/>
      <sheetName val="WPC-2.2.5"/>
      <sheetName val="WPC-2.2.6"/>
      <sheetName val="WPC-2.2.7"/>
      <sheetName val="WPC-2.3.4 IP 04-05"/>
      <sheetName val="WPC-2.3.5 IP 05-05"/>
      <sheetName val="WPC-2.3.6 IP 06-05"/>
      <sheetName val="WPC-2.3.6 IP 07-05"/>
      <sheetName val="WPC-2.8"/>
      <sheetName val="WPC-2.13.3"/>
      <sheetName val="WPC-2.13.4"/>
      <sheetName val="WPC-2.13.5"/>
      <sheetName val="WPC-2.13.6"/>
      <sheetName val="WPC-2.13.7"/>
      <sheetName val="WPC-2.13.8"/>
      <sheetName val="WPC-2.13.9"/>
      <sheetName val="WPC-2.13.10"/>
      <sheetName val="WPC-2.13.11"/>
      <sheetName val="WPC-2.13.12"/>
      <sheetName val="WPC-2.22"/>
      <sheetName val="Sch C-5.5 ITC &amp; Job Dev. Cr"/>
      <sheetName val="WPC-6.1"/>
      <sheetName val="WPC-6.1 2004"/>
      <sheetName val="WPC-6.1 2003"/>
      <sheetName val="WPC-6.1 2002"/>
      <sheetName val="WPC-6.1 2001"/>
      <sheetName val="WPC-6.2"/>
      <sheetName val="WPC-7"/>
      <sheetName val="WPC-8"/>
      <sheetName val="WPC-9"/>
      <sheetName val="WPC-11.1a"/>
      <sheetName val="Sch 11.4 Recon Est Ovrhd"/>
      <sheetName val="WPC-13.1 Affl Int Trans"/>
      <sheetName val="WPC-14a"/>
      <sheetName val="WPC-14b"/>
      <sheetName val="WPC-14c"/>
      <sheetName val="WPC-14d"/>
      <sheetName val="WPC-14e"/>
      <sheetName val="Sch C-15 Major Maint Proj"/>
      <sheetName val="WPC-16"/>
      <sheetName val="WPC-18b Accr Prop Tax"/>
      <sheetName val="WPC-18a 2004"/>
      <sheetName val="Sch C-18a Oth Tx 2003"/>
      <sheetName val="WPC-18a 2003"/>
      <sheetName val="Sch C-18a Oth Tx 2002"/>
      <sheetName val="WPC-18a Oth Tx 2002"/>
      <sheetName val="WPC-18a 2001"/>
      <sheetName val="Sch C-20 Local Tx"/>
      <sheetName val="Sch C-24 Legal Exp &amp; Res"/>
      <sheetName val="WPC-25"/>
      <sheetName val="Sch C-27 Fuel Adj Rev &amp; Exp"/>
      <sheetName val="Sch C-28 Fuel Transp Exp"/>
      <sheetName val="Sch C-30 PGA Rev &amp; Exp"/>
      <sheetName val="Sch C-33 Billing Exper"/>
      <sheetName val="Comm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>
        <row r="26">
          <cell r="J26">
            <v>0.88519099999999995</v>
          </cell>
        </row>
      </sheetData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A - 1"/>
      <sheetName val="A - 2"/>
      <sheetName val="A - 2.1"/>
      <sheetName val="A - 3"/>
      <sheetName val="WPA - 3a"/>
      <sheetName val="WPA - 3b"/>
      <sheetName val="A - 4"/>
      <sheetName val="A - 5a"/>
      <sheetName val="A - 5b"/>
      <sheetName val="WPA - 5"/>
      <sheetName val="DefResp-3a"/>
      <sheetName val="DefResp-3b"/>
      <sheetName val="WPA - 5c"/>
      <sheetName val="B - 1"/>
      <sheetName val="WPB - 1"/>
      <sheetName val="B - 2"/>
      <sheetName val="B - 2.1"/>
      <sheetName val="WPB - 2.1b"/>
      <sheetName val="WPB - 2.1c"/>
      <sheetName val="WPB - 2.1d"/>
      <sheetName val="WPB - 2.1e"/>
      <sheetName val="WPB - 2.1a"/>
      <sheetName val="B - 3a"/>
      <sheetName val="B - 3b"/>
      <sheetName val="B - 4"/>
      <sheetName val="WPB - 4"/>
      <sheetName val="B - 5"/>
      <sheetName val="WPB - 5a"/>
      <sheetName val="WPB - 5b"/>
      <sheetName val="WPB - 5c"/>
      <sheetName val="B - 5.1"/>
      <sheetName val="B - 5.2"/>
      <sheetName val="B - 6"/>
      <sheetName val="WPB - 6a"/>
      <sheetName val="WPB - 6b"/>
      <sheetName val="WPB - 6c"/>
      <sheetName val="B - 7.2a1"/>
      <sheetName val="B - 7.2a2"/>
      <sheetName val="B - 7.2b1"/>
      <sheetName val="WPB - 7.2UEC"/>
      <sheetName val="B - 7.2b2"/>
      <sheetName val="B - 8"/>
      <sheetName val="Workpaper"/>
      <sheetName val="B - 8.1"/>
      <sheetName val="WPB - 8.1a"/>
      <sheetName val="WPB - 8.1b"/>
      <sheetName val="B - 9"/>
      <sheetName val="WPB - 9a"/>
      <sheetName val="WPB - 9b"/>
      <sheetName val="B - 9.1"/>
      <sheetName val="WPB - 9.1a"/>
      <sheetName val="WPB - 9.1b"/>
      <sheetName val="B - 13"/>
      <sheetName val="WPB - 13a"/>
      <sheetName val="WPB - 13b"/>
      <sheetName val="WPB - 13c"/>
      <sheetName val="B - 14"/>
      <sheetName val="WPB - 14"/>
      <sheetName val="C - 1"/>
      <sheetName val="C - 2"/>
      <sheetName val="C - 2.1"/>
      <sheetName val="WPC - 2.1"/>
      <sheetName val="C - 2.2"/>
      <sheetName val="C - 2.3"/>
      <sheetName val="C - 2.4"/>
      <sheetName val="WPC - 2.4a"/>
      <sheetName val="WPC - 2.4b"/>
      <sheetName val="C - 2.5"/>
      <sheetName val="WPC - 2.5"/>
      <sheetName val="C - 2.6"/>
      <sheetName val="WPC - 2.6a"/>
      <sheetName val="C - 2.6 NOT USED"/>
      <sheetName val="WPC - 2.6a NOT USED"/>
      <sheetName val="WPC - 2.6b"/>
      <sheetName val="C - 2.7"/>
      <sheetName val="WPC - 2.7"/>
      <sheetName val="C - 2.7b"/>
      <sheetName val="WPC - 2.7b"/>
      <sheetName val="WPC - 2.7c"/>
      <sheetName val="C - 2.7d"/>
      <sheetName val="C - 2.7e"/>
      <sheetName val="C - 2.7f"/>
      <sheetName val="WPC - 2.7d"/>
      <sheetName val="WPC - 2.7e"/>
      <sheetName val="C - 2.7i"/>
      <sheetName val="C - 2.7j"/>
      <sheetName val="C - 2.8"/>
      <sheetName val="C - 2.9"/>
      <sheetName val="C - 2.10"/>
      <sheetName val="C - 2.11"/>
      <sheetName val="WPC - 2.11"/>
      <sheetName val="C - 2.12"/>
      <sheetName val="WPC - 2.12"/>
      <sheetName val="C - 2.13"/>
      <sheetName val="C - 2.14"/>
      <sheetName val="C - 2.15"/>
      <sheetName val="WPC - 2.15"/>
      <sheetName val="C - 2.16"/>
      <sheetName val="WPC - 2.16a"/>
      <sheetName val="WPC - 2.16b"/>
      <sheetName val="WPC - 2.16c"/>
      <sheetName val="C - 2.17"/>
      <sheetName val="C - 3"/>
      <sheetName val="WPC - 3a"/>
      <sheetName val="WPC - 3b"/>
      <sheetName val="C - 4"/>
      <sheetName val="WPC - 4a"/>
      <sheetName val="WPC - 4b"/>
      <sheetName val="WPC - 4c"/>
      <sheetName val="WPC - 4d"/>
      <sheetName val="C - 5"/>
      <sheetName val="WPC - 5a"/>
      <sheetName val="WPC - 5b"/>
      <sheetName val="C - 5b"/>
      <sheetName val="C - 5.1"/>
      <sheetName val="C - 5.2"/>
      <sheetName val="WPC - 5.2a"/>
      <sheetName val="WPC - 5.2b"/>
      <sheetName val="C - 5.3"/>
      <sheetName val="WPC - 5.3a"/>
      <sheetName val="WPC - 5.3b"/>
      <sheetName val="C - 5.4"/>
      <sheetName val="WPC - 5.4"/>
      <sheetName val="C - 5.5"/>
      <sheetName val="WPC - 5.5a"/>
      <sheetName val="WPC - 5.5b"/>
      <sheetName val="C - 6"/>
      <sheetName val="WPC - 6"/>
      <sheetName val="C - 6.1"/>
      <sheetName val="WPC - 6.1"/>
      <sheetName val="C - 6.2a"/>
      <sheetName val="C - 6.2b"/>
      <sheetName val="C - 7a"/>
      <sheetName val="C - 7b"/>
      <sheetName val="C - 8"/>
      <sheetName val="WPC - 8"/>
      <sheetName val="C - 9"/>
      <sheetName val="WPC - 9"/>
      <sheetName val="C - 10"/>
      <sheetName val="WPC - 10"/>
      <sheetName val="C - 10.1"/>
      <sheetName val="C - 11.1"/>
      <sheetName val="WPC - 11.1a"/>
      <sheetName val="WPC - 11.1b"/>
      <sheetName val="WPC - 11.1c"/>
      <sheetName val="WPC - 11.1d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2i"/>
      <sheetName val="C - 11.2j"/>
      <sheetName val="C - 11.2k"/>
      <sheetName val="C - 11.2l"/>
      <sheetName val="C - 11.2m"/>
      <sheetName val="C - 11.2n"/>
      <sheetName val="C - 11.2o"/>
      <sheetName val="C - 11.2p"/>
      <sheetName val="C - 11.3"/>
      <sheetName val="WPC - 11.3a"/>
      <sheetName val="WPC - 11.3b"/>
      <sheetName val="WPC - 11.3c"/>
      <sheetName val="WPC - 11.3d"/>
      <sheetName val="C - 12"/>
      <sheetName val="WPC - 12a"/>
      <sheetName val="WPC - 12b"/>
      <sheetName val="C - 13"/>
      <sheetName val="C - 14"/>
      <sheetName val="WPC - 14a"/>
      <sheetName val="WPC - 14b"/>
      <sheetName val="C - 16"/>
      <sheetName val="WPC-16a"/>
      <sheetName val="WPC-16b"/>
      <sheetName val="C - 17a"/>
      <sheetName val="C - 17b"/>
      <sheetName val="C - 17c"/>
      <sheetName val="C - 17d"/>
      <sheetName val="C - 18"/>
      <sheetName val="WPC - 18a"/>
      <sheetName val="WPC - 18b"/>
      <sheetName val="WPC - 18c1"/>
      <sheetName val="WPC - 18c"/>
      <sheetName val="C - 19"/>
      <sheetName val="C - 21"/>
      <sheetName val="WPC - 21a"/>
      <sheetName val="WPC - 21b"/>
      <sheetName val="C - 23 (1)"/>
      <sheetName val="C - 23"/>
      <sheetName val="WPC - 23a"/>
      <sheetName val="WPC - 23b"/>
      <sheetName val="WPC - 23c"/>
      <sheetName val="WPC - 23d"/>
      <sheetName val="C - 25"/>
    </sheetNames>
    <sheetDataSet>
      <sheetData sheetId="0" refreshError="1">
        <row r="217">
          <cell r="B217" t="str">
            <v>AmerenCIPS</v>
          </cell>
        </row>
        <row r="218">
          <cell r="B218" t="str">
            <v>AmerenUE Illinois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A - 1"/>
      <sheetName val="A - 2"/>
      <sheetName val="A - 2.1"/>
      <sheetName val="A - 3"/>
      <sheetName val="WPA-3a"/>
      <sheetName val="WPA-3b"/>
      <sheetName val="A-4"/>
      <sheetName val="A - 5a"/>
      <sheetName val="A - 5b"/>
      <sheetName val="WPA - 5"/>
      <sheetName val="WPA - 5a"/>
      <sheetName val="WPA - 5b"/>
      <sheetName val="WPA - 5c"/>
      <sheetName val="B - 1"/>
      <sheetName val="WPB - 1"/>
      <sheetName val="B-2"/>
      <sheetName val="B - 2.1"/>
      <sheetName val="WPB - 2.1a"/>
      <sheetName val="WPB - 2.1b"/>
      <sheetName val="WPB - 2.1c"/>
      <sheetName val="WPB - 2.1d"/>
      <sheetName val="WPB - 2.1e"/>
      <sheetName val="B - 3a"/>
      <sheetName val="B - 3b"/>
      <sheetName val="B - 4"/>
      <sheetName val="WPB - 4"/>
      <sheetName val="B - 5"/>
      <sheetName val="WPB - 5a"/>
      <sheetName val="WPB - 5b"/>
      <sheetName val="WPB - 5c"/>
      <sheetName val="B - 5.1"/>
      <sheetName val="B - 5.2"/>
      <sheetName val="B - 6"/>
      <sheetName val="WPB - 6a"/>
      <sheetName val="WPB - 6b"/>
      <sheetName val="WPB - 6c"/>
      <sheetName val="B - 7.2a"/>
      <sheetName val="B - 7.2b"/>
      <sheetName val="WPB - 7.2UEC"/>
      <sheetName val="B - 8"/>
      <sheetName val="Workpaper"/>
      <sheetName val="B - 8.1"/>
      <sheetName val="WPB - 8.1a"/>
      <sheetName val="WPB - 8.1b"/>
      <sheetName val="B - 9"/>
      <sheetName val="WPB - 9a"/>
      <sheetName val="WPB - 9b"/>
      <sheetName val="B - 9.1"/>
      <sheetName val="WPB - 9.1a"/>
      <sheetName val="WPB - 9.1b"/>
      <sheetName val="B - 13"/>
      <sheetName val="WPB-13a"/>
      <sheetName val="WPB -13b"/>
      <sheetName val="WPB - 13c"/>
      <sheetName val="B - 14"/>
      <sheetName val="WPB - 14"/>
      <sheetName val="C-1"/>
      <sheetName val="C - 2"/>
      <sheetName val="C - 2.1"/>
      <sheetName val="WPC-2.1"/>
      <sheetName val="C - 2.2"/>
      <sheetName val="C - 2.3"/>
      <sheetName val="C - 2.4"/>
      <sheetName val="WPC - 2.4a"/>
      <sheetName val="WPC - 2.4b"/>
      <sheetName val="C - 2.5"/>
      <sheetName val="WPC - 2.5"/>
      <sheetName val="C - 2.6"/>
      <sheetName val="WPC - 2.6a"/>
      <sheetName val="WPC - 2.6b"/>
      <sheetName val="C - 2.7"/>
      <sheetName val="WPC - 2.7a"/>
      <sheetName val="C - 2.7b"/>
      <sheetName val="WPC - 2.7b"/>
      <sheetName val="WPC - 2.7c"/>
      <sheetName val="C - 2.7d"/>
      <sheetName val="C - 2.7e"/>
      <sheetName val="C - 2.7f"/>
      <sheetName val="WPC - 2.7d"/>
      <sheetName val="WPC - 2.7e"/>
      <sheetName val="C - 2.7i"/>
      <sheetName val="C - 2.7j"/>
      <sheetName val="C - 2.8"/>
      <sheetName val="C - 2.9"/>
      <sheetName val="C - 2.10"/>
      <sheetName val="C - 2.11"/>
      <sheetName val="WPC - 2.11"/>
      <sheetName val="C - 2.12"/>
      <sheetName val="WPC - 2.12"/>
      <sheetName val="C - 2.13"/>
      <sheetName val="WPC - 2.13"/>
      <sheetName val="C - 2.14"/>
      <sheetName val="WPC - 2.14"/>
      <sheetName val="C - 2.15"/>
      <sheetName val="C - 3"/>
      <sheetName val="WPC - 3a"/>
      <sheetName val="WPC - 3b"/>
      <sheetName val="C-4"/>
      <sheetName val="WPC - 4a"/>
      <sheetName val="WPC - 4b"/>
      <sheetName val="WPC - 4c"/>
      <sheetName val="WPC - 4d"/>
      <sheetName val="WPC-4e"/>
      <sheetName val="C - 5"/>
      <sheetName val="WPC - 5a"/>
      <sheetName val="WPC - 5b"/>
      <sheetName val="C - 5.1"/>
      <sheetName val="C - 5.2"/>
      <sheetName val="WPC - 5.2a"/>
      <sheetName val="WPC - 5.2b"/>
      <sheetName val="C - 5.3"/>
      <sheetName val="WPC - 5.3a"/>
      <sheetName val="WPC - 5.3b"/>
      <sheetName val="C - 5.4"/>
      <sheetName val="WPC - 5.4"/>
      <sheetName val="C - 5.5"/>
      <sheetName val="WPC - 5.5a"/>
      <sheetName val="WPC - 5.5b"/>
      <sheetName val="C - 6"/>
      <sheetName val="WPC - 6"/>
      <sheetName val="C - 6.1"/>
      <sheetName val="WPC-6.1"/>
      <sheetName val="C - 6.2a"/>
      <sheetName val="C - 6.2b"/>
      <sheetName val="C - 7a"/>
      <sheetName val="C - 7b"/>
      <sheetName val="C - 8"/>
      <sheetName val="WPC - 8"/>
      <sheetName val="C - 9"/>
      <sheetName val="WPC-9"/>
      <sheetName val="C - 10"/>
      <sheetName val="WPC - 10"/>
      <sheetName val="C - 10.1"/>
      <sheetName val="C - 11.1"/>
      <sheetName val="WPC - 11.1a"/>
      <sheetName val="WPC - 11.1b"/>
      <sheetName val="WPC - 11.1c"/>
      <sheetName val="WPC-11.1d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2i"/>
      <sheetName val="C - 11.2j"/>
      <sheetName val="C - 11.2k"/>
      <sheetName val="C - 11.2l"/>
      <sheetName val="C - 11.2m"/>
      <sheetName val="C - 11.2n"/>
      <sheetName val="C - 11.2o"/>
      <sheetName val="C - 11.2p"/>
      <sheetName val="C - 11.3"/>
      <sheetName val="WPC - 11.3a"/>
      <sheetName val="WPC - 11.3b"/>
      <sheetName val="WPC-11.3c"/>
      <sheetName val="WPC-11.3d"/>
      <sheetName val="C - 12"/>
      <sheetName val="WPC - 12a"/>
      <sheetName val="WPC - 12b"/>
      <sheetName val="C - 13"/>
      <sheetName val="C - 14"/>
      <sheetName val="WPC - 14a"/>
      <sheetName val="WPC - 14b"/>
      <sheetName val="C - 16"/>
      <sheetName val="WPC-16a"/>
      <sheetName val="WPC-16b"/>
      <sheetName val="C - 17a"/>
      <sheetName val="C - 17b"/>
      <sheetName val="C - 17c"/>
      <sheetName val="C - 17d"/>
      <sheetName val="C - 18"/>
      <sheetName val="WPC - 18a"/>
      <sheetName val="WPC - 18b"/>
      <sheetName val="WPC - 18c"/>
      <sheetName val="WPC - 18d"/>
      <sheetName val="C - 19"/>
      <sheetName val="C-21"/>
      <sheetName val="WPC-21a"/>
      <sheetName val="WPC - 21b"/>
      <sheetName val="C - 23"/>
      <sheetName val="WPC - 23a"/>
      <sheetName val="WPC - 23b"/>
      <sheetName val="WPC - 23c"/>
      <sheetName val="WPC - 23d"/>
      <sheetName val="C - 25"/>
    </sheetNames>
    <sheetDataSet>
      <sheetData sheetId="0" refreshError="1">
        <row r="209">
          <cell r="B209" t="str">
            <v>AmerenCIPS (Including AmerenUE Illinois)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IP - April 23, 2004"/>
      <sheetName val="#REF"/>
    </sheetNames>
    <sheetDataSet>
      <sheetData sheetId="0" refreshError="1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A - 1"/>
      <sheetName val="A - 2"/>
      <sheetName val="A - 2.1"/>
      <sheetName val="A - 4"/>
      <sheetName val="A - 5a"/>
      <sheetName val="A - 5b"/>
      <sheetName val="WPA - 5a"/>
      <sheetName val="WPA - 5b"/>
      <sheetName val="B - 1"/>
      <sheetName val="WPB-1.1"/>
      <sheetName val="WPB-1.2"/>
      <sheetName val="B  - 2"/>
      <sheetName val="B - 2.1"/>
      <sheetName val="B - 2.2"/>
      <sheetName val="B - 3"/>
      <sheetName val="B - 4"/>
      <sheetName val="B - 5"/>
      <sheetName val="B - 6a"/>
      <sheetName val="B - 6b"/>
      <sheetName val="B - 7.2a"/>
      <sheetName val="B - 7.2b"/>
      <sheetName val="B - 8 (alt)"/>
      <sheetName val="B - 8"/>
      <sheetName val="B - 8.1"/>
      <sheetName val="WPB - 8.1"/>
      <sheetName val="B - 9"/>
      <sheetName val="WPB - 9"/>
      <sheetName val="B - 13"/>
      <sheetName val="WPB - 13a"/>
      <sheetName val="WPB - 13b"/>
      <sheetName val="WPB - 13c"/>
      <sheetName val="2003 - B - 13"/>
      <sheetName val="2003 - WPB - 13"/>
      <sheetName val="B - 14"/>
      <sheetName val="WPB - 14"/>
      <sheetName val="C - 1"/>
      <sheetName val="C - 2"/>
      <sheetName val="C - 2.1"/>
      <sheetName val="C - 2.2"/>
      <sheetName val="C - 2.3"/>
      <sheetName val="C - 2.4moot"/>
      <sheetName val="C-2.4"/>
      <sheetName val="C-2.5"/>
      <sheetName val="C-2.6"/>
      <sheetName val="WPC-2.6a"/>
      <sheetName val="WPC-2.6b"/>
      <sheetName val="C-2.7"/>
      <sheetName val="C-2.8"/>
      <sheetName val="WPC-2.8"/>
      <sheetName val="C-2.9"/>
      <sheetName val="WPC-2.9"/>
      <sheetName val="C-2.10"/>
      <sheetName val="WPC-2.10a"/>
      <sheetName val="WPC - 2.10b"/>
      <sheetName val="C-2.11"/>
      <sheetName val="C-2.12"/>
      <sheetName val="WPC-2.12"/>
      <sheetName val="C-2.13"/>
      <sheetName val="C-2.14"/>
      <sheetName val="C - 3"/>
      <sheetName val="C - 4"/>
      <sheetName val="WPC - 4"/>
      <sheetName val="C-5"/>
      <sheetName val="C - 5b"/>
      <sheetName val="C - 5.1"/>
      <sheetName val="C-5.2"/>
      <sheetName val="C - 5.3"/>
      <sheetName val="C - 5.4"/>
      <sheetName val="WPC - 5.4"/>
      <sheetName val="C - 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-10"/>
      <sheetName val="C - 10.1"/>
      <sheetName val="C - 11.1"/>
      <sheetName val="WPC - 11.1"/>
      <sheetName val="C-11.2a"/>
      <sheetName val="WPC-11.2a"/>
      <sheetName val="C-11.2b"/>
      <sheetName val="C-11.2c"/>
      <sheetName val="C-11.2d"/>
      <sheetName val="C-11.2e"/>
      <sheetName val="C-11.2f"/>
      <sheetName val="C-11.2g"/>
      <sheetName val="C-11.2h"/>
      <sheetName val="C - 11.3"/>
      <sheetName val="WPC - 11.3"/>
      <sheetName val="C - 12"/>
      <sheetName val="WPC - 12a"/>
      <sheetName val="WPC - 12b"/>
      <sheetName val="WPC - 12c"/>
      <sheetName val="C-13"/>
      <sheetName val="C - 14"/>
      <sheetName val="WPC - 14"/>
      <sheetName val="C - 16"/>
      <sheetName val="WPC-16"/>
      <sheetName val="C - 17a"/>
      <sheetName val="C - 17b"/>
      <sheetName val="C - 17c"/>
      <sheetName val="C - 17d"/>
      <sheetName val="C-18"/>
      <sheetName val="WPC - 18a"/>
      <sheetName val="WPC - 18b"/>
      <sheetName val="WPC - 18c"/>
      <sheetName val="C - 19"/>
      <sheetName val="C - 21"/>
      <sheetName val="C - 23"/>
      <sheetName val="WPC - 23"/>
      <sheetName val="C - 25"/>
      <sheetName val="C - 26"/>
      <sheetName val="C - 30"/>
    </sheetNames>
    <sheetDataSet>
      <sheetData sheetId="0" refreshError="1">
        <row r="109">
          <cell r="C109" t="str">
            <v>AmerenCILCO</v>
          </cell>
        </row>
        <row r="110">
          <cell r="C110" t="str">
            <v>As of December 31, 2006</v>
          </cell>
        </row>
        <row r="111">
          <cell r="C111" t="str">
            <v>As of December 31,</v>
          </cell>
        </row>
        <row r="112">
          <cell r="C112" t="str">
            <v>For the Twelve Months Ended December 31, 2006</v>
          </cell>
        </row>
        <row r="113">
          <cell r="C113" t="str">
            <v>For the Twelve Months Ended December 31,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S Charges by Target"/>
      <sheetName val="PivotByMajMin"/>
      <sheetName val="AMS Charges by RT-All"/>
      <sheetName val="Pivot-CILCO"/>
      <sheetName val="CILCO"/>
      <sheetName val="CIPS"/>
      <sheetName val="IPC"/>
      <sheetName val="Projects 2006"/>
      <sheetName val="RMC-Descrip"/>
      <sheetName val="Resource Types"/>
      <sheetName val="Functions"/>
      <sheetName val="2005-SR-AllocFactors"/>
      <sheetName val="AllocFactors"/>
      <sheetName val="UnknownProj#"/>
      <sheetName val="IndirectAllocFac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6">
          <cell r="B6" t="str">
            <v>0E203</v>
          </cell>
          <cell r="C6" t="str">
            <v>CIP</v>
          </cell>
          <cell r="D6" t="str">
            <v>N</v>
          </cell>
          <cell r="E6" t="str">
            <v>C</v>
          </cell>
          <cell r="F6" t="str">
            <v>02/12/1999</v>
          </cell>
        </row>
        <row r="7">
          <cell r="B7" t="str">
            <v>0E204</v>
          </cell>
          <cell r="C7" t="str">
            <v>CIP</v>
          </cell>
          <cell r="D7" t="str">
            <v>N</v>
          </cell>
          <cell r="E7" t="str">
            <v>C</v>
          </cell>
          <cell r="F7" t="str">
            <v>02/12/1999</v>
          </cell>
        </row>
        <row r="8">
          <cell r="B8" t="str">
            <v>02963</v>
          </cell>
          <cell r="C8" t="str">
            <v>UEC</v>
          </cell>
          <cell r="D8" t="str">
            <v>N</v>
          </cell>
          <cell r="E8" t="str">
            <v>A</v>
          </cell>
          <cell r="F8" t="str">
            <v>11/04/1997</v>
          </cell>
        </row>
        <row r="9">
          <cell r="B9" t="str">
            <v>02990</v>
          </cell>
          <cell r="C9" t="str">
            <v>CIL</v>
          </cell>
          <cell r="D9" t="str">
            <v>N</v>
          </cell>
          <cell r="E9" t="str">
            <v>A</v>
          </cell>
          <cell r="F9" t="str">
            <v>12/21/2003</v>
          </cell>
        </row>
        <row r="10">
          <cell r="B10" t="str">
            <v>03246</v>
          </cell>
          <cell r="C10" t="str">
            <v>CIL</v>
          </cell>
          <cell r="D10" t="str">
            <v>N</v>
          </cell>
          <cell r="E10" t="str">
            <v>A</v>
          </cell>
          <cell r="F10" t="str">
            <v>12/21/2003</v>
          </cell>
        </row>
        <row r="11">
          <cell r="B11" t="str">
            <v>03993</v>
          </cell>
          <cell r="C11" t="str">
            <v>ARG</v>
          </cell>
          <cell r="D11" t="str">
            <v>N</v>
          </cell>
          <cell r="E11" t="str">
            <v>A</v>
          </cell>
          <cell r="F11" t="str">
            <v>12/22/2003</v>
          </cell>
        </row>
        <row r="12">
          <cell r="B12" t="str">
            <v>03994</v>
          </cell>
          <cell r="C12" t="str">
            <v>UEC</v>
          </cell>
          <cell r="D12" t="str">
            <v>N</v>
          </cell>
          <cell r="E12" t="str">
            <v>A</v>
          </cell>
          <cell r="F12" t="str">
            <v>01/06/2004</v>
          </cell>
        </row>
        <row r="13">
          <cell r="B13" t="str">
            <v>05491</v>
          </cell>
          <cell r="C13" t="str">
            <v>UEC</v>
          </cell>
          <cell r="D13" t="str">
            <v>N</v>
          </cell>
          <cell r="E13" t="str">
            <v>C</v>
          </cell>
          <cell r="F13" t="str">
            <v>12/11/1997</v>
          </cell>
        </row>
        <row r="14">
          <cell r="B14" t="str">
            <v>08051</v>
          </cell>
          <cell r="C14" t="str">
            <v>UEC</v>
          </cell>
          <cell r="D14" t="str">
            <v>N</v>
          </cell>
          <cell r="E14" t="str">
            <v>C</v>
          </cell>
          <cell r="F14" t="str">
            <v>11/19/1997</v>
          </cell>
        </row>
        <row r="15">
          <cell r="B15" t="str">
            <v>08937</v>
          </cell>
          <cell r="C15" t="str">
            <v>UEC</v>
          </cell>
          <cell r="D15" t="str">
            <v>N</v>
          </cell>
          <cell r="E15" t="str">
            <v>C</v>
          </cell>
          <cell r="F15" t="str">
            <v>12/11/1997</v>
          </cell>
        </row>
        <row r="16">
          <cell r="B16" t="str">
            <v>09047</v>
          </cell>
          <cell r="C16" t="str">
            <v>UEC</v>
          </cell>
          <cell r="D16" t="str">
            <v>N</v>
          </cell>
          <cell r="E16" t="str">
            <v>C</v>
          </cell>
          <cell r="F16" t="str">
            <v>12/11/1997</v>
          </cell>
        </row>
        <row r="17">
          <cell r="B17" t="str">
            <v>09280</v>
          </cell>
          <cell r="C17" t="str">
            <v>UEC</v>
          </cell>
          <cell r="D17" t="str">
            <v>N</v>
          </cell>
          <cell r="E17" t="str">
            <v>C</v>
          </cell>
          <cell r="F17" t="str">
            <v>11/17/1997</v>
          </cell>
        </row>
        <row r="18">
          <cell r="B18" t="str">
            <v>09288</v>
          </cell>
          <cell r="C18" t="str">
            <v>UEC</v>
          </cell>
          <cell r="D18" t="str">
            <v>N</v>
          </cell>
          <cell r="E18" t="str">
            <v>C</v>
          </cell>
          <cell r="F18" t="str">
            <v>12/02/1997</v>
          </cell>
        </row>
        <row r="19">
          <cell r="B19" t="str">
            <v>09289</v>
          </cell>
          <cell r="C19" t="str">
            <v>UEC</v>
          </cell>
          <cell r="D19" t="str">
            <v>N</v>
          </cell>
          <cell r="E19" t="str">
            <v>C</v>
          </cell>
          <cell r="F19" t="str">
            <v>12/02/1997</v>
          </cell>
        </row>
        <row r="20">
          <cell r="B20" t="str">
            <v>09290</v>
          </cell>
          <cell r="C20" t="str">
            <v>UEC</v>
          </cell>
          <cell r="D20" t="str">
            <v>N</v>
          </cell>
          <cell r="E20" t="str">
            <v>C</v>
          </cell>
          <cell r="F20" t="str">
            <v>12/02/1997</v>
          </cell>
        </row>
        <row r="21">
          <cell r="B21" t="str">
            <v>09432</v>
          </cell>
          <cell r="C21" t="str">
            <v>UEC</v>
          </cell>
          <cell r="D21" t="str">
            <v>N</v>
          </cell>
          <cell r="E21" t="str">
            <v>A</v>
          </cell>
          <cell r="F21" t="str">
            <v>12/11/1998</v>
          </cell>
        </row>
        <row r="22">
          <cell r="B22" t="str">
            <v>09444</v>
          </cell>
          <cell r="C22" t="str">
            <v>UEC</v>
          </cell>
          <cell r="D22" t="str">
            <v>N</v>
          </cell>
          <cell r="E22" t="str">
            <v>C</v>
          </cell>
          <cell r="F22" t="str">
            <v>12/02/1997</v>
          </cell>
        </row>
        <row r="23">
          <cell r="B23" t="str">
            <v>09499</v>
          </cell>
          <cell r="C23" t="str">
            <v>UEC</v>
          </cell>
          <cell r="D23" t="str">
            <v>N</v>
          </cell>
          <cell r="E23" t="str">
            <v>C</v>
          </cell>
          <cell r="F23" t="str">
            <v>12/02/1997</v>
          </cell>
        </row>
        <row r="24">
          <cell r="B24" t="str">
            <v>09501</v>
          </cell>
          <cell r="C24" t="str">
            <v>UEC</v>
          </cell>
          <cell r="D24" t="str">
            <v>N</v>
          </cell>
          <cell r="E24" t="str">
            <v>A</v>
          </cell>
          <cell r="F24" t="str">
            <v>01/13/1998</v>
          </cell>
        </row>
        <row r="25">
          <cell r="B25" t="str">
            <v>09515</v>
          </cell>
          <cell r="C25" t="str">
            <v>UEC</v>
          </cell>
          <cell r="D25" t="str">
            <v>N</v>
          </cell>
          <cell r="E25" t="str">
            <v>C</v>
          </cell>
          <cell r="F25" t="str">
            <v>12/02/1997</v>
          </cell>
        </row>
        <row r="26">
          <cell r="B26" t="str">
            <v>09571</v>
          </cell>
          <cell r="C26" t="str">
            <v>UEC</v>
          </cell>
          <cell r="D26" t="str">
            <v>N</v>
          </cell>
          <cell r="E26" t="str">
            <v>C</v>
          </cell>
          <cell r="F26" t="str">
            <v>12/03/1997</v>
          </cell>
        </row>
        <row r="27">
          <cell r="B27" t="str">
            <v>09704</v>
          </cell>
          <cell r="C27" t="str">
            <v>UEC</v>
          </cell>
          <cell r="D27" t="str">
            <v>N</v>
          </cell>
          <cell r="E27" t="str">
            <v>C</v>
          </cell>
          <cell r="F27" t="str">
            <v>12/03/1997</v>
          </cell>
        </row>
        <row r="28">
          <cell r="B28" t="str">
            <v>09795</v>
          </cell>
          <cell r="C28" t="str">
            <v>UEC</v>
          </cell>
          <cell r="D28" t="str">
            <v>N</v>
          </cell>
          <cell r="E28" t="str">
            <v>C</v>
          </cell>
          <cell r="F28" t="str">
            <v>01/07/1998</v>
          </cell>
        </row>
        <row r="29">
          <cell r="B29" t="str">
            <v>09826</v>
          </cell>
          <cell r="C29" t="str">
            <v>UEC</v>
          </cell>
          <cell r="D29" t="str">
            <v>N</v>
          </cell>
          <cell r="E29" t="str">
            <v>C</v>
          </cell>
          <cell r="F29" t="str">
            <v>12/22/1997</v>
          </cell>
        </row>
        <row r="30">
          <cell r="B30" t="str">
            <v>09889</v>
          </cell>
          <cell r="C30" t="str">
            <v>CIP</v>
          </cell>
          <cell r="D30" t="str">
            <v>N</v>
          </cell>
          <cell r="E30" t="str">
            <v>I</v>
          </cell>
          <cell r="F30" t="str">
            <v>12/12/2001</v>
          </cell>
        </row>
        <row r="31">
          <cell r="B31" t="str">
            <v>09905</v>
          </cell>
          <cell r="C31" t="str">
            <v>GEN</v>
          </cell>
          <cell r="D31" t="str">
            <v>N</v>
          </cell>
          <cell r="E31" t="str">
            <v>C</v>
          </cell>
          <cell r="F31" t="str">
            <v>01/09/1998</v>
          </cell>
        </row>
        <row r="32">
          <cell r="B32" t="str">
            <v>09907</v>
          </cell>
          <cell r="C32" t="str">
            <v>UEC</v>
          </cell>
          <cell r="D32" t="str">
            <v>N</v>
          </cell>
          <cell r="E32" t="str">
            <v>C</v>
          </cell>
          <cell r="F32" t="str">
            <v>03/25/1998</v>
          </cell>
        </row>
        <row r="33">
          <cell r="B33" t="str">
            <v>09923</v>
          </cell>
          <cell r="C33" t="str">
            <v>UEC</v>
          </cell>
          <cell r="D33" t="str">
            <v>N</v>
          </cell>
          <cell r="E33" t="str">
            <v>C</v>
          </cell>
          <cell r="F33" t="str">
            <v>06/11/1998</v>
          </cell>
        </row>
        <row r="34">
          <cell r="B34" t="str">
            <v>09924</v>
          </cell>
          <cell r="C34" t="str">
            <v>UEC</v>
          </cell>
          <cell r="D34" t="str">
            <v>N</v>
          </cell>
          <cell r="E34" t="str">
            <v>C</v>
          </cell>
          <cell r="F34" t="str">
            <v>10/02/2000</v>
          </cell>
        </row>
        <row r="35">
          <cell r="B35" t="str">
            <v>09941</v>
          </cell>
          <cell r="C35" t="str">
            <v>GEN</v>
          </cell>
          <cell r="D35" t="str">
            <v>N</v>
          </cell>
          <cell r="E35" t="str">
            <v>A</v>
          </cell>
          <cell r="F35" t="str">
            <v>01/15/1998</v>
          </cell>
        </row>
        <row r="36">
          <cell r="B36" t="str">
            <v>09944</v>
          </cell>
          <cell r="C36" t="str">
            <v>GEN</v>
          </cell>
          <cell r="D36" t="str">
            <v>N</v>
          </cell>
          <cell r="E36" t="str">
            <v>C</v>
          </cell>
          <cell r="F36" t="str">
            <v>03/12/1998</v>
          </cell>
        </row>
        <row r="37">
          <cell r="B37" t="str">
            <v>09959</v>
          </cell>
          <cell r="C37" t="str">
            <v>UEC</v>
          </cell>
          <cell r="D37" t="str">
            <v>N</v>
          </cell>
          <cell r="E37" t="str">
            <v>C</v>
          </cell>
          <cell r="F37" t="str">
            <v>01/21/1998</v>
          </cell>
        </row>
        <row r="38">
          <cell r="B38" t="str">
            <v>09964</v>
          </cell>
          <cell r="C38" t="str">
            <v>UEC</v>
          </cell>
          <cell r="D38" t="str">
            <v>N</v>
          </cell>
          <cell r="E38" t="str">
            <v>C</v>
          </cell>
          <cell r="F38" t="str">
            <v>01/23/1998</v>
          </cell>
        </row>
        <row r="39">
          <cell r="B39" t="str">
            <v>09976</v>
          </cell>
          <cell r="C39" t="str">
            <v>UEC</v>
          </cell>
          <cell r="D39" t="str">
            <v>N</v>
          </cell>
          <cell r="E39" t="str">
            <v>C</v>
          </cell>
          <cell r="F39" t="str">
            <v>01/28/1998</v>
          </cell>
        </row>
        <row r="40">
          <cell r="B40" t="str">
            <v>09994</v>
          </cell>
          <cell r="C40" t="str">
            <v>UEC</v>
          </cell>
          <cell r="D40" t="str">
            <v>N</v>
          </cell>
          <cell r="E40" t="str">
            <v>C</v>
          </cell>
          <cell r="F40" t="str">
            <v>03/23/1998</v>
          </cell>
        </row>
        <row r="41">
          <cell r="B41" t="str">
            <v>10024</v>
          </cell>
          <cell r="C41" t="str">
            <v>UEC</v>
          </cell>
          <cell r="D41" t="str">
            <v>N</v>
          </cell>
          <cell r="E41" t="str">
            <v>C</v>
          </cell>
          <cell r="F41" t="str">
            <v>04/15/1998</v>
          </cell>
        </row>
        <row r="42">
          <cell r="B42" t="str">
            <v>10026</v>
          </cell>
          <cell r="C42" t="str">
            <v>UEC</v>
          </cell>
          <cell r="D42" t="str">
            <v>N</v>
          </cell>
          <cell r="E42" t="str">
            <v>A</v>
          </cell>
          <cell r="F42" t="str">
            <v>04/15/1998</v>
          </cell>
        </row>
        <row r="43">
          <cell r="B43" t="str">
            <v>10028</v>
          </cell>
          <cell r="C43" t="str">
            <v>UEC</v>
          </cell>
          <cell r="D43" t="str">
            <v>N</v>
          </cell>
          <cell r="E43" t="str">
            <v>C</v>
          </cell>
          <cell r="F43" t="str">
            <v>07/07/1998</v>
          </cell>
        </row>
        <row r="44">
          <cell r="B44" t="str">
            <v>10036</v>
          </cell>
          <cell r="C44" t="str">
            <v>UEC</v>
          </cell>
          <cell r="D44" t="str">
            <v>N</v>
          </cell>
          <cell r="E44" t="str">
            <v>C</v>
          </cell>
          <cell r="F44" t="str">
            <v>06/12/1998</v>
          </cell>
        </row>
        <row r="45">
          <cell r="B45" t="str">
            <v>10053</v>
          </cell>
          <cell r="C45" t="str">
            <v>UEC</v>
          </cell>
          <cell r="D45" t="str">
            <v>N</v>
          </cell>
          <cell r="E45" t="str">
            <v>C</v>
          </cell>
          <cell r="F45" t="str">
            <v>06/02/1998</v>
          </cell>
        </row>
        <row r="46">
          <cell r="B46" t="str">
            <v>10054</v>
          </cell>
          <cell r="C46" t="str">
            <v>UEC</v>
          </cell>
          <cell r="D46" t="str">
            <v>N</v>
          </cell>
          <cell r="E46" t="str">
            <v>C</v>
          </cell>
          <cell r="F46" t="str">
            <v>01/11/2002</v>
          </cell>
        </row>
        <row r="47">
          <cell r="B47" t="str">
            <v>10055</v>
          </cell>
          <cell r="C47" t="str">
            <v>UEC</v>
          </cell>
          <cell r="D47" t="str">
            <v>N</v>
          </cell>
          <cell r="E47" t="str">
            <v>C</v>
          </cell>
          <cell r="F47" t="str">
            <v>06/15/1998</v>
          </cell>
        </row>
        <row r="48">
          <cell r="B48" t="str">
            <v>10069</v>
          </cell>
          <cell r="C48" t="str">
            <v>UEC</v>
          </cell>
          <cell r="D48" t="str">
            <v>N</v>
          </cell>
          <cell r="E48" t="str">
            <v>C</v>
          </cell>
          <cell r="F48" t="str">
            <v>07/09/1998</v>
          </cell>
        </row>
        <row r="49">
          <cell r="B49" t="str">
            <v>10087</v>
          </cell>
          <cell r="C49" t="str">
            <v>UEC</v>
          </cell>
          <cell r="D49" t="str">
            <v>N</v>
          </cell>
          <cell r="E49" t="str">
            <v>C</v>
          </cell>
          <cell r="F49" t="str">
            <v>10/06/1998</v>
          </cell>
        </row>
        <row r="50">
          <cell r="B50" t="str">
            <v>10094</v>
          </cell>
          <cell r="C50" t="str">
            <v>UEC</v>
          </cell>
          <cell r="D50" t="str">
            <v>N</v>
          </cell>
          <cell r="E50" t="str">
            <v>C</v>
          </cell>
          <cell r="F50" t="str">
            <v>10/06/1998</v>
          </cell>
        </row>
        <row r="51">
          <cell r="B51" t="str">
            <v>10100</v>
          </cell>
          <cell r="C51" t="str">
            <v>UEC</v>
          </cell>
          <cell r="D51" t="str">
            <v>N</v>
          </cell>
          <cell r="E51" t="str">
            <v>C</v>
          </cell>
          <cell r="F51" t="str">
            <v>10/06/1998</v>
          </cell>
        </row>
        <row r="52">
          <cell r="B52" t="str">
            <v>10101</v>
          </cell>
          <cell r="C52" t="str">
            <v>UEC</v>
          </cell>
          <cell r="D52" t="str">
            <v>N</v>
          </cell>
          <cell r="E52" t="str">
            <v>C</v>
          </cell>
          <cell r="F52" t="str">
            <v>07/24/1998</v>
          </cell>
        </row>
        <row r="53">
          <cell r="B53" t="str">
            <v>10104</v>
          </cell>
          <cell r="C53" t="str">
            <v>UEC</v>
          </cell>
          <cell r="D53" t="str">
            <v>N</v>
          </cell>
          <cell r="E53" t="str">
            <v>C</v>
          </cell>
          <cell r="F53" t="str">
            <v>08/17/1998</v>
          </cell>
        </row>
        <row r="54">
          <cell r="B54" t="str">
            <v>10115</v>
          </cell>
          <cell r="C54" t="str">
            <v>UEC</v>
          </cell>
          <cell r="D54" t="str">
            <v>N</v>
          </cell>
          <cell r="E54" t="str">
            <v>C</v>
          </cell>
          <cell r="F54" t="str">
            <v>07/29/1998</v>
          </cell>
        </row>
        <row r="55">
          <cell r="B55" t="str">
            <v>10125</v>
          </cell>
          <cell r="C55" t="str">
            <v>UEC</v>
          </cell>
          <cell r="D55" t="str">
            <v>N</v>
          </cell>
          <cell r="E55" t="str">
            <v>C</v>
          </cell>
          <cell r="F55" t="str">
            <v>08/03/1998</v>
          </cell>
        </row>
        <row r="56">
          <cell r="B56" t="str">
            <v>10127</v>
          </cell>
          <cell r="C56" t="str">
            <v>GEN</v>
          </cell>
          <cell r="D56" t="str">
            <v>N</v>
          </cell>
          <cell r="E56" t="str">
            <v>C</v>
          </cell>
          <cell r="F56" t="str">
            <v>08/03/1998</v>
          </cell>
        </row>
        <row r="57">
          <cell r="B57" t="str">
            <v>10149</v>
          </cell>
          <cell r="C57" t="str">
            <v>UEC</v>
          </cell>
          <cell r="D57" t="str">
            <v>N</v>
          </cell>
          <cell r="E57" t="str">
            <v>C</v>
          </cell>
          <cell r="F57" t="str">
            <v>09/01/1998</v>
          </cell>
        </row>
        <row r="58">
          <cell r="B58" t="str">
            <v>10170</v>
          </cell>
          <cell r="C58" t="str">
            <v>UEC</v>
          </cell>
          <cell r="D58" t="str">
            <v>N</v>
          </cell>
          <cell r="E58" t="str">
            <v>C</v>
          </cell>
          <cell r="F58" t="str">
            <v>09/21/1998</v>
          </cell>
        </row>
        <row r="59">
          <cell r="B59" t="str">
            <v>10174</v>
          </cell>
          <cell r="C59" t="str">
            <v>UEC</v>
          </cell>
          <cell r="D59" t="str">
            <v>N</v>
          </cell>
          <cell r="E59" t="str">
            <v>C</v>
          </cell>
          <cell r="F59" t="str">
            <v>10/15/1998</v>
          </cell>
        </row>
        <row r="60">
          <cell r="B60" t="str">
            <v>10175</v>
          </cell>
          <cell r="C60" t="str">
            <v>UEC</v>
          </cell>
          <cell r="D60" t="str">
            <v>N</v>
          </cell>
          <cell r="E60" t="str">
            <v>C</v>
          </cell>
          <cell r="F60" t="str">
            <v>10/15/1998</v>
          </cell>
        </row>
        <row r="61">
          <cell r="B61" t="str">
            <v>10180</v>
          </cell>
          <cell r="C61" t="str">
            <v>UEC</v>
          </cell>
          <cell r="D61" t="str">
            <v>N</v>
          </cell>
          <cell r="E61" t="str">
            <v>C</v>
          </cell>
          <cell r="F61" t="str">
            <v>10/16/1998</v>
          </cell>
        </row>
        <row r="62">
          <cell r="B62" t="str">
            <v>10186</v>
          </cell>
          <cell r="C62" t="str">
            <v>UEC</v>
          </cell>
          <cell r="D62" t="str">
            <v>N</v>
          </cell>
          <cell r="E62" t="str">
            <v>C</v>
          </cell>
          <cell r="F62" t="str">
            <v>10/19/1998</v>
          </cell>
        </row>
        <row r="63">
          <cell r="B63" t="str">
            <v>10187</v>
          </cell>
          <cell r="C63" t="str">
            <v>UEC</v>
          </cell>
          <cell r="D63" t="str">
            <v>N</v>
          </cell>
          <cell r="E63" t="str">
            <v>C</v>
          </cell>
          <cell r="F63" t="str">
            <v>10/19/1998</v>
          </cell>
        </row>
        <row r="64">
          <cell r="B64" t="str">
            <v>10199</v>
          </cell>
          <cell r="C64" t="str">
            <v>CIP</v>
          </cell>
          <cell r="D64" t="str">
            <v>N</v>
          </cell>
          <cell r="E64" t="str">
            <v>C</v>
          </cell>
          <cell r="F64" t="str">
            <v>10/12/1998</v>
          </cell>
        </row>
        <row r="65">
          <cell r="B65" t="str">
            <v>10206</v>
          </cell>
          <cell r="C65" t="str">
            <v>UEC</v>
          </cell>
          <cell r="D65" t="str">
            <v>N</v>
          </cell>
          <cell r="E65" t="str">
            <v>C</v>
          </cell>
          <cell r="F65" t="str">
            <v>10/21/1998</v>
          </cell>
        </row>
        <row r="66">
          <cell r="B66" t="str">
            <v>10211</v>
          </cell>
          <cell r="C66" t="str">
            <v>UEC</v>
          </cell>
          <cell r="D66" t="str">
            <v>N</v>
          </cell>
          <cell r="E66" t="str">
            <v>C</v>
          </cell>
          <cell r="F66" t="str">
            <v>10/27/1998</v>
          </cell>
        </row>
        <row r="67">
          <cell r="B67" t="str">
            <v>10230</v>
          </cell>
          <cell r="C67" t="str">
            <v>CIP</v>
          </cell>
          <cell r="D67" t="str">
            <v>N</v>
          </cell>
          <cell r="E67" t="str">
            <v>C</v>
          </cell>
          <cell r="F67" t="str">
            <v>10/30/1998</v>
          </cell>
        </row>
        <row r="68">
          <cell r="B68" t="str">
            <v>10231</v>
          </cell>
          <cell r="C68" t="str">
            <v>CIP</v>
          </cell>
          <cell r="D68" t="str">
            <v>N</v>
          </cell>
          <cell r="E68" t="str">
            <v>C</v>
          </cell>
          <cell r="F68" t="str">
            <v>10/30/1998</v>
          </cell>
        </row>
        <row r="69">
          <cell r="B69" t="str">
            <v>10233</v>
          </cell>
          <cell r="C69" t="str">
            <v>GEN</v>
          </cell>
          <cell r="D69" t="str">
            <v>N</v>
          </cell>
          <cell r="E69" t="str">
            <v>C</v>
          </cell>
          <cell r="F69" t="str">
            <v>12/01/1998</v>
          </cell>
        </row>
        <row r="70">
          <cell r="B70" t="str">
            <v>10235</v>
          </cell>
          <cell r="C70" t="str">
            <v>UEC</v>
          </cell>
          <cell r="D70" t="str">
            <v>N</v>
          </cell>
          <cell r="E70" t="str">
            <v>C</v>
          </cell>
          <cell r="F70" t="str">
            <v>11/24/1998</v>
          </cell>
        </row>
        <row r="71">
          <cell r="B71" t="str">
            <v>10237</v>
          </cell>
          <cell r="C71" t="str">
            <v>UEC</v>
          </cell>
          <cell r="D71" t="str">
            <v>N</v>
          </cell>
          <cell r="E71" t="str">
            <v>C</v>
          </cell>
          <cell r="F71" t="str">
            <v>04/14/1999</v>
          </cell>
        </row>
        <row r="72">
          <cell r="B72" t="str">
            <v>10247</v>
          </cell>
          <cell r="C72" t="str">
            <v>UEC</v>
          </cell>
          <cell r="D72" t="str">
            <v>N</v>
          </cell>
          <cell r="E72" t="str">
            <v>C</v>
          </cell>
          <cell r="F72" t="str">
            <v>12/02/1998</v>
          </cell>
        </row>
        <row r="73">
          <cell r="B73" t="str">
            <v>10262</v>
          </cell>
          <cell r="C73" t="str">
            <v>UEC</v>
          </cell>
          <cell r="D73" t="str">
            <v>N</v>
          </cell>
          <cell r="E73" t="str">
            <v>C</v>
          </cell>
          <cell r="F73" t="str">
            <v>10/04/2000</v>
          </cell>
        </row>
        <row r="74">
          <cell r="B74" t="str">
            <v>10266</v>
          </cell>
          <cell r="C74" t="str">
            <v>UEC</v>
          </cell>
          <cell r="D74" t="str">
            <v>N</v>
          </cell>
          <cell r="E74" t="str">
            <v>C</v>
          </cell>
          <cell r="F74" t="str">
            <v>12/09/1998</v>
          </cell>
        </row>
        <row r="75">
          <cell r="B75" t="str">
            <v>10268</v>
          </cell>
          <cell r="C75" t="str">
            <v>UEC</v>
          </cell>
          <cell r="D75" t="str">
            <v>N</v>
          </cell>
          <cell r="E75" t="str">
            <v>C</v>
          </cell>
          <cell r="F75" t="str">
            <v>12/09/1998</v>
          </cell>
        </row>
        <row r="76">
          <cell r="B76" t="str">
            <v>10282</v>
          </cell>
          <cell r="C76" t="str">
            <v>GEN</v>
          </cell>
          <cell r="D76" t="str">
            <v>N</v>
          </cell>
          <cell r="E76" t="str">
            <v>C</v>
          </cell>
          <cell r="F76" t="str">
            <v>01/15/1999</v>
          </cell>
        </row>
        <row r="77">
          <cell r="B77" t="str">
            <v>10291</v>
          </cell>
          <cell r="C77" t="str">
            <v>GEN</v>
          </cell>
          <cell r="D77" t="str">
            <v>N</v>
          </cell>
          <cell r="E77" t="str">
            <v>C</v>
          </cell>
          <cell r="F77" t="str">
            <v>01/30/2001</v>
          </cell>
        </row>
        <row r="78">
          <cell r="B78" t="str">
            <v>10292</v>
          </cell>
          <cell r="C78" t="str">
            <v>GEN</v>
          </cell>
          <cell r="D78" t="str">
            <v>N</v>
          </cell>
          <cell r="E78" t="str">
            <v>C</v>
          </cell>
          <cell r="F78" t="str">
            <v>01/30/2001</v>
          </cell>
        </row>
        <row r="79">
          <cell r="B79" t="str">
            <v>10305</v>
          </cell>
          <cell r="C79" t="str">
            <v>UEC</v>
          </cell>
          <cell r="D79" t="str">
            <v>N</v>
          </cell>
          <cell r="E79" t="str">
            <v>C</v>
          </cell>
          <cell r="F79" t="str">
            <v>04/08/1999</v>
          </cell>
        </row>
        <row r="80">
          <cell r="B80" t="str">
            <v>10316</v>
          </cell>
          <cell r="C80" t="str">
            <v>GEN</v>
          </cell>
          <cell r="D80" t="str">
            <v>N</v>
          </cell>
          <cell r="E80" t="str">
            <v>C</v>
          </cell>
          <cell r="F80" t="str">
            <v>01/21/1999</v>
          </cell>
        </row>
        <row r="81">
          <cell r="B81" t="str">
            <v>10317</v>
          </cell>
          <cell r="C81" t="str">
            <v>GEN</v>
          </cell>
          <cell r="D81" t="str">
            <v>N</v>
          </cell>
          <cell r="E81" t="str">
            <v>A</v>
          </cell>
          <cell r="F81" t="str">
            <v>01/21/1999</v>
          </cell>
        </row>
        <row r="82">
          <cell r="B82" t="str">
            <v>10318</v>
          </cell>
          <cell r="C82" t="str">
            <v>UEC</v>
          </cell>
          <cell r="D82" t="str">
            <v>N</v>
          </cell>
          <cell r="E82" t="str">
            <v>A</v>
          </cell>
          <cell r="F82" t="str">
            <v>01/21/1999</v>
          </cell>
        </row>
        <row r="83">
          <cell r="B83" t="str">
            <v>10320</v>
          </cell>
          <cell r="C83" t="str">
            <v>UEC</v>
          </cell>
          <cell r="D83" t="str">
            <v>N</v>
          </cell>
          <cell r="E83" t="str">
            <v>A</v>
          </cell>
          <cell r="F83" t="str">
            <v>01/21/1999</v>
          </cell>
        </row>
        <row r="84">
          <cell r="B84" t="str">
            <v>10348</v>
          </cell>
          <cell r="C84" t="str">
            <v>UEC</v>
          </cell>
          <cell r="D84" t="str">
            <v>N</v>
          </cell>
          <cell r="E84" t="str">
            <v>C</v>
          </cell>
          <cell r="F84" t="str">
            <v>01/04/1999</v>
          </cell>
        </row>
        <row r="85">
          <cell r="B85" t="str">
            <v>10370</v>
          </cell>
          <cell r="C85" t="str">
            <v>GEN</v>
          </cell>
          <cell r="D85" t="str">
            <v>N</v>
          </cell>
          <cell r="E85" t="str">
            <v>C</v>
          </cell>
          <cell r="F85" t="str">
            <v>01/30/2001</v>
          </cell>
        </row>
        <row r="86">
          <cell r="B86" t="str">
            <v>10374</v>
          </cell>
          <cell r="C86" t="str">
            <v>GEN</v>
          </cell>
          <cell r="D86" t="str">
            <v>N</v>
          </cell>
          <cell r="E86" t="str">
            <v>C</v>
          </cell>
          <cell r="F86" t="str">
            <v>01/30/2001</v>
          </cell>
        </row>
        <row r="87">
          <cell r="B87" t="str">
            <v>10375</v>
          </cell>
          <cell r="C87" t="str">
            <v>UEC</v>
          </cell>
          <cell r="D87" t="str">
            <v>N</v>
          </cell>
          <cell r="E87" t="str">
            <v>C</v>
          </cell>
          <cell r="F87" t="str">
            <v>01/07/1999</v>
          </cell>
        </row>
        <row r="88">
          <cell r="B88" t="str">
            <v>10387</v>
          </cell>
          <cell r="C88" t="str">
            <v>UEC</v>
          </cell>
          <cell r="D88" t="str">
            <v>N</v>
          </cell>
          <cell r="E88" t="str">
            <v>A</v>
          </cell>
          <cell r="F88" t="str">
            <v>01/28/1999</v>
          </cell>
        </row>
        <row r="89">
          <cell r="B89" t="str">
            <v>10389</v>
          </cell>
          <cell r="C89" t="str">
            <v>UEC</v>
          </cell>
          <cell r="D89" t="str">
            <v>N</v>
          </cell>
          <cell r="E89" t="str">
            <v>C</v>
          </cell>
          <cell r="F89" t="str">
            <v>01/29/1999</v>
          </cell>
        </row>
        <row r="90">
          <cell r="B90" t="str">
            <v>10390</v>
          </cell>
          <cell r="C90" t="str">
            <v>GEN</v>
          </cell>
          <cell r="D90" t="str">
            <v>N</v>
          </cell>
          <cell r="E90" t="str">
            <v>A</v>
          </cell>
          <cell r="F90" t="str">
            <v>02/01/1999</v>
          </cell>
        </row>
        <row r="91">
          <cell r="B91" t="str">
            <v>10391</v>
          </cell>
          <cell r="C91" t="str">
            <v>UEC</v>
          </cell>
          <cell r="D91" t="str">
            <v>N</v>
          </cell>
          <cell r="E91" t="str">
            <v>C</v>
          </cell>
          <cell r="F91" t="str">
            <v>04/28/1999</v>
          </cell>
        </row>
        <row r="92">
          <cell r="B92" t="str">
            <v>10395</v>
          </cell>
          <cell r="C92" t="str">
            <v>UEC</v>
          </cell>
          <cell r="D92" t="str">
            <v>N</v>
          </cell>
          <cell r="E92" t="str">
            <v>C</v>
          </cell>
          <cell r="F92" t="str">
            <v>02/08/1999</v>
          </cell>
        </row>
        <row r="93">
          <cell r="B93" t="str">
            <v>10401</v>
          </cell>
          <cell r="C93" t="str">
            <v>UEC</v>
          </cell>
          <cell r="D93" t="str">
            <v>N</v>
          </cell>
          <cell r="E93" t="str">
            <v>C</v>
          </cell>
          <cell r="F93" t="str">
            <v>05/13/1999</v>
          </cell>
        </row>
        <row r="94">
          <cell r="B94" t="str">
            <v>10402</v>
          </cell>
          <cell r="C94" t="str">
            <v>UEC</v>
          </cell>
          <cell r="D94" t="str">
            <v>N</v>
          </cell>
          <cell r="E94" t="str">
            <v>C</v>
          </cell>
          <cell r="F94" t="str">
            <v>08/13/1999</v>
          </cell>
        </row>
        <row r="95">
          <cell r="B95" t="str">
            <v>10406</v>
          </cell>
          <cell r="C95" t="str">
            <v>UEC</v>
          </cell>
          <cell r="D95" t="str">
            <v>N</v>
          </cell>
          <cell r="E95" t="str">
            <v>C</v>
          </cell>
          <cell r="F95" t="str">
            <v>05/12/1999</v>
          </cell>
        </row>
        <row r="96">
          <cell r="B96" t="str">
            <v>10411</v>
          </cell>
          <cell r="C96" t="str">
            <v>UEC</v>
          </cell>
          <cell r="D96" t="str">
            <v>N</v>
          </cell>
          <cell r="E96" t="str">
            <v>C</v>
          </cell>
          <cell r="F96" t="str">
            <v>02/05/1999</v>
          </cell>
        </row>
        <row r="97">
          <cell r="B97" t="str">
            <v>10421</v>
          </cell>
          <cell r="C97" t="str">
            <v>UEC</v>
          </cell>
          <cell r="D97" t="str">
            <v>N</v>
          </cell>
          <cell r="E97" t="str">
            <v>C</v>
          </cell>
          <cell r="F97" t="str">
            <v>02/11/1999</v>
          </cell>
        </row>
        <row r="98">
          <cell r="B98" t="str">
            <v>10422</v>
          </cell>
          <cell r="C98" t="str">
            <v>UEC</v>
          </cell>
          <cell r="D98" t="str">
            <v>N</v>
          </cell>
          <cell r="E98" t="str">
            <v>C</v>
          </cell>
          <cell r="F98" t="str">
            <v>02/11/1999</v>
          </cell>
        </row>
        <row r="99">
          <cell r="B99" t="str">
            <v>10423</v>
          </cell>
          <cell r="C99" t="str">
            <v>UEC</v>
          </cell>
          <cell r="D99" t="str">
            <v>N</v>
          </cell>
          <cell r="E99" t="str">
            <v>C</v>
          </cell>
          <cell r="F99" t="str">
            <v>02/11/1999</v>
          </cell>
        </row>
        <row r="100">
          <cell r="B100" t="str">
            <v>10424</v>
          </cell>
          <cell r="C100" t="str">
            <v>UEC</v>
          </cell>
          <cell r="D100" t="str">
            <v>N</v>
          </cell>
          <cell r="E100" t="str">
            <v>C</v>
          </cell>
          <cell r="F100" t="str">
            <v>02/11/1999</v>
          </cell>
        </row>
        <row r="101">
          <cell r="B101" t="str">
            <v>10432</v>
          </cell>
          <cell r="C101" t="str">
            <v>UEC</v>
          </cell>
          <cell r="D101" t="str">
            <v>N</v>
          </cell>
          <cell r="E101" t="str">
            <v>C</v>
          </cell>
          <cell r="F101" t="str">
            <v>05/07/1999</v>
          </cell>
        </row>
        <row r="102">
          <cell r="B102" t="str">
            <v>10433</v>
          </cell>
          <cell r="C102" t="str">
            <v>UEC</v>
          </cell>
          <cell r="D102" t="str">
            <v>N</v>
          </cell>
          <cell r="E102" t="str">
            <v>C</v>
          </cell>
          <cell r="F102" t="str">
            <v>05/07/1999</v>
          </cell>
        </row>
        <row r="103">
          <cell r="B103" t="str">
            <v>10434</v>
          </cell>
          <cell r="C103" t="str">
            <v>UEC</v>
          </cell>
          <cell r="D103" t="str">
            <v>N</v>
          </cell>
          <cell r="E103" t="str">
            <v>C</v>
          </cell>
          <cell r="F103" t="str">
            <v>02/12/1999</v>
          </cell>
        </row>
        <row r="104">
          <cell r="B104" t="str">
            <v>10441</v>
          </cell>
          <cell r="C104" t="str">
            <v>CIP</v>
          </cell>
          <cell r="D104" t="str">
            <v>N</v>
          </cell>
          <cell r="E104" t="str">
            <v>C</v>
          </cell>
          <cell r="F104" t="str">
            <v>07/18/2000</v>
          </cell>
        </row>
        <row r="105">
          <cell r="B105" t="str">
            <v>10462</v>
          </cell>
          <cell r="C105" t="str">
            <v>CIP</v>
          </cell>
          <cell r="D105" t="str">
            <v>N</v>
          </cell>
          <cell r="E105" t="str">
            <v>C</v>
          </cell>
          <cell r="F105" t="str">
            <v>04/26/1999</v>
          </cell>
        </row>
        <row r="106">
          <cell r="B106" t="str">
            <v>10465</v>
          </cell>
          <cell r="C106" t="str">
            <v>UEC</v>
          </cell>
          <cell r="D106" t="str">
            <v>N</v>
          </cell>
          <cell r="E106" t="str">
            <v>C</v>
          </cell>
          <cell r="F106" t="str">
            <v>02/26/1999</v>
          </cell>
        </row>
        <row r="107">
          <cell r="B107" t="str">
            <v>10467</v>
          </cell>
          <cell r="C107" t="str">
            <v>UEC</v>
          </cell>
          <cell r="D107" t="str">
            <v>N</v>
          </cell>
          <cell r="E107" t="str">
            <v>A</v>
          </cell>
          <cell r="F107" t="str">
            <v>12/20/2000</v>
          </cell>
        </row>
        <row r="108">
          <cell r="B108" t="str">
            <v>10468</v>
          </cell>
          <cell r="C108" t="str">
            <v>CIP</v>
          </cell>
          <cell r="D108" t="str">
            <v>N</v>
          </cell>
          <cell r="E108" t="str">
            <v>C</v>
          </cell>
          <cell r="F108" t="str">
            <v>05/11/1999</v>
          </cell>
        </row>
        <row r="109">
          <cell r="B109" t="str">
            <v>10477</v>
          </cell>
          <cell r="C109" t="str">
            <v>CIP</v>
          </cell>
          <cell r="D109" t="str">
            <v>N</v>
          </cell>
          <cell r="E109" t="str">
            <v>C</v>
          </cell>
          <cell r="F109" t="str">
            <v>03/10/1999</v>
          </cell>
        </row>
        <row r="110">
          <cell r="B110" t="str">
            <v>10488</v>
          </cell>
          <cell r="C110" t="str">
            <v>UEC</v>
          </cell>
          <cell r="D110" t="str">
            <v>N</v>
          </cell>
          <cell r="E110" t="str">
            <v>C</v>
          </cell>
          <cell r="F110" t="str">
            <v>08/04/1999</v>
          </cell>
        </row>
        <row r="111">
          <cell r="B111" t="str">
            <v>10489</v>
          </cell>
          <cell r="C111" t="str">
            <v>UEC</v>
          </cell>
          <cell r="D111" t="str">
            <v>N</v>
          </cell>
          <cell r="E111" t="str">
            <v>C</v>
          </cell>
          <cell r="F111" t="str">
            <v>08/05/1999</v>
          </cell>
        </row>
        <row r="112">
          <cell r="B112" t="str">
            <v>10494</v>
          </cell>
          <cell r="C112" t="str">
            <v>UEC</v>
          </cell>
          <cell r="D112" t="str">
            <v>N</v>
          </cell>
          <cell r="E112" t="str">
            <v>C</v>
          </cell>
          <cell r="F112" t="str">
            <v>05/12/1999</v>
          </cell>
        </row>
        <row r="113">
          <cell r="B113" t="str">
            <v>10504</v>
          </cell>
          <cell r="C113" t="str">
            <v>UEC</v>
          </cell>
          <cell r="D113" t="str">
            <v>N</v>
          </cell>
          <cell r="E113" t="str">
            <v>C</v>
          </cell>
          <cell r="F113" t="str">
            <v>03/31/1999</v>
          </cell>
        </row>
        <row r="114">
          <cell r="B114" t="str">
            <v>10516</v>
          </cell>
          <cell r="C114" t="str">
            <v>GEN</v>
          </cell>
          <cell r="D114" t="str">
            <v>N</v>
          </cell>
          <cell r="E114" t="str">
            <v>C</v>
          </cell>
          <cell r="F114" t="str">
            <v>02/22/2001</v>
          </cell>
        </row>
        <row r="115">
          <cell r="B115" t="str">
            <v>10517</v>
          </cell>
          <cell r="C115" t="str">
            <v>CIP</v>
          </cell>
          <cell r="D115" t="str">
            <v>N</v>
          </cell>
          <cell r="E115" t="str">
            <v>C</v>
          </cell>
          <cell r="F115" t="str">
            <v>08/10/1999</v>
          </cell>
        </row>
        <row r="116">
          <cell r="B116" t="str">
            <v>10519</v>
          </cell>
          <cell r="C116" t="str">
            <v>UEC</v>
          </cell>
          <cell r="D116" t="str">
            <v>N</v>
          </cell>
          <cell r="E116" t="str">
            <v>C</v>
          </cell>
          <cell r="F116" t="str">
            <v>05/26/1999</v>
          </cell>
        </row>
        <row r="117">
          <cell r="B117" t="str">
            <v>10524</v>
          </cell>
          <cell r="C117" t="str">
            <v>UEC</v>
          </cell>
          <cell r="D117" t="str">
            <v>N</v>
          </cell>
          <cell r="E117" t="str">
            <v>C</v>
          </cell>
          <cell r="F117" t="str">
            <v>08/10/1999</v>
          </cell>
        </row>
        <row r="118">
          <cell r="B118" t="str">
            <v>10528</v>
          </cell>
          <cell r="C118" t="str">
            <v>UEC</v>
          </cell>
          <cell r="D118" t="str">
            <v>N</v>
          </cell>
          <cell r="E118" t="str">
            <v>C</v>
          </cell>
          <cell r="F118" t="str">
            <v>06/02/1999</v>
          </cell>
        </row>
        <row r="119">
          <cell r="B119" t="str">
            <v>10529</v>
          </cell>
          <cell r="C119" t="str">
            <v>UEC</v>
          </cell>
          <cell r="D119" t="str">
            <v>N</v>
          </cell>
          <cell r="E119" t="str">
            <v>C</v>
          </cell>
          <cell r="F119" t="str">
            <v>06/02/1999</v>
          </cell>
        </row>
        <row r="120">
          <cell r="B120" t="str">
            <v>10534</v>
          </cell>
          <cell r="C120" t="str">
            <v>UEC</v>
          </cell>
          <cell r="D120" t="str">
            <v>N</v>
          </cell>
          <cell r="E120" t="str">
            <v>C</v>
          </cell>
          <cell r="F120" t="str">
            <v>06/08/1999</v>
          </cell>
        </row>
        <row r="121">
          <cell r="B121" t="str">
            <v>10535</v>
          </cell>
          <cell r="C121" t="str">
            <v>UEC</v>
          </cell>
          <cell r="D121" t="str">
            <v>N</v>
          </cell>
          <cell r="E121" t="str">
            <v>C</v>
          </cell>
          <cell r="F121" t="str">
            <v>06/08/1999</v>
          </cell>
        </row>
        <row r="122">
          <cell r="B122" t="str">
            <v>10536</v>
          </cell>
          <cell r="C122"/>
          <cell r="D122"/>
          <cell r="E122"/>
          <cell r="F122"/>
        </row>
        <row r="123">
          <cell r="B123" t="str">
            <v>10542</v>
          </cell>
          <cell r="C123" t="str">
            <v>UEC</v>
          </cell>
          <cell r="D123" t="str">
            <v>N</v>
          </cell>
          <cell r="E123" t="str">
            <v>C</v>
          </cell>
          <cell r="F123" t="str">
            <v>06/09/1999</v>
          </cell>
        </row>
        <row r="124">
          <cell r="B124" t="str">
            <v>10543</v>
          </cell>
          <cell r="C124" t="str">
            <v>ADC</v>
          </cell>
          <cell r="D124" t="str">
            <v>N</v>
          </cell>
          <cell r="E124" t="str">
            <v>C</v>
          </cell>
          <cell r="F124" t="str">
            <v>07/27/2000</v>
          </cell>
        </row>
        <row r="125">
          <cell r="B125" t="str">
            <v>10551</v>
          </cell>
          <cell r="C125" t="str">
            <v>UEC</v>
          </cell>
          <cell r="D125" t="str">
            <v>N</v>
          </cell>
          <cell r="E125" t="str">
            <v>C</v>
          </cell>
          <cell r="F125" t="str">
            <v>06/10/1999</v>
          </cell>
        </row>
        <row r="126">
          <cell r="B126" t="str">
            <v>10557</v>
          </cell>
          <cell r="C126" t="str">
            <v>GEN</v>
          </cell>
          <cell r="D126" t="str">
            <v>N</v>
          </cell>
          <cell r="E126" t="str">
            <v>C</v>
          </cell>
          <cell r="F126" t="str">
            <v>01/30/2001</v>
          </cell>
        </row>
        <row r="127">
          <cell r="B127" t="str">
            <v>10558</v>
          </cell>
          <cell r="C127" t="str">
            <v>GEN</v>
          </cell>
          <cell r="D127" t="str">
            <v>N</v>
          </cell>
          <cell r="E127" t="str">
            <v>C</v>
          </cell>
          <cell r="F127" t="str">
            <v>01/30/2001</v>
          </cell>
        </row>
        <row r="128">
          <cell r="B128" t="str">
            <v>10559</v>
          </cell>
          <cell r="C128" t="str">
            <v>UEC</v>
          </cell>
          <cell r="D128" t="str">
            <v>N</v>
          </cell>
          <cell r="E128" t="str">
            <v>C</v>
          </cell>
          <cell r="F128" t="str">
            <v>06/14/1999</v>
          </cell>
        </row>
        <row r="129">
          <cell r="B129" t="str">
            <v>10561</v>
          </cell>
          <cell r="C129" t="str">
            <v>UEC</v>
          </cell>
          <cell r="D129" t="str">
            <v>N</v>
          </cell>
          <cell r="E129" t="str">
            <v>C</v>
          </cell>
          <cell r="F129" t="str">
            <v>06/15/1999</v>
          </cell>
        </row>
        <row r="130">
          <cell r="B130" t="str">
            <v>10565</v>
          </cell>
          <cell r="C130" t="str">
            <v>UEC</v>
          </cell>
          <cell r="D130" t="str">
            <v>N</v>
          </cell>
          <cell r="E130" t="str">
            <v>C</v>
          </cell>
          <cell r="F130" t="str">
            <v>06/16/1999</v>
          </cell>
        </row>
        <row r="131">
          <cell r="B131" t="str">
            <v>10572</v>
          </cell>
          <cell r="C131" t="str">
            <v>UEC</v>
          </cell>
          <cell r="D131" t="str">
            <v>N</v>
          </cell>
          <cell r="E131" t="str">
            <v>C</v>
          </cell>
          <cell r="F131" t="str">
            <v>06/22/1999</v>
          </cell>
        </row>
        <row r="132">
          <cell r="B132" t="str">
            <v>10603</v>
          </cell>
          <cell r="C132" t="str">
            <v>UEC</v>
          </cell>
          <cell r="D132" t="str">
            <v>N</v>
          </cell>
          <cell r="E132" t="str">
            <v>C</v>
          </cell>
          <cell r="F132" t="str">
            <v>07/02/1999</v>
          </cell>
        </row>
        <row r="133">
          <cell r="B133" t="str">
            <v>10605</v>
          </cell>
          <cell r="C133" t="str">
            <v>CIP</v>
          </cell>
          <cell r="D133" t="str">
            <v>N</v>
          </cell>
          <cell r="E133" t="str">
            <v>C</v>
          </cell>
          <cell r="F133" t="str">
            <v>07/08/1999</v>
          </cell>
        </row>
        <row r="134">
          <cell r="B134" t="str">
            <v>10628</v>
          </cell>
          <cell r="C134" t="str">
            <v>UEC</v>
          </cell>
          <cell r="D134" t="str">
            <v>N</v>
          </cell>
          <cell r="E134" t="str">
            <v>C</v>
          </cell>
          <cell r="F134" t="str">
            <v>09/21/1999</v>
          </cell>
        </row>
        <row r="135">
          <cell r="B135" t="str">
            <v>10630</v>
          </cell>
          <cell r="C135" t="str">
            <v>UEC</v>
          </cell>
          <cell r="D135" t="str">
            <v>N</v>
          </cell>
          <cell r="E135" t="str">
            <v>C</v>
          </cell>
          <cell r="F135" t="str">
            <v>07/20/1999</v>
          </cell>
        </row>
        <row r="136">
          <cell r="B136" t="str">
            <v>10632</v>
          </cell>
          <cell r="C136" t="str">
            <v>UEC</v>
          </cell>
          <cell r="D136" t="str">
            <v>N</v>
          </cell>
          <cell r="E136" t="str">
            <v>C</v>
          </cell>
          <cell r="F136" t="str">
            <v>08/18/1999</v>
          </cell>
        </row>
        <row r="137">
          <cell r="B137" t="str">
            <v>10634</v>
          </cell>
          <cell r="C137" t="str">
            <v>GEN</v>
          </cell>
          <cell r="D137" t="str">
            <v>N</v>
          </cell>
          <cell r="E137" t="str">
            <v>C</v>
          </cell>
          <cell r="F137" t="str">
            <v>08/20/1999</v>
          </cell>
        </row>
        <row r="138">
          <cell r="B138" t="str">
            <v>10636</v>
          </cell>
          <cell r="C138" t="str">
            <v>GEN</v>
          </cell>
          <cell r="D138" t="str">
            <v>N</v>
          </cell>
          <cell r="E138" t="str">
            <v>C</v>
          </cell>
          <cell r="F138" t="str">
            <v>08/20/1999</v>
          </cell>
        </row>
        <row r="139">
          <cell r="B139" t="str">
            <v>10637</v>
          </cell>
          <cell r="C139" t="str">
            <v>CIP</v>
          </cell>
          <cell r="D139" t="str">
            <v>N</v>
          </cell>
          <cell r="E139" t="str">
            <v>C</v>
          </cell>
          <cell r="F139" t="str">
            <v>07/22/1999</v>
          </cell>
        </row>
        <row r="140">
          <cell r="B140" t="str">
            <v>10638</v>
          </cell>
          <cell r="C140" t="str">
            <v>GEN</v>
          </cell>
          <cell r="D140" t="str">
            <v>N</v>
          </cell>
          <cell r="E140" t="str">
            <v>C</v>
          </cell>
          <cell r="F140" t="str">
            <v>08/20/1999</v>
          </cell>
        </row>
        <row r="141">
          <cell r="B141" t="str">
            <v>10640</v>
          </cell>
          <cell r="C141" t="str">
            <v>GEN</v>
          </cell>
          <cell r="D141" t="str">
            <v>N</v>
          </cell>
          <cell r="E141" t="str">
            <v>C</v>
          </cell>
          <cell r="F141" t="str">
            <v>08/20/1999</v>
          </cell>
        </row>
        <row r="142">
          <cell r="B142" t="str">
            <v>10645</v>
          </cell>
          <cell r="C142" t="str">
            <v>UEC</v>
          </cell>
          <cell r="D142" t="str">
            <v>N</v>
          </cell>
          <cell r="E142" t="str">
            <v>C</v>
          </cell>
          <cell r="F142" t="str">
            <v>09/14/2000</v>
          </cell>
        </row>
        <row r="143">
          <cell r="B143" t="str">
            <v>10654</v>
          </cell>
          <cell r="C143" t="str">
            <v>UEC</v>
          </cell>
          <cell r="D143" t="str">
            <v>N</v>
          </cell>
          <cell r="E143" t="str">
            <v>C</v>
          </cell>
          <cell r="F143" t="str">
            <v>10/28/1999</v>
          </cell>
        </row>
        <row r="144">
          <cell r="B144" t="str">
            <v>10665</v>
          </cell>
          <cell r="C144" t="str">
            <v>UEC</v>
          </cell>
          <cell r="D144" t="str">
            <v>N</v>
          </cell>
          <cell r="E144" t="str">
            <v>C</v>
          </cell>
          <cell r="F144" t="str">
            <v>10/12/1999</v>
          </cell>
        </row>
        <row r="145">
          <cell r="B145" t="str">
            <v>10682</v>
          </cell>
          <cell r="C145" t="str">
            <v>UEC</v>
          </cell>
          <cell r="D145" t="str">
            <v>N</v>
          </cell>
          <cell r="E145" t="str">
            <v>C</v>
          </cell>
          <cell r="F145" t="str">
            <v>11/18/1999</v>
          </cell>
        </row>
        <row r="146">
          <cell r="B146" t="str">
            <v>10685</v>
          </cell>
          <cell r="C146" t="str">
            <v>UEC</v>
          </cell>
          <cell r="D146" t="str">
            <v>N</v>
          </cell>
          <cell r="E146" t="str">
            <v>C</v>
          </cell>
          <cell r="F146" t="str">
            <v>08/26/1999</v>
          </cell>
        </row>
        <row r="147">
          <cell r="B147" t="str">
            <v>10691</v>
          </cell>
          <cell r="C147" t="str">
            <v>AED</v>
          </cell>
          <cell r="D147" t="str">
            <v>N</v>
          </cell>
          <cell r="E147" t="str">
            <v>C</v>
          </cell>
          <cell r="F147" t="str">
            <v>01/30/2001</v>
          </cell>
        </row>
        <row r="148">
          <cell r="B148" t="str">
            <v>10692</v>
          </cell>
          <cell r="C148" t="str">
            <v>UEC</v>
          </cell>
          <cell r="D148" t="str">
            <v>N</v>
          </cell>
          <cell r="E148" t="str">
            <v>C</v>
          </cell>
          <cell r="F148" t="str">
            <v>01/07/2000</v>
          </cell>
        </row>
        <row r="149">
          <cell r="B149" t="str">
            <v>10693</v>
          </cell>
          <cell r="C149" t="str">
            <v>AED</v>
          </cell>
          <cell r="D149" t="str">
            <v>N</v>
          </cell>
          <cell r="E149" t="str">
            <v>C</v>
          </cell>
          <cell r="F149" t="str">
            <v>01/30/2001</v>
          </cell>
        </row>
        <row r="150">
          <cell r="B150" t="str">
            <v>10694</v>
          </cell>
          <cell r="C150" t="str">
            <v>GEN</v>
          </cell>
          <cell r="D150" t="str">
            <v>N</v>
          </cell>
          <cell r="E150" t="str">
            <v>C</v>
          </cell>
          <cell r="F150" t="str">
            <v>01/30/2001</v>
          </cell>
        </row>
        <row r="151">
          <cell r="B151" t="str">
            <v>10695</v>
          </cell>
          <cell r="C151" t="str">
            <v>AED</v>
          </cell>
          <cell r="D151" t="str">
            <v>N</v>
          </cell>
          <cell r="E151" t="str">
            <v>C</v>
          </cell>
          <cell r="F151" t="str">
            <v>01/30/2001</v>
          </cell>
        </row>
        <row r="152">
          <cell r="B152" t="str">
            <v>10697</v>
          </cell>
          <cell r="C152" t="str">
            <v>UEC</v>
          </cell>
          <cell r="D152" t="str">
            <v>N</v>
          </cell>
          <cell r="E152" t="str">
            <v>C</v>
          </cell>
          <cell r="F152" t="str">
            <v>08/31/1999</v>
          </cell>
        </row>
        <row r="153">
          <cell r="B153" t="str">
            <v>10700</v>
          </cell>
          <cell r="C153" t="str">
            <v>UEC</v>
          </cell>
          <cell r="D153" t="str">
            <v>N</v>
          </cell>
          <cell r="E153" t="str">
            <v>A</v>
          </cell>
          <cell r="F153" t="str">
            <v>09/02/1999</v>
          </cell>
        </row>
        <row r="154">
          <cell r="B154" t="str">
            <v>10705</v>
          </cell>
          <cell r="C154" t="str">
            <v>UEC</v>
          </cell>
          <cell r="D154" t="str">
            <v>N</v>
          </cell>
          <cell r="E154" t="str">
            <v>C</v>
          </cell>
          <cell r="F154" t="str">
            <v>09/10/1999</v>
          </cell>
        </row>
        <row r="155">
          <cell r="B155" t="str">
            <v>10710</v>
          </cell>
          <cell r="C155" t="str">
            <v>UEC</v>
          </cell>
          <cell r="D155" t="str">
            <v>N</v>
          </cell>
          <cell r="E155" t="str">
            <v>C</v>
          </cell>
          <cell r="F155" t="str">
            <v>09/13/1999</v>
          </cell>
        </row>
        <row r="156">
          <cell r="B156" t="str">
            <v>10715</v>
          </cell>
          <cell r="C156" t="str">
            <v>UEC</v>
          </cell>
          <cell r="D156" t="str">
            <v>N</v>
          </cell>
          <cell r="E156" t="str">
            <v>C</v>
          </cell>
          <cell r="F156" t="str">
            <v>09/13/1999</v>
          </cell>
        </row>
        <row r="157">
          <cell r="B157" t="str">
            <v>10717</v>
          </cell>
          <cell r="C157" t="str">
            <v>UEC</v>
          </cell>
          <cell r="D157" t="str">
            <v>N</v>
          </cell>
          <cell r="E157" t="str">
            <v>C</v>
          </cell>
          <cell r="F157" t="str">
            <v>09/14/1999</v>
          </cell>
        </row>
        <row r="158">
          <cell r="B158" t="str">
            <v>10745</v>
          </cell>
          <cell r="C158" t="str">
            <v>UEC</v>
          </cell>
          <cell r="D158" t="str">
            <v>N</v>
          </cell>
          <cell r="E158" t="str">
            <v>C</v>
          </cell>
          <cell r="F158" t="str">
            <v>09/30/1999</v>
          </cell>
        </row>
        <row r="159">
          <cell r="B159" t="str">
            <v>10746</v>
          </cell>
          <cell r="C159" t="str">
            <v>CIP</v>
          </cell>
          <cell r="D159" t="str">
            <v>N</v>
          </cell>
          <cell r="E159" t="str">
            <v>C</v>
          </cell>
          <cell r="F159" t="str">
            <v>10/20/1999</v>
          </cell>
        </row>
        <row r="160">
          <cell r="B160" t="str">
            <v>10748</v>
          </cell>
          <cell r="C160"/>
          <cell r="D160"/>
          <cell r="E160"/>
          <cell r="F160"/>
        </row>
        <row r="161">
          <cell r="B161" t="str">
            <v>10752</v>
          </cell>
          <cell r="C161" t="str">
            <v>UEC</v>
          </cell>
          <cell r="D161" t="str">
            <v>N</v>
          </cell>
          <cell r="E161" t="str">
            <v>C</v>
          </cell>
          <cell r="F161" t="str">
            <v>10/21/1999</v>
          </cell>
        </row>
        <row r="162">
          <cell r="B162" t="str">
            <v>10761</v>
          </cell>
          <cell r="C162" t="str">
            <v>UEC</v>
          </cell>
          <cell r="D162" t="str">
            <v>N</v>
          </cell>
          <cell r="E162" t="str">
            <v>C</v>
          </cell>
          <cell r="F162" t="str">
            <v>10/25/1999</v>
          </cell>
        </row>
        <row r="163">
          <cell r="B163" t="str">
            <v>10770</v>
          </cell>
          <cell r="C163" t="str">
            <v>UEC</v>
          </cell>
          <cell r="D163" t="str">
            <v>N</v>
          </cell>
          <cell r="E163" t="str">
            <v>C</v>
          </cell>
          <cell r="F163" t="str">
            <v>10/27/1999</v>
          </cell>
        </row>
        <row r="164">
          <cell r="B164" t="str">
            <v>10771</v>
          </cell>
          <cell r="C164" t="str">
            <v>UEC</v>
          </cell>
          <cell r="D164" t="str">
            <v>N</v>
          </cell>
          <cell r="E164" t="str">
            <v>C</v>
          </cell>
          <cell r="F164" t="str">
            <v>10/28/1999</v>
          </cell>
        </row>
        <row r="165">
          <cell r="B165" t="str">
            <v>10775</v>
          </cell>
          <cell r="C165" t="str">
            <v>UEC</v>
          </cell>
          <cell r="D165" t="str">
            <v>N</v>
          </cell>
          <cell r="E165" t="str">
            <v>C</v>
          </cell>
          <cell r="F165" t="str">
            <v>10/28/1999</v>
          </cell>
        </row>
        <row r="166">
          <cell r="B166" t="str">
            <v>10784</v>
          </cell>
          <cell r="C166" t="str">
            <v>UEC</v>
          </cell>
          <cell r="D166" t="str">
            <v>N</v>
          </cell>
          <cell r="E166" t="str">
            <v>C</v>
          </cell>
          <cell r="F166" t="str">
            <v>02/14/2000</v>
          </cell>
        </row>
        <row r="167">
          <cell r="B167" t="str">
            <v>10788</v>
          </cell>
          <cell r="C167" t="str">
            <v>UEC</v>
          </cell>
          <cell r="D167" t="str">
            <v>N</v>
          </cell>
          <cell r="E167" t="str">
            <v>C</v>
          </cell>
          <cell r="F167" t="str">
            <v>11/15/1999</v>
          </cell>
        </row>
        <row r="168">
          <cell r="B168" t="str">
            <v>10799</v>
          </cell>
          <cell r="C168" t="str">
            <v>CIP</v>
          </cell>
          <cell r="D168" t="str">
            <v>N</v>
          </cell>
          <cell r="E168" t="str">
            <v>C</v>
          </cell>
          <cell r="F168" t="str">
            <v>11/19/1999</v>
          </cell>
        </row>
        <row r="169">
          <cell r="B169" t="str">
            <v>10802</v>
          </cell>
          <cell r="C169" t="str">
            <v>UEC</v>
          </cell>
          <cell r="D169" t="str">
            <v>N</v>
          </cell>
          <cell r="E169" t="str">
            <v>C</v>
          </cell>
          <cell r="F169" t="str">
            <v>06/05/2000</v>
          </cell>
        </row>
        <row r="170">
          <cell r="B170" t="str">
            <v>10803</v>
          </cell>
          <cell r="C170" t="str">
            <v>UEC</v>
          </cell>
          <cell r="D170" t="str">
            <v>N</v>
          </cell>
          <cell r="E170" t="str">
            <v>C</v>
          </cell>
          <cell r="F170" t="str">
            <v>08/19/2002</v>
          </cell>
        </row>
        <row r="171">
          <cell r="B171" t="str">
            <v>10807</v>
          </cell>
          <cell r="C171" t="str">
            <v>UEC</v>
          </cell>
          <cell r="D171" t="str">
            <v>N</v>
          </cell>
          <cell r="E171" t="str">
            <v>C</v>
          </cell>
          <cell r="F171" t="str">
            <v>03/08/2000</v>
          </cell>
        </row>
        <row r="172">
          <cell r="B172" t="str">
            <v>10809</v>
          </cell>
          <cell r="C172" t="str">
            <v>UEC</v>
          </cell>
          <cell r="D172" t="str">
            <v>N</v>
          </cell>
          <cell r="E172" t="str">
            <v>C</v>
          </cell>
          <cell r="F172" t="str">
            <v>03/08/2000</v>
          </cell>
        </row>
        <row r="173">
          <cell r="B173" t="str">
            <v>10810</v>
          </cell>
          <cell r="C173" t="str">
            <v>AEC</v>
          </cell>
          <cell r="D173" t="str">
            <v>N</v>
          </cell>
          <cell r="E173" t="str">
            <v>A</v>
          </cell>
          <cell r="F173" t="str">
            <v>03/08/2000</v>
          </cell>
        </row>
        <row r="174">
          <cell r="B174" t="str">
            <v>10811</v>
          </cell>
          <cell r="C174" t="str">
            <v>UEC</v>
          </cell>
          <cell r="D174" t="str">
            <v>N</v>
          </cell>
          <cell r="E174" t="str">
            <v>A</v>
          </cell>
          <cell r="F174" t="str">
            <v>03/09/2001</v>
          </cell>
        </row>
        <row r="175">
          <cell r="B175" t="str">
            <v>10824</v>
          </cell>
          <cell r="C175" t="str">
            <v>UEC</v>
          </cell>
          <cell r="D175" t="str">
            <v>N</v>
          </cell>
          <cell r="E175" t="str">
            <v>C</v>
          </cell>
          <cell r="F175" t="str">
            <v>11/26/1999</v>
          </cell>
        </row>
        <row r="176">
          <cell r="B176" t="str">
            <v>10825</v>
          </cell>
          <cell r="C176" t="str">
            <v>UEC</v>
          </cell>
          <cell r="D176" t="str">
            <v>N</v>
          </cell>
          <cell r="E176" t="str">
            <v>C</v>
          </cell>
          <cell r="F176" t="str">
            <v>11/26/1999</v>
          </cell>
        </row>
        <row r="177">
          <cell r="B177" t="str">
            <v>10826</v>
          </cell>
          <cell r="C177" t="str">
            <v>UEC</v>
          </cell>
          <cell r="D177" t="str">
            <v>N</v>
          </cell>
          <cell r="E177" t="str">
            <v>C</v>
          </cell>
          <cell r="F177" t="str">
            <v>11/29/1999</v>
          </cell>
        </row>
        <row r="178">
          <cell r="B178" t="str">
            <v>10832</v>
          </cell>
          <cell r="C178" t="str">
            <v>UEC</v>
          </cell>
          <cell r="D178" t="str">
            <v>N</v>
          </cell>
          <cell r="E178" t="str">
            <v>C</v>
          </cell>
          <cell r="F178" t="str">
            <v>03/13/2000</v>
          </cell>
        </row>
        <row r="179">
          <cell r="B179" t="str">
            <v>10841</v>
          </cell>
          <cell r="C179" t="str">
            <v>UEC</v>
          </cell>
          <cell r="D179" t="str">
            <v>N</v>
          </cell>
          <cell r="E179" t="str">
            <v>C</v>
          </cell>
          <cell r="F179" t="str">
            <v>06/06/2000</v>
          </cell>
        </row>
        <row r="180">
          <cell r="B180" t="str">
            <v>10845</v>
          </cell>
          <cell r="C180" t="str">
            <v>GEN</v>
          </cell>
          <cell r="D180" t="str">
            <v>N</v>
          </cell>
          <cell r="E180" t="str">
            <v>C</v>
          </cell>
          <cell r="F180" t="str">
            <v>12/02/1999</v>
          </cell>
        </row>
        <row r="181">
          <cell r="B181" t="str">
            <v>10846</v>
          </cell>
          <cell r="C181" t="str">
            <v>UEC</v>
          </cell>
          <cell r="D181" t="str">
            <v>N</v>
          </cell>
          <cell r="E181" t="str">
            <v>C</v>
          </cell>
          <cell r="F181" t="str">
            <v>12/02/1999</v>
          </cell>
        </row>
        <row r="182">
          <cell r="B182" t="str">
            <v>10847</v>
          </cell>
          <cell r="C182" t="str">
            <v>UEC</v>
          </cell>
          <cell r="D182" t="str">
            <v>N</v>
          </cell>
          <cell r="E182" t="str">
            <v>C</v>
          </cell>
          <cell r="F182" t="str">
            <v>12/02/1999</v>
          </cell>
        </row>
        <row r="183">
          <cell r="B183" t="str">
            <v>10854</v>
          </cell>
          <cell r="C183" t="str">
            <v>UEC</v>
          </cell>
          <cell r="D183" t="str">
            <v>N</v>
          </cell>
          <cell r="E183" t="str">
            <v>A</v>
          </cell>
          <cell r="F183" t="str">
            <v>12/08/1999</v>
          </cell>
        </row>
        <row r="184">
          <cell r="B184" t="str">
            <v>10855</v>
          </cell>
          <cell r="C184" t="str">
            <v>CIP</v>
          </cell>
          <cell r="D184" t="str">
            <v>N</v>
          </cell>
          <cell r="E184" t="str">
            <v>C</v>
          </cell>
          <cell r="F184" t="str">
            <v>12/08/1999</v>
          </cell>
        </row>
        <row r="185">
          <cell r="B185" t="str">
            <v>10859</v>
          </cell>
          <cell r="C185" t="str">
            <v>UEC</v>
          </cell>
          <cell r="D185" t="str">
            <v>N</v>
          </cell>
          <cell r="E185" t="str">
            <v>C</v>
          </cell>
          <cell r="F185" t="str">
            <v>12/14/1999</v>
          </cell>
        </row>
        <row r="186">
          <cell r="B186" t="str">
            <v>10862</v>
          </cell>
          <cell r="C186" t="str">
            <v>UEC</v>
          </cell>
          <cell r="D186" t="str">
            <v>N</v>
          </cell>
          <cell r="E186" t="str">
            <v>C</v>
          </cell>
          <cell r="F186" t="str">
            <v>12/14/1999</v>
          </cell>
        </row>
        <row r="187">
          <cell r="B187" t="str">
            <v>10863</v>
          </cell>
          <cell r="C187" t="str">
            <v>UEC</v>
          </cell>
          <cell r="D187" t="str">
            <v>N</v>
          </cell>
          <cell r="E187" t="str">
            <v>C</v>
          </cell>
          <cell r="F187" t="str">
            <v>03/21/2000</v>
          </cell>
        </row>
        <row r="188">
          <cell r="B188" t="str">
            <v>10865</v>
          </cell>
          <cell r="C188" t="str">
            <v>UEC</v>
          </cell>
          <cell r="D188" t="str">
            <v>N</v>
          </cell>
          <cell r="E188" t="str">
            <v>C</v>
          </cell>
          <cell r="F188" t="str">
            <v>12/14/1999</v>
          </cell>
        </row>
        <row r="189">
          <cell r="B189" t="str">
            <v>10870</v>
          </cell>
          <cell r="C189" t="str">
            <v>UEC</v>
          </cell>
          <cell r="D189" t="str">
            <v>N</v>
          </cell>
          <cell r="E189" t="str">
            <v>A</v>
          </cell>
          <cell r="F189" t="str">
            <v>03/22/2000</v>
          </cell>
        </row>
        <row r="190">
          <cell r="B190" t="str">
            <v>10871</v>
          </cell>
          <cell r="C190" t="str">
            <v>UEC</v>
          </cell>
          <cell r="D190" t="str">
            <v>N</v>
          </cell>
          <cell r="E190" t="str">
            <v>C</v>
          </cell>
          <cell r="F190" t="str">
            <v>03/21/2000</v>
          </cell>
        </row>
        <row r="191">
          <cell r="B191" t="str">
            <v>10874</v>
          </cell>
          <cell r="C191" t="str">
            <v>UEC</v>
          </cell>
          <cell r="D191" t="str">
            <v>N</v>
          </cell>
          <cell r="E191" t="str">
            <v>C</v>
          </cell>
          <cell r="F191" t="str">
            <v>03/24/2000</v>
          </cell>
        </row>
        <row r="192">
          <cell r="B192" t="str">
            <v>10879</v>
          </cell>
          <cell r="C192" t="str">
            <v>UEC</v>
          </cell>
          <cell r="D192" t="str">
            <v>N</v>
          </cell>
          <cell r="E192" t="str">
            <v>C</v>
          </cell>
          <cell r="F192" t="str">
            <v>05/05/2000</v>
          </cell>
        </row>
        <row r="193">
          <cell r="B193" t="str">
            <v>10883</v>
          </cell>
          <cell r="C193" t="str">
            <v>UEC</v>
          </cell>
          <cell r="D193" t="str">
            <v>N</v>
          </cell>
          <cell r="E193" t="str">
            <v>A</v>
          </cell>
          <cell r="F193" t="str">
            <v>03/29/2000</v>
          </cell>
        </row>
        <row r="194">
          <cell r="B194" t="str">
            <v>10885</v>
          </cell>
          <cell r="C194" t="str">
            <v>UEC</v>
          </cell>
          <cell r="D194" t="str">
            <v>N</v>
          </cell>
          <cell r="E194" t="str">
            <v>C</v>
          </cell>
          <cell r="F194" t="str">
            <v>03/29/2000</v>
          </cell>
        </row>
        <row r="195">
          <cell r="B195" t="str">
            <v>10887</v>
          </cell>
          <cell r="C195" t="str">
            <v>UEC</v>
          </cell>
          <cell r="D195" t="str">
            <v>N</v>
          </cell>
          <cell r="E195" t="str">
            <v>C</v>
          </cell>
          <cell r="F195" t="str">
            <v>12/27/1999</v>
          </cell>
        </row>
        <row r="196">
          <cell r="B196" t="str">
            <v>10888</v>
          </cell>
          <cell r="C196" t="str">
            <v>UEC</v>
          </cell>
          <cell r="D196" t="str">
            <v>N</v>
          </cell>
          <cell r="E196" t="str">
            <v>C</v>
          </cell>
          <cell r="F196" t="str">
            <v>01/30/2001</v>
          </cell>
        </row>
        <row r="197">
          <cell r="B197" t="str">
            <v>10890</v>
          </cell>
          <cell r="C197" t="str">
            <v>UEC</v>
          </cell>
          <cell r="D197" t="str">
            <v>N</v>
          </cell>
          <cell r="E197" t="str">
            <v>C</v>
          </cell>
          <cell r="F197" t="str">
            <v>12/29/1999</v>
          </cell>
        </row>
        <row r="198">
          <cell r="B198" t="str">
            <v>10892</v>
          </cell>
          <cell r="C198" t="str">
            <v>GEN</v>
          </cell>
          <cell r="D198" t="str">
            <v>N</v>
          </cell>
          <cell r="E198" t="str">
            <v>C</v>
          </cell>
          <cell r="F198" t="str">
            <v>01/03/2000</v>
          </cell>
        </row>
        <row r="199">
          <cell r="B199" t="str">
            <v>10895</v>
          </cell>
          <cell r="C199" t="str">
            <v>UEC</v>
          </cell>
          <cell r="D199" t="str">
            <v>N</v>
          </cell>
          <cell r="E199" t="str">
            <v>A</v>
          </cell>
          <cell r="F199" t="str">
            <v>01/04/2000</v>
          </cell>
        </row>
        <row r="200">
          <cell r="B200" t="str">
            <v>10896</v>
          </cell>
          <cell r="C200" t="str">
            <v>UEC</v>
          </cell>
          <cell r="D200" t="str">
            <v>N</v>
          </cell>
          <cell r="E200" t="str">
            <v>C</v>
          </cell>
          <cell r="F200" t="str">
            <v>01/04/2000</v>
          </cell>
        </row>
        <row r="201">
          <cell r="B201" t="str">
            <v>10898</v>
          </cell>
          <cell r="C201" t="str">
            <v>UEC</v>
          </cell>
          <cell r="D201" t="str">
            <v>N</v>
          </cell>
          <cell r="E201" t="str">
            <v>C</v>
          </cell>
          <cell r="F201" t="str">
            <v>01/05/2000</v>
          </cell>
        </row>
        <row r="202">
          <cell r="B202" t="str">
            <v>10901</v>
          </cell>
          <cell r="C202" t="str">
            <v>UEC</v>
          </cell>
          <cell r="D202" t="str">
            <v>N</v>
          </cell>
          <cell r="E202" t="str">
            <v>C</v>
          </cell>
          <cell r="F202" t="str">
            <v>01/06/2000</v>
          </cell>
        </row>
        <row r="203">
          <cell r="B203" t="str">
            <v>10902</v>
          </cell>
          <cell r="C203" t="str">
            <v>UEC</v>
          </cell>
          <cell r="D203" t="str">
            <v>N</v>
          </cell>
          <cell r="E203" t="str">
            <v>C</v>
          </cell>
          <cell r="F203" t="str">
            <v>01/06/2000</v>
          </cell>
        </row>
        <row r="204">
          <cell r="B204" t="str">
            <v>10909</v>
          </cell>
          <cell r="C204" t="str">
            <v>UEC</v>
          </cell>
          <cell r="D204" t="str">
            <v>N</v>
          </cell>
          <cell r="E204" t="str">
            <v>C</v>
          </cell>
          <cell r="F204" t="str">
            <v>01/07/2000</v>
          </cell>
        </row>
        <row r="205">
          <cell r="B205" t="str">
            <v>10912</v>
          </cell>
          <cell r="C205" t="str">
            <v>CIP</v>
          </cell>
          <cell r="D205" t="str">
            <v>N</v>
          </cell>
          <cell r="E205" t="str">
            <v>C</v>
          </cell>
          <cell r="F205" t="str">
            <v>01/10/2000</v>
          </cell>
        </row>
        <row r="206">
          <cell r="B206" t="str">
            <v>10916</v>
          </cell>
          <cell r="C206" t="str">
            <v>CIP</v>
          </cell>
          <cell r="D206" t="str">
            <v>N</v>
          </cell>
          <cell r="E206" t="str">
            <v>C</v>
          </cell>
          <cell r="F206" t="str">
            <v>01/11/2000</v>
          </cell>
        </row>
        <row r="207">
          <cell r="B207" t="str">
            <v>10924</v>
          </cell>
          <cell r="C207" t="str">
            <v>UEC</v>
          </cell>
          <cell r="D207" t="str">
            <v>N</v>
          </cell>
          <cell r="E207" t="str">
            <v>C</v>
          </cell>
          <cell r="F207" t="str">
            <v>01/13/2000</v>
          </cell>
        </row>
        <row r="208">
          <cell r="B208" t="str">
            <v>10930</v>
          </cell>
          <cell r="C208" t="str">
            <v>UEC</v>
          </cell>
          <cell r="D208" t="str">
            <v>N</v>
          </cell>
          <cell r="E208" t="str">
            <v>C</v>
          </cell>
          <cell r="F208" t="str">
            <v>01/19/2000</v>
          </cell>
        </row>
        <row r="209">
          <cell r="B209" t="str">
            <v>10935</v>
          </cell>
          <cell r="C209" t="str">
            <v>UEC</v>
          </cell>
          <cell r="D209" t="str">
            <v>N</v>
          </cell>
          <cell r="E209" t="str">
            <v>C</v>
          </cell>
          <cell r="F209" t="str">
            <v>01/20/2000</v>
          </cell>
        </row>
        <row r="210">
          <cell r="B210" t="str">
            <v>10941</v>
          </cell>
          <cell r="C210" t="str">
            <v>GEN</v>
          </cell>
          <cell r="D210" t="str">
            <v>N</v>
          </cell>
          <cell r="E210" t="str">
            <v>C</v>
          </cell>
          <cell r="F210" t="str">
            <v>01/26/2000</v>
          </cell>
        </row>
        <row r="211">
          <cell r="B211" t="str">
            <v>10942</v>
          </cell>
          <cell r="C211" t="str">
            <v>GEN</v>
          </cell>
          <cell r="D211" t="str">
            <v>N</v>
          </cell>
          <cell r="E211" t="str">
            <v>C</v>
          </cell>
          <cell r="F211" t="str">
            <v>01/26/2000</v>
          </cell>
        </row>
        <row r="212">
          <cell r="B212" t="str">
            <v>10943</v>
          </cell>
          <cell r="C212" t="str">
            <v>UEC</v>
          </cell>
          <cell r="D212" t="str">
            <v>N</v>
          </cell>
          <cell r="E212" t="str">
            <v>A</v>
          </cell>
          <cell r="F212" t="str">
            <v>01/26/2000</v>
          </cell>
        </row>
        <row r="213">
          <cell r="B213" t="str">
            <v>10944</v>
          </cell>
          <cell r="C213" t="str">
            <v>UEC</v>
          </cell>
          <cell r="D213" t="str">
            <v>N</v>
          </cell>
          <cell r="E213" t="str">
            <v>A</v>
          </cell>
          <cell r="F213" t="str">
            <v>01/26/2000</v>
          </cell>
        </row>
        <row r="214">
          <cell r="B214" t="str">
            <v>10945</v>
          </cell>
          <cell r="C214" t="str">
            <v>UEC</v>
          </cell>
          <cell r="D214" t="str">
            <v>N</v>
          </cell>
          <cell r="E214" t="str">
            <v>A</v>
          </cell>
          <cell r="F214" t="str">
            <v>01/26/2000</v>
          </cell>
        </row>
        <row r="215">
          <cell r="B215" t="str">
            <v>10946</v>
          </cell>
          <cell r="C215" t="str">
            <v>UEC</v>
          </cell>
          <cell r="D215" t="str">
            <v>N</v>
          </cell>
          <cell r="E215" t="str">
            <v>A</v>
          </cell>
          <cell r="F215" t="str">
            <v>01/26/2000</v>
          </cell>
        </row>
        <row r="216">
          <cell r="B216" t="str">
            <v>10947</v>
          </cell>
          <cell r="C216" t="str">
            <v>CIP</v>
          </cell>
          <cell r="D216" t="str">
            <v>N</v>
          </cell>
          <cell r="E216" t="str">
            <v>C</v>
          </cell>
          <cell r="F216" t="str">
            <v>01/26/2000</v>
          </cell>
        </row>
        <row r="217">
          <cell r="B217" t="str">
            <v>10951</v>
          </cell>
          <cell r="C217" t="str">
            <v>UEC</v>
          </cell>
          <cell r="D217" t="str">
            <v>N</v>
          </cell>
          <cell r="E217" t="str">
            <v>C</v>
          </cell>
          <cell r="F217" t="str">
            <v>01/31/2000</v>
          </cell>
        </row>
        <row r="218">
          <cell r="B218" t="str">
            <v>10954</v>
          </cell>
          <cell r="C218" t="str">
            <v>UEC</v>
          </cell>
          <cell r="D218" t="str">
            <v>N</v>
          </cell>
          <cell r="E218" t="str">
            <v>C</v>
          </cell>
          <cell r="F218" t="str">
            <v>02/01/2000</v>
          </cell>
        </row>
        <row r="219">
          <cell r="B219" t="str">
            <v>10955</v>
          </cell>
          <cell r="C219" t="str">
            <v>UEC</v>
          </cell>
          <cell r="D219" t="str">
            <v>N</v>
          </cell>
          <cell r="E219" t="str">
            <v>C</v>
          </cell>
          <cell r="F219" t="str">
            <v>02/01/2000</v>
          </cell>
        </row>
        <row r="220">
          <cell r="B220" t="str">
            <v>10960</v>
          </cell>
          <cell r="C220" t="str">
            <v>UEC</v>
          </cell>
          <cell r="D220" t="str">
            <v>N</v>
          </cell>
          <cell r="E220" t="str">
            <v>C</v>
          </cell>
          <cell r="F220" t="str">
            <v>02/07/2000</v>
          </cell>
        </row>
        <row r="221">
          <cell r="B221" t="str">
            <v>10966</v>
          </cell>
          <cell r="C221" t="str">
            <v>UEC</v>
          </cell>
          <cell r="D221" t="str">
            <v>N</v>
          </cell>
          <cell r="E221" t="str">
            <v>C</v>
          </cell>
          <cell r="F221" t="str">
            <v>02/08/2000</v>
          </cell>
        </row>
        <row r="222">
          <cell r="B222" t="str">
            <v>10967</v>
          </cell>
          <cell r="C222" t="str">
            <v>CIP</v>
          </cell>
          <cell r="D222" t="str">
            <v>N</v>
          </cell>
          <cell r="E222" t="str">
            <v>C</v>
          </cell>
          <cell r="F222" t="str">
            <v>02/08/2000</v>
          </cell>
        </row>
        <row r="223">
          <cell r="B223" t="str">
            <v>10968</v>
          </cell>
          <cell r="C223" t="str">
            <v>CIP</v>
          </cell>
          <cell r="D223" t="str">
            <v>N</v>
          </cell>
          <cell r="E223" t="str">
            <v>C</v>
          </cell>
          <cell r="F223" t="str">
            <v>04/04/2000</v>
          </cell>
        </row>
        <row r="224">
          <cell r="B224" t="str">
            <v>10969</v>
          </cell>
          <cell r="C224" t="str">
            <v>UEC</v>
          </cell>
          <cell r="D224" t="str">
            <v>N</v>
          </cell>
          <cell r="E224" t="str">
            <v>C</v>
          </cell>
          <cell r="F224" t="str">
            <v>02/09/2000</v>
          </cell>
        </row>
        <row r="225">
          <cell r="B225" t="str">
            <v>10970</v>
          </cell>
          <cell r="C225" t="str">
            <v>GEN</v>
          </cell>
          <cell r="D225" t="str">
            <v>N</v>
          </cell>
          <cell r="E225" t="str">
            <v>C</v>
          </cell>
          <cell r="F225" t="str">
            <v>02/10/2000</v>
          </cell>
        </row>
        <row r="226">
          <cell r="B226" t="str">
            <v>10971</v>
          </cell>
          <cell r="C226" t="str">
            <v>GEN</v>
          </cell>
          <cell r="D226" t="str">
            <v>N</v>
          </cell>
          <cell r="E226" t="str">
            <v>C</v>
          </cell>
          <cell r="F226" t="str">
            <v>02/10/2000</v>
          </cell>
        </row>
        <row r="227">
          <cell r="B227" t="str">
            <v>10972</v>
          </cell>
          <cell r="C227" t="str">
            <v>UEC</v>
          </cell>
          <cell r="D227" t="str">
            <v>N</v>
          </cell>
          <cell r="E227" t="str">
            <v>C</v>
          </cell>
          <cell r="F227" t="str">
            <v>02/11/2000</v>
          </cell>
        </row>
        <row r="228">
          <cell r="B228" t="str">
            <v>10973</v>
          </cell>
          <cell r="C228" t="str">
            <v>UEC</v>
          </cell>
          <cell r="D228" t="str">
            <v>N</v>
          </cell>
          <cell r="E228" t="str">
            <v>C</v>
          </cell>
          <cell r="F228" t="str">
            <v>02/11/2000</v>
          </cell>
        </row>
        <row r="229">
          <cell r="B229" t="str">
            <v>10975</v>
          </cell>
          <cell r="C229" t="str">
            <v>UEC</v>
          </cell>
          <cell r="D229" t="str">
            <v>N</v>
          </cell>
          <cell r="E229" t="str">
            <v>C</v>
          </cell>
          <cell r="F229" t="str">
            <v>02/14/2000</v>
          </cell>
        </row>
        <row r="230">
          <cell r="B230" t="str">
            <v>10976</v>
          </cell>
          <cell r="C230" t="str">
            <v>GEN</v>
          </cell>
          <cell r="D230" t="str">
            <v>N</v>
          </cell>
          <cell r="E230" t="str">
            <v>C</v>
          </cell>
          <cell r="F230" t="str">
            <v>01/30/2001</v>
          </cell>
        </row>
        <row r="231">
          <cell r="B231" t="str">
            <v>10985</v>
          </cell>
          <cell r="C231" t="str">
            <v>GEN</v>
          </cell>
          <cell r="D231" t="str">
            <v>N</v>
          </cell>
          <cell r="E231" t="str">
            <v>A</v>
          </cell>
          <cell r="F231" t="str">
            <v>02/17/2000</v>
          </cell>
        </row>
        <row r="232">
          <cell r="B232" t="str">
            <v>10989</v>
          </cell>
          <cell r="C232" t="str">
            <v>UEC</v>
          </cell>
          <cell r="D232" t="str">
            <v>N</v>
          </cell>
          <cell r="E232" t="str">
            <v>C</v>
          </cell>
          <cell r="F232" t="str">
            <v>02/18/2000</v>
          </cell>
        </row>
        <row r="233">
          <cell r="B233" t="str">
            <v>10990</v>
          </cell>
          <cell r="C233" t="str">
            <v>UEC</v>
          </cell>
          <cell r="D233" t="str">
            <v>N</v>
          </cell>
          <cell r="E233" t="str">
            <v>C</v>
          </cell>
          <cell r="F233" t="str">
            <v>04/04/2000</v>
          </cell>
        </row>
        <row r="234">
          <cell r="B234" t="str">
            <v>10992</v>
          </cell>
          <cell r="C234" t="str">
            <v>UEC</v>
          </cell>
          <cell r="D234" t="str">
            <v>N</v>
          </cell>
          <cell r="E234" t="str">
            <v>C</v>
          </cell>
          <cell r="F234" t="str">
            <v>02/22/2000</v>
          </cell>
        </row>
        <row r="235">
          <cell r="B235" t="str">
            <v>10996</v>
          </cell>
          <cell r="C235"/>
          <cell r="D235"/>
          <cell r="E235"/>
          <cell r="F235"/>
        </row>
        <row r="236">
          <cell r="B236" t="str">
            <v>10997</v>
          </cell>
          <cell r="C236" t="str">
            <v>UEC</v>
          </cell>
          <cell r="D236" t="str">
            <v>N</v>
          </cell>
          <cell r="E236" t="str">
            <v>A</v>
          </cell>
          <cell r="F236" t="str">
            <v>02/23/2000</v>
          </cell>
        </row>
        <row r="237">
          <cell r="B237" t="str">
            <v>10999</v>
          </cell>
          <cell r="C237" t="str">
            <v>CIP</v>
          </cell>
          <cell r="D237" t="str">
            <v>N</v>
          </cell>
          <cell r="E237" t="str">
            <v>C</v>
          </cell>
          <cell r="F237" t="str">
            <v>02/23/2000</v>
          </cell>
        </row>
        <row r="238">
          <cell r="B238" t="str">
            <v>11000</v>
          </cell>
          <cell r="C238" t="str">
            <v>UEC</v>
          </cell>
          <cell r="D238" t="str">
            <v>N</v>
          </cell>
          <cell r="E238" t="str">
            <v>C</v>
          </cell>
          <cell r="F238" t="str">
            <v>02/23/2000</v>
          </cell>
        </row>
        <row r="239">
          <cell r="B239" t="str">
            <v>11005</v>
          </cell>
          <cell r="C239" t="str">
            <v>UEC</v>
          </cell>
          <cell r="D239" t="str">
            <v>N</v>
          </cell>
          <cell r="E239" t="str">
            <v>C</v>
          </cell>
          <cell r="F239" t="str">
            <v>10/02/2000</v>
          </cell>
        </row>
        <row r="240">
          <cell r="B240" t="str">
            <v>11007</v>
          </cell>
          <cell r="C240" t="str">
            <v>UEC</v>
          </cell>
          <cell r="D240" t="str">
            <v>N</v>
          </cell>
          <cell r="E240" t="str">
            <v>A</v>
          </cell>
          <cell r="F240" t="str">
            <v>02/28/2000</v>
          </cell>
        </row>
        <row r="241">
          <cell r="B241" t="str">
            <v>11014</v>
          </cell>
          <cell r="C241" t="str">
            <v>UEC</v>
          </cell>
          <cell r="D241" t="str">
            <v>N</v>
          </cell>
          <cell r="E241" t="str">
            <v>C</v>
          </cell>
          <cell r="F241" t="str">
            <v>04/07/2000</v>
          </cell>
        </row>
        <row r="242">
          <cell r="B242" t="str">
            <v>11025</v>
          </cell>
          <cell r="C242" t="str">
            <v>UEC</v>
          </cell>
          <cell r="D242" t="str">
            <v>N</v>
          </cell>
          <cell r="E242" t="str">
            <v>C</v>
          </cell>
          <cell r="F242" t="str">
            <v>04/13/2000</v>
          </cell>
        </row>
        <row r="243">
          <cell r="B243" t="str">
            <v>11026</v>
          </cell>
          <cell r="C243" t="str">
            <v>GEN</v>
          </cell>
          <cell r="D243" t="str">
            <v>N</v>
          </cell>
          <cell r="E243" t="str">
            <v>C</v>
          </cell>
          <cell r="F243" t="str">
            <v>04/13/2000</v>
          </cell>
        </row>
        <row r="244">
          <cell r="B244" t="str">
            <v>11033</v>
          </cell>
          <cell r="C244" t="str">
            <v>GEN</v>
          </cell>
          <cell r="D244" t="str">
            <v>N</v>
          </cell>
          <cell r="E244" t="str">
            <v>C</v>
          </cell>
          <cell r="F244" t="str">
            <v>04/17/2000</v>
          </cell>
        </row>
        <row r="245">
          <cell r="B245" t="str">
            <v>11035</v>
          </cell>
          <cell r="C245" t="str">
            <v>UEC</v>
          </cell>
          <cell r="D245" t="str">
            <v>N</v>
          </cell>
          <cell r="E245" t="str">
            <v>C</v>
          </cell>
          <cell r="F245" t="str">
            <v>04/18/2000</v>
          </cell>
        </row>
        <row r="246">
          <cell r="B246" t="str">
            <v>11038</v>
          </cell>
          <cell r="C246" t="str">
            <v>UEC</v>
          </cell>
          <cell r="D246" t="str">
            <v>N</v>
          </cell>
          <cell r="E246" t="str">
            <v>C</v>
          </cell>
          <cell r="F246" t="str">
            <v>04/24/2000</v>
          </cell>
        </row>
        <row r="247">
          <cell r="B247" t="str">
            <v>11047</v>
          </cell>
          <cell r="C247" t="str">
            <v>UEC</v>
          </cell>
          <cell r="D247" t="str">
            <v>N</v>
          </cell>
          <cell r="E247" t="str">
            <v>C</v>
          </cell>
          <cell r="F247" t="str">
            <v>04/25/2000</v>
          </cell>
        </row>
        <row r="248">
          <cell r="B248" t="str">
            <v>11055</v>
          </cell>
          <cell r="C248" t="str">
            <v>UEC</v>
          </cell>
          <cell r="D248" t="str">
            <v>N</v>
          </cell>
          <cell r="E248" t="str">
            <v>C</v>
          </cell>
          <cell r="F248" t="str">
            <v>04/28/2000</v>
          </cell>
        </row>
        <row r="249">
          <cell r="B249" t="str">
            <v>11057</v>
          </cell>
          <cell r="C249" t="str">
            <v>UEC</v>
          </cell>
          <cell r="D249" t="str">
            <v>N</v>
          </cell>
          <cell r="E249" t="str">
            <v>C</v>
          </cell>
          <cell r="F249" t="str">
            <v>05/19/2000</v>
          </cell>
        </row>
        <row r="250">
          <cell r="B250" t="str">
            <v>11060</v>
          </cell>
          <cell r="C250" t="str">
            <v>UEC</v>
          </cell>
          <cell r="D250" t="str">
            <v>N</v>
          </cell>
          <cell r="E250" t="str">
            <v>A</v>
          </cell>
          <cell r="F250" t="str">
            <v>10/02/2000</v>
          </cell>
        </row>
        <row r="251">
          <cell r="B251" t="str">
            <v>11063</v>
          </cell>
          <cell r="C251" t="str">
            <v>UEC</v>
          </cell>
          <cell r="D251" t="str">
            <v>N</v>
          </cell>
          <cell r="E251" t="str">
            <v>I</v>
          </cell>
          <cell r="F251" t="str">
            <v>05/24/2000</v>
          </cell>
        </row>
        <row r="252">
          <cell r="B252" t="str">
            <v>11068</v>
          </cell>
          <cell r="C252" t="str">
            <v>UEC</v>
          </cell>
          <cell r="D252" t="str">
            <v>N</v>
          </cell>
          <cell r="E252" t="str">
            <v>C</v>
          </cell>
          <cell r="F252" t="str">
            <v>05/26/2000</v>
          </cell>
        </row>
        <row r="253">
          <cell r="B253" t="str">
            <v>11073</v>
          </cell>
          <cell r="C253" t="str">
            <v>UEC</v>
          </cell>
          <cell r="D253" t="str">
            <v>N</v>
          </cell>
          <cell r="E253" t="str">
            <v>C</v>
          </cell>
          <cell r="F253" t="str">
            <v>05/31/2000</v>
          </cell>
        </row>
        <row r="254">
          <cell r="B254" t="str">
            <v>11074</v>
          </cell>
          <cell r="C254" t="str">
            <v>UEC</v>
          </cell>
          <cell r="D254" t="str">
            <v>N</v>
          </cell>
          <cell r="E254" t="str">
            <v>C</v>
          </cell>
          <cell r="F254" t="str">
            <v>05/31/2000</v>
          </cell>
        </row>
        <row r="255">
          <cell r="B255" t="str">
            <v>11075</v>
          </cell>
          <cell r="C255" t="str">
            <v>GEN</v>
          </cell>
          <cell r="D255" t="str">
            <v>N</v>
          </cell>
          <cell r="E255" t="str">
            <v>C</v>
          </cell>
          <cell r="F255" t="str">
            <v>06/01/2000</v>
          </cell>
        </row>
        <row r="256">
          <cell r="B256" t="str">
            <v>11080</v>
          </cell>
          <cell r="C256" t="str">
            <v>UEC</v>
          </cell>
          <cell r="D256" t="str">
            <v>N</v>
          </cell>
          <cell r="E256" t="str">
            <v>C</v>
          </cell>
          <cell r="F256" t="str">
            <v>06/12/2000</v>
          </cell>
        </row>
        <row r="257">
          <cell r="B257" t="str">
            <v>11084</v>
          </cell>
          <cell r="C257" t="str">
            <v>UEC</v>
          </cell>
          <cell r="D257" t="str">
            <v>N</v>
          </cell>
          <cell r="E257" t="str">
            <v>C</v>
          </cell>
          <cell r="F257" t="str">
            <v>06/12/2000</v>
          </cell>
        </row>
        <row r="258">
          <cell r="B258" t="str">
            <v>11099</v>
          </cell>
          <cell r="C258" t="str">
            <v>UEC</v>
          </cell>
          <cell r="D258" t="str">
            <v>N</v>
          </cell>
          <cell r="E258" t="str">
            <v>C</v>
          </cell>
          <cell r="F258" t="str">
            <v>08/07/2000</v>
          </cell>
        </row>
        <row r="259">
          <cell r="B259" t="str">
            <v>11107</v>
          </cell>
          <cell r="C259" t="str">
            <v>UEC</v>
          </cell>
          <cell r="D259" t="str">
            <v>N</v>
          </cell>
          <cell r="E259" t="str">
            <v>A</v>
          </cell>
          <cell r="F259" t="str">
            <v>06/19/2000</v>
          </cell>
        </row>
        <row r="260">
          <cell r="B260" t="str">
            <v>11108</v>
          </cell>
          <cell r="C260" t="str">
            <v>UEC</v>
          </cell>
          <cell r="D260" t="str">
            <v>N</v>
          </cell>
          <cell r="E260" t="str">
            <v>C</v>
          </cell>
          <cell r="F260" t="str">
            <v>06/19/2000</v>
          </cell>
        </row>
        <row r="261">
          <cell r="B261" t="str">
            <v>11109</v>
          </cell>
          <cell r="C261" t="str">
            <v>UEC</v>
          </cell>
          <cell r="D261" t="str">
            <v>N</v>
          </cell>
          <cell r="E261" t="str">
            <v>A</v>
          </cell>
          <cell r="F261" t="str">
            <v>06/19/2000</v>
          </cell>
        </row>
        <row r="262">
          <cell r="B262" t="str">
            <v>11112</v>
          </cell>
          <cell r="C262" t="str">
            <v>UEC</v>
          </cell>
          <cell r="D262" t="str">
            <v>N</v>
          </cell>
          <cell r="E262" t="str">
            <v>C</v>
          </cell>
          <cell r="F262" t="str">
            <v>03/13/2001</v>
          </cell>
        </row>
        <row r="263">
          <cell r="B263" t="str">
            <v>11117</v>
          </cell>
          <cell r="C263" t="str">
            <v>CIP</v>
          </cell>
          <cell r="D263" t="str">
            <v>N</v>
          </cell>
          <cell r="E263" t="str">
            <v>C</v>
          </cell>
          <cell r="F263" t="str">
            <v>06/22/2000</v>
          </cell>
        </row>
        <row r="264">
          <cell r="B264" t="str">
            <v>11126</v>
          </cell>
          <cell r="C264" t="str">
            <v>UEC</v>
          </cell>
          <cell r="D264" t="str">
            <v>N</v>
          </cell>
          <cell r="E264" t="str">
            <v>C</v>
          </cell>
          <cell r="F264" t="str">
            <v>06/29/2000</v>
          </cell>
        </row>
        <row r="265">
          <cell r="B265" t="str">
            <v>11127</v>
          </cell>
          <cell r="C265" t="str">
            <v>UEC</v>
          </cell>
          <cell r="D265" t="str">
            <v>N</v>
          </cell>
          <cell r="E265" t="str">
            <v>C</v>
          </cell>
          <cell r="F265" t="str">
            <v>06/29/2000</v>
          </cell>
        </row>
        <row r="266">
          <cell r="B266" t="str">
            <v>11128</v>
          </cell>
          <cell r="C266" t="str">
            <v>UEC</v>
          </cell>
          <cell r="D266" t="str">
            <v>N</v>
          </cell>
          <cell r="E266" t="str">
            <v>C</v>
          </cell>
          <cell r="F266" t="str">
            <v>06/30/2000</v>
          </cell>
        </row>
        <row r="267">
          <cell r="B267" t="str">
            <v>11129</v>
          </cell>
          <cell r="C267" t="str">
            <v>UEC</v>
          </cell>
          <cell r="D267" t="str">
            <v>N</v>
          </cell>
          <cell r="E267" t="str">
            <v>C</v>
          </cell>
          <cell r="F267" t="str">
            <v>07/05/2000</v>
          </cell>
        </row>
        <row r="268">
          <cell r="B268" t="str">
            <v>11130</v>
          </cell>
          <cell r="C268" t="str">
            <v>CIP</v>
          </cell>
          <cell r="D268" t="str">
            <v>N</v>
          </cell>
          <cell r="E268" t="str">
            <v>C</v>
          </cell>
          <cell r="F268" t="str">
            <v>07/05/2000</v>
          </cell>
        </row>
        <row r="269">
          <cell r="B269" t="str">
            <v>11131</v>
          </cell>
          <cell r="C269" t="str">
            <v>GEN</v>
          </cell>
          <cell r="D269" t="str">
            <v>N</v>
          </cell>
          <cell r="E269" t="str">
            <v>C</v>
          </cell>
          <cell r="F269" t="str">
            <v>07/05/2000</v>
          </cell>
        </row>
        <row r="270">
          <cell r="B270" t="str">
            <v>11135</v>
          </cell>
          <cell r="C270" t="str">
            <v>GEN</v>
          </cell>
          <cell r="D270" t="str">
            <v>N</v>
          </cell>
          <cell r="E270" t="str">
            <v>C</v>
          </cell>
          <cell r="F270" t="str">
            <v>07/05/2000</v>
          </cell>
        </row>
        <row r="271">
          <cell r="B271" t="str">
            <v>11136</v>
          </cell>
          <cell r="C271" t="str">
            <v>GEN</v>
          </cell>
          <cell r="D271" t="str">
            <v>N</v>
          </cell>
          <cell r="E271" t="str">
            <v>C</v>
          </cell>
          <cell r="F271" t="str">
            <v>07/05/2000</v>
          </cell>
        </row>
        <row r="272">
          <cell r="B272" t="str">
            <v>11137</v>
          </cell>
          <cell r="C272" t="str">
            <v>GEN</v>
          </cell>
          <cell r="D272" t="str">
            <v>N</v>
          </cell>
          <cell r="E272" t="str">
            <v>C</v>
          </cell>
          <cell r="F272" t="str">
            <v>07/05/2000</v>
          </cell>
        </row>
        <row r="273">
          <cell r="B273" t="str">
            <v>11138</v>
          </cell>
          <cell r="C273" t="str">
            <v>GEN</v>
          </cell>
          <cell r="D273" t="str">
            <v>N</v>
          </cell>
          <cell r="E273" t="str">
            <v>C</v>
          </cell>
          <cell r="F273" t="str">
            <v>07/05/2000</v>
          </cell>
        </row>
        <row r="274">
          <cell r="B274" t="str">
            <v>11142</v>
          </cell>
          <cell r="C274" t="str">
            <v>UEC</v>
          </cell>
          <cell r="D274" t="str">
            <v>N</v>
          </cell>
          <cell r="E274" t="str">
            <v>C</v>
          </cell>
          <cell r="F274" t="str">
            <v>07/06/2000</v>
          </cell>
        </row>
        <row r="275">
          <cell r="B275" t="str">
            <v>11143</v>
          </cell>
          <cell r="C275" t="str">
            <v>UEC</v>
          </cell>
          <cell r="D275" t="str">
            <v>N</v>
          </cell>
          <cell r="E275" t="str">
            <v>C</v>
          </cell>
          <cell r="F275" t="str">
            <v>08/08/2000</v>
          </cell>
        </row>
        <row r="276">
          <cell r="B276" t="str">
            <v>11144</v>
          </cell>
          <cell r="C276" t="str">
            <v>UEC</v>
          </cell>
          <cell r="D276" t="str">
            <v>N</v>
          </cell>
          <cell r="E276" t="str">
            <v>C</v>
          </cell>
          <cell r="F276" t="str">
            <v>08/08/2000</v>
          </cell>
        </row>
        <row r="277">
          <cell r="B277" t="str">
            <v>11150</v>
          </cell>
          <cell r="C277" t="str">
            <v>CIP</v>
          </cell>
          <cell r="D277" t="str">
            <v>N</v>
          </cell>
          <cell r="E277" t="str">
            <v>C</v>
          </cell>
          <cell r="F277" t="str">
            <v>11/08/2000</v>
          </cell>
        </row>
        <row r="278">
          <cell r="B278" t="str">
            <v>11152</v>
          </cell>
          <cell r="C278" t="str">
            <v>UEC</v>
          </cell>
          <cell r="D278" t="str">
            <v>N</v>
          </cell>
          <cell r="E278" t="str">
            <v>I</v>
          </cell>
          <cell r="F278" t="str">
            <v>08/01/2002</v>
          </cell>
        </row>
        <row r="279">
          <cell r="B279" t="str">
            <v>11159</v>
          </cell>
          <cell r="C279" t="str">
            <v>CIP</v>
          </cell>
          <cell r="D279" t="str">
            <v>N</v>
          </cell>
          <cell r="E279" t="str">
            <v>A</v>
          </cell>
          <cell r="F279" t="str">
            <v>11/08/2000</v>
          </cell>
        </row>
        <row r="280">
          <cell r="B280" t="str">
            <v>11166</v>
          </cell>
          <cell r="C280" t="str">
            <v>UEC</v>
          </cell>
          <cell r="D280" t="str">
            <v>N</v>
          </cell>
          <cell r="E280" t="str">
            <v>A</v>
          </cell>
          <cell r="F280" t="str">
            <v>08/05/2002</v>
          </cell>
        </row>
        <row r="281">
          <cell r="B281" t="str">
            <v>11167</v>
          </cell>
          <cell r="C281" t="str">
            <v>UEC</v>
          </cell>
          <cell r="D281" t="str">
            <v>N</v>
          </cell>
          <cell r="E281" t="str">
            <v>C</v>
          </cell>
          <cell r="F281" t="str">
            <v>10/16/2000</v>
          </cell>
        </row>
        <row r="282">
          <cell r="B282" t="str">
            <v>11179</v>
          </cell>
          <cell r="C282" t="str">
            <v>CIP</v>
          </cell>
          <cell r="D282" t="str">
            <v>N</v>
          </cell>
          <cell r="E282" t="str">
            <v>C</v>
          </cell>
          <cell r="F282" t="str">
            <v>11/20/2000</v>
          </cell>
        </row>
        <row r="283">
          <cell r="B283" t="str">
            <v>11191</v>
          </cell>
          <cell r="C283" t="str">
            <v>CIP</v>
          </cell>
          <cell r="D283" t="str">
            <v>N</v>
          </cell>
          <cell r="E283" t="str">
            <v>C</v>
          </cell>
          <cell r="F283" t="str">
            <v>11/21/2000</v>
          </cell>
        </row>
        <row r="284">
          <cell r="B284" t="str">
            <v>11192</v>
          </cell>
          <cell r="C284" t="str">
            <v>CIP</v>
          </cell>
          <cell r="D284" t="str">
            <v>N</v>
          </cell>
          <cell r="E284" t="str">
            <v>C</v>
          </cell>
          <cell r="F284" t="str">
            <v>11/21/2000</v>
          </cell>
        </row>
        <row r="285">
          <cell r="B285" t="str">
            <v>11202</v>
          </cell>
          <cell r="C285" t="str">
            <v>CIP</v>
          </cell>
          <cell r="D285" t="str">
            <v>N</v>
          </cell>
          <cell r="E285" t="str">
            <v>C</v>
          </cell>
          <cell r="F285" t="str">
            <v>11/27/2000</v>
          </cell>
        </row>
        <row r="286">
          <cell r="B286" t="str">
            <v>11203</v>
          </cell>
          <cell r="C286" t="str">
            <v>CIP</v>
          </cell>
          <cell r="D286" t="str">
            <v>N</v>
          </cell>
          <cell r="E286" t="str">
            <v>C</v>
          </cell>
          <cell r="F286" t="str">
            <v>11/21/2000</v>
          </cell>
        </row>
        <row r="287">
          <cell r="B287" t="str">
            <v>11211</v>
          </cell>
          <cell r="C287" t="str">
            <v>UEC</v>
          </cell>
          <cell r="D287" t="str">
            <v>N</v>
          </cell>
          <cell r="E287" t="str">
            <v>C</v>
          </cell>
          <cell r="F287" t="str">
            <v>08/11/2000</v>
          </cell>
        </row>
        <row r="288">
          <cell r="B288" t="str">
            <v>11216</v>
          </cell>
          <cell r="C288" t="str">
            <v>UEC</v>
          </cell>
          <cell r="D288" t="str">
            <v>N</v>
          </cell>
          <cell r="E288" t="str">
            <v>A</v>
          </cell>
          <cell r="F288" t="str">
            <v>11/20/2000</v>
          </cell>
        </row>
        <row r="289">
          <cell r="B289" t="str">
            <v>11225</v>
          </cell>
          <cell r="C289" t="str">
            <v>UEC</v>
          </cell>
          <cell r="D289" t="str">
            <v>N</v>
          </cell>
          <cell r="E289" t="str">
            <v>C</v>
          </cell>
          <cell r="F289" t="str">
            <v>11/13/2000</v>
          </cell>
        </row>
        <row r="290">
          <cell r="B290" t="str">
            <v>11229</v>
          </cell>
          <cell r="C290" t="str">
            <v>UEC</v>
          </cell>
          <cell r="D290" t="str">
            <v>N</v>
          </cell>
          <cell r="E290" t="str">
            <v>A</v>
          </cell>
          <cell r="F290" t="str">
            <v>11/14/2000</v>
          </cell>
        </row>
        <row r="291">
          <cell r="B291" t="str">
            <v>11243</v>
          </cell>
          <cell r="C291" t="str">
            <v>UEC</v>
          </cell>
          <cell r="D291" t="str">
            <v>N</v>
          </cell>
          <cell r="E291" t="str">
            <v>C</v>
          </cell>
          <cell r="F291" t="str">
            <v>01/22/2002</v>
          </cell>
        </row>
        <row r="292">
          <cell r="B292" t="str">
            <v>11245</v>
          </cell>
          <cell r="C292" t="str">
            <v>UEC</v>
          </cell>
          <cell r="D292" t="str">
            <v>Y</v>
          </cell>
          <cell r="E292" t="str">
            <v>C</v>
          </cell>
          <cell r="F292" t="str">
            <v>07/13/2001</v>
          </cell>
        </row>
        <row r="293">
          <cell r="B293" t="str">
            <v>11258</v>
          </cell>
          <cell r="C293" t="str">
            <v>CIP</v>
          </cell>
          <cell r="D293" t="str">
            <v>N</v>
          </cell>
          <cell r="E293" t="str">
            <v>C</v>
          </cell>
          <cell r="F293" t="str">
            <v>03/13/2001</v>
          </cell>
        </row>
        <row r="294">
          <cell r="B294" t="str">
            <v>11280</v>
          </cell>
          <cell r="C294" t="str">
            <v>CIP</v>
          </cell>
          <cell r="D294" t="str">
            <v>N</v>
          </cell>
          <cell r="E294" t="str">
            <v>C</v>
          </cell>
          <cell r="F294" t="str">
            <v>11/22/2000</v>
          </cell>
        </row>
        <row r="295">
          <cell r="B295" t="str">
            <v>11291</v>
          </cell>
          <cell r="C295" t="str">
            <v>UEC</v>
          </cell>
          <cell r="D295" t="str">
            <v>N</v>
          </cell>
          <cell r="E295" t="str">
            <v>C</v>
          </cell>
          <cell r="F295" t="str">
            <v>10/04/2000</v>
          </cell>
        </row>
        <row r="296">
          <cell r="B296" t="str">
            <v>11295</v>
          </cell>
          <cell r="C296" t="str">
            <v>UEC</v>
          </cell>
          <cell r="D296" t="str">
            <v>N</v>
          </cell>
          <cell r="E296" t="str">
            <v>C</v>
          </cell>
          <cell r="F296" t="str">
            <v>11/24/2000</v>
          </cell>
        </row>
        <row r="297">
          <cell r="B297" t="str">
            <v>11299</v>
          </cell>
          <cell r="C297" t="str">
            <v>UEC</v>
          </cell>
          <cell r="D297" t="str">
            <v>N</v>
          </cell>
          <cell r="E297" t="str">
            <v>C</v>
          </cell>
          <cell r="F297" t="str">
            <v>03/01/2001</v>
          </cell>
        </row>
        <row r="298">
          <cell r="B298" t="str">
            <v>11303</v>
          </cell>
          <cell r="C298" t="str">
            <v>UEC</v>
          </cell>
          <cell r="D298" t="str">
            <v>N</v>
          </cell>
          <cell r="E298" t="str">
            <v>A</v>
          </cell>
          <cell r="F298" t="str">
            <v>03/01/2001</v>
          </cell>
        </row>
        <row r="299">
          <cell r="B299" t="str">
            <v>11304</v>
          </cell>
          <cell r="C299" t="str">
            <v>UEC</v>
          </cell>
          <cell r="D299" t="str">
            <v>N</v>
          </cell>
          <cell r="E299" t="str">
            <v>A</v>
          </cell>
          <cell r="F299" t="str">
            <v>03/07/2001</v>
          </cell>
        </row>
        <row r="300">
          <cell r="B300" t="str">
            <v>11305</v>
          </cell>
          <cell r="C300" t="str">
            <v>UEC</v>
          </cell>
          <cell r="D300" t="str">
            <v>N</v>
          </cell>
          <cell r="E300" t="str">
            <v>A</v>
          </cell>
          <cell r="F300" t="str">
            <v>03/26/2001</v>
          </cell>
        </row>
        <row r="301">
          <cell r="B301" t="str">
            <v>11306</v>
          </cell>
          <cell r="C301" t="str">
            <v>UEC</v>
          </cell>
          <cell r="D301" t="str">
            <v>N</v>
          </cell>
          <cell r="E301" t="str">
            <v>A</v>
          </cell>
          <cell r="F301" t="str">
            <v>10/19/2000</v>
          </cell>
        </row>
        <row r="302">
          <cell r="B302" t="str">
            <v>11323</v>
          </cell>
          <cell r="C302" t="str">
            <v>CIP</v>
          </cell>
          <cell r="D302" t="str">
            <v>N</v>
          </cell>
          <cell r="E302" t="str">
            <v>I</v>
          </cell>
          <cell r="F302" t="str">
            <v>08/21/2000</v>
          </cell>
        </row>
        <row r="303">
          <cell r="B303" t="str">
            <v>11341</v>
          </cell>
          <cell r="C303" t="str">
            <v>UEC</v>
          </cell>
          <cell r="D303" t="str">
            <v>N</v>
          </cell>
          <cell r="E303" t="str">
            <v>C</v>
          </cell>
          <cell r="F303" t="str">
            <v>10/10/2000</v>
          </cell>
        </row>
        <row r="304">
          <cell r="B304" t="str">
            <v>11344</v>
          </cell>
          <cell r="C304" t="str">
            <v>UEC</v>
          </cell>
          <cell r="D304" t="str">
            <v>N</v>
          </cell>
          <cell r="E304" t="str">
            <v>C</v>
          </cell>
          <cell r="F304" t="str">
            <v>08/22/2000</v>
          </cell>
        </row>
        <row r="305">
          <cell r="B305" t="str">
            <v>11346</v>
          </cell>
          <cell r="C305" t="str">
            <v>CIP</v>
          </cell>
          <cell r="D305" t="str">
            <v>N</v>
          </cell>
          <cell r="E305" t="str">
            <v>A</v>
          </cell>
          <cell r="F305" t="str">
            <v>04/11/2003</v>
          </cell>
        </row>
        <row r="306">
          <cell r="B306" t="str">
            <v>11347</v>
          </cell>
          <cell r="C306" t="str">
            <v>UEC</v>
          </cell>
          <cell r="D306" t="str">
            <v>Y</v>
          </cell>
          <cell r="E306" t="str">
            <v>C</v>
          </cell>
          <cell r="F306" t="str">
            <v>07/13/2001</v>
          </cell>
        </row>
        <row r="307">
          <cell r="B307" t="str">
            <v>11348</v>
          </cell>
          <cell r="C307" t="str">
            <v>CIP</v>
          </cell>
          <cell r="D307" t="str">
            <v>N</v>
          </cell>
          <cell r="E307" t="str">
            <v>C</v>
          </cell>
          <cell r="F307" t="str">
            <v>03/15/2001</v>
          </cell>
        </row>
        <row r="308">
          <cell r="B308" t="str">
            <v>11351</v>
          </cell>
          <cell r="C308" t="str">
            <v>UEC</v>
          </cell>
          <cell r="D308" t="str">
            <v>N</v>
          </cell>
          <cell r="E308" t="str">
            <v>C</v>
          </cell>
          <cell r="F308" t="str">
            <v>09/15/2000</v>
          </cell>
        </row>
        <row r="309">
          <cell r="B309" t="str">
            <v>11354</v>
          </cell>
          <cell r="C309" t="str">
            <v>UEC</v>
          </cell>
          <cell r="D309" t="str">
            <v>N</v>
          </cell>
          <cell r="E309" t="str">
            <v>A</v>
          </cell>
          <cell r="F309" t="str">
            <v>06/13/2001</v>
          </cell>
        </row>
        <row r="310">
          <cell r="B310" t="str">
            <v>11358</v>
          </cell>
          <cell r="C310" t="str">
            <v>UEC</v>
          </cell>
          <cell r="D310" t="str">
            <v>N</v>
          </cell>
          <cell r="E310" t="str">
            <v>C</v>
          </cell>
          <cell r="F310" t="str">
            <v>02/01/2001</v>
          </cell>
        </row>
        <row r="311">
          <cell r="B311" t="str">
            <v>11363</v>
          </cell>
          <cell r="C311" t="str">
            <v>UEC</v>
          </cell>
          <cell r="D311" t="str">
            <v>N</v>
          </cell>
          <cell r="E311" t="str">
            <v>A</v>
          </cell>
          <cell r="F311" t="str">
            <v>12/27/2001</v>
          </cell>
        </row>
        <row r="312">
          <cell r="B312" t="str">
            <v>11366</v>
          </cell>
          <cell r="C312" t="str">
            <v>CIP</v>
          </cell>
          <cell r="D312" t="str">
            <v>N</v>
          </cell>
          <cell r="E312" t="str">
            <v>C</v>
          </cell>
          <cell r="F312" t="str">
            <v>09/08/2000</v>
          </cell>
        </row>
        <row r="313">
          <cell r="B313" t="str">
            <v>11367</v>
          </cell>
          <cell r="C313" t="str">
            <v>UEC</v>
          </cell>
          <cell r="D313" t="str">
            <v>N</v>
          </cell>
          <cell r="E313" t="str">
            <v>C</v>
          </cell>
          <cell r="F313" t="str">
            <v>03/13/2001</v>
          </cell>
        </row>
        <row r="314">
          <cell r="B314" t="str">
            <v>11370</v>
          </cell>
          <cell r="C314" t="str">
            <v>UEC</v>
          </cell>
          <cell r="D314" t="str">
            <v>N</v>
          </cell>
          <cell r="E314" t="str">
            <v>A</v>
          </cell>
          <cell r="F314" t="str">
            <v>04/11/2001</v>
          </cell>
        </row>
        <row r="315">
          <cell r="B315" t="str">
            <v>11378</v>
          </cell>
          <cell r="C315" t="str">
            <v>UEC</v>
          </cell>
          <cell r="D315" t="str">
            <v>N</v>
          </cell>
          <cell r="E315" t="str">
            <v>C</v>
          </cell>
          <cell r="F315" t="str">
            <v>09/07/2000</v>
          </cell>
        </row>
        <row r="316">
          <cell r="B316" t="str">
            <v>11383</v>
          </cell>
          <cell r="C316" t="str">
            <v>UEC</v>
          </cell>
          <cell r="D316" t="str">
            <v>N</v>
          </cell>
          <cell r="E316" t="str">
            <v>A</v>
          </cell>
          <cell r="F316" t="str">
            <v>09/20/2001</v>
          </cell>
        </row>
        <row r="317">
          <cell r="B317" t="str">
            <v>11399</v>
          </cell>
          <cell r="C317" t="str">
            <v>UEC</v>
          </cell>
          <cell r="D317" t="str">
            <v>N</v>
          </cell>
          <cell r="E317" t="str">
            <v>C</v>
          </cell>
          <cell r="F317" t="str">
            <v>07/29/2002</v>
          </cell>
        </row>
        <row r="318">
          <cell r="B318" t="str">
            <v>11406</v>
          </cell>
          <cell r="C318" t="str">
            <v>UEC</v>
          </cell>
          <cell r="D318" t="str">
            <v>N</v>
          </cell>
          <cell r="E318" t="str">
            <v>C</v>
          </cell>
          <cell r="F318" t="str">
            <v>08/25/2000</v>
          </cell>
        </row>
        <row r="319">
          <cell r="B319" t="str">
            <v>11407</v>
          </cell>
          <cell r="C319" t="str">
            <v>UEC</v>
          </cell>
          <cell r="D319" t="str">
            <v>N</v>
          </cell>
          <cell r="E319" t="str">
            <v>C</v>
          </cell>
          <cell r="F319" t="str">
            <v>08/25/2000</v>
          </cell>
        </row>
        <row r="320">
          <cell r="B320" t="str">
            <v>11408</v>
          </cell>
          <cell r="C320" t="str">
            <v>UEC</v>
          </cell>
          <cell r="D320" t="str">
            <v>N</v>
          </cell>
          <cell r="E320" t="str">
            <v>A</v>
          </cell>
          <cell r="F320" t="str">
            <v>08/25/2000</v>
          </cell>
        </row>
        <row r="321">
          <cell r="B321" t="str">
            <v>11409</v>
          </cell>
          <cell r="C321" t="str">
            <v>UEC</v>
          </cell>
          <cell r="D321" t="str">
            <v>N</v>
          </cell>
          <cell r="E321" t="str">
            <v>A</v>
          </cell>
          <cell r="F321" t="str">
            <v>08/25/2000</v>
          </cell>
        </row>
        <row r="322">
          <cell r="B322" t="str">
            <v>11412</v>
          </cell>
          <cell r="C322" t="str">
            <v>UEC</v>
          </cell>
          <cell r="D322" t="str">
            <v>N</v>
          </cell>
          <cell r="E322" t="str">
            <v>C</v>
          </cell>
          <cell r="F322" t="str">
            <v>05/04/2001</v>
          </cell>
        </row>
        <row r="323">
          <cell r="B323" t="str">
            <v>11414</v>
          </cell>
          <cell r="C323" t="str">
            <v>UEC</v>
          </cell>
          <cell r="D323" t="str">
            <v>N</v>
          </cell>
          <cell r="E323" t="str">
            <v>C</v>
          </cell>
          <cell r="F323" t="str">
            <v>03/14/2001</v>
          </cell>
        </row>
        <row r="324">
          <cell r="B324" t="str">
            <v>11415</v>
          </cell>
          <cell r="C324" t="str">
            <v>UEC</v>
          </cell>
          <cell r="D324" t="str">
            <v>N</v>
          </cell>
          <cell r="E324" t="str">
            <v>C</v>
          </cell>
          <cell r="F324" t="str">
            <v>10/17/2000</v>
          </cell>
        </row>
        <row r="325">
          <cell r="B325" t="str">
            <v>11418</v>
          </cell>
          <cell r="C325" t="str">
            <v>UEC</v>
          </cell>
          <cell r="D325" t="str">
            <v>N</v>
          </cell>
          <cell r="E325" t="str">
            <v>C</v>
          </cell>
          <cell r="F325" t="str">
            <v>10/02/2000</v>
          </cell>
        </row>
        <row r="326">
          <cell r="B326" t="str">
            <v>11419</v>
          </cell>
          <cell r="C326" t="str">
            <v>UEC</v>
          </cell>
          <cell r="D326" t="str">
            <v>N</v>
          </cell>
          <cell r="E326" t="str">
            <v>C</v>
          </cell>
          <cell r="F326" t="str">
            <v>11/01/2000</v>
          </cell>
        </row>
        <row r="327">
          <cell r="B327" t="str">
            <v>11421</v>
          </cell>
          <cell r="C327" t="str">
            <v>UEC</v>
          </cell>
          <cell r="D327" t="str">
            <v>N</v>
          </cell>
          <cell r="E327" t="str">
            <v>C</v>
          </cell>
          <cell r="F327" t="str">
            <v>09/06/2000</v>
          </cell>
        </row>
        <row r="328">
          <cell r="B328" t="str">
            <v>11424</v>
          </cell>
          <cell r="C328" t="str">
            <v>UEC</v>
          </cell>
          <cell r="D328" t="str">
            <v>N</v>
          </cell>
          <cell r="E328" t="str">
            <v>A</v>
          </cell>
          <cell r="F328" t="str">
            <v>03/12/2002</v>
          </cell>
        </row>
        <row r="329">
          <cell r="B329" t="str">
            <v>11427</v>
          </cell>
          <cell r="C329" t="str">
            <v>UEC</v>
          </cell>
          <cell r="D329" t="str">
            <v>N</v>
          </cell>
          <cell r="E329" t="str">
            <v>A</v>
          </cell>
          <cell r="F329" t="str">
            <v>05/25/2001</v>
          </cell>
        </row>
        <row r="330">
          <cell r="B330" t="str">
            <v>11439</v>
          </cell>
          <cell r="C330" t="str">
            <v>UEC</v>
          </cell>
          <cell r="D330" t="str">
            <v>N</v>
          </cell>
          <cell r="E330" t="str">
            <v>C</v>
          </cell>
          <cell r="F330" t="str">
            <v>03/15/2001</v>
          </cell>
        </row>
        <row r="331">
          <cell r="B331" t="str">
            <v>11444</v>
          </cell>
          <cell r="C331" t="str">
            <v>CIP</v>
          </cell>
          <cell r="D331" t="str">
            <v>N</v>
          </cell>
          <cell r="E331" t="str">
            <v>C</v>
          </cell>
          <cell r="F331" t="str">
            <v>08/29/2000</v>
          </cell>
        </row>
        <row r="332">
          <cell r="B332" t="str">
            <v>11445</v>
          </cell>
          <cell r="C332" t="str">
            <v>CIP</v>
          </cell>
          <cell r="D332" t="str">
            <v>N</v>
          </cell>
          <cell r="E332" t="str">
            <v>C</v>
          </cell>
          <cell r="F332" t="str">
            <v>08/29/2000</v>
          </cell>
        </row>
        <row r="333">
          <cell r="B333" t="str">
            <v>11447</v>
          </cell>
          <cell r="C333" t="str">
            <v>UEC</v>
          </cell>
          <cell r="D333" t="str">
            <v>N</v>
          </cell>
          <cell r="E333" t="str">
            <v>A</v>
          </cell>
          <cell r="F333" t="str">
            <v>06/12/2002</v>
          </cell>
        </row>
        <row r="334">
          <cell r="B334" t="str">
            <v>11453</v>
          </cell>
          <cell r="C334" t="str">
            <v>UEC</v>
          </cell>
          <cell r="D334" t="str">
            <v>N</v>
          </cell>
          <cell r="E334" t="str">
            <v>C</v>
          </cell>
          <cell r="F334" t="str">
            <v>05/24/2002</v>
          </cell>
        </row>
        <row r="335">
          <cell r="B335" t="str">
            <v>11454</v>
          </cell>
          <cell r="C335" t="str">
            <v>UEC</v>
          </cell>
          <cell r="D335" t="str">
            <v>N</v>
          </cell>
          <cell r="E335" t="str">
            <v>C</v>
          </cell>
          <cell r="F335" t="str">
            <v>03/06/2002</v>
          </cell>
        </row>
        <row r="336">
          <cell r="B336" t="str">
            <v>11464</v>
          </cell>
          <cell r="C336" t="str">
            <v>UEC</v>
          </cell>
          <cell r="D336" t="str">
            <v>N</v>
          </cell>
          <cell r="E336" t="str">
            <v>C</v>
          </cell>
          <cell r="F336" t="str">
            <v>12/21/2000</v>
          </cell>
        </row>
        <row r="337">
          <cell r="B337" t="str">
            <v>11465</v>
          </cell>
          <cell r="C337" t="str">
            <v>UEC</v>
          </cell>
          <cell r="D337" t="str">
            <v>N</v>
          </cell>
          <cell r="E337" t="str">
            <v>C</v>
          </cell>
          <cell r="F337" t="str">
            <v>09/06/2001</v>
          </cell>
        </row>
        <row r="338">
          <cell r="B338" t="str">
            <v>11466</v>
          </cell>
          <cell r="C338" t="str">
            <v>UEC</v>
          </cell>
          <cell r="D338" t="str">
            <v>N</v>
          </cell>
          <cell r="E338" t="str">
            <v>C</v>
          </cell>
          <cell r="F338" t="str">
            <v>08/21/2001</v>
          </cell>
        </row>
        <row r="339">
          <cell r="B339" t="str">
            <v>11473</v>
          </cell>
          <cell r="C339" t="str">
            <v>UEC</v>
          </cell>
          <cell r="D339" t="str">
            <v>N</v>
          </cell>
          <cell r="E339" t="str">
            <v>C</v>
          </cell>
          <cell r="F339" t="str">
            <v>03/20/2001</v>
          </cell>
        </row>
        <row r="340">
          <cell r="B340" t="str">
            <v>11474</v>
          </cell>
          <cell r="C340" t="str">
            <v>UEC</v>
          </cell>
          <cell r="D340" t="str">
            <v>N</v>
          </cell>
          <cell r="E340" t="str">
            <v>C</v>
          </cell>
          <cell r="F340" t="str">
            <v>09/25/2000</v>
          </cell>
        </row>
        <row r="341">
          <cell r="B341" t="str">
            <v>11478</v>
          </cell>
          <cell r="C341" t="str">
            <v>UEC</v>
          </cell>
          <cell r="D341" t="str">
            <v>N</v>
          </cell>
          <cell r="E341" t="str">
            <v>C</v>
          </cell>
          <cell r="F341" t="str">
            <v>12/27/2000</v>
          </cell>
        </row>
        <row r="342">
          <cell r="B342" t="str">
            <v>11488</v>
          </cell>
          <cell r="C342" t="str">
            <v>UEC</v>
          </cell>
          <cell r="D342" t="str">
            <v>N</v>
          </cell>
          <cell r="E342" t="str">
            <v>C</v>
          </cell>
          <cell r="F342" t="str">
            <v>01/03/2001</v>
          </cell>
        </row>
        <row r="343">
          <cell r="B343" t="str">
            <v>11491</v>
          </cell>
          <cell r="C343" t="str">
            <v>UEC</v>
          </cell>
          <cell r="D343" t="str">
            <v>N</v>
          </cell>
          <cell r="E343" t="str">
            <v>A</v>
          </cell>
          <cell r="F343" t="str">
            <v>01/03/2001</v>
          </cell>
        </row>
        <row r="344">
          <cell r="B344" t="str">
            <v>11499</v>
          </cell>
          <cell r="C344" t="str">
            <v>UEC</v>
          </cell>
          <cell r="D344" t="str">
            <v>N</v>
          </cell>
          <cell r="E344" t="str">
            <v>C</v>
          </cell>
          <cell r="F344" t="str">
            <v>03/16/2001</v>
          </cell>
        </row>
        <row r="345">
          <cell r="B345" t="str">
            <v>11500</v>
          </cell>
          <cell r="C345" t="str">
            <v>UEC</v>
          </cell>
          <cell r="D345" t="str">
            <v>N</v>
          </cell>
          <cell r="E345" t="str">
            <v>C</v>
          </cell>
          <cell r="F345" t="str">
            <v>01/03/2001</v>
          </cell>
        </row>
        <row r="346">
          <cell r="B346" t="str">
            <v>11504</v>
          </cell>
          <cell r="C346" t="str">
            <v>UEC</v>
          </cell>
          <cell r="D346" t="str">
            <v>N</v>
          </cell>
          <cell r="E346" t="str">
            <v>C</v>
          </cell>
          <cell r="F346" t="str">
            <v>03/23/2001</v>
          </cell>
        </row>
        <row r="347">
          <cell r="B347" t="str">
            <v>11505</v>
          </cell>
          <cell r="C347" t="str">
            <v>UEC</v>
          </cell>
          <cell r="D347" t="str">
            <v>N</v>
          </cell>
          <cell r="E347" t="str">
            <v>I</v>
          </cell>
          <cell r="F347" t="str">
            <v>10/07/2002</v>
          </cell>
        </row>
        <row r="348">
          <cell r="B348" t="str">
            <v>11505</v>
          </cell>
          <cell r="C348" t="str">
            <v>UEC</v>
          </cell>
          <cell r="D348" t="str">
            <v>N</v>
          </cell>
          <cell r="E348" t="str">
            <v>I</v>
          </cell>
          <cell r="F348" t="str">
            <v>10/07/2002</v>
          </cell>
        </row>
        <row r="349">
          <cell r="B349" t="str">
            <v>11506</v>
          </cell>
          <cell r="C349" t="str">
            <v>UEC</v>
          </cell>
          <cell r="D349" t="str">
            <v>N</v>
          </cell>
          <cell r="E349" t="str">
            <v>A</v>
          </cell>
          <cell r="F349" t="str">
            <v>09/12/2003</v>
          </cell>
        </row>
        <row r="350">
          <cell r="B350" t="str">
            <v>11507</v>
          </cell>
          <cell r="C350" t="str">
            <v>UEC</v>
          </cell>
          <cell r="D350" t="str">
            <v>N</v>
          </cell>
          <cell r="E350" t="str">
            <v>A</v>
          </cell>
          <cell r="F350" t="str">
            <v>01/16/2003</v>
          </cell>
        </row>
        <row r="351">
          <cell r="B351" t="str">
            <v>11508</v>
          </cell>
          <cell r="C351" t="str">
            <v>UEC</v>
          </cell>
          <cell r="D351" t="str">
            <v>N</v>
          </cell>
          <cell r="E351" t="str">
            <v>C</v>
          </cell>
          <cell r="F351" t="str">
            <v>02/09/2001</v>
          </cell>
        </row>
        <row r="352">
          <cell r="B352" t="str">
            <v>11514</v>
          </cell>
          <cell r="C352" t="str">
            <v>UEC</v>
          </cell>
          <cell r="D352" t="str">
            <v>N</v>
          </cell>
          <cell r="E352" t="str">
            <v>C</v>
          </cell>
          <cell r="F352" t="str">
            <v>06/21/2001</v>
          </cell>
        </row>
        <row r="353">
          <cell r="B353" t="str">
            <v>11515</v>
          </cell>
          <cell r="C353" t="str">
            <v>UEC</v>
          </cell>
          <cell r="D353" t="str">
            <v>N</v>
          </cell>
          <cell r="E353" t="str">
            <v>A</v>
          </cell>
          <cell r="F353" t="str">
            <v>01/28/2003</v>
          </cell>
        </row>
        <row r="354">
          <cell r="B354" t="str">
            <v>11524</v>
          </cell>
          <cell r="C354" t="str">
            <v>UEC</v>
          </cell>
          <cell r="D354" t="str">
            <v>N</v>
          </cell>
          <cell r="E354" t="str">
            <v>C</v>
          </cell>
          <cell r="F354" t="str">
            <v>10/03/2001</v>
          </cell>
        </row>
        <row r="355">
          <cell r="B355" t="str">
            <v>11525</v>
          </cell>
          <cell r="C355" t="str">
            <v>UEC</v>
          </cell>
          <cell r="D355" t="str">
            <v>N</v>
          </cell>
          <cell r="E355" t="str">
            <v>C</v>
          </cell>
          <cell r="F355" t="str">
            <v>01/30/2001</v>
          </cell>
        </row>
        <row r="356">
          <cell r="B356" t="str">
            <v>11528</v>
          </cell>
          <cell r="C356" t="str">
            <v>UEC</v>
          </cell>
          <cell r="D356" t="str">
            <v>N</v>
          </cell>
          <cell r="E356" t="str">
            <v>C</v>
          </cell>
          <cell r="F356" t="str">
            <v>04/22/2002</v>
          </cell>
        </row>
        <row r="357">
          <cell r="B357" t="str">
            <v>11528</v>
          </cell>
          <cell r="C357" t="str">
            <v>UEC</v>
          </cell>
          <cell r="D357" t="str">
            <v>N</v>
          </cell>
          <cell r="E357" t="str">
            <v>C</v>
          </cell>
          <cell r="F357" t="str">
            <v>04/22/2002</v>
          </cell>
        </row>
        <row r="358">
          <cell r="B358" t="str">
            <v>11531</v>
          </cell>
          <cell r="C358" t="str">
            <v>UEC</v>
          </cell>
          <cell r="D358" t="str">
            <v>N</v>
          </cell>
          <cell r="E358" t="str">
            <v>C</v>
          </cell>
          <cell r="F358" t="str">
            <v>09/27/2000</v>
          </cell>
        </row>
        <row r="359">
          <cell r="B359" t="str">
            <v>11534</v>
          </cell>
          <cell r="C359" t="str">
            <v>UEC</v>
          </cell>
          <cell r="D359" t="str">
            <v>N</v>
          </cell>
          <cell r="E359" t="str">
            <v>C</v>
          </cell>
          <cell r="F359" t="str">
            <v>11/02/2000</v>
          </cell>
        </row>
        <row r="360">
          <cell r="B360" t="str">
            <v>11566</v>
          </cell>
          <cell r="C360" t="str">
            <v>UEC</v>
          </cell>
          <cell r="D360" t="str">
            <v>N</v>
          </cell>
          <cell r="E360" t="str">
            <v>A</v>
          </cell>
          <cell r="F360" t="str">
            <v>09/12/2003</v>
          </cell>
        </row>
        <row r="361">
          <cell r="B361" t="str">
            <v>11581</v>
          </cell>
          <cell r="C361" t="str">
            <v>UEC</v>
          </cell>
          <cell r="D361" t="str">
            <v>N</v>
          </cell>
          <cell r="E361" t="str">
            <v>A</v>
          </cell>
          <cell r="F361" t="str">
            <v>08/07/2002</v>
          </cell>
        </row>
        <row r="362">
          <cell r="B362" t="str">
            <v>11583</v>
          </cell>
          <cell r="C362" t="str">
            <v>UEC</v>
          </cell>
          <cell r="D362" t="str">
            <v>N</v>
          </cell>
          <cell r="E362" t="str">
            <v>C</v>
          </cell>
          <cell r="F362" t="str">
            <v>10/21/2002</v>
          </cell>
        </row>
        <row r="363">
          <cell r="B363" t="str">
            <v>11586</v>
          </cell>
          <cell r="C363" t="str">
            <v>UEC</v>
          </cell>
          <cell r="D363" t="str">
            <v>N</v>
          </cell>
          <cell r="E363" t="str">
            <v>A</v>
          </cell>
          <cell r="F363" t="str">
            <v>10/07/2003</v>
          </cell>
        </row>
        <row r="364">
          <cell r="B364" t="str">
            <v>11587</v>
          </cell>
          <cell r="C364" t="str">
            <v>UEC</v>
          </cell>
          <cell r="D364" t="str">
            <v>N</v>
          </cell>
          <cell r="E364" t="str">
            <v>C</v>
          </cell>
          <cell r="F364" t="str">
            <v>10/24/2000</v>
          </cell>
        </row>
        <row r="365">
          <cell r="B365" t="str">
            <v>11589</v>
          </cell>
          <cell r="C365" t="str">
            <v>UEC</v>
          </cell>
          <cell r="D365" t="str">
            <v>N</v>
          </cell>
          <cell r="E365" t="str">
            <v>C</v>
          </cell>
          <cell r="F365" t="str">
            <v>10/08/2001</v>
          </cell>
        </row>
        <row r="366">
          <cell r="B366" t="str">
            <v>11593</v>
          </cell>
          <cell r="C366" t="str">
            <v>UEC</v>
          </cell>
          <cell r="D366" t="str">
            <v>N</v>
          </cell>
          <cell r="E366" t="str">
            <v>A</v>
          </cell>
          <cell r="F366" t="str">
            <v>12/13/2001</v>
          </cell>
        </row>
        <row r="367">
          <cell r="B367" t="str">
            <v>11594</v>
          </cell>
          <cell r="C367" t="str">
            <v>UEC</v>
          </cell>
          <cell r="D367" t="str">
            <v>N</v>
          </cell>
          <cell r="E367" t="str">
            <v>A</v>
          </cell>
          <cell r="F367" t="str">
            <v>10/08/2003</v>
          </cell>
        </row>
        <row r="368">
          <cell r="B368" t="str">
            <v>11596</v>
          </cell>
          <cell r="C368" t="str">
            <v>UEC</v>
          </cell>
          <cell r="D368" t="str">
            <v>N</v>
          </cell>
          <cell r="E368" t="str">
            <v>C</v>
          </cell>
          <cell r="F368" t="str">
            <v>08/31/2000</v>
          </cell>
        </row>
        <row r="369">
          <cell r="B369" t="str">
            <v>11599</v>
          </cell>
          <cell r="C369" t="str">
            <v>UEC</v>
          </cell>
          <cell r="D369" t="str">
            <v>N</v>
          </cell>
          <cell r="E369" t="str">
            <v>A</v>
          </cell>
          <cell r="F369" t="str">
            <v>09/26/2003</v>
          </cell>
        </row>
        <row r="370">
          <cell r="B370" t="str">
            <v>11601</v>
          </cell>
          <cell r="C370" t="str">
            <v>UEC</v>
          </cell>
          <cell r="D370" t="str">
            <v>N</v>
          </cell>
          <cell r="E370" t="str">
            <v>A</v>
          </cell>
          <cell r="F370" t="str">
            <v>09/04/2003</v>
          </cell>
        </row>
        <row r="371">
          <cell r="B371" t="str">
            <v>11610</v>
          </cell>
          <cell r="C371" t="str">
            <v>UEC</v>
          </cell>
          <cell r="D371" t="str">
            <v>N</v>
          </cell>
          <cell r="E371" t="str">
            <v>C</v>
          </cell>
          <cell r="F371" t="str">
            <v>07/19/2001</v>
          </cell>
        </row>
        <row r="372">
          <cell r="B372" t="str">
            <v>11613</v>
          </cell>
          <cell r="C372" t="str">
            <v>UEC</v>
          </cell>
          <cell r="D372" t="str">
            <v>N</v>
          </cell>
          <cell r="E372" t="str">
            <v>C</v>
          </cell>
          <cell r="F372" t="str">
            <v>08/02/2001</v>
          </cell>
        </row>
        <row r="373">
          <cell r="B373" t="str">
            <v>11618</v>
          </cell>
          <cell r="C373" t="str">
            <v>UEC</v>
          </cell>
          <cell r="D373" t="str">
            <v>N</v>
          </cell>
          <cell r="E373" t="str">
            <v>A</v>
          </cell>
          <cell r="F373" t="str">
            <v>01/15/2002</v>
          </cell>
        </row>
        <row r="374">
          <cell r="B374" t="str">
            <v>11619</v>
          </cell>
          <cell r="C374" t="str">
            <v>UEC</v>
          </cell>
          <cell r="D374" t="str">
            <v>N</v>
          </cell>
          <cell r="E374" t="str">
            <v>A</v>
          </cell>
          <cell r="F374" t="str">
            <v>08/01/2002</v>
          </cell>
        </row>
        <row r="375">
          <cell r="B375" t="str">
            <v>11620</v>
          </cell>
          <cell r="C375" t="str">
            <v>UEC</v>
          </cell>
          <cell r="D375" t="str">
            <v>N</v>
          </cell>
          <cell r="E375" t="str">
            <v>A</v>
          </cell>
          <cell r="F375" t="str">
            <v>08/01/2002</v>
          </cell>
        </row>
        <row r="376">
          <cell r="B376" t="str">
            <v>11626</v>
          </cell>
          <cell r="C376" t="str">
            <v>UEC</v>
          </cell>
          <cell r="D376" t="str">
            <v>N</v>
          </cell>
          <cell r="E376" t="str">
            <v>C</v>
          </cell>
          <cell r="F376" t="str">
            <v>03/26/2001</v>
          </cell>
        </row>
        <row r="377">
          <cell r="B377" t="str">
            <v>11643</v>
          </cell>
          <cell r="C377" t="str">
            <v>UEC</v>
          </cell>
          <cell r="D377" t="str">
            <v>N</v>
          </cell>
          <cell r="E377" t="str">
            <v>C</v>
          </cell>
          <cell r="F377" t="str">
            <v>09/20/2000</v>
          </cell>
        </row>
        <row r="378">
          <cell r="B378" t="str">
            <v>11644</v>
          </cell>
          <cell r="C378" t="str">
            <v>UEC</v>
          </cell>
          <cell r="D378" t="str">
            <v>N</v>
          </cell>
          <cell r="E378" t="str">
            <v>C</v>
          </cell>
          <cell r="F378" t="str">
            <v>11/28/2001</v>
          </cell>
        </row>
        <row r="379">
          <cell r="B379" t="str">
            <v>11645</v>
          </cell>
          <cell r="C379" t="str">
            <v>UEC</v>
          </cell>
          <cell r="D379" t="str">
            <v>N</v>
          </cell>
          <cell r="E379" t="str">
            <v>A</v>
          </cell>
          <cell r="F379" t="str">
            <v>08/01/2002</v>
          </cell>
        </row>
        <row r="380">
          <cell r="B380" t="str">
            <v>11647</v>
          </cell>
          <cell r="C380" t="str">
            <v>UEC</v>
          </cell>
          <cell r="D380" t="str">
            <v>N</v>
          </cell>
          <cell r="E380" t="str">
            <v>A</v>
          </cell>
          <cell r="F380" t="str">
            <v>05/12/2003</v>
          </cell>
        </row>
        <row r="381">
          <cell r="B381" t="str">
            <v>11650</v>
          </cell>
          <cell r="C381" t="str">
            <v>UEC</v>
          </cell>
          <cell r="D381" t="str">
            <v>N</v>
          </cell>
          <cell r="E381" t="str">
            <v>A</v>
          </cell>
          <cell r="F381" t="str">
            <v>10/12/2001</v>
          </cell>
        </row>
        <row r="382">
          <cell r="B382" t="str">
            <v>11652</v>
          </cell>
          <cell r="C382" t="str">
            <v>UEC</v>
          </cell>
          <cell r="D382" t="str">
            <v>N</v>
          </cell>
          <cell r="E382" t="str">
            <v>C</v>
          </cell>
          <cell r="F382" t="str">
            <v>01/11/2001</v>
          </cell>
        </row>
        <row r="383">
          <cell r="B383" t="str">
            <v>11663</v>
          </cell>
          <cell r="C383" t="str">
            <v>UEC</v>
          </cell>
          <cell r="D383" t="str">
            <v>N</v>
          </cell>
          <cell r="E383" t="str">
            <v>C</v>
          </cell>
          <cell r="F383" t="str">
            <v>12/13/2000</v>
          </cell>
        </row>
        <row r="384">
          <cell r="B384" t="str">
            <v>11665</v>
          </cell>
          <cell r="C384" t="str">
            <v>UEC</v>
          </cell>
          <cell r="D384" t="str">
            <v>N</v>
          </cell>
          <cell r="E384" t="str">
            <v>A</v>
          </cell>
          <cell r="F384" t="str">
            <v>07/15/2002</v>
          </cell>
        </row>
        <row r="385">
          <cell r="B385" t="str">
            <v>11674</v>
          </cell>
          <cell r="C385" t="str">
            <v>UEC</v>
          </cell>
          <cell r="D385" t="str">
            <v>N</v>
          </cell>
          <cell r="E385" t="str">
            <v>A</v>
          </cell>
          <cell r="F385" t="str">
            <v>04/17/2002</v>
          </cell>
        </row>
        <row r="386">
          <cell r="B386" t="str">
            <v>11675</v>
          </cell>
          <cell r="C386" t="str">
            <v>UEC</v>
          </cell>
          <cell r="D386" t="str">
            <v>N</v>
          </cell>
          <cell r="E386" t="str">
            <v>A</v>
          </cell>
          <cell r="F386" t="str">
            <v>06/12/2002</v>
          </cell>
        </row>
        <row r="387">
          <cell r="B387" t="str">
            <v>11682</v>
          </cell>
          <cell r="C387" t="str">
            <v>UEC</v>
          </cell>
          <cell r="D387" t="str">
            <v>N</v>
          </cell>
          <cell r="E387" t="str">
            <v>C</v>
          </cell>
          <cell r="F387" t="str">
            <v>01/11/2001</v>
          </cell>
        </row>
        <row r="388">
          <cell r="B388" t="str">
            <v>11685</v>
          </cell>
          <cell r="C388" t="str">
            <v>UEC</v>
          </cell>
          <cell r="D388" t="str">
            <v>N</v>
          </cell>
          <cell r="E388" t="str">
            <v>A</v>
          </cell>
          <cell r="F388" t="str">
            <v>03/29/2001</v>
          </cell>
        </row>
        <row r="389">
          <cell r="B389" t="str">
            <v>11747</v>
          </cell>
          <cell r="C389" t="str">
            <v>UEC</v>
          </cell>
          <cell r="D389" t="str">
            <v>N</v>
          </cell>
          <cell r="E389" t="str">
            <v>A</v>
          </cell>
          <cell r="F389" t="str">
            <v>11/25/2003</v>
          </cell>
        </row>
        <row r="390">
          <cell r="B390" t="str">
            <v>11753</v>
          </cell>
          <cell r="C390" t="str">
            <v>UEC</v>
          </cell>
          <cell r="D390" t="str">
            <v>N</v>
          </cell>
          <cell r="E390" t="str">
            <v>A</v>
          </cell>
          <cell r="F390" t="str">
            <v>09/05/2003</v>
          </cell>
        </row>
        <row r="391">
          <cell r="B391" t="str">
            <v>11754</v>
          </cell>
          <cell r="C391" t="str">
            <v>UEC</v>
          </cell>
          <cell r="D391" t="str">
            <v>N</v>
          </cell>
          <cell r="E391" t="str">
            <v>C</v>
          </cell>
          <cell r="F391" t="str">
            <v>11/01/2002</v>
          </cell>
        </row>
        <row r="392">
          <cell r="B392" t="str">
            <v>11756</v>
          </cell>
          <cell r="C392" t="str">
            <v>UEC</v>
          </cell>
          <cell r="D392" t="str">
            <v>N</v>
          </cell>
          <cell r="E392" t="str">
            <v>C</v>
          </cell>
          <cell r="F392" t="str">
            <v>05/07/2001</v>
          </cell>
        </row>
        <row r="393">
          <cell r="B393" t="str">
            <v>11757</v>
          </cell>
          <cell r="C393" t="str">
            <v>UEC</v>
          </cell>
          <cell r="D393" t="str">
            <v>N</v>
          </cell>
          <cell r="E393" t="str">
            <v>A</v>
          </cell>
          <cell r="F393" t="str">
            <v>05/09/2002</v>
          </cell>
        </row>
        <row r="394">
          <cell r="B394" t="str">
            <v>11758</v>
          </cell>
          <cell r="C394" t="str">
            <v>UEC</v>
          </cell>
          <cell r="D394" t="str">
            <v>N</v>
          </cell>
          <cell r="E394" t="str">
            <v>A</v>
          </cell>
          <cell r="F394" t="str">
            <v>05/09/2003</v>
          </cell>
        </row>
        <row r="395">
          <cell r="B395" t="str">
            <v>11760</v>
          </cell>
          <cell r="C395" t="str">
            <v>UEC</v>
          </cell>
          <cell r="D395" t="str">
            <v>N</v>
          </cell>
          <cell r="E395" t="str">
            <v>A</v>
          </cell>
          <cell r="F395" t="str">
            <v>10/02/2002</v>
          </cell>
        </row>
        <row r="396">
          <cell r="B396" t="str">
            <v>11761</v>
          </cell>
          <cell r="C396" t="str">
            <v>UEC</v>
          </cell>
          <cell r="D396" t="str">
            <v>N</v>
          </cell>
          <cell r="E396" t="str">
            <v>A</v>
          </cell>
          <cell r="F396" t="str">
            <v>09/05/2003</v>
          </cell>
        </row>
        <row r="397">
          <cell r="B397" t="str">
            <v>11768</v>
          </cell>
          <cell r="C397" t="str">
            <v>CIP</v>
          </cell>
          <cell r="D397" t="str">
            <v>N</v>
          </cell>
          <cell r="E397" t="str">
            <v>C</v>
          </cell>
          <cell r="F397" t="str">
            <v>01/19/2001</v>
          </cell>
        </row>
        <row r="398">
          <cell r="B398" t="str">
            <v>11777</v>
          </cell>
          <cell r="C398" t="str">
            <v>UEC</v>
          </cell>
          <cell r="D398" t="str">
            <v>N</v>
          </cell>
          <cell r="E398" t="str">
            <v>C</v>
          </cell>
          <cell r="F398" t="str">
            <v>09/19/2000</v>
          </cell>
        </row>
        <row r="399">
          <cell r="B399" t="str">
            <v>11781</v>
          </cell>
          <cell r="C399" t="str">
            <v>UEC</v>
          </cell>
          <cell r="D399" t="str">
            <v>N</v>
          </cell>
          <cell r="E399" t="str">
            <v>A</v>
          </cell>
          <cell r="F399" t="str">
            <v>01/16/2003</v>
          </cell>
        </row>
        <row r="400">
          <cell r="B400" t="str">
            <v>11783</v>
          </cell>
          <cell r="C400" t="str">
            <v>UEC</v>
          </cell>
          <cell r="D400" t="str">
            <v>N</v>
          </cell>
          <cell r="E400" t="str">
            <v>C</v>
          </cell>
          <cell r="F400" t="str">
            <v>07/23/2001</v>
          </cell>
        </row>
        <row r="401">
          <cell r="B401" t="str">
            <v>11785</v>
          </cell>
          <cell r="C401" t="str">
            <v>UEC</v>
          </cell>
          <cell r="D401" t="str">
            <v>N</v>
          </cell>
          <cell r="E401" t="str">
            <v>A</v>
          </cell>
          <cell r="F401" t="str">
            <v>10/01/2001</v>
          </cell>
        </row>
        <row r="402">
          <cell r="B402" t="str">
            <v>11786</v>
          </cell>
          <cell r="C402" t="str">
            <v>UEC</v>
          </cell>
          <cell r="D402" t="str">
            <v>N</v>
          </cell>
          <cell r="E402" t="str">
            <v>A</v>
          </cell>
          <cell r="F402" t="str">
            <v>03/22/2002</v>
          </cell>
        </row>
        <row r="403">
          <cell r="B403" t="str">
            <v>11788</v>
          </cell>
          <cell r="C403" t="str">
            <v>UEC</v>
          </cell>
          <cell r="D403" t="str">
            <v>N</v>
          </cell>
          <cell r="E403" t="str">
            <v>A</v>
          </cell>
          <cell r="F403" t="str">
            <v>05/31/2001</v>
          </cell>
        </row>
        <row r="404">
          <cell r="B404" t="str">
            <v>11789</v>
          </cell>
          <cell r="C404" t="str">
            <v>UEC</v>
          </cell>
          <cell r="D404" t="str">
            <v>N</v>
          </cell>
          <cell r="E404" t="str">
            <v>A</v>
          </cell>
          <cell r="F404" t="str">
            <v>10/28/2003</v>
          </cell>
        </row>
        <row r="405">
          <cell r="B405" t="str">
            <v>11794</v>
          </cell>
          <cell r="C405" t="str">
            <v>CIP</v>
          </cell>
          <cell r="D405" t="str">
            <v>N</v>
          </cell>
          <cell r="E405" t="str">
            <v>C</v>
          </cell>
          <cell r="F405" t="str">
            <v>01/19/2001</v>
          </cell>
        </row>
        <row r="406">
          <cell r="B406" t="str">
            <v>11799</v>
          </cell>
          <cell r="C406" t="str">
            <v>UEC</v>
          </cell>
          <cell r="D406" t="str">
            <v>N</v>
          </cell>
          <cell r="E406" t="str">
            <v>C</v>
          </cell>
          <cell r="F406" t="str">
            <v>09/19/2000</v>
          </cell>
        </row>
        <row r="407">
          <cell r="B407" t="str">
            <v>11800</v>
          </cell>
          <cell r="C407" t="str">
            <v>UEC</v>
          </cell>
          <cell r="D407" t="str">
            <v>N</v>
          </cell>
          <cell r="E407" t="str">
            <v>A</v>
          </cell>
          <cell r="F407" t="str">
            <v>01/19/2001</v>
          </cell>
        </row>
        <row r="408">
          <cell r="B408" t="str">
            <v>11801</v>
          </cell>
          <cell r="C408" t="str">
            <v>UEC</v>
          </cell>
          <cell r="D408" t="str">
            <v>N</v>
          </cell>
          <cell r="E408" t="str">
            <v>A</v>
          </cell>
          <cell r="F408" t="str">
            <v>01/30/2001</v>
          </cell>
        </row>
        <row r="409">
          <cell r="B409" t="str">
            <v>11803</v>
          </cell>
          <cell r="C409" t="str">
            <v>UEC</v>
          </cell>
          <cell r="D409" t="str">
            <v>N</v>
          </cell>
          <cell r="E409" t="str">
            <v>C</v>
          </cell>
          <cell r="F409" t="str">
            <v>09/19/2000</v>
          </cell>
        </row>
        <row r="410">
          <cell r="B410" t="str">
            <v>11805</v>
          </cell>
          <cell r="C410" t="str">
            <v>UEC</v>
          </cell>
          <cell r="D410" t="str">
            <v>N</v>
          </cell>
          <cell r="E410" t="str">
            <v>C</v>
          </cell>
          <cell r="F410" t="str">
            <v>01/30/2001</v>
          </cell>
        </row>
        <row r="411">
          <cell r="B411" t="str">
            <v>11815</v>
          </cell>
          <cell r="C411" t="str">
            <v>UEC</v>
          </cell>
          <cell r="D411" t="str">
            <v>N</v>
          </cell>
          <cell r="E411" t="str">
            <v>C</v>
          </cell>
          <cell r="F411" t="str">
            <v>06/01/2001</v>
          </cell>
        </row>
        <row r="412">
          <cell r="B412" t="str">
            <v>11818</v>
          </cell>
          <cell r="C412" t="str">
            <v>UEC</v>
          </cell>
          <cell r="D412" t="str">
            <v>N</v>
          </cell>
          <cell r="E412" t="str">
            <v>C</v>
          </cell>
          <cell r="F412" t="str">
            <v>07/31/2001</v>
          </cell>
        </row>
        <row r="413">
          <cell r="B413" t="str">
            <v>11819</v>
          </cell>
          <cell r="C413" t="str">
            <v>UEC</v>
          </cell>
          <cell r="D413" t="str">
            <v>N</v>
          </cell>
          <cell r="E413" t="str">
            <v>A</v>
          </cell>
          <cell r="F413" t="str">
            <v>01/09/2002</v>
          </cell>
        </row>
        <row r="414">
          <cell r="B414" t="str">
            <v>11822</v>
          </cell>
          <cell r="C414" t="str">
            <v>UEC</v>
          </cell>
          <cell r="D414" t="str">
            <v>N</v>
          </cell>
          <cell r="E414" t="str">
            <v>C</v>
          </cell>
          <cell r="F414" t="str">
            <v>05/09/2002</v>
          </cell>
        </row>
        <row r="415">
          <cell r="B415" t="str">
            <v>11825</v>
          </cell>
          <cell r="C415" t="str">
            <v>UEC</v>
          </cell>
          <cell r="D415" t="str">
            <v>N</v>
          </cell>
          <cell r="E415" t="str">
            <v>C</v>
          </cell>
          <cell r="F415" t="str">
            <v>08/01/2001</v>
          </cell>
        </row>
        <row r="416">
          <cell r="B416" t="str">
            <v>11826</v>
          </cell>
          <cell r="C416" t="str">
            <v>UEC</v>
          </cell>
          <cell r="D416" t="str">
            <v>N</v>
          </cell>
          <cell r="E416" t="str">
            <v>C</v>
          </cell>
          <cell r="F416" t="str">
            <v>07/15/2002</v>
          </cell>
        </row>
        <row r="417">
          <cell r="B417" t="str">
            <v>11847</v>
          </cell>
          <cell r="C417" t="str">
            <v>UEC</v>
          </cell>
          <cell r="D417" t="str">
            <v>N</v>
          </cell>
          <cell r="E417" t="str">
            <v>C</v>
          </cell>
          <cell r="F417" t="str">
            <v>01/02/2002</v>
          </cell>
        </row>
        <row r="418">
          <cell r="B418" t="str">
            <v>11848</v>
          </cell>
          <cell r="C418" t="str">
            <v>UEC</v>
          </cell>
          <cell r="D418" t="str">
            <v>N</v>
          </cell>
          <cell r="E418" t="str">
            <v>C</v>
          </cell>
          <cell r="F418" t="str">
            <v>09/25/2000</v>
          </cell>
        </row>
        <row r="419">
          <cell r="B419" t="str">
            <v>11853</v>
          </cell>
          <cell r="C419" t="str">
            <v>UEC</v>
          </cell>
          <cell r="D419" t="str">
            <v>N</v>
          </cell>
          <cell r="E419" t="str">
            <v>C</v>
          </cell>
          <cell r="F419" t="str">
            <v>09/21/2000</v>
          </cell>
        </row>
        <row r="420">
          <cell r="B420" t="str">
            <v>11855</v>
          </cell>
          <cell r="C420" t="str">
            <v>UEC</v>
          </cell>
          <cell r="D420" t="str">
            <v>N</v>
          </cell>
          <cell r="E420" t="str">
            <v>C</v>
          </cell>
          <cell r="F420" t="str">
            <v>08/26/2002</v>
          </cell>
        </row>
        <row r="421">
          <cell r="B421" t="str">
            <v>11865</v>
          </cell>
          <cell r="C421" t="str">
            <v>UEC</v>
          </cell>
          <cell r="D421" t="str">
            <v>N</v>
          </cell>
          <cell r="E421" t="str">
            <v>C</v>
          </cell>
          <cell r="F421" t="str">
            <v>03/22/2001</v>
          </cell>
        </row>
        <row r="422">
          <cell r="B422" t="str">
            <v>11876</v>
          </cell>
          <cell r="C422" t="str">
            <v>UEC</v>
          </cell>
          <cell r="D422" t="str">
            <v>N</v>
          </cell>
          <cell r="E422" t="str">
            <v>C</v>
          </cell>
          <cell r="F422" t="str">
            <v>12/09/2002</v>
          </cell>
        </row>
        <row r="423">
          <cell r="B423" t="str">
            <v>11880</v>
          </cell>
          <cell r="C423" t="str">
            <v>UEC</v>
          </cell>
          <cell r="D423" t="str">
            <v>N</v>
          </cell>
          <cell r="E423" t="str">
            <v>C</v>
          </cell>
          <cell r="F423" t="str">
            <v>08/23/2001</v>
          </cell>
        </row>
        <row r="424">
          <cell r="B424" t="str">
            <v>11884</v>
          </cell>
          <cell r="C424" t="str">
            <v>UEC</v>
          </cell>
          <cell r="D424" t="str">
            <v>N</v>
          </cell>
          <cell r="E424" t="str">
            <v>C</v>
          </cell>
          <cell r="F424" t="str">
            <v>08/23/2001</v>
          </cell>
        </row>
        <row r="425">
          <cell r="B425" t="str">
            <v>11887</v>
          </cell>
          <cell r="C425" t="str">
            <v>UEC</v>
          </cell>
          <cell r="D425" t="str">
            <v>N</v>
          </cell>
          <cell r="E425" t="str">
            <v>C</v>
          </cell>
          <cell r="F425" t="str">
            <v>05/09/2002</v>
          </cell>
        </row>
        <row r="426">
          <cell r="B426" t="str">
            <v>11888</v>
          </cell>
          <cell r="C426" t="str">
            <v>UEC</v>
          </cell>
          <cell r="D426" t="str">
            <v>N</v>
          </cell>
          <cell r="E426" t="str">
            <v>C</v>
          </cell>
          <cell r="F426" t="str">
            <v>08/23/2001</v>
          </cell>
        </row>
        <row r="427">
          <cell r="B427" t="str">
            <v>11889</v>
          </cell>
          <cell r="C427" t="str">
            <v>UEC</v>
          </cell>
          <cell r="D427" t="str">
            <v>N</v>
          </cell>
          <cell r="E427" t="str">
            <v>C</v>
          </cell>
          <cell r="F427" t="str">
            <v>04/09/2002</v>
          </cell>
        </row>
        <row r="428">
          <cell r="B428" t="str">
            <v>11891</v>
          </cell>
          <cell r="C428" t="str">
            <v>UEC</v>
          </cell>
          <cell r="D428" t="str">
            <v>N</v>
          </cell>
          <cell r="E428" t="str">
            <v>C</v>
          </cell>
          <cell r="F428" t="str">
            <v>09/20/2000</v>
          </cell>
        </row>
        <row r="429">
          <cell r="B429" t="str">
            <v>11892</v>
          </cell>
          <cell r="C429" t="str">
            <v>UEC</v>
          </cell>
          <cell r="D429" t="str">
            <v>N</v>
          </cell>
          <cell r="E429" t="str">
            <v>C</v>
          </cell>
          <cell r="F429" t="str">
            <v>04/09/2001</v>
          </cell>
        </row>
        <row r="430">
          <cell r="B430" t="str">
            <v>11906</v>
          </cell>
          <cell r="C430" t="str">
            <v>CIP</v>
          </cell>
          <cell r="D430" t="str">
            <v>N</v>
          </cell>
          <cell r="E430" t="str">
            <v>C</v>
          </cell>
          <cell r="F430" t="str">
            <v>05/21/2002</v>
          </cell>
        </row>
        <row r="431">
          <cell r="B431" t="str">
            <v>11911</v>
          </cell>
          <cell r="C431" t="str">
            <v>CIP</v>
          </cell>
          <cell r="D431" t="str">
            <v>N</v>
          </cell>
          <cell r="E431" t="str">
            <v>C</v>
          </cell>
          <cell r="F431" t="str">
            <v>05/21/2002</v>
          </cell>
        </row>
        <row r="432">
          <cell r="B432" t="str">
            <v>11915</v>
          </cell>
          <cell r="C432" t="str">
            <v>UEC</v>
          </cell>
          <cell r="D432" t="str">
            <v>N</v>
          </cell>
          <cell r="E432" t="str">
            <v>C</v>
          </cell>
          <cell r="F432" t="str">
            <v>09/25/2000</v>
          </cell>
        </row>
        <row r="433">
          <cell r="B433" t="str">
            <v>11916</v>
          </cell>
          <cell r="C433" t="str">
            <v>UEC</v>
          </cell>
          <cell r="D433" t="str">
            <v>N</v>
          </cell>
          <cell r="E433" t="str">
            <v>C</v>
          </cell>
          <cell r="F433" t="str">
            <v>09/06/2001</v>
          </cell>
        </row>
        <row r="434">
          <cell r="B434" t="str">
            <v>11917</v>
          </cell>
          <cell r="C434" t="str">
            <v>UEC</v>
          </cell>
          <cell r="D434" t="str">
            <v>N</v>
          </cell>
          <cell r="E434" t="str">
            <v>A</v>
          </cell>
          <cell r="F434" t="str">
            <v>04/04/2002</v>
          </cell>
        </row>
        <row r="435">
          <cell r="B435" t="str">
            <v>11918</v>
          </cell>
          <cell r="C435" t="str">
            <v>UEC</v>
          </cell>
          <cell r="D435" t="str">
            <v>N</v>
          </cell>
          <cell r="E435" t="str">
            <v>C</v>
          </cell>
          <cell r="F435" t="str">
            <v>06/25/2001</v>
          </cell>
        </row>
        <row r="436">
          <cell r="B436" t="str">
            <v>11919</v>
          </cell>
          <cell r="C436" t="str">
            <v>UEC</v>
          </cell>
          <cell r="D436" t="str">
            <v>N</v>
          </cell>
          <cell r="E436" t="str">
            <v>A</v>
          </cell>
          <cell r="F436" t="str">
            <v>02/27/2002</v>
          </cell>
        </row>
        <row r="437">
          <cell r="B437" t="str">
            <v>11922</v>
          </cell>
          <cell r="C437" t="str">
            <v>UEC</v>
          </cell>
          <cell r="D437" t="str">
            <v>N</v>
          </cell>
          <cell r="E437" t="str">
            <v>C</v>
          </cell>
          <cell r="F437" t="str">
            <v>10/02/2001</v>
          </cell>
        </row>
        <row r="438">
          <cell r="B438" t="str">
            <v>11927</v>
          </cell>
          <cell r="C438" t="str">
            <v>UEC</v>
          </cell>
          <cell r="D438" t="str">
            <v>Y</v>
          </cell>
          <cell r="E438" t="str">
            <v>C</v>
          </cell>
          <cell r="F438" t="str">
            <v>07/13/2001</v>
          </cell>
        </row>
        <row r="439">
          <cell r="B439" t="str">
            <v>11928</v>
          </cell>
          <cell r="C439" t="str">
            <v>UEC</v>
          </cell>
          <cell r="D439" t="str">
            <v>N</v>
          </cell>
          <cell r="E439" t="str">
            <v>C</v>
          </cell>
          <cell r="F439" t="str">
            <v>01/30/2001</v>
          </cell>
        </row>
        <row r="440">
          <cell r="B440" t="str">
            <v>11931</v>
          </cell>
          <cell r="C440" t="str">
            <v>UEC</v>
          </cell>
          <cell r="D440" t="str">
            <v>N</v>
          </cell>
          <cell r="E440" t="str">
            <v>C</v>
          </cell>
          <cell r="F440" t="str">
            <v>02/01/2001</v>
          </cell>
        </row>
        <row r="441">
          <cell r="B441" t="str">
            <v>11948</v>
          </cell>
          <cell r="C441" t="str">
            <v>UEC</v>
          </cell>
          <cell r="D441" t="str">
            <v>N</v>
          </cell>
          <cell r="E441" t="str">
            <v>C</v>
          </cell>
          <cell r="F441" t="str">
            <v>10/05/2001</v>
          </cell>
        </row>
        <row r="442">
          <cell r="B442" t="str">
            <v>11958</v>
          </cell>
          <cell r="C442" t="str">
            <v>UEC</v>
          </cell>
          <cell r="D442" t="str">
            <v>N</v>
          </cell>
          <cell r="E442" t="str">
            <v>C</v>
          </cell>
          <cell r="F442" t="str">
            <v>07/20/2001</v>
          </cell>
        </row>
        <row r="443">
          <cell r="B443" t="str">
            <v>11966</v>
          </cell>
          <cell r="C443" t="str">
            <v>UEC</v>
          </cell>
          <cell r="D443" t="str">
            <v>N</v>
          </cell>
          <cell r="E443" t="str">
            <v>C</v>
          </cell>
          <cell r="F443" t="str">
            <v>11/05/2001</v>
          </cell>
        </row>
        <row r="444">
          <cell r="B444" t="str">
            <v>11968</v>
          </cell>
          <cell r="C444" t="str">
            <v>UEC</v>
          </cell>
          <cell r="D444" t="str">
            <v>N</v>
          </cell>
          <cell r="E444" t="str">
            <v>C</v>
          </cell>
          <cell r="F444" t="str">
            <v>04/10/2001</v>
          </cell>
        </row>
        <row r="445">
          <cell r="B445" t="str">
            <v>11986</v>
          </cell>
          <cell r="C445" t="str">
            <v>CIP</v>
          </cell>
          <cell r="D445" t="str">
            <v>N</v>
          </cell>
          <cell r="E445" t="str">
            <v>C</v>
          </cell>
          <cell r="F445" t="str">
            <v>10/20/2000</v>
          </cell>
        </row>
        <row r="446">
          <cell r="B446" t="str">
            <v>11987</v>
          </cell>
          <cell r="C446" t="str">
            <v>UEC</v>
          </cell>
          <cell r="D446" t="str">
            <v>N</v>
          </cell>
          <cell r="E446" t="str">
            <v>C</v>
          </cell>
          <cell r="F446" t="str">
            <v>09/19/2001</v>
          </cell>
        </row>
        <row r="447">
          <cell r="B447" t="str">
            <v>11989</v>
          </cell>
          <cell r="C447" t="str">
            <v>UEC</v>
          </cell>
          <cell r="D447" t="str">
            <v>N</v>
          </cell>
          <cell r="E447" t="str">
            <v>C</v>
          </cell>
          <cell r="F447" t="str">
            <v>04/24/2001</v>
          </cell>
        </row>
        <row r="448">
          <cell r="B448" t="str">
            <v>11990</v>
          </cell>
          <cell r="C448" t="str">
            <v>UEC</v>
          </cell>
          <cell r="D448" t="str">
            <v>N</v>
          </cell>
          <cell r="E448" t="str">
            <v>A</v>
          </cell>
          <cell r="F448" t="str">
            <v>03/07/2002</v>
          </cell>
        </row>
        <row r="449">
          <cell r="B449" t="str">
            <v>11994</v>
          </cell>
          <cell r="C449" t="str">
            <v>UEC</v>
          </cell>
          <cell r="D449" t="str">
            <v>N</v>
          </cell>
          <cell r="E449" t="str">
            <v>C</v>
          </cell>
          <cell r="F449" t="str">
            <v>05/13/2002</v>
          </cell>
        </row>
        <row r="450">
          <cell r="B450" t="str">
            <v>11995</v>
          </cell>
          <cell r="C450" t="str">
            <v>UEC</v>
          </cell>
          <cell r="D450" t="str">
            <v>N</v>
          </cell>
          <cell r="E450" t="str">
            <v>I</v>
          </cell>
          <cell r="F450" t="str">
            <v>12/19/2003</v>
          </cell>
        </row>
        <row r="451">
          <cell r="B451" t="str">
            <v>11995</v>
          </cell>
          <cell r="C451" t="str">
            <v>UEC</v>
          </cell>
          <cell r="D451" t="str">
            <v>N</v>
          </cell>
          <cell r="E451" t="str">
            <v>I</v>
          </cell>
          <cell r="F451" t="str">
            <v>12/19/2003</v>
          </cell>
        </row>
        <row r="452">
          <cell r="B452" t="str">
            <v>12000</v>
          </cell>
          <cell r="C452" t="str">
            <v>UEC</v>
          </cell>
          <cell r="D452" t="str">
            <v>N</v>
          </cell>
          <cell r="E452" t="str">
            <v>C</v>
          </cell>
          <cell r="F452" t="str">
            <v>08/15/2002</v>
          </cell>
        </row>
        <row r="453">
          <cell r="B453" t="str">
            <v>12001</v>
          </cell>
          <cell r="C453" t="str">
            <v>UEC</v>
          </cell>
          <cell r="D453" t="str">
            <v>N</v>
          </cell>
          <cell r="E453" t="str">
            <v>A</v>
          </cell>
          <cell r="F453" t="str">
            <v>09/05/2003</v>
          </cell>
        </row>
        <row r="454">
          <cell r="B454" t="str">
            <v>12006</v>
          </cell>
          <cell r="C454" t="str">
            <v>UEC</v>
          </cell>
          <cell r="D454" t="str">
            <v>N</v>
          </cell>
          <cell r="E454" t="str">
            <v>C</v>
          </cell>
          <cell r="F454" t="str">
            <v>04/30/2002</v>
          </cell>
        </row>
        <row r="455">
          <cell r="B455" t="str">
            <v>12008</v>
          </cell>
          <cell r="C455" t="str">
            <v>UEC</v>
          </cell>
          <cell r="D455" t="str">
            <v>N</v>
          </cell>
          <cell r="E455" t="str">
            <v>C</v>
          </cell>
          <cell r="F455" t="str">
            <v>04/30/2002</v>
          </cell>
        </row>
        <row r="456">
          <cell r="B456" t="str">
            <v>12015</v>
          </cell>
          <cell r="C456" t="str">
            <v>UEC</v>
          </cell>
          <cell r="D456" t="str">
            <v>N</v>
          </cell>
          <cell r="E456" t="str">
            <v>A</v>
          </cell>
          <cell r="F456" t="str">
            <v>11/16/2000</v>
          </cell>
        </row>
        <row r="457">
          <cell r="B457" t="str">
            <v>12016</v>
          </cell>
          <cell r="C457" t="str">
            <v>UEC</v>
          </cell>
          <cell r="D457" t="str">
            <v>N</v>
          </cell>
          <cell r="E457" t="str">
            <v>A</v>
          </cell>
          <cell r="F457" t="str">
            <v>08/04/2003</v>
          </cell>
        </row>
        <row r="458">
          <cell r="B458" t="str">
            <v>12038</v>
          </cell>
          <cell r="C458" t="str">
            <v>UEC</v>
          </cell>
          <cell r="D458" t="str">
            <v>N</v>
          </cell>
          <cell r="E458" t="str">
            <v>C</v>
          </cell>
          <cell r="F458" t="str">
            <v>05/17/2001</v>
          </cell>
        </row>
        <row r="459">
          <cell r="B459" t="str">
            <v>12040</v>
          </cell>
          <cell r="C459" t="str">
            <v>UEC</v>
          </cell>
          <cell r="D459" t="str">
            <v>N</v>
          </cell>
          <cell r="E459" t="str">
            <v>C</v>
          </cell>
          <cell r="F459" t="str">
            <v>08/30/2001</v>
          </cell>
        </row>
        <row r="460">
          <cell r="B460" t="str">
            <v>12041</v>
          </cell>
          <cell r="C460" t="str">
            <v>CIP</v>
          </cell>
          <cell r="D460" t="str">
            <v>N</v>
          </cell>
          <cell r="E460" t="str">
            <v>A</v>
          </cell>
          <cell r="F460" t="str">
            <v>02/02/2001</v>
          </cell>
        </row>
        <row r="461">
          <cell r="B461" t="str">
            <v>12046</v>
          </cell>
          <cell r="C461" t="str">
            <v>CIP</v>
          </cell>
          <cell r="D461" t="str">
            <v>N</v>
          </cell>
          <cell r="E461" t="str">
            <v>C</v>
          </cell>
          <cell r="F461" t="str">
            <v>10/03/2000</v>
          </cell>
        </row>
        <row r="462">
          <cell r="B462" t="str">
            <v>12059</v>
          </cell>
          <cell r="C462" t="str">
            <v>UEC</v>
          </cell>
          <cell r="D462" t="str">
            <v>N</v>
          </cell>
          <cell r="E462" t="str">
            <v>A</v>
          </cell>
          <cell r="F462" t="str">
            <v>03/28/2001</v>
          </cell>
        </row>
        <row r="463">
          <cell r="B463" t="str">
            <v>12063</v>
          </cell>
          <cell r="C463" t="str">
            <v>UEC</v>
          </cell>
          <cell r="D463" t="str">
            <v>N</v>
          </cell>
          <cell r="E463" t="str">
            <v>A</v>
          </cell>
          <cell r="F463" t="str">
            <v>10/17/2002</v>
          </cell>
        </row>
        <row r="464">
          <cell r="B464" t="str">
            <v>12066</v>
          </cell>
          <cell r="C464" t="str">
            <v>UEC</v>
          </cell>
          <cell r="D464" t="str">
            <v>N</v>
          </cell>
          <cell r="E464" t="str">
            <v>C</v>
          </cell>
          <cell r="F464" t="str">
            <v>09/28/2000</v>
          </cell>
        </row>
        <row r="465">
          <cell r="B465" t="str">
            <v>12067</v>
          </cell>
          <cell r="C465" t="str">
            <v>CIP</v>
          </cell>
          <cell r="D465" t="str">
            <v>N</v>
          </cell>
          <cell r="E465" t="str">
            <v>C</v>
          </cell>
          <cell r="F465" t="str">
            <v>09/28/2000</v>
          </cell>
        </row>
        <row r="466">
          <cell r="B466" t="str">
            <v>12068</v>
          </cell>
          <cell r="C466" t="str">
            <v>UEC</v>
          </cell>
          <cell r="D466" t="str">
            <v>N</v>
          </cell>
          <cell r="E466" t="str">
            <v>C</v>
          </cell>
          <cell r="F466" t="str">
            <v>02/22/2001</v>
          </cell>
        </row>
        <row r="467">
          <cell r="B467" t="str">
            <v>12071</v>
          </cell>
          <cell r="C467" t="str">
            <v>CIP</v>
          </cell>
          <cell r="D467" t="str">
            <v>N</v>
          </cell>
          <cell r="E467" t="str">
            <v>C</v>
          </cell>
          <cell r="F467" t="str">
            <v>10/31/2001</v>
          </cell>
        </row>
        <row r="468">
          <cell r="B468" t="str">
            <v>12073</v>
          </cell>
          <cell r="C468" t="str">
            <v>CIP</v>
          </cell>
          <cell r="D468" t="str">
            <v>N</v>
          </cell>
          <cell r="E468" t="str">
            <v>C</v>
          </cell>
          <cell r="F468" t="str">
            <v>01/10/2003</v>
          </cell>
        </row>
        <row r="469">
          <cell r="B469" t="str">
            <v>12162</v>
          </cell>
          <cell r="C469" t="str">
            <v>UEC</v>
          </cell>
          <cell r="D469" t="str">
            <v>N</v>
          </cell>
          <cell r="E469" t="str">
            <v>C</v>
          </cell>
          <cell r="F469" t="str">
            <v>04/09/2001</v>
          </cell>
        </row>
        <row r="470">
          <cell r="B470" t="str">
            <v>12170</v>
          </cell>
          <cell r="C470" t="str">
            <v>UEC</v>
          </cell>
          <cell r="D470" t="str">
            <v>N</v>
          </cell>
          <cell r="E470" t="str">
            <v>A</v>
          </cell>
          <cell r="F470" t="str">
            <v>02/13/2001</v>
          </cell>
        </row>
        <row r="471">
          <cell r="B471" t="str">
            <v>12171</v>
          </cell>
          <cell r="C471" t="str">
            <v>UEC</v>
          </cell>
          <cell r="D471" t="str">
            <v>N</v>
          </cell>
          <cell r="E471" t="str">
            <v>A</v>
          </cell>
          <cell r="F471" t="str">
            <v>02/20/2001</v>
          </cell>
        </row>
        <row r="472">
          <cell r="B472" t="str">
            <v>12183</v>
          </cell>
          <cell r="C472" t="str">
            <v>UEC</v>
          </cell>
          <cell r="D472" t="str">
            <v>N</v>
          </cell>
          <cell r="E472" t="str">
            <v>C</v>
          </cell>
          <cell r="F472" t="str">
            <v>05/22/2001</v>
          </cell>
        </row>
        <row r="473">
          <cell r="B473" t="str">
            <v>12207</v>
          </cell>
          <cell r="C473" t="str">
            <v>CIP</v>
          </cell>
          <cell r="D473" t="str">
            <v>N</v>
          </cell>
          <cell r="E473" t="str">
            <v>A</v>
          </cell>
          <cell r="F473" t="str">
            <v>01/30/2001</v>
          </cell>
        </row>
        <row r="474">
          <cell r="B474" t="str">
            <v>12208</v>
          </cell>
          <cell r="C474" t="str">
            <v>CIP</v>
          </cell>
          <cell r="D474" t="str">
            <v>N</v>
          </cell>
          <cell r="E474" t="str">
            <v>C</v>
          </cell>
          <cell r="F474" t="str">
            <v>10/26/2000</v>
          </cell>
        </row>
        <row r="475">
          <cell r="B475" t="str">
            <v>12211</v>
          </cell>
          <cell r="C475" t="str">
            <v>UEC</v>
          </cell>
          <cell r="D475" t="str">
            <v>N</v>
          </cell>
          <cell r="E475" t="str">
            <v>A</v>
          </cell>
          <cell r="F475" t="str">
            <v>01/30/2001</v>
          </cell>
        </row>
        <row r="476">
          <cell r="B476" t="str">
            <v>12212</v>
          </cell>
          <cell r="C476" t="str">
            <v>UEC</v>
          </cell>
          <cell r="D476" t="str">
            <v>N</v>
          </cell>
          <cell r="E476" t="str">
            <v>C</v>
          </cell>
          <cell r="F476" t="str">
            <v>03/05/2001</v>
          </cell>
        </row>
        <row r="477">
          <cell r="B477" t="str">
            <v>12218</v>
          </cell>
          <cell r="C477" t="str">
            <v>UEC</v>
          </cell>
          <cell r="D477" t="str">
            <v>N</v>
          </cell>
          <cell r="E477" t="str">
            <v>A</v>
          </cell>
          <cell r="F477" t="str">
            <v>04/15/2002</v>
          </cell>
        </row>
        <row r="478">
          <cell r="B478" t="str">
            <v>12224</v>
          </cell>
          <cell r="C478" t="str">
            <v>UEC</v>
          </cell>
          <cell r="D478" t="str">
            <v>N</v>
          </cell>
          <cell r="E478" t="str">
            <v>A</v>
          </cell>
          <cell r="F478" t="str">
            <v>05/22/2001</v>
          </cell>
        </row>
        <row r="479">
          <cell r="B479" t="str">
            <v>12226</v>
          </cell>
          <cell r="C479" t="str">
            <v>UEC</v>
          </cell>
          <cell r="D479" t="str">
            <v>N</v>
          </cell>
          <cell r="E479" t="str">
            <v>C</v>
          </cell>
          <cell r="F479" t="str">
            <v>02/20/2001</v>
          </cell>
        </row>
        <row r="480">
          <cell r="B480" t="str">
            <v>12238</v>
          </cell>
          <cell r="C480" t="str">
            <v>UEC</v>
          </cell>
          <cell r="D480" t="str">
            <v>N</v>
          </cell>
          <cell r="E480" t="str">
            <v>I</v>
          </cell>
          <cell r="F480" t="str">
            <v>04/26/2001</v>
          </cell>
        </row>
        <row r="481">
          <cell r="B481" t="str">
            <v>12250</v>
          </cell>
          <cell r="C481" t="str">
            <v>UEC</v>
          </cell>
          <cell r="D481" t="str">
            <v>N</v>
          </cell>
          <cell r="E481" t="str">
            <v>I</v>
          </cell>
          <cell r="F481" t="str">
            <v>02/27/2001</v>
          </cell>
        </row>
        <row r="482">
          <cell r="B482" t="str">
            <v>12298</v>
          </cell>
          <cell r="C482" t="str">
            <v>CIP</v>
          </cell>
          <cell r="D482" t="str">
            <v>N</v>
          </cell>
          <cell r="E482" t="str">
            <v>A</v>
          </cell>
          <cell r="F482" t="str">
            <v>04/18/2001</v>
          </cell>
        </row>
        <row r="483">
          <cell r="B483" t="str">
            <v>12299</v>
          </cell>
          <cell r="C483" t="str">
            <v>UEC</v>
          </cell>
          <cell r="D483" t="str">
            <v>N</v>
          </cell>
          <cell r="E483" t="str">
            <v>A</v>
          </cell>
          <cell r="F483" t="str">
            <v>03/01/2001</v>
          </cell>
        </row>
        <row r="484">
          <cell r="B484" t="str">
            <v>12300</v>
          </cell>
          <cell r="C484" t="str">
            <v>UEC</v>
          </cell>
          <cell r="D484" t="str">
            <v>N</v>
          </cell>
          <cell r="E484" t="str">
            <v>A</v>
          </cell>
          <cell r="F484" t="str">
            <v>03/01/2001</v>
          </cell>
        </row>
        <row r="485">
          <cell r="B485" t="str">
            <v>12308</v>
          </cell>
          <cell r="C485" t="str">
            <v>CIP</v>
          </cell>
          <cell r="D485" t="str">
            <v>N</v>
          </cell>
          <cell r="E485" t="str">
            <v>C</v>
          </cell>
          <cell r="F485" t="str">
            <v>10/10/2000</v>
          </cell>
        </row>
        <row r="486">
          <cell r="B486" t="str">
            <v>12330</v>
          </cell>
          <cell r="C486" t="str">
            <v>UEC</v>
          </cell>
          <cell r="D486" t="str">
            <v>N</v>
          </cell>
          <cell r="E486" t="str">
            <v>C</v>
          </cell>
          <cell r="F486" t="str">
            <v>10/26/2000</v>
          </cell>
        </row>
        <row r="487">
          <cell r="B487" t="str">
            <v>12338</v>
          </cell>
          <cell r="C487" t="str">
            <v>AED</v>
          </cell>
          <cell r="D487" t="str">
            <v>N</v>
          </cell>
          <cell r="E487" t="str">
            <v>A</v>
          </cell>
          <cell r="F487" t="str">
            <v>11/01/2000</v>
          </cell>
        </row>
        <row r="488">
          <cell r="B488" t="str">
            <v>12344</v>
          </cell>
          <cell r="C488" t="str">
            <v>UEC</v>
          </cell>
          <cell r="D488" t="str">
            <v>N</v>
          </cell>
          <cell r="E488" t="str">
            <v>C</v>
          </cell>
          <cell r="F488" t="str">
            <v>05/09/2001</v>
          </cell>
        </row>
        <row r="489">
          <cell r="B489" t="str">
            <v>12345</v>
          </cell>
          <cell r="C489" t="str">
            <v>UEC</v>
          </cell>
          <cell r="D489" t="str">
            <v>N</v>
          </cell>
          <cell r="E489" t="str">
            <v>C</v>
          </cell>
          <cell r="F489" t="str">
            <v>05/09/2001</v>
          </cell>
        </row>
        <row r="490">
          <cell r="B490" t="str">
            <v>12358</v>
          </cell>
          <cell r="C490" t="str">
            <v>CIP</v>
          </cell>
          <cell r="D490" t="str">
            <v>N</v>
          </cell>
          <cell r="E490" t="str">
            <v>C</v>
          </cell>
          <cell r="F490" t="str">
            <v>04/30/2001</v>
          </cell>
        </row>
        <row r="491">
          <cell r="B491" t="str">
            <v>12359</v>
          </cell>
          <cell r="C491" t="str">
            <v>CIP</v>
          </cell>
          <cell r="D491" t="str">
            <v>N</v>
          </cell>
          <cell r="E491" t="str">
            <v>A</v>
          </cell>
          <cell r="F491" t="str">
            <v>04/30/2001</v>
          </cell>
        </row>
        <row r="492">
          <cell r="B492" t="str">
            <v>12363</v>
          </cell>
          <cell r="C492" t="str">
            <v>UEC</v>
          </cell>
          <cell r="D492" t="str">
            <v>N</v>
          </cell>
          <cell r="E492" t="str">
            <v>C</v>
          </cell>
          <cell r="F492" t="str">
            <v>02/22/2002</v>
          </cell>
        </row>
        <row r="493">
          <cell r="B493" t="str">
            <v>12365</v>
          </cell>
          <cell r="C493" t="str">
            <v>UEC</v>
          </cell>
          <cell r="D493" t="str">
            <v>N</v>
          </cell>
          <cell r="E493" t="str">
            <v>C</v>
          </cell>
          <cell r="F493" t="str">
            <v>05/02/2001</v>
          </cell>
        </row>
        <row r="494">
          <cell r="B494" t="str">
            <v>12366</v>
          </cell>
          <cell r="C494" t="str">
            <v>UEC</v>
          </cell>
          <cell r="D494" t="str">
            <v>N</v>
          </cell>
          <cell r="E494" t="str">
            <v>C</v>
          </cell>
          <cell r="F494" t="str">
            <v>05/04/2001</v>
          </cell>
        </row>
        <row r="495">
          <cell r="B495" t="str">
            <v>12370</v>
          </cell>
          <cell r="C495" t="str">
            <v>UEC</v>
          </cell>
          <cell r="D495" t="str">
            <v>N</v>
          </cell>
          <cell r="E495" t="str">
            <v>A</v>
          </cell>
          <cell r="F495" t="str">
            <v>05/07/2001</v>
          </cell>
        </row>
        <row r="496">
          <cell r="B496" t="str">
            <v>12371</v>
          </cell>
          <cell r="C496" t="str">
            <v>UEC</v>
          </cell>
          <cell r="D496" t="str">
            <v>N</v>
          </cell>
          <cell r="E496" t="str">
            <v>C</v>
          </cell>
          <cell r="F496" t="str">
            <v>05/08/2001</v>
          </cell>
        </row>
        <row r="497">
          <cell r="B497" t="str">
            <v>12372</v>
          </cell>
          <cell r="C497" t="str">
            <v>UEC</v>
          </cell>
          <cell r="D497" t="str">
            <v>N</v>
          </cell>
          <cell r="E497" t="str">
            <v>C</v>
          </cell>
          <cell r="F497" t="str">
            <v>05/08/2001</v>
          </cell>
        </row>
        <row r="498">
          <cell r="B498" t="str">
            <v>12373</v>
          </cell>
          <cell r="C498" t="str">
            <v>UEC</v>
          </cell>
          <cell r="D498" t="str">
            <v>N</v>
          </cell>
          <cell r="E498" t="str">
            <v>C</v>
          </cell>
          <cell r="F498" t="str">
            <v>05/08/2001</v>
          </cell>
        </row>
        <row r="499">
          <cell r="B499" t="str">
            <v>12383</v>
          </cell>
          <cell r="C499" t="str">
            <v>UEC</v>
          </cell>
          <cell r="D499" t="str">
            <v>N</v>
          </cell>
          <cell r="E499" t="str">
            <v>C</v>
          </cell>
          <cell r="F499" t="str">
            <v>05/08/2001</v>
          </cell>
        </row>
        <row r="500">
          <cell r="B500" t="str">
            <v>12384</v>
          </cell>
          <cell r="C500" t="str">
            <v>UEC</v>
          </cell>
          <cell r="D500" t="str">
            <v>N</v>
          </cell>
          <cell r="E500" t="str">
            <v>I</v>
          </cell>
          <cell r="F500" t="str">
            <v>05/08/2001</v>
          </cell>
        </row>
        <row r="501">
          <cell r="B501" t="str">
            <v>12385</v>
          </cell>
          <cell r="C501" t="str">
            <v>UEC</v>
          </cell>
          <cell r="D501" t="str">
            <v>N</v>
          </cell>
          <cell r="E501" t="str">
            <v>I</v>
          </cell>
          <cell r="F501" t="str">
            <v>05/08/2001</v>
          </cell>
        </row>
        <row r="502">
          <cell r="B502" t="str">
            <v>12386</v>
          </cell>
          <cell r="C502" t="str">
            <v>UEC</v>
          </cell>
          <cell r="D502" t="str">
            <v>N</v>
          </cell>
          <cell r="E502" t="str">
            <v>I</v>
          </cell>
          <cell r="F502" t="str">
            <v>05/08/2001</v>
          </cell>
        </row>
        <row r="503">
          <cell r="B503" t="str">
            <v>12387</v>
          </cell>
          <cell r="C503" t="str">
            <v>UEC</v>
          </cell>
          <cell r="D503" t="str">
            <v>N</v>
          </cell>
          <cell r="E503" t="str">
            <v>I</v>
          </cell>
          <cell r="F503" t="str">
            <v>05/08/2001</v>
          </cell>
        </row>
        <row r="504">
          <cell r="B504" t="str">
            <v>12390</v>
          </cell>
          <cell r="C504" t="str">
            <v>UEC</v>
          </cell>
          <cell r="D504" t="str">
            <v>N</v>
          </cell>
          <cell r="E504" t="str">
            <v>I</v>
          </cell>
          <cell r="F504" t="str">
            <v>05/08/2001</v>
          </cell>
        </row>
        <row r="505">
          <cell r="B505" t="str">
            <v>12391</v>
          </cell>
          <cell r="C505" t="str">
            <v>UEC</v>
          </cell>
          <cell r="D505" t="str">
            <v>N</v>
          </cell>
          <cell r="E505" t="str">
            <v>C</v>
          </cell>
          <cell r="F505" t="str">
            <v>05/09/2001</v>
          </cell>
        </row>
        <row r="506">
          <cell r="B506" t="str">
            <v>12404</v>
          </cell>
          <cell r="C506" t="str">
            <v>UEC</v>
          </cell>
          <cell r="D506" t="str">
            <v>N</v>
          </cell>
          <cell r="E506" t="str">
            <v>C</v>
          </cell>
          <cell r="F506" t="str">
            <v>07/20/2001</v>
          </cell>
        </row>
        <row r="507">
          <cell r="B507" t="str">
            <v>12408</v>
          </cell>
          <cell r="C507" t="str">
            <v>UEC</v>
          </cell>
          <cell r="D507" t="str">
            <v>N</v>
          </cell>
          <cell r="E507" t="str">
            <v>C</v>
          </cell>
          <cell r="F507" t="str">
            <v>07/20/2001</v>
          </cell>
        </row>
        <row r="508">
          <cell r="B508" t="str">
            <v>12412</v>
          </cell>
          <cell r="C508" t="str">
            <v>CIP</v>
          </cell>
          <cell r="D508" t="str">
            <v>N</v>
          </cell>
          <cell r="E508" t="str">
            <v>C</v>
          </cell>
          <cell r="F508" t="str">
            <v>07/27/2001</v>
          </cell>
        </row>
        <row r="509">
          <cell r="B509" t="str">
            <v>12428</v>
          </cell>
          <cell r="C509" t="str">
            <v>UEC</v>
          </cell>
          <cell r="D509" t="str">
            <v>N</v>
          </cell>
          <cell r="E509" t="str">
            <v>A</v>
          </cell>
          <cell r="F509" t="str">
            <v>05/23/2001</v>
          </cell>
        </row>
        <row r="510">
          <cell r="B510" t="str">
            <v>12432</v>
          </cell>
          <cell r="C510" t="str">
            <v>CIP</v>
          </cell>
          <cell r="D510" t="str">
            <v>N</v>
          </cell>
          <cell r="E510" t="str">
            <v>C</v>
          </cell>
          <cell r="F510" t="str">
            <v>10/12/2001</v>
          </cell>
        </row>
        <row r="511">
          <cell r="B511" t="str">
            <v>12440</v>
          </cell>
          <cell r="C511" t="str">
            <v>CIP</v>
          </cell>
          <cell r="D511" t="str">
            <v>N</v>
          </cell>
          <cell r="E511" t="str">
            <v>C</v>
          </cell>
          <cell r="F511" t="str">
            <v>02/04/2002</v>
          </cell>
        </row>
        <row r="512">
          <cell r="B512" t="str">
            <v>12443</v>
          </cell>
          <cell r="C512" t="str">
            <v>UEC</v>
          </cell>
          <cell r="D512" t="str">
            <v>N</v>
          </cell>
          <cell r="E512" t="str">
            <v>A</v>
          </cell>
          <cell r="F512" t="str">
            <v>05/17/2001</v>
          </cell>
        </row>
        <row r="513">
          <cell r="B513" t="str">
            <v>12444</v>
          </cell>
          <cell r="C513" t="str">
            <v>UEC</v>
          </cell>
          <cell r="D513" t="str">
            <v>N</v>
          </cell>
          <cell r="E513" t="str">
            <v>A</v>
          </cell>
          <cell r="F513" t="str">
            <v>05/24/2001</v>
          </cell>
        </row>
        <row r="514">
          <cell r="B514" t="str">
            <v>12449</v>
          </cell>
          <cell r="C514" t="str">
            <v>UEC</v>
          </cell>
          <cell r="D514" t="str">
            <v>N</v>
          </cell>
          <cell r="E514" t="str">
            <v>A</v>
          </cell>
          <cell r="F514" t="str">
            <v>07/13/2001</v>
          </cell>
        </row>
        <row r="515">
          <cell r="B515" t="str">
            <v>12455</v>
          </cell>
          <cell r="C515" t="str">
            <v>CIP</v>
          </cell>
          <cell r="D515" t="str">
            <v>N</v>
          </cell>
          <cell r="E515" t="str">
            <v>C</v>
          </cell>
          <cell r="F515" t="str">
            <v>07/20/2001</v>
          </cell>
        </row>
        <row r="516">
          <cell r="B516" t="str">
            <v>12477</v>
          </cell>
          <cell r="C516" t="str">
            <v>UEC</v>
          </cell>
          <cell r="D516" t="str">
            <v>N</v>
          </cell>
          <cell r="E516" t="str">
            <v>C</v>
          </cell>
          <cell r="F516" t="str">
            <v>02/26/2003</v>
          </cell>
        </row>
        <row r="517">
          <cell r="B517" t="str">
            <v>12483</v>
          </cell>
          <cell r="C517" t="str">
            <v>UEC</v>
          </cell>
          <cell r="D517" t="str">
            <v>N</v>
          </cell>
          <cell r="E517" t="str">
            <v>A</v>
          </cell>
          <cell r="F517" t="str">
            <v>06/13/2001</v>
          </cell>
        </row>
        <row r="518">
          <cell r="B518" t="str">
            <v>12484</v>
          </cell>
          <cell r="C518" t="str">
            <v>UEC</v>
          </cell>
          <cell r="D518" t="str">
            <v>N</v>
          </cell>
          <cell r="E518" t="str">
            <v>A</v>
          </cell>
          <cell r="F518" t="str">
            <v>06/13/2001</v>
          </cell>
        </row>
        <row r="519">
          <cell r="B519" t="str">
            <v>12485</v>
          </cell>
          <cell r="C519" t="str">
            <v>UEC</v>
          </cell>
          <cell r="D519" t="str">
            <v>N</v>
          </cell>
          <cell r="E519" t="str">
            <v>A</v>
          </cell>
          <cell r="F519" t="str">
            <v>06/13/2001</v>
          </cell>
        </row>
        <row r="520">
          <cell r="B520" t="str">
            <v>12486</v>
          </cell>
          <cell r="C520" t="str">
            <v>UEC</v>
          </cell>
          <cell r="D520" t="str">
            <v>N</v>
          </cell>
          <cell r="E520" t="str">
            <v>A</v>
          </cell>
          <cell r="F520" t="str">
            <v>06/13/2001</v>
          </cell>
        </row>
        <row r="521">
          <cell r="B521" t="str">
            <v>12488</v>
          </cell>
          <cell r="C521" t="str">
            <v>UEC</v>
          </cell>
          <cell r="D521" t="str">
            <v>N</v>
          </cell>
          <cell r="E521" t="str">
            <v>C</v>
          </cell>
          <cell r="F521" t="str">
            <v>05/01/2002</v>
          </cell>
        </row>
        <row r="522">
          <cell r="B522" t="str">
            <v>12490</v>
          </cell>
          <cell r="C522" t="str">
            <v>UEC</v>
          </cell>
          <cell r="D522" t="str">
            <v>N</v>
          </cell>
          <cell r="E522" t="str">
            <v>C</v>
          </cell>
          <cell r="F522" t="str">
            <v>11/25/2002</v>
          </cell>
        </row>
        <row r="523">
          <cell r="B523" t="str">
            <v>12494</v>
          </cell>
          <cell r="C523" t="str">
            <v>UEC</v>
          </cell>
          <cell r="D523" t="str">
            <v>N</v>
          </cell>
          <cell r="E523" t="str">
            <v>A</v>
          </cell>
          <cell r="F523" t="str">
            <v>05/29/2001</v>
          </cell>
        </row>
        <row r="524">
          <cell r="B524" t="str">
            <v>12495</v>
          </cell>
          <cell r="C524" t="str">
            <v>AEC</v>
          </cell>
          <cell r="D524" t="str">
            <v>N</v>
          </cell>
          <cell r="E524" t="str">
            <v>C</v>
          </cell>
          <cell r="F524" t="str">
            <v>06/01/2001</v>
          </cell>
        </row>
        <row r="525">
          <cell r="B525" t="str">
            <v>12522</v>
          </cell>
          <cell r="C525" t="str">
            <v>UEC</v>
          </cell>
          <cell r="D525" t="str">
            <v>N</v>
          </cell>
          <cell r="E525" t="str">
            <v>A</v>
          </cell>
          <cell r="F525" t="str">
            <v>10/31/2002</v>
          </cell>
        </row>
        <row r="526">
          <cell r="B526" t="str">
            <v>12523</v>
          </cell>
          <cell r="C526" t="str">
            <v>UEC</v>
          </cell>
          <cell r="D526" t="str">
            <v>N</v>
          </cell>
          <cell r="E526" t="str">
            <v>A</v>
          </cell>
          <cell r="F526" t="str">
            <v>10/31/2002</v>
          </cell>
        </row>
        <row r="527">
          <cell r="B527" t="str">
            <v>12524</v>
          </cell>
          <cell r="C527" t="str">
            <v>UEC</v>
          </cell>
          <cell r="D527" t="str">
            <v>N</v>
          </cell>
          <cell r="E527" t="str">
            <v>C</v>
          </cell>
          <cell r="F527" t="str">
            <v>12/03/2001</v>
          </cell>
        </row>
        <row r="528">
          <cell r="B528" t="str">
            <v>12525</v>
          </cell>
          <cell r="C528" t="str">
            <v>UEC</v>
          </cell>
          <cell r="D528" t="str">
            <v>N</v>
          </cell>
          <cell r="E528" t="str">
            <v>A</v>
          </cell>
          <cell r="F528" t="str">
            <v>06/01/2001</v>
          </cell>
        </row>
        <row r="529">
          <cell r="B529" t="str">
            <v>12526</v>
          </cell>
          <cell r="C529" t="str">
            <v>GEN</v>
          </cell>
          <cell r="D529" t="str">
            <v>N</v>
          </cell>
          <cell r="E529" t="str">
            <v>A</v>
          </cell>
          <cell r="F529" t="str">
            <v>06/18/2001</v>
          </cell>
        </row>
        <row r="530">
          <cell r="B530" t="str">
            <v>12527</v>
          </cell>
          <cell r="C530" t="str">
            <v>UEC</v>
          </cell>
          <cell r="D530" t="str">
            <v>N</v>
          </cell>
          <cell r="E530" t="str">
            <v>C</v>
          </cell>
          <cell r="F530" t="str">
            <v>07/16/2001</v>
          </cell>
        </row>
        <row r="531">
          <cell r="B531" t="str">
            <v>12528</v>
          </cell>
          <cell r="C531" t="str">
            <v>UEC</v>
          </cell>
          <cell r="D531" t="str">
            <v>N</v>
          </cell>
          <cell r="E531" t="str">
            <v>C</v>
          </cell>
          <cell r="F531" t="str">
            <v>02/07/2002</v>
          </cell>
        </row>
        <row r="532">
          <cell r="B532" t="str">
            <v>12529</v>
          </cell>
          <cell r="C532" t="str">
            <v>UEC</v>
          </cell>
          <cell r="D532" t="str">
            <v>N</v>
          </cell>
          <cell r="E532" t="str">
            <v>C</v>
          </cell>
          <cell r="F532" t="str">
            <v>07/10/2002</v>
          </cell>
        </row>
        <row r="533">
          <cell r="B533" t="str">
            <v>12532</v>
          </cell>
          <cell r="C533" t="str">
            <v>UEC</v>
          </cell>
          <cell r="D533" t="str">
            <v>N</v>
          </cell>
          <cell r="E533" t="str">
            <v>C</v>
          </cell>
          <cell r="F533" t="str">
            <v>06/13/2001</v>
          </cell>
        </row>
        <row r="534">
          <cell r="B534" t="str">
            <v>12540</v>
          </cell>
          <cell r="C534" t="str">
            <v>UEC</v>
          </cell>
          <cell r="D534" t="str">
            <v>N</v>
          </cell>
          <cell r="E534" t="str">
            <v>C</v>
          </cell>
          <cell r="F534" t="str">
            <v>06/14/2001</v>
          </cell>
        </row>
        <row r="535">
          <cell r="B535" t="str">
            <v>12546</v>
          </cell>
          <cell r="C535" t="str">
            <v>CIP</v>
          </cell>
          <cell r="D535" t="str">
            <v>N</v>
          </cell>
          <cell r="E535" t="str">
            <v>A</v>
          </cell>
          <cell r="F535" t="str">
            <v>06/19/2001</v>
          </cell>
        </row>
        <row r="536">
          <cell r="B536" t="str">
            <v>12548</v>
          </cell>
          <cell r="C536" t="str">
            <v>UEC</v>
          </cell>
          <cell r="D536" t="str">
            <v>N</v>
          </cell>
          <cell r="E536" t="str">
            <v>A</v>
          </cell>
          <cell r="F536" t="str">
            <v>06/19/2001</v>
          </cell>
        </row>
        <row r="537">
          <cell r="B537" t="str">
            <v>12562</v>
          </cell>
          <cell r="C537" t="str">
            <v>UEC</v>
          </cell>
          <cell r="D537" t="str">
            <v>N</v>
          </cell>
          <cell r="E537" t="str">
            <v>A</v>
          </cell>
          <cell r="F537" t="str">
            <v>02/20/2003</v>
          </cell>
        </row>
        <row r="538">
          <cell r="B538" t="str">
            <v>12565</v>
          </cell>
          <cell r="C538" t="str">
            <v>UEC</v>
          </cell>
          <cell r="D538" t="str">
            <v>N</v>
          </cell>
          <cell r="E538" t="str">
            <v>A</v>
          </cell>
          <cell r="F538" t="str">
            <v>03/26/2002</v>
          </cell>
        </row>
        <row r="539">
          <cell r="B539" t="str">
            <v>12571</v>
          </cell>
          <cell r="C539" t="str">
            <v>CIP</v>
          </cell>
          <cell r="D539" t="str">
            <v>N</v>
          </cell>
          <cell r="E539" t="str">
            <v>C</v>
          </cell>
          <cell r="F539" t="str">
            <v>06/27/2001</v>
          </cell>
        </row>
        <row r="540">
          <cell r="B540" t="str">
            <v>12582</v>
          </cell>
          <cell r="C540" t="str">
            <v>UEC</v>
          </cell>
          <cell r="D540" t="str">
            <v>N</v>
          </cell>
          <cell r="E540" t="str">
            <v>A</v>
          </cell>
          <cell r="F540" t="str">
            <v>07/02/2001</v>
          </cell>
        </row>
        <row r="541">
          <cell r="B541" t="str">
            <v>12592</v>
          </cell>
          <cell r="C541" t="str">
            <v>UEC</v>
          </cell>
          <cell r="D541" t="str">
            <v>N</v>
          </cell>
          <cell r="E541" t="str">
            <v>C</v>
          </cell>
          <cell r="F541" t="str">
            <v>10/08/2001</v>
          </cell>
        </row>
        <row r="542">
          <cell r="B542" t="str">
            <v>12610</v>
          </cell>
          <cell r="C542" t="str">
            <v>UEC</v>
          </cell>
          <cell r="D542" t="str">
            <v>N</v>
          </cell>
          <cell r="E542" t="str">
            <v>A</v>
          </cell>
          <cell r="F542" t="str">
            <v>09/17/2001</v>
          </cell>
        </row>
        <row r="543">
          <cell r="B543" t="str">
            <v>12611</v>
          </cell>
          <cell r="C543" t="str">
            <v>UEC</v>
          </cell>
          <cell r="D543" t="str">
            <v>N</v>
          </cell>
          <cell r="E543" t="str">
            <v>C</v>
          </cell>
          <cell r="F543" t="str">
            <v>09/17/2001</v>
          </cell>
        </row>
        <row r="544">
          <cell r="B544" t="str">
            <v>12612</v>
          </cell>
          <cell r="C544" t="str">
            <v>UEC</v>
          </cell>
          <cell r="D544" t="str">
            <v>N</v>
          </cell>
          <cell r="E544" t="str">
            <v>C</v>
          </cell>
          <cell r="F544" t="str">
            <v>09/17/2001</v>
          </cell>
        </row>
        <row r="545">
          <cell r="B545" t="str">
            <v>12618</v>
          </cell>
          <cell r="C545" t="str">
            <v>UEC</v>
          </cell>
          <cell r="D545" t="str">
            <v>N</v>
          </cell>
          <cell r="E545" t="str">
            <v>A</v>
          </cell>
          <cell r="F545" t="str">
            <v>07/27/2001</v>
          </cell>
        </row>
        <row r="546">
          <cell r="B546" t="str">
            <v>12627</v>
          </cell>
          <cell r="C546" t="str">
            <v>UEC</v>
          </cell>
          <cell r="D546" t="str">
            <v>N</v>
          </cell>
          <cell r="E546" t="str">
            <v>C</v>
          </cell>
          <cell r="F546" t="str">
            <v>07/15/2002</v>
          </cell>
        </row>
        <row r="547">
          <cell r="B547" t="str">
            <v>12635</v>
          </cell>
          <cell r="C547" t="str">
            <v>UEC</v>
          </cell>
          <cell r="D547" t="str">
            <v>N</v>
          </cell>
          <cell r="E547" t="str">
            <v>A</v>
          </cell>
          <cell r="F547" t="str">
            <v>08/03/2001</v>
          </cell>
        </row>
        <row r="548">
          <cell r="B548" t="str">
            <v>12637</v>
          </cell>
          <cell r="C548" t="str">
            <v>UEC</v>
          </cell>
          <cell r="D548" t="str">
            <v>N</v>
          </cell>
          <cell r="E548" t="str">
            <v>A</v>
          </cell>
          <cell r="F548" t="str">
            <v>08/09/2001</v>
          </cell>
        </row>
        <row r="549">
          <cell r="B549" t="str">
            <v>12640</v>
          </cell>
          <cell r="C549" t="str">
            <v>UEC</v>
          </cell>
          <cell r="D549" t="str">
            <v>N</v>
          </cell>
          <cell r="E549" t="str">
            <v>C</v>
          </cell>
          <cell r="F549" t="str">
            <v>12/04/2001</v>
          </cell>
        </row>
        <row r="550">
          <cell r="B550" t="str">
            <v>12643</v>
          </cell>
          <cell r="C550" t="str">
            <v>UEC</v>
          </cell>
          <cell r="D550" t="str">
            <v>N</v>
          </cell>
          <cell r="E550" t="str">
            <v>A</v>
          </cell>
          <cell r="F550" t="str">
            <v>11/29/2001</v>
          </cell>
        </row>
        <row r="551">
          <cell r="B551" t="str">
            <v>12645</v>
          </cell>
          <cell r="C551" t="str">
            <v>UEC</v>
          </cell>
          <cell r="D551" t="str">
            <v>N</v>
          </cell>
          <cell r="E551" t="str">
            <v>A</v>
          </cell>
          <cell r="F551" t="str">
            <v>03/27/2003</v>
          </cell>
        </row>
        <row r="552">
          <cell r="B552" t="str">
            <v>12676</v>
          </cell>
          <cell r="C552" t="str">
            <v>CIP</v>
          </cell>
          <cell r="D552" t="str">
            <v>N</v>
          </cell>
          <cell r="E552" t="str">
            <v>A</v>
          </cell>
          <cell r="F552" t="str">
            <v>09/18/2001</v>
          </cell>
        </row>
        <row r="553">
          <cell r="B553" t="str">
            <v>12680</v>
          </cell>
          <cell r="C553" t="str">
            <v>CIP</v>
          </cell>
          <cell r="D553" t="str">
            <v>N</v>
          </cell>
          <cell r="E553" t="str">
            <v>A</v>
          </cell>
          <cell r="F553" t="str">
            <v>10/02/2001</v>
          </cell>
        </row>
        <row r="554">
          <cell r="B554" t="str">
            <v>12682</v>
          </cell>
          <cell r="C554" t="str">
            <v>UEC</v>
          </cell>
          <cell r="D554" t="str">
            <v>N</v>
          </cell>
          <cell r="E554" t="str">
            <v>C</v>
          </cell>
          <cell r="F554" t="str">
            <v>02/05/2002</v>
          </cell>
        </row>
        <row r="555">
          <cell r="B555" t="str">
            <v>12683</v>
          </cell>
          <cell r="C555" t="str">
            <v>UEC</v>
          </cell>
          <cell r="D555" t="str">
            <v>N</v>
          </cell>
          <cell r="E555" t="str">
            <v>A</v>
          </cell>
          <cell r="F555" t="str">
            <v>08/30/2001</v>
          </cell>
        </row>
        <row r="556">
          <cell r="B556" t="str">
            <v>12684</v>
          </cell>
          <cell r="C556" t="str">
            <v>UEC</v>
          </cell>
          <cell r="D556" t="str">
            <v>N</v>
          </cell>
          <cell r="E556" t="str">
            <v>A</v>
          </cell>
          <cell r="F556" t="str">
            <v>12/20/2001</v>
          </cell>
        </row>
        <row r="557">
          <cell r="B557" t="str">
            <v>12687</v>
          </cell>
          <cell r="C557" t="str">
            <v>UEC</v>
          </cell>
          <cell r="D557" t="str">
            <v>N</v>
          </cell>
          <cell r="E557" t="str">
            <v>C</v>
          </cell>
          <cell r="F557" t="str">
            <v>08/28/2003</v>
          </cell>
        </row>
        <row r="558">
          <cell r="B558" t="str">
            <v>12689</v>
          </cell>
          <cell r="C558" t="str">
            <v>UEC</v>
          </cell>
          <cell r="D558" t="str">
            <v>N</v>
          </cell>
          <cell r="E558" t="str">
            <v>A</v>
          </cell>
          <cell r="F558" t="str">
            <v>11/14/2001</v>
          </cell>
        </row>
        <row r="559">
          <cell r="B559" t="str">
            <v>12692</v>
          </cell>
          <cell r="C559" t="str">
            <v>UEC</v>
          </cell>
          <cell r="D559" t="str">
            <v>N</v>
          </cell>
          <cell r="E559" t="str">
            <v>C</v>
          </cell>
          <cell r="F559" t="str">
            <v>07/30/2002</v>
          </cell>
        </row>
        <row r="560">
          <cell r="B560" t="str">
            <v>12701</v>
          </cell>
          <cell r="C560" t="str">
            <v>UEC</v>
          </cell>
          <cell r="D560" t="str">
            <v>N</v>
          </cell>
          <cell r="E560" t="str">
            <v>A</v>
          </cell>
          <cell r="F560" t="str">
            <v>07/16/2003</v>
          </cell>
        </row>
        <row r="561">
          <cell r="B561" t="str">
            <v>12705</v>
          </cell>
          <cell r="C561" t="str">
            <v>UEC</v>
          </cell>
          <cell r="D561" t="str">
            <v>N</v>
          </cell>
          <cell r="E561" t="str">
            <v>A</v>
          </cell>
          <cell r="F561" t="str">
            <v>04/21/2003</v>
          </cell>
        </row>
        <row r="562">
          <cell r="B562" t="str">
            <v>12707</v>
          </cell>
          <cell r="C562" t="str">
            <v>UEC</v>
          </cell>
          <cell r="D562" t="str">
            <v>N</v>
          </cell>
          <cell r="E562" t="str">
            <v>A</v>
          </cell>
          <cell r="F562" t="str">
            <v>04/03/2003</v>
          </cell>
        </row>
        <row r="563">
          <cell r="B563" t="str">
            <v>12711</v>
          </cell>
          <cell r="C563" t="str">
            <v>UEC</v>
          </cell>
          <cell r="D563" t="str">
            <v>N</v>
          </cell>
          <cell r="E563" t="str">
            <v>A</v>
          </cell>
          <cell r="F563" t="str">
            <v>12/19/2001</v>
          </cell>
        </row>
        <row r="564">
          <cell r="B564" t="str">
            <v>12712</v>
          </cell>
          <cell r="C564" t="str">
            <v>UEC</v>
          </cell>
          <cell r="D564" t="str">
            <v>N</v>
          </cell>
          <cell r="E564" t="str">
            <v>C</v>
          </cell>
          <cell r="F564" t="str">
            <v>03/13/2003</v>
          </cell>
        </row>
        <row r="565">
          <cell r="B565" t="str">
            <v>12714</v>
          </cell>
          <cell r="C565" t="str">
            <v>UEC</v>
          </cell>
          <cell r="D565" t="str">
            <v>N</v>
          </cell>
          <cell r="E565" t="str">
            <v>A</v>
          </cell>
          <cell r="F565" t="str">
            <v>09/04/2001</v>
          </cell>
        </row>
        <row r="566">
          <cell r="B566" t="str">
            <v>12720</v>
          </cell>
          <cell r="C566" t="str">
            <v>UEC</v>
          </cell>
          <cell r="D566" t="str">
            <v>N</v>
          </cell>
          <cell r="E566" t="str">
            <v>C</v>
          </cell>
          <cell r="F566" t="str">
            <v>08/23/2001</v>
          </cell>
        </row>
        <row r="567">
          <cell r="B567" t="str">
            <v>12726</v>
          </cell>
          <cell r="C567" t="str">
            <v>UEC</v>
          </cell>
          <cell r="D567" t="str">
            <v>N</v>
          </cell>
          <cell r="E567" t="str">
            <v>C</v>
          </cell>
          <cell r="F567" t="str">
            <v>04/01/2002</v>
          </cell>
        </row>
        <row r="568">
          <cell r="B568" t="str">
            <v>12729</v>
          </cell>
          <cell r="C568" t="str">
            <v>UEC</v>
          </cell>
          <cell r="D568" t="str">
            <v>N</v>
          </cell>
          <cell r="E568" t="str">
            <v>A</v>
          </cell>
          <cell r="F568" t="str">
            <v>03/17/2003</v>
          </cell>
        </row>
        <row r="569">
          <cell r="B569" t="str">
            <v>12739</v>
          </cell>
          <cell r="C569" t="str">
            <v>UEC</v>
          </cell>
          <cell r="D569" t="str">
            <v>N</v>
          </cell>
          <cell r="E569" t="str">
            <v>C</v>
          </cell>
          <cell r="F569" t="str">
            <v>09/30/2002</v>
          </cell>
        </row>
        <row r="570">
          <cell r="B570" t="str">
            <v>12743</v>
          </cell>
          <cell r="C570" t="str">
            <v>UEC</v>
          </cell>
          <cell r="D570" t="str">
            <v>N</v>
          </cell>
          <cell r="E570" t="str">
            <v>C</v>
          </cell>
          <cell r="F570" t="str">
            <v>05/02/2002</v>
          </cell>
        </row>
        <row r="571">
          <cell r="B571" t="str">
            <v>12744</v>
          </cell>
          <cell r="C571" t="str">
            <v>UEC</v>
          </cell>
          <cell r="D571" t="str">
            <v>N</v>
          </cell>
          <cell r="E571" t="str">
            <v>A</v>
          </cell>
          <cell r="F571" t="str">
            <v>02/11/2002</v>
          </cell>
        </row>
        <row r="572">
          <cell r="B572" t="str">
            <v>12746</v>
          </cell>
          <cell r="C572" t="str">
            <v>CIP</v>
          </cell>
          <cell r="D572" t="str">
            <v>N</v>
          </cell>
          <cell r="E572" t="str">
            <v>A</v>
          </cell>
          <cell r="F572" t="str">
            <v>10/29/2001</v>
          </cell>
        </row>
        <row r="573">
          <cell r="B573" t="str">
            <v>12755</v>
          </cell>
          <cell r="C573" t="str">
            <v>CIP</v>
          </cell>
          <cell r="D573" t="str">
            <v>N</v>
          </cell>
          <cell r="E573" t="str">
            <v>C</v>
          </cell>
          <cell r="F573" t="str">
            <v>01/11/2002</v>
          </cell>
        </row>
        <row r="574">
          <cell r="B574" t="str">
            <v>12758</v>
          </cell>
          <cell r="C574" t="str">
            <v>UEC</v>
          </cell>
          <cell r="D574" t="str">
            <v>N</v>
          </cell>
          <cell r="E574" t="str">
            <v>C</v>
          </cell>
          <cell r="F574" t="str">
            <v>11/14/2001</v>
          </cell>
        </row>
        <row r="575">
          <cell r="B575" t="str">
            <v>12767</v>
          </cell>
          <cell r="C575" t="str">
            <v>UEC</v>
          </cell>
          <cell r="D575" t="str">
            <v>N</v>
          </cell>
          <cell r="E575" t="str">
            <v>C</v>
          </cell>
          <cell r="F575" t="str">
            <v>08/15/2002</v>
          </cell>
        </row>
        <row r="576">
          <cell r="B576" t="str">
            <v>12768</v>
          </cell>
          <cell r="C576" t="str">
            <v>UEC</v>
          </cell>
          <cell r="D576" t="str">
            <v>N</v>
          </cell>
          <cell r="E576" t="str">
            <v>A</v>
          </cell>
          <cell r="F576" t="str">
            <v>06/10/2002</v>
          </cell>
        </row>
        <row r="577">
          <cell r="B577" t="str">
            <v>12770</v>
          </cell>
          <cell r="C577" t="str">
            <v>UEC</v>
          </cell>
          <cell r="D577" t="str">
            <v>N</v>
          </cell>
          <cell r="E577" t="str">
            <v>C</v>
          </cell>
          <cell r="F577" t="str">
            <v>09/10/2002</v>
          </cell>
        </row>
        <row r="578">
          <cell r="B578" t="str">
            <v>12771</v>
          </cell>
          <cell r="C578" t="str">
            <v>UEC</v>
          </cell>
          <cell r="D578" t="str">
            <v>N</v>
          </cell>
          <cell r="E578" t="str">
            <v>A</v>
          </cell>
          <cell r="F578" t="str">
            <v>04/15/2003</v>
          </cell>
        </row>
        <row r="579">
          <cell r="B579" t="str">
            <v>12775</v>
          </cell>
          <cell r="C579" t="str">
            <v>UEC</v>
          </cell>
          <cell r="D579" t="str">
            <v>N</v>
          </cell>
          <cell r="E579" t="str">
            <v>A</v>
          </cell>
          <cell r="F579" t="str">
            <v>09/30/2002</v>
          </cell>
        </row>
        <row r="580">
          <cell r="B580" t="str">
            <v>12787</v>
          </cell>
          <cell r="C580" t="str">
            <v>UEC</v>
          </cell>
          <cell r="D580" t="str">
            <v>N</v>
          </cell>
          <cell r="E580" t="str">
            <v>A</v>
          </cell>
          <cell r="F580" t="str">
            <v>08/14/2003</v>
          </cell>
        </row>
        <row r="581">
          <cell r="B581" t="str">
            <v>12788</v>
          </cell>
          <cell r="C581" t="str">
            <v>UEC</v>
          </cell>
          <cell r="D581" t="str">
            <v>N</v>
          </cell>
          <cell r="E581" t="str">
            <v>C</v>
          </cell>
          <cell r="F581" t="str">
            <v>12/28/2001</v>
          </cell>
        </row>
        <row r="582">
          <cell r="B582" t="str">
            <v>12791</v>
          </cell>
          <cell r="C582" t="str">
            <v>UEC</v>
          </cell>
          <cell r="D582" t="str">
            <v>N</v>
          </cell>
          <cell r="E582" t="str">
            <v>C</v>
          </cell>
          <cell r="F582" t="str">
            <v>02/28/2002</v>
          </cell>
        </row>
        <row r="583">
          <cell r="B583" t="str">
            <v>12792</v>
          </cell>
          <cell r="C583" t="str">
            <v>UEC</v>
          </cell>
          <cell r="D583" t="str">
            <v>N</v>
          </cell>
          <cell r="E583" t="str">
            <v>C</v>
          </cell>
          <cell r="F583" t="str">
            <v>07/26/2002</v>
          </cell>
        </row>
        <row r="584">
          <cell r="B584" t="str">
            <v>12794</v>
          </cell>
          <cell r="C584" t="str">
            <v>UEC</v>
          </cell>
          <cell r="D584" t="str">
            <v>N</v>
          </cell>
          <cell r="E584" t="str">
            <v>C</v>
          </cell>
          <cell r="F584" t="str">
            <v>10/26/2001</v>
          </cell>
        </row>
        <row r="585">
          <cell r="B585" t="str">
            <v>12795</v>
          </cell>
          <cell r="C585" t="str">
            <v>UEC</v>
          </cell>
          <cell r="D585" t="str">
            <v>N</v>
          </cell>
          <cell r="E585" t="str">
            <v>A</v>
          </cell>
          <cell r="F585" t="str">
            <v>05/10/2002</v>
          </cell>
        </row>
        <row r="586">
          <cell r="B586" t="str">
            <v>12798</v>
          </cell>
          <cell r="C586" t="str">
            <v>UEC</v>
          </cell>
          <cell r="D586" t="str">
            <v>N</v>
          </cell>
          <cell r="E586" t="str">
            <v>C</v>
          </cell>
          <cell r="F586" t="str">
            <v>09/04/2001</v>
          </cell>
        </row>
        <row r="587">
          <cell r="B587" t="str">
            <v>12803</v>
          </cell>
          <cell r="C587" t="str">
            <v>CIP</v>
          </cell>
          <cell r="D587" t="str">
            <v>N</v>
          </cell>
          <cell r="E587" t="str">
            <v>A</v>
          </cell>
          <cell r="F587" t="str">
            <v>07/19/2002</v>
          </cell>
        </row>
        <row r="588">
          <cell r="B588" t="str">
            <v>12810</v>
          </cell>
          <cell r="C588" t="str">
            <v>UEC</v>
          </cell>
          <cell r="D588" t="str">
            <v>N</v>
          </cell>
          <cell r="E588" t="str">
            <v>A</v>
          </cell>
          <cell r="F588" t="str">
            <v>09/10/2001</v>
          </cell>
        </row>
        <row r="589">
          <cell r="B589" t="str">
            <v>12813</v>
          </cell>
          <cell r="C589" t="str">
            <v>UEC</v>
          </cell>
          <cell r="D589" t="str">
            <v>N</v>
          </cell>
          <cell r="E589" t="str">
            <v>A</v>
          </cell>
          <cell r="F589" t="str">
            <v>09/24/2001</v>
          </cell>
        </row>
        <row r="590">
          <cell r="B590" t="str">
            <v>12816</v>
          </cell>
          <cell r="C590" t="str">
            <v>UEC</v>
          </cell>
          <cell r="D590" t="str">
            <v>N</v>
          </cell>
          <cell r="E590" t="str">
            <v>A</v>
          </cell>
          <cell r="F590" t="str">
            <v>06/14/2002</v>
          </cell>
        </row>
        <row r="591">
          <cell r="B591" t="str">
            <v>12819</v>
          </cell>
          <cell r="C591" t="str">
            <v>UEC</v>
          </cell>
          <cell r="D591" t="str">
            <v>N</v>
          </cell>
          <cell r="E591" t="str">
            <v>A</v>
          </cell>
          <cell r="F591" t="str">
            <v>11/13/2001</v>
          </cell>
        </row>
        <row r="592">
          <cell r="B592" t="str">
            <v>12822</v>
          </cell>
          <cell r="C592" t="str">
            <v>UEC</v>
          </cell>
          <cell r="D592" t="str">
            <v>N</v>
          </cell>
          <cell r="E592" t="str">
            <v>C</v>
          </cell>
          <cell r="F592" t="str">
            <v>12/05/2001</v>
          </cell>
        </row>
        <row r="593">
          <cell r="B593" t="str">
            <v>12824</v>
          </cell>
          <cell r="C593" t="str">
            <v>UEC</v>
          </cell>
          <cell r="D593" t="str">
            <v>N</v>
          </cell>
          <cell r="E593" t="str">
            <v>C</v>
          </cell>
          <cell r="F593" t="str">
            <v>04/19/2002</v>
          </cell>
        </row>
        <row r="594">
          <cell r="B594" t="str">
            <v>12826</v>
          </cell>
          <cell r="C594" t="str">
            <v>UEC</v>
          </cell>
          <cell r="D594" t="str">
            <v>N</v>
          </cell>
          <cell r="E594" t="str">
            <v>C</v>
          </cell>
          <cell r="F594" t="str">
            <v>08/15/2002</v>
          </cell>
        </row>
        <row r="595">
          <cell r="B595" t="str">
            <v>12831</v>
          </cell>
          <cell r="C595" t="str">
            <v>UEC</v>
          </cell>
          <cell r="D595" t="str">
            <v>N</v>
          </cell>
          <cell r="E595" t="str">
            <v>C</v>
          </cell>
          <cell r="F595" t="str">
            <v>03/27/2002</v>
          </cell>
        </row>
        <row r="596">
          <cell r="B596" t="str">
            <v>12839</v>
          </cell>
          <cell r="C596" t="str">
            <v>UEC</v>
          </cell>
          <cell r="D596" t="str">
            <v>N</v>
          </cell>
          <cell r="E596" t="str">
            <v>A</v>
          </cell>
          <cell r="F596" t="str">
            <v>12/31/2001</v>
          </cell>
        </row>
        <row r="597">
          <cell r="B597" t="str">
            <v>12846</v>
          </cell>
          <cell r="C597" t="str">
            <v>UEC</v>
          </cell>
          <cell r="D597" t="str">
            <v>N</v>
          </cell>
          <cell r="E597" t="str">
            <v>C</v>
          </cell>
          <cell r="F597" t="str">
            <v>08/07/2002</v>
          </cell>
        </row>
        <row r="598">
          <cell r="B598" t="str">
            <v>12848</v>
          </cell>
          <cell r="C598" t="str">
            <v>UEC</v>
          </cell>
          <cell r="D598" t="str">
            <v>N</v>
          </cell>
          <cell r="E598" t="str">
            <v>A</v>
          </cell>
          <cell r="F598" t="str">
            <v>08/20/2001</v>
          </cell>
        </row>
        <row r="599">
          <cell r="B599" t="str">
            <v>12849</v>
          </cell>
          <cell r="C599" t="str">
            <v>UEC</v>
          </cell>
          <cell r="D599" t="str">
            <v>N</v>
          </cell>
          <cell r="E599" t="str">
            <v>A</v>
          </cell>
          <cell r="F599" t="str">
            <v>08/20/2001</v>
          </cell>
        </row>
        <row r="600">
          <cell r="B600" t="str">
            <v>12853</v>
          </cell>
          <cell r="C600" t="str">
            <v>UEC</v>
          </cell>
          <cell r="D600" t="str">
            <v>N</v>
          </cell>
          <cell r="E600" t="str">
            <v>A</v>
          </cell>
          <cell r="F600" t="str">
            <v>12/07/2001</v>
          </cell>
        </row>
        <row r="601">
          <cell r="B601" t="str">
            <v>12855</v>
          </cell>
          <cell r="C601" t="str">
            <v>UEC</v>
          </cell>
          <cell r="D601" t="str">
            <v>N</v>
          </cell>
          <cell r="E601" t="str">
            <v>C</v>
          </cell>
          <cell r="F601" t="str">
            <v>04/10/2002</v>
          </cell>
        </row>
        <row r="602">
          <cell r="B602" t="str">
            <v>12856</v>
          </cell>
          <cell r="C602" t="str">
            <v>UEC</v>
          </cell>
          <cell r="D602" t="str">
            <v>N</v>
          </cell>
          <cell r="E602" t="str">
            <v>C</v>
          </cell>
          <cell r="F602" t="str">
            <v>10/23/2001</v>
          </cell>
        </row>
        <row r="603">
          <cell r="B603" t="str">
            <v>12857</v>
          </cell>
          <cell r="C603" t="str">
            <v>UEC</v>
          </cell>
          <cell r="D603" t="str">
            <v>N</v>
          </cell>
          <cell r="E603" t="str">
            <v>C</v>
          </cell>
          <cell r="F603" t="str">
            <v>07/23/2002</v>
          </cell>
        </row>
        <row r="604">
          <cell r="B604" t="str">
            <v>12858</v>
          </cell>
          <cell r="C604" t="str">
            <v>UEC</v>
          </cell>
          <cell r="D604" t="str">
            <v>N</v>
          </cell>
          <cell r="E604" t="str">
            <v>C</v>
          </cell>
          <cell r="F604" t="str">
            <v>01/18/2002</v>
          </cell>
        </row>
        <row r="605">
          <cell r="B605" t="str">
            <v>12859</v>
          </cell>
          <cell r="C605" t="str">
            <v>UEC</v>
          </cell>
          <cell r="D605" t="str">
            <v>N</v>
          </cell>
          <cell r="E605" t="str">
            <v>C</v>
          </cell>
          <cell r="F605" t="str">
            <v>07/26/2002</v>
          </cell>
        </row>
        <row r="606">
          <cell r="B606" t="str">
            <v>12860</v>
          </cell>
          <cell r="C606" t="str">
            <v>UEC</v>
          </cell>
          <cell r="D606" t="str">
            <v>N</v>
          </cell>
          <cell r="E606" t="str">
            <v>A</v>
          </cell>
          <cell r="F606" t="str">
            <v>01/24/2002</v>
          </cell>
        </row>
        <row r="607">
          <cell r="B607" t="str">
            <v>12861</v>
          </cell>
          <cell r="C607" t="str">
            <v>UEC</v>
          </cell>
          <cell r="D607" t="str">
            <v>N</v>
          </cell>
          <cell r="E607" t="str">
            <v>A</v>
          </cell>
          <cell r="F607" t="str">
            <v>09/10/2002</v>
          </cell>
        </row>
        <row r="608">
          <cell r="B608" t="str">
            <v>12862</v>
          </cell>
          <cell r="C608" t="str">
            <v>UEC</v>
          </cell>
          <cell r="D608" t="str">
            <v>N</v>
          </cell>
          <cell r="E608" t="str">
            <v>A</v>
          </cell>
          <cell r="F608" t="str">
            <v>09/11/2002</v>
          </cell>
        </row>
        <row r="609">
          <cell r="B609" t="str">
            <v>12863</v>
          </cell>
          <cell r="C609" t="str">
            <v>UEC</v>
          </cell>
          <cell r="D609" t="str">
            <v>N</v>
          </cell>
          <cell r="E609" t="str">
            <v>C</v>
          </cell>
          <cell r="F609" t="str">
            <v>01/24/2002</v>
          </cell>
        </row>
        <row r="610">
          <cell r="B610" t="str">
            <v>12864</v>
          </cell>
          <cell r="C610" t="str">
            <v>UEC</v>
          </cell>
          <cell r="D610" t="str">
            <v>N</v>
          </cell>
          <cell r="E610" t="str">
            <v>A</v>
          </cell>
          <cell r="F610" t="str">
            <v>02/19/2003</v>
          </cell>
        </row>
        <row r="611">
          <cell r="B611" t="str">
            <v>12865</v>
          </cell>
          <cell r="C611" t="str">
            <v>UEC</v>
          </cell>
          <cell r="D611" t="str">
            <v>N</v>
          </cell>
          <cell r="E611" t="str">
            <v>A</v>
          </cell>
          <cell r="F611" t="str">
            <v>06/05/2003</v>
          </cell>
        </row>
        <row r="612">
          <cell r="B612" t="str">
            <v>12871</v>
          </cell>
          <cell r="C612" t="str">
            <v>UEC</v>
          </cell>
          <cell r="D612" t="str">
            <v>N</v>
          </cell>
          <cell r="E612" t="str">
            <v>C</v>
          </cell>
          <cell r="F612" t="str">
            <v>04/16/2002</v>
          </cell>
        </row>
        <row r="613">
          <cell r="B613" t="str">
            <v>12878</v>
          </cell>
          <cell r="C613" t="str">
            <v>CIP</v>
          </cell>
          <cell r="D613" t="str">
            <v>N</v>
          </cell>
          <cell r="E613" t="str">
            <v>A</v>
          </cell>
          <cell r="F613" t="str">
            <v>09/11/2003</v>
          </cell>
        </row>
        <row r="614">
          <cell r="B614" t="str">
            <v>12881</v>
          </cell>
          <cell r="C614" t="str">
            <v>UEC</v>
          </cell>
          <cell r="D614" t="str">
            <v>N</v>
          </cell>
          <cell r="E614" t="str">
            <v>C</v>
          </cell>
          <cell r="F614" t="str">
            <v>08/24/2001</v>
          </cell>
        </row>
        <row r="615">
          <cell r="B615" t="str">
            <v>12884</v>
          </cell>
          <cell r="C615" t="str">
            <v>UEC</v>
          </cell>
          <cell r="D615" t="str">
            <v>N</v>
          </cell>
          <cell r="E615" t="str">
            <v>C</v>
          </cell>
          <cell r="F615" t="str">
            <v>02/05/2002</v>
          </cell>
        </row>
        <row r="616">
          <cell r="B616" t="str">
            <v>12891</v>
          </cell>
          <cell r="C616" t="str">
            <v>UEC</v>
          </cell>
          <cell r="D616" t="str">
            <v>N</v>
          </cell>
          <cell r="E616" t="str">
            <v>A</v>
          </cell>
          <cell r="F616" t="str">
            <v>06/06/2002</v>
          </cell>
        </row>
        <row r="617">
          <cell r="B617" t="str">
            <v>12892</v>
          </cell>
          <cell r="C617" t="str">
            <v>UEC</v>
          </cell>
          <cell r="D617" t="str">
            <v>N</v>
          </cell>
          <cell r="E617" t="str">
            <v>C</v>
          </cell>
          <cell r="F617" t="str">
            <v>01/02/2002</v>
          </cell>
        </row>
        <row r="618">
          <cell r="B618" t="str">
            <v>12893</v>
          </cell>
          <cell r="C618" t="str">
            <v>UEC</v>
          </cell>
          <cell r="D618" t="str">
            <v>N</v>
          </cell>
          <cell r="E618" t="str">
            <v>A</v>
          </cell>
          <cell r="F618" t="str">
            <v>06/13/2002</v>
          </cell>
        </row>
        <row r="619">
          <cell r="B619" t="str">
            <v>12895</v>
          </cell>
          <cell r="C619" t="str">
            <v>UEC</v>
          </cell>
          <cell r="D619" t="str">
            <v>N</v>
          </cell>
          <cell r="E619" t="str">
            <v>A</v>
          </cell>
          <cell r="F619" t="str">
            <v>06/13/2002</v>
          </cell>
        </row>
        <row r="620">
          <cell r="B620" t="str">
            <v>12896</v>
          </cell>
          <cell r="C620" t="str">
            <v>UEC</v>
          </cell>
          <cell r="D620" t="str">
            <v>N</v>
          </cell>
          <cell r="E620" t="str">
            <v>A</v>
          </cell>
          <cell r="F620" t="str">
            <v>06/13/2002</v>
          </cell>
        </row>
        <row r="621">
          <cell r="B621" t="str">
            <v>12900</v>
          </cell>
          <cell r="C621" t="str">
            <v>UEC</v>
          </cell>
          <cell r="D621" t="str">
            <v>N</v>
          </cell>
          <cell r="E621" t="str">
            <v>A</v>
          </cell>
          <cell r="F621" t="str">
            <v>01/31/2002</v>
          </cell>
        </row>
        <row r="622">
          <cell r="B622" t="str">
            <v>12905</v>
          </cell>
          <cell r="C622" t="str">
            <v>UEC</v>
          </cell>
          <cell r="D622" t="str">
            <v>N</v>
          </cell>
          <cell r="E622" t="str">
            <v>A</v>
          </cell>
          <cell r="F622" t="str">
            <v>09/22/2003</v>
          </cell>
        </row>
        <row r="623">
          <cell r="B623" t="str">
            <v>12909</v>
          </cell>
          <cell r="C623" t="str">
            <v>UEC</v>
          </cell>
          <cell r="D623" t="str">
            <v>N</v>
          </cell>
          <cell r="E623" t="str">
            <v>C</v>
          </cell>
          <cell r="F623" t="str">
            <v>02/21/2002</v>
          </cell>
        </row>
        <row r="624">
          <cell r="B624" t="str">
            <v>12917</v>
          </cell>
          <cell r="C624" t="str">
            <v>UEC</v>
          </cell>
          <cell r="D624" t="str">
            <v>N</v>
          </cell>
          <cell r="E624" t="str">
            <v>A</v>
          </cell>
          <cell r="F624" t="str">
            <v>03/31/2003</v>
          </cell>
        </row>
        <row r="625">
          <cell r="B625" t="str">
            <v>12932</v>
          </cell>
          <cell r="C625" t="str">
            <v>UEC</v>
          </cell>
          <cell r="D625" t="str">
            <v>N</v>
          </cell>
          <cell r="E625" t="str">
            <v>A</v>
          </cell>
          <cell r="F625" t="str">
            <v>05/29/2003</v>
          </cell>
        </row>
        <row r="626">
          <cell r="B626" t="str">
            <v>12942</v>
          </cell>
          <cell r="C626" t="str">
            <v>UEC</v>
          </cell>
          <cell r="D626" t="str">
            <v>N</v>
          </cell>
          <cell r="E626" t="str">
            <v>A</v>
          </cell>
          <cell r="F626" t="str">
            <v>05/01/2002</v>
          </cell>
        </row>
        <row r="627">
          <cell r="B627" t="str">
            <v>12947</v>
          </cell>
          <cell r="C627" t="str">
            <v>UEC</v>
          </cell>
          <cell r="D627" t="str">
            <v>N</v>
          </cell>
          <cell r="E627" t="str">
            <v>A</v>
          </cell>
          <cell r="F627" t="str">
            <v>09/16/2002</v>
          </cell>
        </row>
        <row r="628">
          <cell r="B628" t="str">
            <v>12948</v>
          </cell>
          <cell r="C628" t="str">
            <v>UEC</v>
          </cell>
          <cell r="D628" t="str">
            <v>N</v>
          </cell>
          <cell r="E628" t="str">
            <v>A</v>
          </cell>
          <cell r="F628" t="str">
            <v>12/20/2001</v>
          </cell>
        </row>
        <row r="629">
          <cell r="B629" t="str">
            <v>12949</v>
          </cell>
          <cell r="C629" t="str">
            <v>UEC</v>
          </cell>
          <cell r="D629" t="str">
            <v>N</v>
          </cell>
          <cell r="E629" t="str">
            <v>C</v>
          </cell>
          <cell r="F629" t="str">
            <v>09/16/2002</v>
          </cell>
        </row>
        <row r="630">
          <cell r="B630" t="str">
            <v>12950</v>
          </cell>
          <cell r="C630" t="str">
            <v>UEC</v>
          </cell>
          <cell r="D630" t="str">
            <v>N</v>
          </cell>
          <cell r="E630" t="str">
            <v>A</v>
          </cell>
          <cell r="F630" t="str">
            <v>04/09/2002</v>
          </cell>
        </row>
        <row r="631">
          <cell r="B631" t="str">
            <v>12952</v>
          </cell>
          <cell r="C631" t="str">
            <v>UEC</v>
          </cell>
          <cell r="D631" t="str">
            <v>N</v>
          </cell>
          <cell r="E631" t="str">
            <v>A</v>
          </cell>
          <cell r="F631" t="str">
            <v>08/13/2002</v>
          </cell>
        </row>
        <row r="632">
          <cell r="B632" t="str">
            <v>12954</v>
          </cell>
          <cell r="C632" t="str">
            <v>UEC</v>
          </cell>
          <cell r="D632" t="str">
            <v>N</v>
          </cell>
          <cell r="E632" t="str">
            <v>A</v>
          </cell>
          <cell r="F632" t="str">
            <v>02/26/2002</v>
          </cell>
        </row>
        <row r="633">
          <cell r="B633" t="str">
            <v>12955</v>
          </cell>
          <cell r="C633" t="str">
            <v>UEC</v>
          </cell>
          <cell r="D633" t="str">
            <v>N</v>
          </cell>
          <cell r="E633" t="str">
            <v>A</v>
          </cell>
          <cell r="F633" t="str">
            <v>09/30/2003</v>
          </cell>
        </row>
        <row r="634">
          <cell r="B634" t="str">
            <v>12964</v>
          </cell>
          <cell r="C634" t="str">
            <v>UEC</v>
          </cell>
          <cell r="D634" t="str">
            <v>N</v>
          </cell>
          <cell r="E634" t="str">
            <v>A</v>
          </cell>
          <cell r="F634" t="str">
            <v>12/27/2001</v>
          </cell>
        </row>
        <row r="635">
          <cell r="B635" t="str">
            <v>12973</v>
          </cell>
          <cell r="C635" t="str">
            <v>UEC</v>
          </cell>
          <cell r="D635" t="str">
            <v>N</v>
          </cell>
          <cell r="E635" t="str">
            <v>A</v>
          </cell>
          <cell r="F635" t="str">
            <v>01/15/2004</v>
          </cell>
        </row>
        <row r="636">
          <cell r="B636" t="str">
            <v>12976</v>
          </cell>
          <cell r="C636" t="str">
            <v>UEC</v>
          </cell>
          <cell r="D636" t="str">
            <v>N</v>
          </cell>
          <cell r="E636" t="str">
            <v>A</v>
          </cell>
          <cell r="F636" t="str">
            <v>02/06/2003</v>
          </cell>
        </row>
        <row r="637">
          <cell r="B637" t="str">
            <v>12977</v>
          </cell>
          <cell r="C637" t="str">
            <v>UEC</v>
          </cell>
          <cell r="D637" t="str">
            <v>N</v>
          </cell>
          <cell r="E637" t="str">
            <v>A</v>
          </cell>
          <cell r="F637" t="str">
            <v>01/23/2003</v>
          </cell>
        </row>
        <row r="638">
          <cell r="B638" t="str">
            <v>12988</v>
          </cell>
          <cell r="C638" t="str">
            <v>UEC</v>
          </cell>
          <cell r="D638" t="str">
            <v>N</v>
          </cell>
          <cell r="E638" t="str">
            <v>A</v>
          </cell>
          <cell r="F638" t="str">
            <v>06/13/2002</v>
          </cell>
        </row>
        <row r="639">
          <cell r="B639" t="str">
            <v>12989</v>
          </cell>
          <cell r="C639" t="str">
            <v>UEC</v>
          </cell>
          <cell r="D639" t="str">
            <v>N</v>
          </cell>
          <cell r="E639" t="str">
            <v>A</v>
          </cell>
          <cell r="F639" t="str">
            <v>11/26/2001</v>
          </cell>
        </row>
        <row r="640">
          <cell r="B640" t="str">
            <v>12990</v>
          </cell>
          <cell r="C640" t="str">
            <v>UEC</v>
          </cell>
          <cell r="D640" t="str">
            <v>N</v>
          </cell>
          <cell r="E640" t="str">
            <v>A</v>
          </cell>
          <cell r="F640" t="str">
            <v>05/09/2003</v>
          </cell>
        </row>
        <row r="641">
          <cell r="B641" t="str">
            <v>13040</v>
          </cell>
          <cell r="C641" t="str">
            <v>UEC</v>
          </cell>
          <cell r="D641" t="str">
            <v>N</v>
          </cell>
          <cell r="E641" t="str">
            <v>A</v>
          </cell>
          <cell r="F641" t="str">
            <v>01/14/2002</v>
          </cell>
        </row>
        <row r="642">
          <cell r="B642" t="str">
            <v>13041</v>
          </cell>
          <cell r="C642" t="str">
            <v>UEC</v>
          </cell>
          <cell r="D642" t="str">
            <v>N</v>
          </cell>
          <cell r="E642" t="str">
            <v>A</v>
          </cell>
          <cell r="F642" t="str">
            <v>12/27/2001</v>
          </cell>
        </row>
        <row r="643">
          <cell r="B643" t="str">
            <v>13100</v>
          </cell>
          <cell r="C643" t="str">
            <v>ADC</v>
          </cell>
          <cell r="D643" t="str">
            <v>N</v>
          </cell>
          <cell r="E643" t="str">
            <v>A</v>
          </cell>
          <cell r="F643" t="str">
            <v>11/23/2001</v>
          </cell>
        </row>
        <row r="644">
          <cell r="B644" t="str">
            <v>13101</v>
          </cell>
          <cell r="C644" t="str">
            <v>UEC</v>
          </cell>
          <cell r="D644" t="str">
            <v>N</v>
          </cell>
          <cell r="E644" t="str">
            <v>A</v>
          </cell>
          <cell r="F644" t="str">
            <v>09/21/2001</v>
          </cell>
        </row>
        <row r="645">
          <cell r="B645" t="str">
            <v>13102</v>
          </cell>
          <cell r="C645" t="str">
            <v>UEC</v>
          </cell>
          <cell r="D645" t="str">
            <v>N</v>
          </cell>
          <cell r="E645" t="str">
            <v>A</v>
          </cell>
          <cell r="F645" t="str">
            <v>09/21/2001</v>
          </cell>
        </row>
        <row r="646">
          <cell r="B646" t="str">
            <v>13106</v>
          </cell>
          <cell r="C646" t="str">
            <v>CIP</v>
          </cell>
          <cell r="D646" t="str">
            <v>N</v>
          </cell>
          <cell r="E646" t="str">
            <v>C</v>
          </cell>
          <cell r="F646" t="str">
            <v>09/26/2001</v>
          </cell>
        </row>
        <row r="647">
          <cell r="B647" t="str">
            <v>13107</v>
          </cell>
          <cell r="C647" t="str">
            <v>UEC</v>
          </cell>
          <cell r="D647" t="str">
            <v>N</v>
          </cell>
          <cell r="E647" t="str">
            <v>C</v>
          </cell>
          <cell r="F647" t="str">
            <v>09/27/2001</v>
          </cell>
        </row>
        <row r="648">
          <cell r="B648" t="str">
            <v>13108</v>
          </cell>
          <cell r="C648" t="str">
            <v>UEC</v>
          </cell>
          <cell r="D648" t="str">
            <v>N</v>
          </cell>
          <cell r="E648" t="str">
            <v>C</v>
          </cell>
          <cell r="F648" t="str">
            <v>09/28/2001</v>
          </cell>
        </row>
        <row r="649">
          <cell r="B649" t="str">
            <v>13119</v>
          </cell>
          <cell r="C649" t="str">
            <v>UEC</v>
          </cell>
          <cell r="D649" t="str">
            <v>N</v>
          </cell>
          <cell r="E649" t="str">
            <v>C</v>
          </cell>
          <cell r="F649" t="str">
            <v>06/24/2002</v>
          </cell>
        </row>
        <row r="650">
          <cell r="B650" t="str">
            <v>13125</v>
          </cell>
          <cell r="C650" t="str">
            <v>UEC</v>
          </cell>
          <cell r="D650" t="str">
            <v>N</v>
          </cell>
          <cell r="E650" t="str">
            <v>A</v>
          </cell>
          <cell r="F650" t="str">
            <v>10/17/2001</v>
          </cell>
        </row>
        <row r="651">
          <cell r="B651" t="str">
            <v>13139</v>
          </cell>
          <cell r="C651" t="str">
            <v>CIP</v>
          </cell>
          <cell r="D651" t="str">
            <v>N</v>
          </cell>
          <cell r="E651" t="str">
            <v>A</v>
          </cell>
          <cell r="F651" t="str">
            <v>10/30/2001</v>
          </cell>
        </row>
        <row r="652">
          <cell r="B652" t="str">
            <v>13142</v>
          </cell>
          <cell r="C652" t="str">
            <v>UEC</v>
          </cell>
          <cell r="D652" t="str">
            <v>N</v>
          </cell>
          <cell r="E652" t="str">
            <v>C</v>
          </cell>
          <cell r="F652" t="str">
            <v>12/12/2001</v>
          </cell>
        </row>
        <row r="653">
          <cell r="B653" t="str">
            <v>13154</v>
          </cell>
          <cell r="C653" t="str">
            <v>UEC</v>
          </cell>
          <cell r="D653" t="str">
            <v>N</v>
          </cell>
          <cell r="E653" t="str">
            <v>A</v>
          </cell>
          <cell r="F653" t="str">
            <v>11/16/2001</v>
          </cell>
        </row>
        <row r="654">
          <cell r="B654" t="str">
            <v>13155</v>
          </cell>
          <cell r="C654" t="str">
            <v>UEC</v>
          </cell>
          <cell r="D654" t="str">
            <v>N</v>
          </cell>
          <cell r="E654" t="str">
            <v>A</v>
          </cell>
          <cell r="F654" t="str">
            <v>11/16/2001</v>
          </cell>
        </row>
        <row r="655">
          <cell r="B655" t="str">
            <v>13158</v>
          </cell>
          <cell r="C655" t="str">
            <v>UEC</v>
          </cell>
          <cell r="D655" t="str">
            <v>N</v>
          </cell>
          <cell r="E655" t="str">
            <v>C</v>
          </cell>
          <cell r="F655" t="str">
            <v>01/25/2002</v>
          </cell>
        </row>
        <row r="656">
          <cell r="B656" t="str">
            <v>13174</v>
          </cell>
          <cell r="C656" t="str">
            <v>UEC</v>
          </cell>
          <cell r="D656" t="str">
            <v>N</v>
          </cell>
          <cell r="E656" t="str">
            <v>A</v>
          </cell>
          <cell r="F656" t="str">
            <v>04/01/2003</v>
          </cell>
        </row>
        <row r="657">
          <cell r="B657" t="str">
            <v>13180</v>
          </cell>
          <cell r="C657" t="str">
            <v>UEC</v>
          </cell>
          <cell r="D657" t="str">
            <v>N</v>
          </cell>
          <cell r="E657" t="str">
            <v>A</v>
          </cell>
          <cell r="F657" t="str">
            <v>12/04/2001</v>
          </cell>
        </row>
        <row r="658">
          <cell r="B658" t="str">
            <v>13188</v>
          </cell>
          <cell r="C658" t="str">
            <v>UEC</v>
          </cell>
          <cell r="D658" t="str">
            <v>N</v>
          </cell>
          <cell r="E658" t="str">
            <v>C</v>
          </cell>
          <cell r="F658" t="str">
            <v>01/17/2002</v>
          </cell>
        </row>
        <row r="659">
          <cell r="B659" t="str">
            <v>13196</v>
          </cell>
          <cell r="C659" t="str">
            <v>CIP</v>
          </cell>
          <cell r="D659" t="str">
            <v>N</v>
          </cell>
          <cell r="E659" t="str">
            <v>A</v>
          </cell>
          <cell r="F659" t="str">
            <v>12/20/2001</v>
          </cell>
        </row>
        <row r="660">
          <cell r="B660" t="str">
            <v>13199</v>
          </cell>
          <cell r="C660" t="str">
            <v>AMC</v>
          </cell>
          <cell r="D660" t="str">
            <v>N</v>
          </cell>
          <cell r="E660" t="str">
            <v>C</v>
          </cell>
          <cell r="F660" t="str">
            <v>02/12/2002</v>
          </cell>
        </row>
        <row r="661">
          <cell r="B661" t="str">
            <v>13200</v>
          </cell>
          <cell r="C661" t="str">
            <v>AMC</v>
          </cell>
          <cell r="D661" t="str">
            <v>N</v>
          </cell>
          <cell r="E661" t="str">
            <v>C</v>
          </cell>
          <cell r="F661" t="str">
            <v>02/12/2002</v>
          </cell>
        </row>
        <row r="662">
          <cell r="B662" t="str">
            <v>13205</v>
          </cell>
          <cell r="C662" t="str">
            <v>UEC</v>
          </cell>
          <cell r="D662" t="str">
            <v>N</v>
          </cell>
          <cell r="E662" t="str">
            <v>C</v>
          </cell>
          <cell r="F662" t="str">
            <v>04/18/2002</v>
          </cell>
        </row>
        <row r="663">
          <cell r="B663" t="str">
            <v>13206</v>
          </cell>
          <cell r="C663" t="str">
            <v>UEC</v>
          </cell>
          <cell r="D663" t="str">
            <v>N</v>
          </cell>
          <cell r="E663" t="str">
            <v>C</v>
          </cell>
          <cell r="F663" t="str">
            <v>04/18/2002</v>
          </cell>
        </row>
        <row r="664">
          <cell r="B664" t="str">
            <v>13207</v>
          </cell>
          <cell r="C664" t="str">
            <v>UEC</v>
          </cell>
          <cell r="D664" t="str">
            <v>N</v>
          </cell>
          <cell r="E664" t="str">
            <v>C</v>
          </cell>
          <cell r="F664" t="str">
            <v>03/06/2003</v>
          </cell>
        </row>
        <row r="665">
          <cell r="B665" t="str">
            <v>13208</v>
          </cell>
          <cell r="C665" t="str">
            <v>UEC</v>
          </cell>
          <cell r="D665" t="str">
            <v>N</v>
          </cell>
          <cell r="E665" t="str">
            <v>C</v>
          </cell>
          <cell r="F665" t="str">
            <v>03/06/2003</v>
          </cell>
        </row>
        <row r="666">
          <cell r="B666" t="str">
            <v>13213</v>
          </cell>
          <cell r="C666" t="str">
            <v>UEC</v>
          </cell>
          <cell r="D666" t="str">
            <v>N</v>
          </cell>
          <cell r="E666" t="str">
            <v>C</v>
          </cell>
          <cell r="F666" t="str">
            <v>01/14/2002</v>
          </cell>
        </row>
        <row r="667">
          <cell r="B667" t="str">
            <v>13217</v>
          </cell>
          <cell r="C667" t="str">
            <v>UEC</v>
          </cell>
          <cell r="D667" t="str">
            <v>N</v>
          </cell>
          <cell r="E667" t="str">
            <v>C</v>
          </cell>
          <cell r="F667" t="str">
            <v>01/16/2002</v>
          </cell>
        </row>
        <row r="668">
          <cell r="B668" t="str">
            <v>13218</v>
          </cell>
          <cell r="C668" t="str">
            <v>UEC</v>
          </cell>
          <cell r="D668" t="str">
            <v>N</v>
          </cell>
          <cell r="E668" t="str">
            <v>C</v>
          </cell>
          <cell r="F668" t="str">
            <v>01/16/2002</v>
          </cell>
        </row>
        <row r="669">
          <cell r="B669" t="str">
            <v>13219</v>
          </cell>
          <cell r="C669" t="str">
            <v>UEC</v>
          </cell>
          <cell r="D669" t="str">
            <v>N</v>
          </cell>
          <cell r="E669" t="str">
            <v>C</v>
          </cell>
          <cell r="F669" t="str">
            <v>01/16/2002</v>
          </cell>
        </row>
        <row r="670">
          <cell r="B670" t="str">
            <v>13225</v>
          </cell>
          <cell r="C670" t="str">
            <v>UEC</v>
          </cell>
          <cell r="D670" t="str">
            <v>N</v>
          </cell>
          <cell r="E670" t="str">
            <v>C</v>
          </cell>
          <cell r="F670" t="str">
            <v>01/08/2003</v>
          </cell>
        </row>
        <row r="671">
          <cell r="B671" t="str">
            <v>13227</v>
          </cell>
          <cell r="C671" t="str">
            <v>UEC</v>
          </cell>
          <cell r="D671" t="str">
            <v>N</v>
          </cell>
          <cell r="E671" t="str">
            <v>C</v>
          </cell>
          <cell r="F671" t="str">
            <v>01/30/2002</v>
          </cell>
        </row>
        <row r="672">
          <cell r="B672" t="str">
            <v>13228</v>
          </cell>
          <cell r="C672" t="str">
            <v>UEC</v>
          </cell>
          <cell r="D672" t="str">
            <v>N</v>
          </cell>
          <cell r="E672" t="str">
            <v>C</v>
          </cell>
          <cell r="F672" t="str">
            <v>02/01/2002</v>
          </cell>
        </row>
        <row r="673">
          <cell r="B673" t="str">
            <v>13232</v>
          </cell>
          <cell r="C673" t="str">
            <v>CIP</v>
          </cell>
          <cell r="D673" t="str">
            <v>N</v>
          </cell>
          <cell r="E673" t="str">
            <v>C</v>
          </cell>
          <cell r="F673" t="str">
            <v>02/05/2002</v>
          </cell>
        </row>
        <row r="674">
          <cell r="B674" t="str">
            <v>13238</v>
          </cell>
          <cell r="C674" t="str">
            <v>UEC</v>
          </cell>
          <cell r="D674" t="str">
            <v>N</v>
          </cell>
          <cell r="E674" t="str">
            <v>A</v>
          </cell>
          <cell r="F674" t="str">
            <v>02/15/2002</v>
          </cell>
        </row>
        <row r="675">
          <cell r="B675" t="str">
            <v>13239</v>
          </cell>
          <cell r="C675" t="str">
            <v>UEC</v>
          </cell>
          <cell r="D675" t="str">
            <v>N</v>
          </cell>
          <cell r="E675" t="str">
            <v>C</v>
          </cell>
          <cell r="F675" t="str">
            <v>02/15/2002</v>
          </cell>
        </row>
        <row r="676">
          <cell r="B676" t="str">
            <v>13241</v>
          </cell>
          <cell r="C676" t="str">
            <v>UEC</v>
          </cell>
          <cell r="D676" t="str">
            <v>N</v>
          </cell>
          <cell r="E676" t="str">
            <v>A</v>
          </cell>
          <cell r="F676" t="str">
            <v>02/14/2002</v>
          </cell>
        </row>
        <row r="677">
          <cell r="B677" t="str">
            <v>13242</v>
          </cell>
          <cell r="C677" t="str">
            <v>UEC</v>
          </cell>
          <cell r="D677" t="str">
            <v>N</v>
          </cell>
          <cell r="E677" t="str">
            <v>A</v>
          </cell>
          <cell r="F677" t="str">
            <v>02/14/2002</v>
          </cell>
        </row>
        <row r="678">
          <cell r="B678" t="str">
            <v>13243</v>
          </cell>
          <cell r="C678" t="str">
            <v>UEC</v>
          </cell>
          <cell r="D678" t="str">
            <v>N</v>
          </cell>
          <cell r="E678" t="str">
            <v>I</v>
          </cell>
          <cell r="F678" t="str">
            <v>02/14/2002</v>
          </cell>
        </row>
        <row r="679">
          <cell r="B679" t="str">
            <v>13243</v>
          </cell>
          <cell r="C679" t="str">
            <v>UEC</v>
          </cell>
          <cell r="D679" t="str">
            <v>N</v>
          </cell>
          <cell r="E679" t="str">
            <v>I</v>
          </cell>
          <cell r="F679" t="str">
            <v>02/14/2002</v>
          </cell>
        </row>
        <row r="680">
          <cell r="B680" t="str">
            <v>13246</v>
          </cell>
          <cell r="C680" t="str">
            <v>UEC</v>
          </cell>
          <cell r="D680" t="str">
            <v>N</v>
          </cell>
          <cell r="E680" t="str">
            <v>C</v>
          </cell>
          <cell r="F680" t="str">
            <v>02/25/2002</v>
          </cell>
        </row>
        <row r="681">
          <cell r="B681" t="str">
            <v>13249</v>
          </cell>
          <cell r="C681" t="str">
            <v>UEC</v>
          </cell>
          <cell r="D681" t="str">
            <v>N</v>
          </cell>
          <cell r="E681" t="str">
            <v>A</v>
          </cell>
          <cell r="F681" t="str">
            <v>02/26/2002</v>
          </cell>
        </row>
        <row r="682">
          <cell r="B682" t="str">
            <v>13251</v>
          </cell>
          <cell r="C682" t="str">
            <v>GEN</v>
          </cell>
          <cell r="D682" t="str">
            <v>N</v>
          </cell>
          <cell r="E682" t="str">
            <v>I</v>
          </cell>
          <cell r="F682" t="str">
            <v>02/27/2002</v>
          </cell>
        </row>
        <row r="683">
          <cell r="B683" t="str">
            <v>13259</v>
          </cell>
          <cell r="C683" t="str">
            <v>UEC</v>
          </cell>
          <cell r="D683" t="str">
            <v>N</v>
          </cell>
          <cell r="E683" t="str">
            <v>C</v>
          </cell>
          <cell r="F683" t="str">
            <v>03/06/2002</v>
          </cell>
        </row>
        <row r="684">
          <cell r="B684" t="str">
            <v>13262</v>
          </cell>
          <cell r="C684" t="str">
            <v>UEC</v>
          </cell>
          <cell r="D684" t="str">
            <v>N</v>
          </cell>
          <cell r="E684" t="str">
            <v>A</v>
          </cell>
          <cell r="F684" t="str">
            <v>03/08/2002</v>
          </cell>
        </row>
        <row r="685">
          <cell r="B685" t="str">
            <v>13264</v>
          </cell>
          <cell r="C685" t="str">
            <v>UEC</v>
          </cell>
          <cell r="D685" t="str">
            <v>N</v>
          </cell>
          <cell r="E685" t="str">
            <v>C</v>
          </cell>
          <cell r="F685" t="str">
            <v>06/12/2002</v>
          </cell>
        </row>
        <row r="686">
          <cell r="B686" t="str">
            <v>13265</v>
          </cell>
          <cell r="C686" t="str">
            <v>UEC</v>
          </cell>
          <cell r="D686" t="str">
            <v>N</v>
          </cell>
          <cell r="E686" t="str">
            <v>C</v>
          </cell>
          <cell r="F686" t="str">
            <v>03/14/2002</v>
          </cell>
        </row>
        <row r="687">
          <cell r="B687" t="str">
            <v>13267</v>
          </cell>
          <cell r="C687" t="str">
            <v>UEC</v>
          </cell>
          <cell r="D687" t="str">
            <v>N</v>
          </cell>
          <cell r="E687" t="str">
            <v>C</v>
          </cell>
          <cell r="F687" t="str">
            <v>03/19/2002</v>
          </cell>
        </row>
        <row r="688">
          <cell r="B688" t="str">
            <v>13268</v>
          </cell>
          <cell r="C688" t="str">
            <v>UEC</v>
          </cell>
          <cell r="D688" t="str">
            <v>N</v>
          </cell>
          <cell r="E688" t="str">
            <v>C</v>
          </cell>
          <cell r="F688" t="str">
            <v>03/20/2002</v>
          </cell>
        </row>
        <row r="689">
          <cell r="B689" t="str">
            <v>13269</v>
          </cell>
          <cell r="C689" t="str">
            <v>UEC</v>
          </cell>
          <cell r="D689" t="str">
            <v>N</v>
          </cell>
          <cell r="E689" t="str">
            <v>C</v>
          </cell>
          <cell r="F689" t="str">
            <v>03/21/2002</v>
          </cell>
        </row>
        <row r="690">
          <cell r="B690" t="str">
            <v>13270</v>
          </cell>
          <cell r="C690" t="str">
            <v>UEC</v>
          </cell>
          <cell r="D690" t="str">
            <v>N</v>
          </cell>
          <cell r="E690" t="str">
            <v>A</v>
          </cell>
          <cell r="F690" t="str">
            <v>03/21/2002</v>
          </cell>
        </row>
        <row r="691">
          <cell r="B691" t="str">
            <v>13271</v>
          </cell>
          <cell r="C691" t="str">
            <v>UEC</v>
          </cell>
          <cell r="D691" t="str">
            <v>N</v>
          </cell>
          <cell r="E691" t="str">
            <v>C</v>
          </cell>
          <cell r="F691" t="str">
            <v>03/20/2002</v>
          </cell>
        </row>
        <row r="692">
          <cell r="B692" t="str">
            <v>13274</v>
          </cell>
          <cell r="C692" t="str">
            <v>UEC</v>
          </cell>
          <cell r="D692" t="str">
            <v>N</v>
          </cell>
          <cell r="E692" t="str">
            <v>I</v>
          </cell>
          <cell r="F692" t="str">
            <v>03/22/2002</v>
          </cell>
        </row>
        <row r="693">
          <cell r="B693" t="str">
            <v>13281</v>
          </cell>
          <cell r="C693" t="str">
            <v>GEN</v>
          </cell>
          <cell r="D693" t="str">
            <v>N</v>
          </cell>
          <cell r="E693" t="str">
            <v>C</v>
          </cell>
          <cell r="F693" t="str">
            <v>04/01/2002</v>
          </cell>
        </row>
        <row r="694">
          <cell r="B694" t="str">
            <v>13285</v>
          </cell>
          <cell r="C694" t="str">
            <v>UEC</v>
          </cell>
          <cell r="D694" t="str">
            <v>N</v>
          </cell>
          <cell r="E694" t="str">
            <v>C</v>
          </cell>
          <cell r="F694" t="str">
            <v>07/29/2002</v>
          </cell>
        </row>
        <row r="695">
          <cell r="B695" t="str">
            <v>13287</v>
          </cell>
          <cell r="C695" t="str">
            <v>UEC</v>
          </cell>
          <cell r="D695" t="str">
            <v>N</v>
          </cell>
          <cell r="E695" t="str">
            <v>C</v>
          </cell>
          <cell r="F695" t="str">
            <v>04/05/2002</v>
          </cell>
        </row>
        <row r="696">
          <cell r="B696" t="str">
            <v>13294</v>
          </cell>
          <cell r="C696" t="str">
            <v>UEC</v>
          </cell>
          <cell r="D696" t="str">
            <v>N</v>
          </cell>
          <cell r="E696" t="str">
            <v>C</v>
          </cell>
          <cell r="F696" t="str">
            <v>06/12/2002</v>
          </cell>
        </row>
        <row r="697">
          <cell r="B697" t="str">
            <v>13295</v>
          </cell>
          <cell r="C697" t="str">
            <v>UEC</v>
          </cell>
          <cell r="D697" t="str">
            <v>N</v>
          </cell>
          <cell r="E697" t="str">
            <v>C</v>
          </cell>
          <cell r="F697" t="str">
            <v>04/18/2002</v>
          </cell>
        </row>
        <row r="698">
          <cell r="B698" t="str">
            <v>13296</v>
          </cell>
          <cell r="C698" t="str">
            <v>UEC</v>
          </cell>
          <cell r="D698" t="str">
            <v>N</v>
          </cell>
          <cell r="E698" t="str">
            <v>C</v>
          </cell>
          <cell r="F698" t="str">
            <v>04/18/2002</v>
          </cell>
        </row>
        <row r="699">
          <cell r="B699" t="str">
            <v>13301</v>
          </cell>
          <cell r="C699" t="str">
            <v>UEC</v>
          </cell>
          <cell r="D699" t="str">
            <v>N</v>
          </cell>
          <cell r="E699" t="str">
            <v>I</v>
          </cell>
          <cell r="F699" t="str">
            <v>04/24/2002</v>
          </cell>
        </row>
        <row r="700">
          <cell r="B700" t="str">
            <v>13302</v>
          </cell>
          <cell r="C700" t="str">
            <v>UEC</v>
          </cell>
          <cell r="D700" t="str">
            <v>N</v>
          </cell>
          <cell r="E700" t="str">
            <v>C</v>
          </cell>
          <cell r="F700" t="str">
            <v>04/19/2002</v>
          </cell>
        </row>
        <row r="701">
          <cell r="B701" t="str">
            <v>13303</v>
          </cell>
          <cell r="C701" t="str">
            <v>UEC</v>
          </cell>
          <cell r="D701" t="str">
            <v>N</v>
          </cell>
          <cell r="E701" t="str">
            <v>C</v>
          </cell>
          <cell r="F701" t="str">
            <v>04/19/2002</v>
          </cell>
        </row>
        <row r="702">
          <cell r="B702" t="str">
            <v>13304</v>
          </cell>
          <cell r="C702" t="str">
            <v>UEC</v>
          </cell>
          <cell r="D702" t="str">
            <v>N</v>
          </cell>
          <cell r="E702" t="str">
            <v>C</v>
          </cell>
          <cell r="F702" t="str">
            <v>04/19/2002</v>
          </cell>
        </row>
        <row r="703">
          <cell r="B703" t="str">
            <v>13310</v>
          </cell>
          <cell r="C703" t="str">
            <v>UEC</v>
          </cell>
          <cell r="D703" t="str">
            <v>N</v>
          </cell>
          <cell r="E703" t="str">
            <v>A</v>
          </cell>
          <cell r="F703" t="str">
            <v>09/10/2002</v>
          </cell>
        </row>
        <row r="704">
          <cell r="B704" t="str">
            <v>13312</v>
          </cell>
          <cell r="C704" t="str">
            <v>UEC</v>
          </cell>
          <cell r="D704" t="str">
            <v>N</v>
          </cell>
          <cell r="E704" t="str">
            <v>C</v>
          </cell>
          <cell r="F704" t="str">
            <v>05/02/2002</v>
          </cell>
        </row>
        <row r="705">
          <cell r="B705" t="str">
            <v>13316</v>
          </cell>
          <cell r="C705" t="str">
            <v>UEC</v>
          </cell>
          <cell r="D705" t="str">
            <v>N</v>
          </cell>
          <cell r="E705" t="str">
            <v>A</v>
          </cell>
          <cell r="F705" t="str">
            <v>05/08/2002</v>
          </cell>
        </row>
        <row r="706">
          <cell r="B706" t="str">
            <v>13317</v>
          </cell>
          <cell r="C706" t="str">
            <v>UEC</v>
          </cell>
          <cell r="D706" t="str">
            <v>N</v>
          </cell>
          <cell r="E706" t="str">
            <v>C</v>
          </cell>
          <cell r="F706" t="str">
            <v>01/08/2003</v>
          </cell>
        </row>
        <row r="707">
          <cell r="B707" t="str">
            <v>13326</v>
          </cell>
          <cell r="C707" t="str">
            <v>AMC</v>
          </cell>
          <cell r="D707" t="str">
            <v>N</v>
          </cell>
          <cell r="E707" t="str">
            <v>A</v>
          </cell>
          <cell r="F707" t="str">
            <v>05/24/2002</v>
          </cell>
        </row>
        <row r="708">
          <cell r="B708" t="str">
            <v>13330</v>
          </cell>
          <cell r="C708" t="str">
            <v>CIP</v>
          </cell>
          <cell r="D708" t="str">
            <v>N</v>
          </cell>
          <cell r="E708" t="str">
            <v>C</v>
          </cell>
          <cell r="F708" t="str">
            <v>06/19/2002</v>
          </cell>
        </row>
        <row r="709">
          <cell r="B709" t="str">
            <v>13336</v>
          </cell>
          <cell r="C709" t="str">
            <v>CIP</v>
          </cell>
          <cell r="D709" t="str">
            <v>N</v>
          </cell>
          <cell r="E709" t="str">
            <v>C</v>
          </cell>
          <cell r="F709" t="str">
            <v>08/14/2002</v>
          </cell>
        </row>
        <row r="710">
          <cell r="B710" t="str">
            <v>13337</v>
          </cell>
          <cell r="C710" t="str">
            <v>UDC</v>
          </cell>
          <cell r="D710" t="str">
            <v>N</v>
          </cell>
          <cell r="E710" t="str">
            <v>C</v>
          </cell>
          <cell r="F710" t="str">
            <v>05/24/2002</v>
          </cell>
        </row>
        <row r="711">
          <cell r="B711" t="str">
            <v>13338</v>
          </cell>
          <cell r="C711" t="str">
            <v>UDC</v>
          </cell>
          <cell r="D711" t="str">
            <v>N</v>
          </cell>
          <cell r="E711" t="str">
            <v>C</v>
          </cell>
          <cell r="F711" t="str">
            <v>05/24/2002</v>
          </cell>
        </row>
        <row r="712">
          <cell r="B712" t="str">
            <v>13339</v>
          </cell>
          <cell r="C712" t="str">
            <v>UDC</v>
          </cell>
          <cell r="D712" t="str">
            <v>N</v>
          </cell>
          <cell r="E712" t="str">
            <v>A</v>
          </cell>
          <cell r="F712" t="str">
            <v>05/24/2002</v>
          </cell>
        </row>
        <row r="713">
          <cell r="B713" t="str">
            <v>13341</v>
          </cell>
          <cell r="C713" t="str">
            <v>UDC</v>
          </cell>
          <cell r="D713" t="str">
            <v>N</v>
          </cell>
          <cell r="E713" t="str">
            <v>C</v>
          </cell>
          <cell r="F713" t="str">
            <v>05/24/2002</v>
          </cell>
        </row>
        <row r="714">
          <cell r="B714" t="str">
            <v>13347</v>
          </cell>
          <cell r="C714" t="str">
            <v>UEC</v>
          </cell>
          <cell r="D714" t="str">
            <v>N</v>
          </cell>
          <cell r="E714" t="str">
            <v>C</v>
          </cell>
          <cell r="F714" t="str">
            <v>05/24/2002</v>
          </cell>
        </row>
        <row r="715">
          <cell r="B715" t="str">
            <v>13348</v>
          </cell>
          <cell r="C715" t="str">
            <v>UEC</v>
          </cell>
          <cell r="D715" t="str">
            <v>N</v>
          </cell>
          <cell r="E715" t="str">
            <v>C</v>
          </cell>
          <cell r="F715" t="str">
            <v>09/03/2002</v>
          </cell>
        </row>
        <row r="716">
          <cell r="B716" t="str">
            <v>13353</v>
          </cell>
          <cell r="C716" t="str">
            <v>CIP</v>
          </cell>
          <cell r="D716" t="str">
            <v>N</v>
          </cell>
          <cell r="E716" t="str">
            <v>A</v>
          </cell>
          <cell r="F716" t="str">
            <v>10/24/2003</v>
          </cell>
        </row>
        <row r="717">
          <cell r="B717" t="str">
            <v>13358</v>
          </cell>
          <cell r="C717" t="str">
            <v>UEC</v>
          </cell>
          <cell r="D717" t="str">
            <v>N</v>
          </cell>
          <cell r="E717" t="str">
            <v>C</v>
          </cell>
          <cell r="F717" t="str">
            <v>09/08/2003</v>
          </cell>
        </row>
        <row r="718">
          <cell r="B718" t="str">
            <v>13363</v>
          </cell>
          <cell r="C718" t="str">
            <v>UEC</v>
          </cell>
          <cell r="D718" t="str">
            <v>N</v>
          </cell>
          <cell r="E718" t="str">
            <v>A</v>
          </cell>
          <cell r="F718" t="str">
            <v>05/30/2002</v>
          </cell>
        </row>
        <row r="719">
          <cell r="B719" t="str">
            <v>13364</v>
          </cell>
          <cell r="C719" t="str">
            <v>UEC</v>
          </cell>
          <cell r="D719" t="str">
            <v>N</v>
          </cell>
          <cell r="E719" t="str">
            <v>A</v>
          </cell>
          <cell r="F719" t="str">
            <v>05/30/2002</v>
          </cell>
        </row>
        <row r="720">
          <cell r="B720" t="str">
            <v>13365</v>
          </cell>
          <cell r="C720" t="str">
            <v>UEC</v>
          </cell>
          <cell r="D720" t="str">
            <v>N</v>
          </cell>
          <cell r="E720" t="str">
            <v>A</v>
          </cell>
          <cell r="F720" t="str">
            <v>05/30/2002</v>
          </cell>
        </row>
        <row r="721">
          <cell r="B721" t="str">
            <v>13366</v>
          </cell>
          <cell r="C721" t="str">
            <v>UEC</v>
          </cell>
          <cell r="D721" t="str">
            <v>N</v>
          </cell>
          <cell r="E721" t="str">
            <v>I</v>
          </cell>
          <cell r="F721" t="str">
            <v>05/30/2002</v>
          </cell>
        </row>
        <row r="722">
          <cell r="B722" t="str">
            <v>13367</v>
          </cell>
          <cell r="C722" t="str">
            <v>UEC</v>
          </cell>
          <cell r="D722" t="str">
            <v>N</v>
          </cell>
          <cell r="E722" t="str">
            <v>I</v>
          </cell>
          <cell r="F722" t="str">
            <v>05/30/2002</v>
          </cell>
        </row>
        <row r="723">
          <cell r="B723" t="str">
            <v>13370</v>
          </cell>
          <cell r="C723" t="str">
            <v>UEC</v>
          </cell>
          <cell r="D723" t="str">
            <v>N</v>
          </cell>
          <cell r="E723" t="str">
            <v>A</v>
          </cell>
          <cell r="F723" t="str">
            <v>11/24/2003</v>
          </cell>
        </row>
        <row r="724">
          <cell r="B724" t="str">
            <v>13371</v>
          </cell>
          <cell r="C724" t="str">
            <v>UEC</v>
          </cell>
          <cell r="D724" t="str">
            <v>N</v>
          </cell>
          <cell r="E724" t="str">
            <v>I</v>
          </cell>
          <cell r="F724" t="str">
            <v>09/19/2003</v>
          </cell>
        </row>
        <row r="725">
          <cell r="B725" t="str">
            <v>13372</v>
          </cell>
          <cell r="C725" t="str">
            <v>UEC</v>
          </cell>
          <cell r="D725" t="str">
            <v>N</v>
          </cell>
          <cell r="E725" t="str">
            <v>A</v>
          </cell>
          <cell r="F725" t="str">
            <v>07/25/2002</v>
          </cell>
        </row>
        <row r="726">
          <cell r="B726" t="str">
            <v>13373</v>
          </cell>
          <cell r="C726" t="str">
            <v>UEC</v>
          </cell>
          <cell r="D726" t="str">
            <v>N</v>
          </cell>
          <cell r="E726" t="str">
            <v>C</v>
          </cell>
          <cell r="F726" t="str">
            <v>10/23/2002</v>
          </cell>
        </row>
        <row r="727">
          <cell r="B727" t="str">
            <v>13374</v>
          </cell>
          <cell r="C727" t="str">
            <v>UEC</v>
          </cell>
          <cell r="D727" t="str">
            <v>N</v>
          </cell>
          <cell r="E727" t="str">
            <v>A</v>
          </cell>
          <cell r="F727" t="str">
            <v>07/25/2002</v>
          </cell>
        </row>
        <row r="728">
          <cell r="B728" t="str">
            <v>13376</v>
          </cell>
          <cell r="C728" t="str">
            <v>UEC</v>
          </cell>
          <cell r="D728" t="str">
            <v>N</v>
          </cell>
          <cell r="E728" t="str">
            <v>A</v>
          </cell>
          <cell r="F728" t="str">
            <v>04/14/2003</v>
          </cell>
        </row>
        <row r="729">
          <cell r="B729" t="str">
            <v>13377</v>
          </cell>
          <cell r="C729" t="str">
            <v>UEC</v>
          </cell>
          <cell r="D729" t="str">
            <v>N</v>
          </cell>
          <cell r="E729" t="str">
            <v>A</v>
          </cell>
          <cell r="F729" t="str">
            <v>05/23/2003</v>
          </cell>
        </row>
        <row r="730">
          <cell r="B730" t="str">
            <v>13378</v>
          </cell>
          <cell r="C730" t="str">
            <v>UEC</v>
          </cell>
          <cell r="D730" t="str">
            <v>N</v>
          </cell>
          <cell r="E730" t="str">
            <v>A</v>
          </cell>
          <cell r="F730" t="str">
            <v>05/23/2003</v>
          </cell>
        </row>
        <row r="731">
          <cell r="B731" t="str">
            <v>13389</v>
          </cell>
          <cell r="C731" t="str">
            <v>UEC</v>
          </cell>
          <cell r="D731" t="str">
            <v>N</v>
          </cell>
          <cell r="E731" t="str">
            <v>A</v>
          </cell>
          <cell r="F731" t="str">
            <v>07/21/2003</v>
          </cell>
        </row>
        <row r="732">
          <cell r="B732" t="str">
            <v>13391</v>
          </cell>
          <cell r="C732" t="str">
            <v>UEC</v>
          </cell>
          <cell r="D732" t="str">
            <v>N</v>
          </cell>
          <cell r="E732" t="str">
            <v>A</v>
          </cell>
          <cell r="F732" t="str">
            <v>04/15/2003</v>
          </cell>
        </row>
        <row r="733">
          <cell r="B733" t="str">
            <v>13395</v>
          </cell>
          <cell r="C733" t="str">
            <v>UEC</v>
          </cell>
          <cell r="D733" t="str">
            <v>N</v>
          </cell>
          <cell r="E733" t="str">
            <v>A</v>
          </cell>
          <cell r="F733" t="str">
            <v>09/22/2003</v>
          </cell>
        </row>
        <row r="734">
          <cell r="B734" t="str">
            <v>13403</v>
          </cell>
          <cell r="C734" t="str">
            <v>UEC</v>
          </cell>
          <cell r="D734" t="str">
            <v>N</v>
          </cell>
          <cell r="E734" t="str">
            <v>A</v>
          </cell>
          <cell r="F734" t="str">
            <v>06/17/2002</v>
          </cell>
        </row>
        <row r="735">
          <cell r="B735" t="str">
            <v>13404</v>
          </cell>
          <cell r="C735" t="str">
            <v>UEC</v>
          </cell>
          <cell r="D735" t="str">
            <v>N</v>
          </cell>
          <cell r="E735" t="str">
            <v>A</v>
          </cell>
          <cell r="F735" t="str">
            <v>07/18/2003</v>
          </cell>
        </row>
        <row r="736">
          <cell r="B736" t="str">
            <v>13406</v>
          </cell>
          <cell r="C736" t="str">
            <v>UEC</v>
          </cell>
          <cell r="D736" t="str">
            <v>N</v>
          </cell>
          <cell r="E736" t="str">
            <v>A</v>
          </cell>
          <cell r="F736" t="str">
            <v>09/27/2002</v>
          </cell>
        </row>
        <row r="737">
          <cell r="B737" t="str">
            <v>13407</v>
          </cell>
          <cell r="C737" t="str">
            <v>UEC</v>
          </cell>
          <cell r="D737" t="str">
            <v>N</v>
          </cell>
          <cell r="E737" t="str">
            <v>C</v>
          </cell>
          <cell r="F737" t="str">
            <v>10/01/2002</v>
          </cell>
        </row>
        <row r="738">
          <cell r="B738" t="str">
            <v>13410</v>
          </cell>
          <cell r="C738" t="str">
            <v>UEC</v>
          </cell>
          <cell r="D738" t="str">
            <v>N</v>
          </cell>
          <cell r="E738" t="str">
            <v>A</v>
          </cell>
          <cell r="F738" t="str">
            <v>09/25/2003</v>
          </cell>
        </row>
        <row r="739">
          <cell r="B739" t="str">
            <v>13414</v>
          </cell>
          <cell r="C739" t="str">
            <v>UEC</v>
          </cell>
          <cell r="D739" t="str">
            <v>N</v>
          </cell>
          <cell r="E739" t="str">
            <v>A</v>
          </cell>
          <cell r="F739" t="str">
            <v>06/18/2002</v>
          </cell>
        </row>
        <row r="740">
          <cell r="B740" t="str">
            <v>13421</v>
          </cell>
          <cell r="C740" t="str">
            <v>UEC</v>
          </cell>
          <cell r="D740" t="str">
            <v>N</v>
          </cell>
          <cell r="E740" t="str">
            <v>I</v>
          </cell>
          <cell r="F740" t="str">
            <v>08/11/2003</v>
          </cell>
        </row>
        <row r="741">
          <cell r="B741" t="str">
            <v>13428</v>
          </cell>
          <cell r="C741" t="str">
            <v>UEC</v>
          </cell>
          <cell r="D741" t="str">
            <v>N</v>
          </cell>
          <cell r="E741" t="str">
            <v>A</v>
          </cell>
          <cell r="F741" t="str">
            <v>04/01/2003</v>
          </cell>
        </row>
        <row r="742">
          <cell r="B742" t="str">
            <v>13437</v>
          </cell>
          <cell r="C742" t="str">
            <v>UEC</v>
          </cell>
          <cell r="D742" t="str">
            <v>N</v>
          </cell>
          <cell r="E742" t="str">
            <v>C</v>
          </cell>
          <cell r="F742" t="str">
            <v>09/03/2002</v>
          </cell>
        </row>
        <row r="743">
          <cell r="B743" t="str">
            <v>13443</v>
          </cell>
          <cell r="C743" t="str">
            <v>UEC</v>
          </cell>
          <cell r="D743" t="str">
            <v>N</v>
          </cell>
          <cell r="E743" t="str">
            <v>A</v>
          </cell>
          <cell r="F743" t="str">
            <v>01/17/2003</v>
          </cell>
        </row>
        <row r="744">
          <cell r="B744" t="str">
            <v>13448</v>
          </cell>
          <cell r="C744" t="str">
            <v>UEC</v>
          </cell>
          <cell r="D744" t="str">
            <v>N</v>
          </cell>
          <cell r="E744" t="str">
            <v>C</v>
          </cell>
          <cell r="F744" t="str">
            <v>07/27/2002</v>
          </cell>
        </row>
        <row r="745">
          <cell r="B745" t="str">
            <v>13469</v>
          </cell>
          <cell r="C745" t="str">
            <v>CIP</v>
          </cell>
          <cell r="D745" t="str">
            <v>N</v>
          </cell>
          <cell r="E745" t="str">
            <v>A</v>
          </cell>
          <cell r="F745" t="str">
            <v>07/31/2002</v>
          </cell>
        </row>
        <row r="746">
          <cell r="B746" t="str">
            <v>13477</v>
          </cell>
          <cell r="C746" t="str">
            <v>UEC</v>
          </cell>
          <cell r="D746" t="str">
            <v>N</v>
          </cell>
          <cell r="E746" t="str">
            <v>A</v>
          </cell>
          <cell r="F746" t="str">
            <v>07/29/2002</v>
          </cell>
        </row>
        <row r="747">
          <cell r="B747" t="str">
            <v>13479</v>
          </cell>
          <cell r="C747" t="str">
            <v>UEC</v>
          </cell>
          <cell r="D747" t="str">
            <v>N</v>
          </cell>
          <cell r="E747" t="str">
            <v>A</v>
          </cell>
          <cell r="F747" t="str">
            <v>07/24/2002</v>
          </cell>
        </row>
        <row r="748">
          <cell r="B748" t="str">
            <v>13488</v>
          </cell>
          <cell r="C748" t="str">
            <v>UEC</v>
          </cell>
          <cell r="D748" t="str">
            <v>N</v>
          </cell>
          <cell r="E748" t="str">
            <v>A</v>
          </cell>
          <cell r="F748" t="str">
            <v>04/16/2003</v>
          </cell>
        </row>
        <row r="749">
          <cell r="B749" t="str">
            <v>13492</v>
          </cell>
          <cell r="C749" t="str">
            <v>UEC</v>
          </cell>
          <cell r="D749" t="str">
            <v>N</v>
          </cell>
          <cell r="E749" t="str">
            <v>C</v>
          </cell>
          <cell r="F749" t="str">
            <v>03/06/2003</v>
          </cell>
        </row>
        <row r="750">
          <cell r="B750" t="str">
            <v>13493</v>
          </cell>
          <cell r="C750" t="str">
            <v>UEC</v>
          </cell>
          <cell r="D750" t="str">
            <v>N</v>
          </cell>
          <cell r="E750" t="str">
            <v>A</v>
          </cell>
          <cell r="F750" t="str">
            <v>03/06/2003</v>
          </cell>
        </row>
        <row r="751">
          <cell r="B751" t="str">
            <v>13497</v>
          </cell>
          <cell r="C751" t="str">
            <v>UEC</v>
          </cell>
          <cell r="D751" t="str">
            <v>N</v>
          </cell>
          <cell r="E751" t="str">
            <v>A</v>
          </cell>
          <cell r="F751" t="str">
            <v>01/17/2003</v>
          </cell>
        </row>
        <row r="752">
          <cell r="B752" t="str">
            <v>13502</v>
          </cell>
          <cell r="C752" t="str">
            <v>CIP</v>
          </cell>
          <cell r="D752" t="str">
            <v>N</v>
          </cell>
          <cell r="E752" t="str">
            <v>A</v>
          </cell>
          <cell r="F752" t="str">
            <v>07/29/2002</v>
          </cell>
        </row>
        <row r="753">
          <cell r="B753" t="str">
            <v>13503</v>
          </cell>
          <cell r="C753" t="str">
            <v>CIP</v>
          </cell>
          <cell r="D753" t="str">
            <v>N</v>
          </cell>
          <cell r="E753" t="str">
            <v>A</v>
          </cell>
          <cell r="F753" t="str">
            <v>07/30/2002</v>
          </cell>
        </row>
        <row r="754">
          <cell r="B754" t="str">
            <v>13504</v>
          </cell>
          <cell r="C754" t="str">
            <v>CIP</v>
          </cell>
          <cell r="D754" t="str">
            <v>N</v>
          </cell>
          <cell r="E754" t="str">
            <v>A</v>
          </cell>
          <cell r="F754" t="str">
            <v>01/16/2003</v>
          </cell>
        </row>
        <row r="755">
          <cell r="B755" t="str">
            <v>13505</v>
          </cell>
          <cell r="C755" t="str">
            <v>CIP</v>
          </cell>
          <cell r="D755" t="str">
            <v>N</v>
          </cell>
          <cell r="E755" t="str">
            <v>C</v>
          </cell>
          <cell r="F755" t="str">
            <v>01/14/2003</v>
          </cell>
        </row>
        <row r="756">
          <cell r="B756" t="str">
            <v>13508</v>
          </cell>
          <cell r="C756" t="str">
            <v>CIP</v>
          </cell>
          <cell r="D756" t="str">
            <v>N</v>
          </cell>
          <cell r="E756" t="str">
            <v>A</v>
          </cell>
          <cell r="F756" t="str">
            <v>01/16/2003</v>
          </cell>
        </row>
        <row r="757">
          <cell r="B757" t="str">
            <v>13517</v>
          </cell>
          <cell r="C757" t="str">
            <v>CIP</v>
          </cell>
          <cell r="D757" t="str">
            <v>N</v>
          </cell>
          <cell r="E757" t="str">
            <v>C</v>
          </cell>
          <cell r="F757" t="str">
            <v>03/21/2003</v>
          </cell>
        </row>
        <row r="758">
          <cell r="B758" t="str">
            <v>13522</v>
          </cell>
          <cell r="C758" t="str">
            <v>UEC</v>
          </cell>
          <cell r="D758" t="str">
            <v>N</v>
          </cell>
          <cell r="E758" t="str">
            <v>I</v>
          </cell>
          <cell r="F758" t="str">
            <v>12/09/2002</v>
          </cell>
        </row>
        <row r="759">
          <cell r="B759" t="str">
            <v>13522</v>
          </cell>
          <cell r="C759" t="str">
            <v>UEC</v>
          </cell>
          <cell r="D759" t="str">
            <v>N</v>
          </cell>
          <cell r="E759" t="str">
            <v>I</v>
          </cell>
          <cell r="F759" t="str">
            <v>12/09/2002</v>
          </cell>
        </row>
        <row r="760">
          <cell r="B760" t="str">
            <v>13537</v>
          </cell>
          <cell r="C760" t="str">
            <v>UEC</v>
          </cell>
          <cell r="D760" t="str">
            <v>N</v>
          </cell>
          <cell r="E760" t="str">
            <v>C</v>
          </cell>
          <cell r="F760" t="str">
            <v>09/10/2002</v>
          </cell>
        </row>
        <row r="761">
          <cell r="B761" t="str">
            <v>13544</v>
          </cell>
          <cell r="C761" t="str">
            <v>UEC</v>
          </cell>
          <cell r="D761" t="str">
            <v>N</v>
          </cell>
          <cell r="E761" t="str">
            <v>A</v>
          </cell>
          <cell r="F761" t="str">
            <v>03/20/2003</v>
          </cell>
        </row>
        <row r="762">
          <cell r="B762" t="str">
            <v>13551</v>
          </cell>
          <cell r="C762" t="str">
            <v>UEC</v>
          </cell>
          <cell r="D762" t="str">
            <v>N</v>
          </cell>
          <cell r="E762" t="str">
            <v>C</v>
          </cell>
          <cell r="F762" t="str">
            <v>11/18/2002</v>
          </cell>
        </row>
        <row r="763">
          <cell r="B763" t="str">
            <v>13553</v>
          </cell>
          <cell r="C763" t="str">
            <v>UEC</v>
          </cell>
          <cell r="D763" t="str">
            <v>N</v>
          </cell>
          <cell r="E763" t="str">
            <v>C</v>
          </cell>
          <cell r="F763" t="str">
            <v>09/24/2002</v>
          </cell>
        </row>
        <row r="764">
          <cell r="B764" t="str">
            <v>13558</v>
          </cell>
          <cell r="C764" t="str">
            <v>UEC</v>
          </cell>
          <cell r="D764" t="str">
            <v>N</v>
          </cell>
          <cell r="E764" t="str">
            <v>C</v>
          </cell>
          <cell r="F764" t="str">
            <v>06/06/2003</v>
          </cell>
        </row>
        <row r="765">
          <cell r="B765" t="str">
            <v>13562</v>
          </cell>
          <cell r="C765" t="str">
            <v>UEC</v>
          </cell>
          <cell r="D765" t="str">
            <v>N</v>
          </cell>
          <cell r="E765" t="str">
            <v>A</v>
          </cell>
          <cell r="F765" t="str">
            <v>07/16/2003</v>
          </cell>
        </row>
        <row r="766">
          <cell r="B766" t="str">
            <v>13564</v>
          </cell>
          <cell r="C766" t="str">
            <v>UEC</v>
          </cell>
          <cell r="D766" t="str">
            <v>N</v>
          </cell>
          <cell r="E766" t="str">
            <v>I</v>
          </cell>
          <cell r="F766" t="str">
            <v>12/03/2003</v>
          </cell>
        </row>
        <row r="767">
          <cell r="B767" t="str">
            <v>13564</v>
          </cell>
          <cell r="C767" t="str">
            <v>UEC</v>
          </cell>
          <cell r="D767" t="str">
            <v>N</v>
          </cell>
          <cell r="E767" t="str">
            <v>I</v>
          </cell>
          <cell r="F767" t="str">
            <v>12/03/2003</v>
          </cell>
        </row>
        <row r="768">
          <cell r="B768" t="str">
            <v>13568</v>
          </cell>
          <cell r="C768" t="str">
            <v>UEC</v>
          </cell>
          <cell r="D768" t="str">
            <v>N</v>
          </cell>
          <cell r="E768" t="str">
            <v>A</v>
          </cell>
          <cell r="F768" t="str">
            <v>08/07/2002</v>
          </cell>
        </row>
        <row r="769">
          <cell r="B769" t="str">
            <v>13573</v>
          </cell>
          <cell r="C769" t="str">
            <v>UEC</v>
          </cell>
          <cell r="D769" t="str">
            <v>N</v>
          </cell>
          <cell r="E769" t="str">
            <v>I</v>
          </cell>
          <cell r="F769" t="str">
            <v>01/08/2004</v>
          </cell>
        </row>
        <row r="770">
          <cell r="B770" t="str">
            <v>13575</v>
          </cell>
          <cell r="C770" t="str">
            <v>UEC</v>
          </cell>
          <cell r="D770" t="str">
            <v>N</v>
          </cell>
          <cell r="E770" t="str">
            <v>A</v>
          </cell>
          <cell r="F770" t="str">
            <v>07/31/2003</v>
          </cell>
        </row>
        <row r="771">
          <cell r="B771" t="str">
            <v>13576</v>
          </cell>
          <cell r="C771" t="str">
            <v>UEC</v>
          </cell>
          <cell r="D771" t="str">
            <v>N</v>
          </cell>
          <cell r="E771" t="str">
            <v>A</v>
          </cell>
          <cell r="F771" t="str">
            <v>02/27/2003</v>
          </cell>
        </row>
        <row r="772">
          <cell r="B772" t="str">
            <v>13607</v>
          </cell>
          <cell r="C772" t="str">
            <v>UEC</v>
          </cell>
          <cell r="D772" t="str">
            <v>N</v>
          </cell>
          <cell r="E772" t="str">
            <v>A</v>
          </cell>
          <cell r="F772" t="str">
            <v>10/15/2002</v>
          </cell>
        </row>
        <row r="773">
          <cell r="B773" t="str">
            <v>13608</v>
          </cell>
          <cell r="C773" t="str">
            <v>CIP</v>
          </cell>
          <cell r="D773" t="str">
            <v>N</v>
          </cell>
          <cell r="E773" t="str">
            <v>C</v>
          </cell>
          <cell r="F773" t="str">
            <v>01/22/2003</v>
          </cell>
        </row>
        <row r="774">
          <cell r="B774" t="str">
            <v>13622</v>
          </cell>
          <cell r="C774" t="str">
            <v>UEC</v>
          </cell>
          <cell r="D774" t="str">
            <v>N</v>
          </cell>
          <cell r="E774" t="str">
            <v>A</v>
          </cell>
          <cell r="F774" t="str">
            <v>04/10/2003</v>
          </cell>
        </row>
        <row r="775">
          <cell r="B775" t="str">
            <v>13625</v>
          </cell>
          <cell r="C775" t="str">
            <v>UEC</v>
          </cell>
          <cell r="D775" t="str">
            <v>N</v>
          </cell>
          <cell r="E775" t="str">
            <v>A</v>
          </cell>
          <cell r="F775" t="str">
            <v>12/13/2002</v>
          </cell>
        </row>
        <row r="776">
          <cell r="B776" t="str">
            <v>13629</v>
          </cell>
          <cell r="C776" t="str">
            <v>UEC</v>
          </cell>
          <cell r="D776" t="str">
            <v>N</v>
          </cell>
          <cell r="E776" t="str">
            <v>A</v>
          </cell>
          <cell r="F776" t="str">
            <v>07/03/2003</v>
          </cell>
        </row>
        <row r="777">
          <cell r="B777" t="str">
            <v>13636</v>
          </cell>
          <cell r="C777" t="str">
            <v>UEC</v>
          </cell>
          <cell r="D777" t="str">
            <v>N</v>
          </cell>
          <cell r="E777" t="str">
            <v>A</v>
          </cell>
          <cell r="F777" t="str">
            <v>04/23/2003</v>
          </cell>
        </row>
        <row r="778">
          <cell r="B778" t="str">
            <v>13646</v>
          </cell>
          <cell r="C778" t="str">
            <v>UEC</v>
          </cell>
          <cell r="D778" t="str">
            <v>N</v>
          </cell>
          <cell r="E778" t="str">
            <v>A</v>
          </cell>
          <cell r="F778" t="str">
            <v>08/14/2003</v>
          </cell>
        </row>
        <row r="779">
          <cell r="B779" t="str">
            <v>13649</v>
          </cell>
          <cell r="C779" t="str">
            <v>UEC</v>
          </cell>
          <cell r="D779" t="str">
            <v>N</v>
          </cell>
          <cell r="E779" t="str">
            <v>A</v>
          </cell>
          <cell r="F779" t="str">
            <v>04/17/2003</v>
          </cell>
        </row>
        <row r="780">
          <cell r="B780" t="str">
            <v>13650</v>
          </cell>
          <cell r="C780" t="str">
            <v>UEC</v>
          </cell>
          <cell r="D780" t="str">
            <v>N</v>
          </cell>
          <cell r="E780" t="str">
            <v>A</v>
          </cell>
          <cell r="F780" t="str">
            <v>03/18/2003</v>
          </cell>
        </row>
        <row r="781">
          <cell r="B781" t="str">
            <v>13657</v>
          </cell>
          <cell r="C781" t="str">
            <v>UEC</v>
          </cell>
          <cell r="D781" t="str">
            <v>N</v>
          </cell>
          <cell r="E781" t="str">
            <v>C</v>
          </cell>
          <cell r="F781" t="str">
            <v>10/28/2002</v>
          </cell>
        </row>
        <row r="782">
          <cell r="B782" t="str">
            <v>13658</v>
          </cell>
          <cell r="C782" t="str">
            <v>UEC</v>
          </cell>
          <cell r="D782" t="str">
            <v>N</v>
          </cell>
          <cell r="E782" t="str">
            <v>A</v>
          </cell>
          <cell r="F782" t="str">
            <v>05/08/2003</v>
          </cell>
        </row>
        <row r="783">
          <cell r="B783" t="str">
            <v>13682</v>
          </cell>
          <cell r="C783" t="str">
            <v>UEC</v>
          </cell>
          <cell r="D783" t="str">
            <v>N</v>
          </cell>
          <cell r="E783" t="str">
            <v>I</v>
          </cell>
          <cell r="F783" t="str">
            <v>10/23/2003</v>
          </cell>
        </row>
        <row r="784">
          <cell r="B784" t="str">
            <v>13711</v>
          </cell>
          <cell r="C784" t="str">
            <v>UEC</v>
          </cell>
          <cell r="D784" t="str">
            <v>N</v>
          </cell>
          <cell r="E784" t="str">
            <v>A</v>
          </cell>
          <cell r="F784" t="str">
            <v>04/23/2003</v>
          </cell>
        </row>
        <row r="785">
          <cell r="B785" t="str">
            <v>13714</v>
          </cell>
          <cell r="C785" t="str">
            <v>UEC</v>
          </cell>
          <cell r="D785" t="str">
            <v>N</v>
          </cell>
          <cell r="E785" t="str">
            <v>A</v>
          </cell>
          <cell r="F785" t="str">
            <v>04/25/2003</v>
          </cell>
        </row>
        <row r="786">
          <cell r="B786" t="str">
            <v>13732</v>
          </cell>
          <cell r="C786" t="str">
            <v>UEC</v>
          </cell>
          <cell r="D786" t="str">
            <v>N</v>
          </cell>
          <cell r="E786" t="str">
            <v>A</v>
          </cell>
          <cell r="F786" t="str">
            <v>01/06/2003</v>
          </cell>
        </row>
        <row r="787">
          <cell r="B787" t="str">
            <v>13745</v>
          </cell>
          <cell r="C787" t="str">
            <v>UEC</v>
          </cell>
          <cell r="D787" t="str">
            <v>N</v>
          </cell>
          <cell r="E787" t="str">
            <v>A</v>
          </cell>
          <cell r="F787" t="str">
            <v>09/26/2003</v>
          </cell>
        </row>
        <row r="788">
          <cell r="B788" t="str">
            <v>13764</v>
          </cell>
          <cell r="C788" t="str">
            <v>UEC</v>
          </cell>
          <cell r="D788" t="str">
            <v>N</v>
          </cell>
          <cell r="E788" t="str">
            <v>A</v>
          </cell>
          <cell r="F788" t="str">
            <v>09/04/2003</v>
          </cell>
        </row>
        <row r="789">
          <cell r="B789" t="str">
            <v>13771</v>
          </cell>
          <cell r="C789" t="str">
            <v>UEC</v>
          </cell>
          <cell r="D789" t="str">
            <v>N</v>
          </cell>
          <cell r="E789" t="str">
            <v>A</v>
          </cell>
          <cell r="F789" t="str">
            <v>02/05/2003</v>
          </cell>
        </row>
        <row r="790">
          <cell r="B790" t="str">
            <v>13777</v>
          </cell>
          <cell r="C790" t="str">
            <v>UEC</v>
          </cell>
          <cell r="D790" t="str">
            <v>N</v>
          </cell>
          <cell r="E790" t="str">
            <v>C</v>
          </cell>
          <cell r="F790" t="str">
            <v>12/13/2002</v>
          </cell>
        </row>
        <row r="791">
          <cell r="B791" t="str">
            <v>13780</v>
          </cell>
          <cell r="C791" t="str">
            <v>UEC</v>
          </cell>
          <cell r="D791" t="str">
            <v>N</v>
          </cell>
          <cell r="E791" t="str">
            <v>A</v>
          </cell>
          <cell r="F791" t="str">
            <v>02/07/2003</v>
          </cell>
        </row>
        <row r="792">
          <cell r="B792" t="str">
            <v>13781</v>
          </cell>
          <cell r="C792" t="str">
            <v>UEC</v>
          </cell>
          <cell r="D792" t="str">
            <v>N</v>
          </cell>
          <cell r="E792" t="str">
            <v>A</v>
          </cell>
          <cell r="F792" t="str">
            <v>12/18/2002</v>
          </cell>
        </row>
        <row r="793">
          <cell r="B793" t="str">
            <v>13795</v>
          </cell>
          <cell r="C793" t="str">
            <v>UEC</v>
          </cell>
          <cell r="D793" t="str">
            <v>N</v>
          </cell>
          <cell r="E793" t="str">
            <v>A</v>
          </cell>
          <cell r="F793" t="str">
            <v>11/05/2003</v>
          </cell>
        </row>
        <row r="794">
          <cell r="B794" t="str">
            <v>13807</v>
          </cell>
          <cell r="C794" t="str">
            <v>UEC</v>
          </cell>
          <cell r="D794" t="str">
            <v>N</v>
          </cell>
          <cell r="E794" t="str">
            <v>I</v>
          </cell>
          <cell r="F794" t="str">
            <v>12/19/2003</v>
          </cell>
        </row>
        <row r="795">
          <cell r="B795" t="str">
            <v>13830</v>
          </cell>
          <cell r="C795" t="str">
            <v>UEC</v>
          </cell>
          <cell r="D795" t="str">
            <v>N</v>
          </cell>
          <cell r="E795" t="str">
            <v>A</v>
          </cell>
          <cell r="F795" t="str">
            <v>09/08/2003</v>
          </cell>
        </row>
        <row r="796">
          <cell r="B796" t="str">
            <v>13834</v>
          </cell>
          <cell r="C796" t="str">
            <v>UEC</v>
          </cell>
          <cell r="D796" t="str">
            <v>N</v>
          </cell>
          <cell r="E796" t="str">
            <v>A</v>
          </cell>
          <cell r="F796" t="str">
            <v>04/30/2003</v>
          </cell>
        </row>
        <row r="797">
          <cell r="B797" t="str">
            <v>13837</v>
          </cell>
          <cell r="C797" t="str">
            <v>UEC</v>
          </cell>
          <cell r="D797" t="str">
            <v>N</v>
          </cell>
          <cell r="E797" t="str">
            <v>A</v>
          </cell>
          <cell r="F797" t="str">
            <v>09/25/2003</v>
          </cell>
        </row>
        <row r="798">
          <cell r="B798" t="str">
            <v>13839</v>
          </cell>
          <cell r="C798" t="str">
            <v>UEC</v>
          </cell>
          <cell r="D798" t="str">
            <v>N</v>
          </cell>
          <cell r="E798" t="str">
            <v>A</v>
          </cell>
          <cell r="F798" t="str">
            <v>05/09/2003</v>
          </cell>
        </row>
        <row r="799">
          <cell r="B799" t="str">
            <v>13843</v>
          </cell>
          <cell r="C799" t="str">
            <v>UEC</v>
          </cell>
          <cell r="D799" t="str">
            <v>N</v>
          </cell>
          <cell r="E799" t="str">
            <v>A</v>
          </cell>
          <cell r="F799" t="str">
            <v>02/12/2003</v>
          </cell>
        </row>
        <row r="800">
          <cell r="B800" t="str">
            <v>13846</v>
          </cell>
          <cell r="C800" t="str">
            <v>UEC</v>
          </cell>
          <cell r="D800" t="str">
            <v>N</v>
          </cell>
          <cell r="E800" t="str">
            <v>A</v>
          </cell>
          <cell r="F800" t="str">
            <v>05/09/2003</v>
          </cell>
        </row>
        <row r="801">
          <cell r="B801" t="str">
            <v>13847</v>
          </cell>
          <cell r="C801" t="str">
            <v>UEC</v>
          </cell>
          <cell r="D801" t="str">
            <v>N</v>
          </cell>
          <cell r="E801" t="str">
            <v>A</v>
          </cell>
          <cell r="F801" t="str">
            <v>03/31/2003</v>
          </cell>
        </row>
        <row r="802">
          <cell r="B802" t="str">
            <v>13851</v>
          </cell>
          <cell r="C802" t="str">
            <v>UEC</v>
          </cell>
          <cell r="D802" t="str">
            <v>N</v>
          </cell>
          <cell r="E802" t="str">
            <v>A</v>
          </cell>
          <cell r="F802" t="str">
            <v>09/25/2003</v>
          </cell>
        </row>
        <row r="803">
          <cell r="B803" t="str">
            <v>13853</v>
          </cell>
          <cell r="C803" t="str">
            <v>UEC</v>
          </cell>
          <cell r="D803" t="str">
            <v>N</v>
          </cell>
          <cell r="E803" t="str">
            <v>A</v>
          </cell>
          <cell r="F803" t="str">
            <v>09/25/2003</v>
          </cell>
        </row>
        <row r="804">
          <cell r="B804" t="str">
            <v>13854</v>
          </cell>
          <cell r="C804" t="str">
            <v>UEC</v>
          </cell>
          <cell r="D804" t="str">
            <v>N</v>
          </cell>
          <cell r="E804" t="str">
            <v>A</v>
          </cell>
          <cell r="F804" t="str">
            <v>04/02/2003</v>
          </cell>
        </row>
        <row r="805">
          <cell r="B805" t="str">
            <v>13878</v>
          </cell>
          <cell r="C805" t="str">
            <v>UEC</v>
          </cell>
          <cell r="D805" t="str">
            <v>N</v>
          </cell>
          <cell r="E805" t="str">
            <v>A</v>
          </cell>
          <cell r="F805" t="str">
            <v>12/02/2003</v>
          </cell>
        </row>
        <row r="806">
          <cell r="B806" t="str">
            <v>13879</v>
          </cell>
          <cell r="C806" t="str">
            <v>UEC</v>
          </cell>
          <cell r="D806" t="str">
            <v>N</v>
          </cell>
          <cell r="E806" t="str">
            <v>A</v>
          </cell>
          <cell r="F806" t="str">
            <v>04/25/2003</v>
          </cell>
        </row>
        <row r="807">
          <cell r="B807" t="str">
            <v>13894</v>
          </cell>
          <cell r="C807" t="str">
            <v>UEC</v>
          </cell>
          <cell r="D807" t="str">
            <v>N</v>
          </cell>
          <cell r="E807" t="str">
            <v>A</v>
          </cell>
          <cell r="F807" t="str">
            <v>08/15/2003</v>
          </cell>
        </row>
        <row r="808">
          <cell r="B808" t="str">
            <v>13913</v>
          </cell>
          <cell r="C808" t="str">
            <v>UEC</v>
          </cell>
          <cell r="D808" t="str">
            <v>N</v>
          </cell>
          <cell r="E808" t="str">
            <v>I</v>
          </cell>
          <cell r="F808" t="str">
            <v>11/15/2002</v>
          </cell>
        </row>
        <row r="809">
          <cell r="B809" t="str">
            <v>13921</v>
          </cell>
          <cell r="C809" t="str">
            <v>UEC</v>
          </cell>
          <cell r="D809" t="str">
            <v>N</v>
          </cell>
          <cell r="E809" t="str">
            <v>A</v>
          </cell>
          <cell r="F809" t="str">
            <v>08/20/2003</v>
          </cell>
        </row>
        <row r="810">
          <cell r="B810" t="str">
            <v>13930</v>
          </cell>
          <cell r="C810" t="str">
            <v>UEC</v>
          </cell>
          <cell r="D810" t="str">
            <v>N</v>
          </cell>
          <cell r="E810" t="str">
            <v>C</v>
          </cell>
          <cell r="F810" t="str">
            <v>12/09/2002</v>
          </cell>
        </row>
        <row r="811">
          <cell r="B811" t="str">
            <v>13942</v>
          </cell>
          <cell r="C811" t="str">
            <v>UEC</v>
          </cell>
          <cell r="D811" t="str">
            <v>N</v>
          </cell>
          <cell r="E811" t="str">
            <v>A</v>
          </cell>
          <cell r="F811" t="str">
            <v>02/10/2003</v>
          </cell>
        </row>
        <row r="812">
          <cell r="B812" t="str">
            <v>13955</v>
          </cell>
          <cell r="C812" t="str">
            <v>UEC</v>
          </cell>
          <cell r="D812" t="str">
            <v>N</v>
          </cell>
          <cell r="E812" t="str">
            <v>A</v>
          </cell>
          <cell r="F812" t="str">
            <v>05/12/2003</v>
          </cell>
        </row>
        <row r="813">
          <cell r="B813" t="str">
            <v>13963</v>
          </cell>
          <cell r="C813" t="str">
            <v>UEC</v>
          </cell>
          <cell r="D813" t="str">
            <v>N</v>
          </cell>
          <cell r="E813" t="str">
            <v>C</v>
          </cell>
          <cell r="F813" t="str">
            <v>12/13/2002</v>
          </cell>
        </row>
        <row r="814">
          <cell r="B814" t="str">
            <v>13980</v>
          </cell>
          <cell r="C814" t="str">
            <v>CIP</v>
          </cell>
          <cell r="D814" t="str">
            <v>N</v>
          </cell>
          <cell r="E814" t="str">
            <v>A</v>
          </cell>
          <cell r="F814" t="str">
            <v>02/13/2003</v>
          </cell>
        </row>
        <row r="815">
          <cell r="B815" t="str">
            <v>13987</v>
          </cell>
          <cell r="C815" t="str">
            <v>CIL</v>
          </cell>
          <cell r="D815" t="str">
            <v>N</v>
          </cell>
          <cell r="E815" t="str">
            <v>A</v>
          </cell>
          <cell r="F815" t="str">
            <v>10/21/2002</v>
          </cell>
        </row>
        <row r="816">
          <cell r="B816" t="str">
            <v>13988</v>
          </cell>
          <cell r="C816" t="str">
            <v>CIP</v>
          </cell>
          <cell r="D816" t="str">
            <v>N</v>
          </cell>
          <cell r="E816" t="str">
            <v>C</v>
          </cell>
          <cell r="F816" t="str">
            <v>09/10/2002</v>
          </cell>
        </row>
        <row r="817">
          <cell r="B817" t="str">
            <v>13989</v>
          </cell>
          <cell r="C817" t="str">
            <v>UEC</v>
          </cell>
          <cell r="D817" t="str">
            <v>N</v>
          </cell>
          <cell r="E817" t="str">
            <v>A</v>
          </cell>
          <cell r="F817" t="str">
            <v>10/02/2002</v>
          </cell>
        </row>
        <row r="818">
          <cell r="B818" t="str">
            <v>13992</v>
          </cell>
          <cell r="C818" t="str">
            <v>UEC</v>
          </cell>
          <cell r="D818" t="str">
            <v>N</v>
          </cell>
          <cell r="E818" t="str">
            <v>A</v>
          </cell>
          <cell r="F818" t="str">
            <v>09/11/2002</v>
          </cell>
        </row>
        <row r="819">
          <cell r="B819" t="str">
            <v>13993</v>
          </cell>
          <cell r="C819" t="str">
            <v>ADC</v>
          </cell>
          <cell r="D819" t="str">
            <v>N</v>
          </cell>
          <cell r="E819" t="str">
            <v>A</v>
          </cell>
          <cell r="F819" t="str">
            <v>08/30/2002</v>
          </cell>
        </row>
        <row r="820">
          <cell r="B820" t="str">
            <v>14009</v>
          </cell>
          <cell r="C820" t="str">
            <v>UEC</v>
          </cell>
          <cell r="D820" t="str">
            <v>N</v>
          </cell>
          <cell r="E820" t="str">
            <v>A</v>
          </cell>
          <cell r="F820" t="str">
            <v>02/18/2003</v>
          </cell>
        </row>
        <row r="821">
          <cell r="B821" t="str">
            <v>14010</v>
          </cell>
          <cell r="C821" t="str">
            <v>UEC</v>
          </cell>
          <cell r="D821" t="str">
            <v>N</v>
          </cell>
          <cell r="E821" t="str">
            <v>A</v>
          </cell>
          <cell r="F821" t="str">
            <v>07/24/2003</v>
          </cell>
        </row>
        <row r="822">
          <cell r="B822" t="str">
            <v>14013</v>
          </cell>
          <cell r="C822" t="str">
            <v>IHC</v>
          </cell>
          <cell r="D822" t="str">
            <v>N</v>
          </cell>
          <cell r="E822" t="str">
            <v>C</v>
          </cell>
          <cell r="F822" t="str">
            <v>09/17/2002</v>
          </cell>
        </row>
        <row r="823">
          <cell r="B823" t="str">
            <v>14024</v>
          </cell>
          <cell r="C823" t="str">
            <v>UEC</v>
          </cell>
          <cell r="D823" t="str">
            <v>N</v>
          </cell>
          <cell r="E823" t="str">
            <v>A</v>
          </cell>
          <cell r="F823" t="str">
            <v>08/07/2003</v>
          </cell>
        </row>
        <row r="824">
          <cell r="B824" t="str">
            <v>14028</v>
          </cell>
          <cell r="C824" t="str">
            <v>UDC</v>
          </cell>
          <cell r="D824" t="str">
            <v>N</v>
          </cell>
          <cell r="E824" t="str">
            <v>I</v>
          </cell>
          <cell r="F824" t="str">
            <v>09/05/2002</v>
          </cell>
        </row>
        <row r="825">
          <cell r="B825" t="str">
            <v>14039</v>
          </cell>
          <cell r="C825" t="str">
            <v>UEC</v>
          </cell>
          <cell r="D825" t="str">
            <v>N</v>
          </cell>
          <cell r="E825" t="str">
            <v>A</v>
          </cell>
          <cell r="F825" t="str">
            <v>06/30/2003</v>
          </cell>
        </row>
        <row r="826">
          <cell r="B826" t="str">
            <v>14055</v>
          </cell>
          <cell r="C826" t="str">
            <v>UEC</v>
          </cell>
          <cell r="D826" t="str">
            <v>N</v>
          </cell>
          <cell r="E826" t="str">
            <v>C</v>
          </cell>
          <cell r="F826" t="str">
            <v>09/12/2002</v>
          </cell>
        </row>
        <row r="827">
          <cell r="B827" t="str">
            <v>14057</v>
          </cell>
          <cell r="C827" t="str">
            <v>UEC</v>
          </cell>
          <cell r="D827" t="str">
            <v>N</v>
          </cell>
          <cell r="E827" t="str">
            <v>A</v>
          </cell>
          <cell r="F827" t="str">
            <v>09/16/2002</v>
          </cell>
        </row>
        <row r="828">
          <cell r="B828" t="str">
            <v>14058</v>
          </cell>
          <cell r="C828" t="str">
            <v>UEC</v>
          </cell>
          <cell r="D828" t="str">
            <v>N</v>
          </cell>
          <cell r="E828" t="str">
            <v>C</v>
          </cell>
          <cell r="F828" t="str">
            <v>10/25/2002</v>
          </cell>
        </row>
        <row r="829">
          <cell r="B829" t="str">
            <v>14068</v>
          </cell>
          <cell r="C829" t="str">
            <v>UEC</v>
          </cell>
          <cell r="D829" t="str">
            <v>N</v>
          </cell>
          <cell r="E829" t="str">
            <v>I</v>
          </cell>
          <cell r="F829" t="str">
            <v>10/14/2002</v>
          </cell>
        </row>
        <row r="830">
          <cell r="B830" t="str">
            <v>14109</v>
          </cell>
          <cell r="C830" t="str">
            <v>CIL</v>
          </cell>
          <cell r="D830" t="str">
            <v>N</v>
          </cell>
          <cell r="E830" t="str">
            <v>C</v>
          </cell>
          <cell r="F830" t="str">
            <v>11/25/2002</v>
          </cell>
        </row>
        <row r="831">
          <cell r="B831" t="str">
            <v>14114</v>
          </cell>
          <cell r="C831" t="str">
            <v>UEC</v>
          </cell>
          <cell r="D831" t="str">
            <v>N</v>
          </cell>
          <cell r="E831" t="str">
            <v>A</v>
          </cell>
          <cell r="F831" t="str">
            <v>02/13/2003</v>
          </cell>
        </row>
        <row r="832">
          <cell r="B832" t="str">
            <v>14115</v>
          </cell>
          <cell r="C832" t="str">
            <v>UEC</v>
          </cell>
          <cell r="D832" t="str">
            <v>N</v>
          </cell>
          <cell r="E832" t="str">
            <v>A</v>
          </cell>
          <cell r="F832" t="str">
            <v>12/11/2002</v>
          </cell>
        </row>
        <row r="833">
          <cell r="B833" t="str">
            <v>14117</v>
          </cell>
          <cell r="C833" t="str">
            <v>UEC</v>
          </cell>
          <cell r="D833" t="str">
            <v>N</v>
          </cell>
          <cell r="E833" t="str">
            <v>A</v>
          </cell>
          <cell r="F833" t="str">
            <v>02/13/2003</v>
          </cell>
        </row>
        <row r="834">
          <cell r="B834" t="str">
            <v>14119</v>
          </cell>
          <cell r="C834" t="str">
            <v>UEC</v>
          </cell>
          <cell r="D834" t="str">
            <v>N</v>
          </cell>
          <cell r="E834" t="str">
            <v>A</v>
          </cell>
          <cell r="F834" t="str">
            <v>02/13/2003</v>
          </cell>
        </row>
        <row r="835">
          <cell r="B835" t="str">
            <v>14120</v>
          </cell>
          <cell r="C835" t="str">
            <v>CIP</v>
          </cell>
          <cell r="D835" t="str">
            <v>N</v>
          </cell>
          <cell r="E835" t="str">
            <v>I</v>
          </cell>
          <cell r="F835" t="str">
            <v>11/26/2002</v>
          </cell>
        </row>
        <row r="836">
          <cell r="B836" t="str">
            <v>14121</v>
          </cell>
          <cell r="C836" t="str">
            <v>CIP</v>
          </cell>
          <cell r="D836" t="str">
            <v>N</v>
          </cell>
          <cell r="E836" t="str">
            <v>C</v>
          </cell>
          <cell r="F836" t="str">
            <v>11/29/2002</v>
          </cell>
        </row>
        <row r="837">
          <cell r="B837" t="str">
            <v>14128</v>
          </cell>
          <cell r="C837" t="str">
            <v>UEC</v>
          </cell>
          <cell r="D837" t="str">
            <v>N</v>
          </cell>
          <cell r="E837" t="str">
            <v>C</v>
          </cell>
          <cell r="F837" t="str">
            <v>12/13/2002</v>
          </cell>
        </row>
        <row r="838">
          <cell r="B838" t="str">
            <v>14130</v>
          </cell>
          <cell r="C838" t="str">
            <v>CIL</v>
          </cell>
          <cell r="D838" t="str">
            <v>N</v>
          </cell>
          <cell r="E838" t="str">
            <v>A</v>
          </cell>
          <cell r="F838" t="str">
            <v>01/16/2003</v>
          </cell>
        </row>
        <row r="839">
          <cell r="B839" t="str">
            <v>14142</v>
          </cell>
          <cell r="C839" t="str">
            <v>UEC</v>
          </cell>
          <cell r="D839" t="str">
            <v>N</v>
          </cell>
          <cell r="E839" t="str">
            <v>A</v>
          </cell>
          <cell r="F839" t="str">
            <v>12/12/2002</v>
          </cell>
        </row>
        <row r="840">
          <cell r="B840" t="str">
            <v>14149</v>
          </cell>
          <cell r="C840" t="str">
            <v>UEC</v>
          </cell>
          <cell r="D840" t="str">
            <v>N</v>
          </cell>
          <cell r="E840" t="str">
            <v>A</v>
          </cell>
          <cell r="F840" t="str">
            <v>12/19/2002</v>
          </cell>
        </row>
        <row r="841">
          <cell r="B841" t="str">
            <v>14154</v>
          </cell>
          <cell r="C841" t="str">
            <v>CIP</v>
          </cell>
          <cell r="D841" t="str">
            <v>N</v>
          </cell>
          <cell r="E841" t="str">
            <v>I</v>
          </cell>
          <cell r="F841" t="str">
            <v>01/09/2003</v>
          </cell>
        </row>
        <row r="842">
          <cell r="B842" t="str">
            <v>14154</v>
          </cell>
          <cell r="C842" t="str">
            <v>CIP</v>
          </cell>
          <cell r="D842" t="str">
            <v>N</v>
          </cell>
          <cell r="E842" t="str">
            <v>I</v>
          </cell>
          <cell r="F842" t="str">
            <v>01/09/2003</v>
          </cell>
        </row>
        <row r="843">
          <cell r="B843" t="str">
            <v>14160</v>
          </cell>
          <cell r="C843" t="str">
            <v>UEC</v>
          </cell>
          <cell r="D843" t="str">
            <v>N</v>
          </cell>
          <cell r="E843" t="str">
            <v>I</v>
          </cell>
          <cell r="F843" t="str">
            <v>01/17/2003</v>
          </cell>
        </row>
        <row r="844">
          <cell r="B844" t="str">
            <v>14170</v>
          </cell>
          <cell r="C844" t="str">
            <v>CIL</v>
          </cell>
          <cell r="D844" t="str">
            <v>N</v>
          </cell>
          <cell r="E844" t="str">
            <v>A</v>
          </cell>
          <cell r="F844" t="str">
            <v>02/14/2003</v>
          </cell>
        </row>
        <row r="845">
          <cell r="B845" t="str">
            <v>14174</v>
          </cell>
          <cell r="C845" t="str">
            <v>UEC</v>
          </cell>
          <cell r="D845" t="str">
            <v>N</v>
          </cell>
          <cell r="E845" t="str">
            <v>A</v>
          </cell>
          <cell r="F845" t="str">
            <v>02/14/2003</v>
          </cell>
        </row>
        <row r="846">
          <cell r="B846" t="str">
            <v>14175</v>
          </cell>
          <cell r="C846" t="str">
            <v>UEC</v>
          </cell>
          <cell r="D846" t="str">
            <v>N</v>
          </cell>
          <cell r="E846" t="str">
            <v>A</v>
          </cell>
          <cell r="F846" t="str">
            <v>02/14/2003</v>
          </cell>
        </row>
        <row r="847">
          <cell r="B847" t="str">
            <v>14179</v>
          </cell>
          <cell r="C847" t="str">
            <v>CIP</v>
          </cell>
          <cell r="D847" t="str">
            <v>N</v>
          </cell>
          <cell r="E847" t="str">
            <v>A</v>
          </cell>
          <cell r="F847" t="str">
            <v>10/02/2003</v>
          </cell>
        </row>
        <row r="848">
          <cell r="B848" t="str">
            <v>14181</v>
          </cell>
          <cell r="C848" t="str">
            <v>UEC</v>
          </cell>
          <cell r="D848" t="str">
            <v>N</v>
          </cell>
          <cell r="E848" t="str">
            <v>A</v>
          </cell>
          <cell r="F848" t="str">
            <v>02/11/2003</v>
          </cell>
        </row>
        <row r="849">
          <cell r="B849" t="str">
            <v>14185</v>
          </cell>
          <cell r="C849" t="str">
            <v>ARG</v>
          </cell>
          <cell r="D849" t="str">
            <v>N</v>
          </cell>
          <cell r="E849" t="str">
            <v>C</v>
          </cell>
          <cell r="F849" t="str">
            <v>09/03/2003</v>
          </cell>
        </row>
        <row r="850">
          <cell r="B850" t="str">
            <v>14186</v>
          </cell>
          <cell r="C850" t="str">
            <v>ARG</v>
          </cell>
          <cell r="D850" t="str">
            <v>N</v>
          </cell>
          <cell r="E850" t="str">
            <v>C</v>
          </cell>
          <cell r="F850" t="str">
            <v>09/03/2003</v>
          </cell>
        </row>
        <row r="851">
          <cell r="B851" t="str">
            <v>14192</v>
          </cell>
          <cell r="C851" t="str">
            <v>GEN</v>
          </cell>
          <cell r="D851" t="str">
            <v>N</v>
          </cell>
          <cell r="E851" t="str">
            <v>A</v>
          </cell>
          <cell r="F851" t="str">
            <v>03/04/2003</v>
          </cell>
        </row>
        <row r="852">
          <cell r="B852" t="str">
            <v>14202</v>
          </cell>
          <cell r="C852" t="str">
            <v>UEC</v>
          </cell>
          <cell r="D852" t="str">
            <v>N</v>
          </cell>
          <cell r="E852" t="str">
            <v>A</v>
          </cell>
          <cell r="F852" t="str">
            <v>03/06/2003</v>
          </cell>
        </row>
        <row r="853">
          <cell r="B853" t="str">
            <v>14206</v>
          </cell>
          <cell r="C853" t="str">
            <v>UEC</v>
          </cell>
          <cell r="D853" t="str">
            <v>N</v>
          </cell>
          <cell r="E853" t="str">
            <v>A</v>
          </cell>
          <cell r="F853" t="str">
            <v>05/29/2003</v>
          </cell>
        </row>
        <row r="854">
          <cell r="B854" t="str">
            <v>14212</v>
          </cell>
          <cell r="C854" t="str">
            <v>UEC</v>
          </cell>
          <cell r="D854" t="str">
            <v>N</v>
          </cell>
          <cell r="E854" t="str">
            <v>A</v>
          </cell>
          <cell r="F854" t="str">
            <v>03/20/2003</v>
          </cell>
        </row>
        <row r="855">
          <cell r="B855" t="str">
            <v>14216</v>
          </cell>
          <cell r="C855" t="str">
            <v>UEC</v>
          </cell>
          <cell r="D855" t="str">
            <v>N</v>
          </cell>
          <cell r="E855" t="str">
            <v>A</v>
          </cell>
          <cell r="F855" t="str">
            <v>03/27/2003</v>
          </cell>
        </row>
        <row r="856">
          <cell r="B856" t="str">
            <v>14218</v>
          </cell>
          <cell r="C856" t="str">
            <v>UEC</v>
          </cell>
          <cell r="D856" t="str">
            <v>N</v>
          </cell>
          <cell r="E856" t="str">
            <v>C</v>
          </cell>
          <cell r="F856" t="str">
            <v>04/01/2003</v>
          </cell>
        </row>
        <row r="857">
          <cell r="B857" t="str">
            <v>14224</v>
          </cell>
          <cell r="C857" t="str">
            <v>GEN</v>
          </cell>
          <cell r="D857" t="str">
            <v>N</v>
          </cell>
          <cell r="E857" t="str">
            <v>I</v>
          </cell>
          <cell r="F857" t="str">
            <v>03/27/2003</v>
          </cell>
        </row>
        <row r="858">
          <cell r="B858" t="str">
            <v>14224</v>
          </cell>
          <cell r="C858" t="str">
            <v>GEN</v>
          </cell>
          <cell r="D858" t="str">
            <v>N</v>
          </cell>
          <cell r="E858" t="str">
            <v>I</v>
          </cell>
          <cell r="F858" t="str">
            <v>03/27/2003</v>
          </cell>
        </row>
        <row r="859">
          <cell r="B859" t="str">
            <v>14227</v>
          </cell>
          <cell r="C859" t="str">
            <v>UEC</v>
          </cell>
          <cell r="D859" t="str">
            <v>N</v>
          </cell>
          <cell r="E859" t="str">
            <v>C</v>
          </cell>
          <cell r="F859" t="str">
            <v>03/28/2003</v>
          </cell>
        </row>
        <row r="860">
          <cell r="B860" t="str">
            <v>14229</v>
          </cell>
          <cell r="C860" t="str">
            <v>CIP</v>
          </cell>
          <cell r="D860" t="str">
            <v>N</v>
          </cell>
          <cell r="E860" t="str">
            <v>A</v>
          </cell>
          <cell r="F860" t="str">
            <v>04/01/2003</v>
          </cell>
        </row>
        <row r="861">
          <cell r="B861" t="str">
            <v>14252</v>
          </cell>
          <cell r="C861" t="str">
            <v>CIP</v>
          </cell>
          <cell r="D861" t="str">
            <v>N</v>
          </cell>
          <cell r="E861" t="str">
            <v>I</v>
          </cell>
          <cell r="F861" t="str">
            <v>04/11/2003</v>
          </cell>
        </row>
        <row r="862">
          <cell r="B862" t="str">
            <v>14253</v>
          </cell>
          <cell r="C862" t="str">
            <v>UEC</v>
          </cell>
          <cell r="D862" t="str">
            <v>N</v>
          </cell>
          <cell r="E862" t="str">
            <v>A</v>
          </cell>
          <cell r="F862" t="str">
            <v>07/23/2003</v>
          </cell>
        </row>
        <row r="863">
          <cell r="B863" t="str">
            <v>14264</v>
          </cell>
          <cell r="C863" t="str">
            <v>UEC</v>
          </cell>
          <cell r="D863" t="str">
            <v>N</v>
          </cell>
          <cell r="E863" t="str">
            <v>A</v>
          </cell>
          <cell r="F863" t="str">
            <v>01/20/2004</v>
          </cell>
        </row>
        <row r="864">
          <cell r="B864" t="str">
            <v>14266</v>
          </cell>
          <cell r="C864" t="str">
            <v>CIP</v>
          </cell>
          <cell r="D864" t="str">
            <v>N</v>
          </cell>
          <cell r="E864" t="str">
            <v>C</v>
          </cell>
          <cell r="F864" t="str">
            <v>04/25/2003</v>
          </cell>
        </row>
        <row r="865">
          <cell r="B865" t="str">
            <v>14278</v>
          </cell>
          <cell r="C865" t="str">
            <v>CIL</v>
          </cell>
          <cell r="D865" t="str">
            <v>N</v>
          </cell>
          <cell r="E865" t="str">
            <v>A</v>
          </cell>
          <cell r="F865" t="str">
            <v>01/09/2004</v>
          </cell>
        </row>
        <row r="866">
          <cell r="B866" t="str">
            <v>14279</v>
          </cell>
          <cell r="C866" t="str">
            <v>CIP</v>
          </cell>
          <cell r="D866" t="str">
            <v>N</v>
          </cell>
          <cell r="E866" t="str">
            <v>A</v>
          </cell>
          <cell r="F866" t="str">
            <v>05/01/2003</v>
          </cell>
        </row>
        <row r="867">
          <cell r="B867" t="str">
            <v>14281</v>
          </cell>
          <cell r="C867" t="str">
            <v>ARG</v>
          </cell>
          <cell r="D867" t="str">
            <v>N</v>
          </cell>
          <cell r="E867" t="str">
            <v>A</v>
          </cell>
          <cell r="F867" t="str">
            <v>09/03/2003</v>
          </cell>
        </row>
        <row r="868">
          <cell r="B868" t="str">
            <v>14283</v>
          </cell>
          <cell r="C868" t="str">
            <v>CIP</v>
          </cell>
          <cell r="D868" t="str">
            <v>N</v>
          </cell>
          <cell r="E868" t="str">
            <v>C</v>
          </cell>
          <cell r="F868" t="str">
            <v>05/12/2003</v>
          </cell>
        </row>
        <row r="869">
          <cell r="B869" t="str">
            <v>14289</v>
          </cell>
          <cell r="C869" t="str">
            <v>CIP</v>
          </cell>
          <cell r="D869" t="str">
            <v>N</v>
          </cell>
          <cell r="E869" t="str">
            <v>A</v>
          </cell>
          <cell r="F869" t="str">
            <v>05/28/2003</v>
          </cell>
        </row>
        <row r="870">
          <cell r="B870" t="str">
            <v>14291</v>
          </cell>
          <cell r="C870" t="str">
            <v>CIL</v>
          </cell>
          <cell r="D870" t="str">
            <v>N</v>
          </cell>
          <cell r="E870" t="str">
            <v>I</v>
          </cell>
          <cell r="F870" t="str">
            <v>09/17/2003</v>
          </cell>
        </row>
        <row r="871">
          <cell r="B871" t="str">
            <v>14291</v>
          </cell>
          <cell r="C871" t="str">
            <v>CIL</v>
          </cell>
          <cell r="D871" t="str">
            <v>N</v>
          </cell>
          <cell r="E871" t="str">
            <v>I</v>
          </cell>
          <cell r="F871" t="str">
            <v>09/17/2003</v>
          </cell>
        </row>
        <row r="872">
          <cell r="B872" t="str">
            <v>14292</v>
          </cell>
          <cell r="C872" t="str">
            <v>CIL</v>
          </cell>
          <cell r="D872" t="str">
            <v>N</v>
          </cell>
          <cell r="E872" t="str">
            <v>I</v>
          </cell>
          <cell r="F872" t="str">
            <v>09/16/2003</v>
          </cell>
        </row>
        <row r="873">
          <cell r="B873" t="str">
            <v>14292</v>
          </cell>
          <cell r="C873" t="str">
            <v>CIL</v>
          </cell>
          <cell r="D873" t="str">
            <v>N</v>
          </cell>
          <cell r="E873" t="str">
            <v>I</v>
          </cell>
          <cell r="F873" t="str">
            <v>09/16/2003</v>
          </cell>
        </row>
        <row r="874">
          <cell r="B874" t="str">
            <v>14294</v>
          </cell>
          <cell r="C874" t="str">
            <v>CIP</v>
          </cell>
          <cell r="D874" t="str">
            <v>N</v>
          </cell>
          <cell r="E874" t="str">
            <v>C</v>
          </cell>
          <cell r="F874" t="str">
            <v>05/12/2003</v>
          </cell>
        </row>
        <row r="875">
          <cell r="B875" t="str">
            <v>14295</v>
          </cell>
          <cell r="C875" t="str">
            <v>UEC</v>
          </cell>
          <cell r="D875" t="str">
            <v>N</v>
          </cell>
          <cell r="E875" t="str">
            <v>A</v>
          </cell>
          <cell r="F875" t="str">
            <v>05/14/2003</v>
          </cell>
        </row>
        <row r="876">
          <cell r="B876" t="str">
            <v>14304</v>
          </cell>
          <cell r="C876" t="str">
            <v>CIP</v>
          </cell>
          <cell r="D876" t="str">
            <v>N</v>
          </cell>
          <cell r="E876" t="str">
            <v>A</v>
          </cell>
          <cell r="F876" t="str">
            <v>05/19/2003</v>
          </cell>
        </row>
        <row r="877">
          <cell r="B877" t="str">
            <v>14308</v>
          </cell>
          <cell r="C877" t="str">
            <v>ARG</v>
          </cell>
          <cell r="D877" t="str">
            <v>N</v>
          </cell>
          <cell r="E877" t="str">
            <v>I</v>
          </cell>
          <cell r="F877" t="str">
            <v>09/12/2003</v>
          </cell>
        </row>
        <row r="878">
          <cell r="B878" t="str">
            <v>14314</v>
          </cell>
          <cell r="C878" t="str">
            <v>UEC</v>
          </cell>
          <cell r="D878" t="str">
            <v>N</v>
          </cell>
          <cell r="E878" t="str">
            <v>A</v>
          </cell>
          <cell r="F878" t="str">
            <v>05/28/2003</v>
          </cell>
        </row>
        <row r="879">
          <cell r="B879" t="str">
            <v>14318</v>
          </cell>
          <cell r="C879" t="str">
            <v>UEC</v>
          </cell>
          <cell r="D879" t="str">
            <v>N</v>
          </cell>
          <cell r="E879" t="str">
            <v>A</v>
          </cell>
          <cell r="F879" t="str">
            <v>06/09/2003</v>
          </cell>
        </row>
        <row r="880">
          <cell r="B880" t="str">
            <v>14319</v>
          </cell>
          <cell r="C880" t="str">
            <v>UEC</v>
          </cell>
          <cell r="D880" t="str">
            <v>N</v>
          </cell>
          <cell r="E880" t="str">
            <v>A</v>
          </cell>
          <cell r="F880" t="str">
            <v>05/28/2003</v>
          </cell>
        </row>
        <row r="881">
          <cell r="B881" t="str">
            <v>14320</v>
          </cell>
          <cell r="C881" t="str">
            <v>CIL</v>
          </cell>
          <cell r="D881" t="str">
            <v>N</v>
          </cell>
          <cell r="E881" t="str">
            <v>A</v>
          </cell>
          <cell r="F881" t="str">
            <v>06/02/2003</v>
          </cell>
        </row>
        <row r="882">
          <cell r="B882" t="str">
            <v>14326</v>
          </cell>
          <cell r="C882" t="str">
            <v>UEC</v>
          </cell>
          <cell r="D882" t="str">
            <v>N</v>
          </cell>
          <cell r="E882" t="str">
            <v>A</v>
          </cell>
          <cell r="F882" t="str">
            <v>06/05/2003</v>
          </cell>
        </row>
        <row r="883">
          <cell r="B883" t="str">
            <v>14332</v>
          </cell>
          <cell r="C883" t="str">
            <v>UEC</v>
          </cell>
          <cell r="D883" t="str">
            <v>N</v>
          </cell>
          <cell r="E883" t="str">
            <v>A</v>
          </cell>
          <cell r="F883" t="str">
            <v>06/12/2003</v>
          </cell>
        </row>
        <row r="884">
          <cell r="B884" t="str">
            <v>14334</v>
          </cell>
          <cell r="C884" t="str">
            <v>CIP</v>
          </cell>
          <cell r="D884" t="str">
            <v>N</v>
          </cell>
          <cell r="E884" t="str">
            <v>A</v>
          </cell>
          <cell r="F884" t="str">
            <v>06/17/2003</v>
          </cell>
        </row>
        <row r="885">
          <cell r="B885" t="str">
            <v>14345</v>
          </cell>
          <cell r="C885" t="str">
            <v>UEC</v>
          </cell>
          <cell r="D885" t="str">
            <v>N</v>
          </cell>
          <cell r="E885" t="str">
            <v>A</v>
          </cell>
          <cell r="F885" t="str">
            <v>07/25/2003</v>
          </cell>
        </row>
        <row r="886">
          <cell r="B886" t="str">
            <v>14351</v>
          </cell>
          <cell r="C886" t="str">
            <v>UEC</v>
          </cell>
          <cell r="D886" t="str">
            <v>N</v>
          </cell>
          <cell r="E886" t="str">
            <v>A</v>
          </cell>
          <cell r="F886" t="str">
            <v>11/25/2003</v>
          </cell>
        </row>
        <row r="887">
          <cell r="B887" t="str">
            <v>14363</v>
          </cell>
          <cell r="C887" t="str">
            <v>UEC</v>
          </cell>
          <cell r="D887" t="str">
            <v>N</v>
          </cell>
          <cell r="E887" t="str">
            <v>A</v>
          </cell>
          <cell r="F887" t="str">
            <v>11/06/2003</v>
          </cell>
        </row>
        <row r="888">
          <cell r="B888" t="str">
            <v>14380</v>
          </cell>
          <cell r="C888" t="str">
            <v>CIP</v>
          </cell>
          <cell r="D888" t="str">
            <v>N</v>
          </cell>
          <cell r="E888" t="str">
            <v>A</v>
          </cell>
          <cell r="F888" t="str">
            <v>06/25/2003</v>
          </cell>
        </row>
        <row r="889">
          <cell r="B889" t="str">
            <v>14381</v>
          </cell>
          <cell r="C889" t="str">
            <v>CIP</v>
          </cell>
          <cell r="D889" t="str">
            <v>N</v>
          </cell>
          <cell r="E889" t="str">
            <v>A</v>
          </cell>
          <cell r="F889" t="str">
            <v>06/26/2003</v>
          </cell>
        </row>
        <row r="890">
          <cell r="B890" t="str">
            <v>14384</v>
          </cell>
          <cell r="C890" t="str">
            <v>UEC</v>
          </cell>
          <cell r="D890" t="str">
            <v>N</v>
          </cell>
          <cell r="E890" t="str">
            <v>A</v>
          </cell>
          <cell r="F890" t="str">
            <v>06/30/2003</v>
          </cell>
        </row>
        <row r="891">
          <cell r="B891" t="str">
            <v>14390</v>
          </cell>
          <cell r="C891" t="str">
            <v>UEC</v>
          </cell>
          <cell r="D891" t="str">
            <v>N</v>
          </cell>
          <cell r="E891" t="str">
            <v>A</v>
          </cell>
          <cell r="F891" t="str">
            <v>06/26/2003</v>
          </cell>
        </row>
        <row r="892">
          <cell r="B892" t="str">
            <v>14396</v>
          </cell>
          <cell r="C892" t="str">
            <v>UEC</v>
          </cell>
          <cell r="D892" t="str">
            <v>N</v>
          </cell>
          <cell r="E892" t="str">
            <v>A</v>
          </cell>
          <cell r="F892" t="str">
            <v>07/02/2003</v>
          </cell>
        </row>
        <row r="893">
          <cell r="B893" t="str">
            <v>14421</v>
          </cell>
          <cell r="C893"/>
          <cell r="D893"/>
          <cell r="E893"/>
          <cell r="F893"/>
        </row>
        <row r="894">
          <cell r="B894" t="str">
            <v>14434</v>
          </cell>
          <cell r="C894" t="str">
            <v>UEC</v>
          </cell>
          <cell r="D894" t="str">
            <v>N</v>
          </cell>
          <cell r="E894" t="str">
            <v>A</v>
          </cell>
          <cell r="F894" t="str">
            <v>07/21/2003</v>
          </cell>
        </row>
        <row r="895">
          <cell r="B895" t="str">
            <v>14454</v>
          </cell>
          <cell r="C895" t="str">
            <v>UEC</v>
          </cell>
          <cell r="D895" t="str">
            <v>N</v>
          </cell>
          <cell r="E895" t="str">
            <v>A</v>
          </cell>
          <cell r="F895" t="str">
            <v>09/12/2003</v>
          </cell>
        </row>
        <row r="896">
          <cell r="B896" t="str">
            <v>14501</v>
          </cell>
          <cell r="C896" t="str">
            <v>CIP</v>
          </cell>
          <cell r="D896" t="str">
            <v>N</v>
          </cell>
          <cell r="E896" t="str">
            <v>A</v>
          </cell>
          <cell r="F896" t="str">
            <v>09/11/2003</v>
          </cell>
        </row>
        <row r="897">
          <cell r="B897" t="str">
            <v>14504</v>
          </cell>
          <cell r="C897" t="str">
            <v>CIL</v>
          </cell>
          <cell r="D897" t="str">
            <v>N</v>
          </cell>
          <cell r="E897" t="str">
            <v>A</v>
          </cell>
          <cell r="F897" t="str">
            <v>09/24/2003</v>
          </cell>
        </row>
        <row r="898">
          <cell r="B898" t="str">
            <v>14509</v>
          </cell>
          <cell r="C898" t="str">
            <v>UEC</v>
          </cell>
          <cell r="D898" t="str">
            <v>N</v>
          </cell>
          <cell r="E898" t="str">
            <v>A</v>
          </cell>
          <cell r="F898" t="str">
            <v>07/30/2003</v>
          </cell>
        </row>
        <row r="899">
          <cell r="B899" t="str">
            <v>14519</v>
          </cell>
          <cell r="C899" t="str">
            <v>UEC</v>
          </cell>
          <cell r="D899" t="str">
            <v>N</v>
          </cell>
          <cell r="E899" t="str">
            <v>A</v>
          </cell>
          <cell r="F899" t="str">
            <v>09/12/2003</v>
          </cell>
        </row>
        <row r="900">
          <cell r="B900" t="str">
            <v>14525</v>
          </cell>
          <cell r="C900" t="str">
            <v>UEC</v>
          </cell>
          <cell r="D900" t="str">
            <v>N</v>
          </cell>
          <cell r="E900" t="str">
            <v>A</v>
          </cell>
          <cell r="F900" t="str">
            <v>09/18/2003</v>
          </cell>
        </row>
        <row r="901">
          <cell r="B901" t="str">
            <v>14546</v>
          </cell>
          <cell r="C901" t="str">
            <v>UEC</v>
          </cell>
          <cell r="D901" t="str">
            <v>N</v>
          </cell>
          <cell r="E901" t="str">
            <v>A</v>
          </cell>
          <cell r="F901" t="str">
            <v>01/08/2004</v>
          </cell>
        </row>
        <row r="902">
          <cell r="B902" t="str">
            <v>14549</v>
          </cell>
          <cell r="C902" t="str">
            <v>CIL</v>
          </cell>
          <cell r="D902" t="str">
            <v>N</v>
          </cell>
          <cell r="E902" t="str">
            <v>A</v>
          </cell>
          <cell r="F902" t="str">
            <v>10/06/2003</v>
          </cell>
        </row>
        <row r="903">
          <cell r="B903" t="str">
            <v>14551</v>
          </cell>
          <cell r="C903" t="str">
            <v>CIL</v>
          </cell>
          <cell r="D903" t="str">
            <v>N</v>
          </cell>
          <cell r="E903" t="str">
            <v>A</v>
          </cell>
          <cell r="F903" t="str">
            <v>10/02/2003</v>
          </cell>
        </row>
        <row r="904">
          <cell r="B904" t="str">
            <v>14556</v>
          </cell>
          <cell r="C904" t="str">
            <v>CIL</v>
          </cell>
          <cell r="D904" t="str">
            <v>N</v>
          </cell>
          <cell r="E904" t="str">
            <v>A</v>
          </cell>
          <cell r="F904" t="str">
            <v>01/02/2004</v>
          </cell>
        </row>
        <row r="905">
          <cell r="B905" t="str">
            <v>14557</v>
          </cell>
          <cell r="C905" t="str">
            <v>CIL</v>
          </cell>
          <cell r="D905" t="str">
            <v>N</v>
          </cell>
          <cell r="E905" t="str">
            <v>A</v>
          </cell>
          <cell r="F905" t="str">
            <v>11/13/2003</v>
          </cell>
        </row>
        <row r="906">
          <cell r="B906" t="str">
            <v>14560</v>
          </cell>
          <cell r="C906" t="str">
            <v>UEC</v>
          </cell>
          <cell r="D906" t="str">
            <v>N</v>
          </cell>
          <cell r="E906" t="str">
            <v>A</v>
          </cell>
          <cell r="F906" t="str">
            <v>11/04/2003</v>
          </cell>
        </row>
        <row r="907">
          <cell r="B907" t="str">
            <v>14569</v>
          </cell>
          <cell r="C907" t="str">
            <v>AMC</v>
          </cell>
          <cell r="D907" t="str">
            <v>N</v>
          </cell>
          <cell r="E907" t="str">
            <v>A</v>
          </cell>
          <cell r="F907" t="str">
            <v>07/28/2003</v>
          </cell>
        </row>
        <row r="908">
          <cell r="B908" t="str">
            <v>14576</v>
          </cell>
          <cell r="C908" t="str">
            <v>UEC</v>
          </cell>
          <cell r="D908" t="str">
            <v>N</v>
          </cell>
          <cell r="E908" t="str">
            <v>A</v>
          </cell>
          <cell r="F908" t="str">
            <v>07/30/2003</v>
          </cell>
        </row>
        <row r="909">
          <cell r="B909" t="str">
            <v>14579</v>
          </cell>
          <cell r="C909" t="str">
            <v>UEC</v>
          </cell>
          <cell r="D909" t="str">
            <v>N</v>
          </cell>
          <cell r="E909" t="str">
            <v>A</v>
          </cell>
          <cell r="F909" t="str">
            <v>09/02/2003</v>
          </cell>
        </row>
        <row r="910">
          <cell r="B910" t="str">
            <v>14804</v>
          </cell>
          <cell r="C910" t="str">
            <v>ARG</v>
          </cell>
          <cell r="D910" t="str">
            <v>N</v>
          </cell>
          <cell r="E910" t="str">
            <v>C</v>
          </cell>
          <cell r="F910" t="str">
            <v>08/29/2003</v>
          </cell>
        </row>
        <row r="911">
          <cell r="B911" t="str">
            <v>14808</v>
          </cell>
          <cell r="C911" t="str">
            <v>UEC</v>
          </cell>
          <cell r="D911" t="str">
            <v>N</v>
          </cell>
          <cell r="E911" t="str">
            <v>A</v>
          </cell>
          <cell r="F911" t="str">
            <v>08/13/2003</v>
          </cell>
        </row>
        <row r="912">
          <cell r="B912" t="str">
            <v>14818</v>
          </cell>
          <cell r="C912" t="str">
            <v>UEC</v>
          </cell>
          <cell r="D912" t="str">
            <v>N</v>
          </cell>
          <cell r="E912" t="str">
            <v>A</v>
          </cell>
          <cell r="F912" t="str">
            <v>09/04/2003</v>
          </cell>
        </row>
        <row r="913">
          <cell r="B913" t="str">
            <v>14858</v>
          </cell>
          <cell r="C913" t="str">
            <v>UEC</v>
          </cell>
          <cell r="D913" t="str">
            <v>N</v>
          </cell>
          <cell r="E913" t="str">
            <v>A</v>
          </cell>
          <cell r="F913" t="str">
            <v>10/20/2003</v>
          </cell>
        </row>
        <row r="914">
          <cell r="B914" t="str">
            <v>14885</v>
          </cell>
          <cell r="C914" t="str">
            <v>UEC</v>
          </cell>
          <cell r="D914" t="str">
            <v>N</v>
          </cell>
          <cell r="E914" t="str">
            <v>A</v>
          </cell>
          <cell r="F914" t="str">
            <v>08/21/2003</v>
          </cell>
        </row>
        <row r="915">
          <cell r="B915" t="str">
            <v>14894</v>
          </cell>
          <cell r="C915" t="str">
            <v>UEC</v>
          </cell>
          <cell r="D915" t="str">
            <v>N</v>
          </cell>
          <cell r="E915" t="str">
            <v>A</v>
          </cell>
          <cell r="F915" t="str">
            <v>09/05/2003</v>
          </cell>
        </row>
        <row r="916">
          <cell r="B916" t="str">
            <v>14980</v>
          </cell>
          <cell r="C916" t="str">
            <v>CIP</v>
          </cell>
          <cell r="D916" t="str">
            <v>N</v>
          </cell>
          <cell r="E916" t="str">
            <v>A</v>
          </cell>
          <cell r="F916" t="str">
            <v>11/17/2003</v>
          </cell>
        </row>
        <row r="917">
          <cell r="B917" t="str">
            <v>14997</v>
          </cell>
          <cell r="C917" t="str">
            <v>CIL</v>
          </cell>
          <cell r="D917" t="str">
            <v>N</v>
          </cell>
          <cell r="E917" t="str">
            <v>A</v>
          </cell>
          <cell r="F917" t="str">
            <v>10/03/2003</v>
          </cell>
        </row>
        <row r="918">
          <cell r="B918" t="str">
            <v>15059</v>
          </cell>
          <cell r="C918" t="str">
            <v>CIP</v>
          </cell>
          <cell r="D918" t="str">
            <v>N</v>
          </cell>
          <cell r="E918" t="str">
            <v>I</v>
          </cell>
          <cell r="F918" t="str">
            <v>09/13/2003</v>
          </cell>
        </row>
        <row r="919">
          <cell r="B919" t="str">
            <v>15060</v>
          </cell>
          <cell r="C919" t="str">
            <v>UEC</v>
          </cell>
          <cell r="D919" t="str">
            <v>N</v>
          </cell>
          <cell r="E919" t="str">
            <v>A</v>
          </cell>
          <cell r="F919" t="str">
            <v>09/13/2003</v>
          </cell>
        </row>
        <row r="920">
          <cell r="B920" t="str">
            <v>15065</v>
          </cell>
          <cell r="C920" t="str">
            <v>CIC</v>
          </cell>
          <cell r="D920" t="str">
            <v>N</v>
          </cell>
          <cell r="E920" t="str">
            <v>I</v>
          </cell>
          <cell r="F920" t="str">
            <v>09/25/2003</v>
          </cell>
        </row>
        <row r="921">
          <cell r="B921" t="str">
            <v>15065</v>
          </cell>
          <cell r="C921" t="str">
            <v>CIC</v>
          </cell>
          <cell r="D921" t="str">
            <v>N</v>
          </cell>
          <cell r="E921" t="str">
            <v>I</v>
          </cell>
          <cell r="F921" t="str">
            <v>09/25/2003</v>
          </cell>
        </row>
        <row r="922">
          <cell r="B922" t="str">
            <v>15070</v>
          </cell>
          <cell r="C922" t="str">
            <v>ARG</v>
          </cell>
          <cell r="D922" t="str">
            <v>N</v>
          </cell>
          <cell r="E922" t="str">
            <v>A</v>
          </cell>
          <cell r="F922" t="str">
            <v>09/30/2003</v>
          </cell>
        </row>
        <row r="923">
          <cell r="B923" t="str">
            <v>15073</v>
          </cell>
          <cell r="C923" t="str">
            <v>UEC</v>
          </cell>
          <cell r="D923" t="str">
            <v>N</v>
          </cell>
          <cell r="E923" t="str">
            <v>A</v>
          </cell>
          <cell r="F923" t="str">
            <v>09/11/2003</v>
          </cell>
        </row>
        <row r="924">
          <cell r="B924" t="str">
            <v>15081</v>
          </cell>
          <cell r="C924" t="str">
            <v>CIL</v>
          </cell>
          <cell r="D924" t="str">
            <v>N</v>
          </cell>
          <cell r="E924" t="str">
            <v>A</v>
          </cell>
          <cell r="F924" t="str">
            <v>09/09/2003</v>
          </cell>
        </row>
        <row r="925">
          <cell r="B925" t="str">
            <v>15087</v>
          </cell>
          <cell r="C925" t="str">
            <v>UEC</v>
          </cell>
          <cell r="D925" t="str">
            <v>N</v>
          </cell>
          <cell r="E925" t="str">
            <v>A</v>
          </cell>
          <cell r="F925" t="str">
            <v>09/08/2003</v>
          </cell>
        </row>
        <row r="926">
          <cell r="B926" t="str">
            <v>15089</v>
          </cell>
          <cell r="C926" t="str">
            <v>UEC</v>
          </cell>
          <cell r="D926" t="str">
            <v>N</v>
          </cell>
          <cell r="E926" t="str">
            <v>A</v>
          </cell>
          <cell r="F926" t="str">
            <v>11/12/2003</v>
          </cell>
        </row>
        <row r="927">
          <cell r="B927" t="str">
            <v>15091</v>
          </cell>
          <cell r="C927" t="str">
            <v>UEC</v>
          </cell>
          <cell r="D927" t="str">
            <v>N</v>
          </cell>
          <cell r="E927" t="str">
            <v>A</v>
          </cell>
          <cell r="F927" t="str">
            <v>09/11/2003</v>
          </cell>
        </row>
        <row r="928">
          <cell r="B928" t="str">
            <v>15094</v>
          </cell>
          <cell r="C928" t="str">
            <v>CIL</v>
          </cell>
          <cell r="D928" t="str">
            <v>N</v>
          </cell>
          <cell r="E928" t="str">
            <v>I</v>
          </cell>
          <cell r="F928" t="str">
            <v>09/18/2003</v>
          </cell>
        </row>
        <row r="929">
          <cell r="B929" t="str">
            <v>15094</v>
          </cell>
          <cell r="C929" t="str">
            <v>CIL</v>
          </cell>
          <cell r="D929" t="str">
            <v>N</v>
          </cell>
          <cell r="E929" t="str">
            <v>I</v>
          </cell>
          <cell r="F929" t="str">
            <v>09/18/2003</v>
          </cell>
        </row>
        <row r="930">
          <cell r="B930" t="str">
            <v>15099</v>
          </cell>
          <cell r="C930" t="str">
            <v>UEC</v>
          </cell>
          <cell r="D930" t="str">
            <v>N</v>
          </cell>
          <cell r="E930" t="str">
            <v>A</v>
          </cell>
          <cell r="F930" t="str">
            <v>09/15/2003</v>
          </cell>
        </row>
        <row r="931">
          <cell r="B931" t="str">
            <v>15100</v>
          </cell>
          <cell r="C931" t="str">
            <v>CIL</v>
          </cell>
          <cell r="D931" t="str">
            <v>N</v>
          </cell>
          <cell r="E931" t="str">
            <v>A</v>
          </cell>
          <cell r="F931" t="str">
            <v>09/17/2003</v>
          </cell>
        </row>
        <row r="932">
          <cell r="B932" t="str">
            <v>15101</v>
          </cell>
          <cell r="C932" t="str">
            <v>CIL</v>
          </cell>
          <cell r="D932" t="str">
            <v>N</v>
          </cell>
          <cell r="E932" t="str">
            <v>A</v>
          </cell>
          <cell r="F932" t="str">
            <v>09/17/2003</v>
          </cell>
        </row>
        <row r="933">
          <cell r="B933" t="str">
            <v>15105</v>
          </cell>
          <cell r="C933" t="str">
            <v>CIL</v>
          </cell>
          <cell r="D933" t="str">
            <v>N</v>
          </cell>
          <cell r="E933" t="str">
            <v>A</v>
          </cell>
          <cell r="F933" t="str">
            <v>09/17/2003</v>
          </cell>
        </row>
        <row r="934">
          <cell r="B934" t="str">
            <v>15106</v>
          </cell>
          <cell r="C934" t="str">
            <v>ARG</v>
          </cell>
          <cell r="D934" t="str">
            <v>N</v>
          </cell>
          <cell r="E934" t="str">
            <v>A</v>
          </cell>
          <cell r="F934" t="str">
            <v>09/18/2003</v>
          </cell>
        </row>
        <row r="935">
          <cell r="B935" t="str">
            <v>15107</v>
          </cell>
          <cell r="C935" t="str">
            <v>ARG</v>
          </cell>
          <cell r="D935" t="str">
            <v>N</v>
          </cell>
          <cell r="E935" t="str">
            <v>A</v>
          </cell>
          <cell r="F935" t="str">
            <v>09/30/2003</v>
          </cell>
        </row>
        <row r="936">
          <cell r="B936" t="str">
            <v>15108</v>
          </cell>
          <cell r="C936" t="str">
            <v>ARG</v>
          </cell>
          <cell r="D936" t="str">
            <v>N</v>
          </cell>
          <cell r="E936" t="str">
            <v>A</v>
          </cell>
          <cell r="F936" t="str">
            <v>09/19/2003</v>
          </cell>
        </row>
        <row r="937">
          <cell r="B937" t="str">
            <v>15109</v>
          </cell>
          <cell r="C937" t="str">
            <v>ARG</v>
          </cell>
          <cell r="D937" t="str">
            <v>N</v>
          </cell>
          <cell r="E937" t="str">
            <v>A</v>
          </cell>
          <cell r="F937" t="str">
            <v>09/19/2003</v>
          </cell>
        </row>
        <row r="938">
          <cell r="B938" t="str">
            <v>15110</v>
          </cell>
          <cell r="C938" t="str">
            <v>CIP</v>
          </cell>
          <cell r="D938" t="str">
            <v>N</v>
          </cell>
          <cell r="E938" t="str">
            <v>A</v>
          </cell>
          <cell r="F938" t="str">
            <v>11/13/2003</v>
          </cell>
        </row>
        <row r="939">
          <cell r="B939" t="str">
            <v>15111</v>
          </cell>
          <cell r="C939" t="str">
            <v>ARG</v>
          </cell>
          <cell r="D939" t="str">
            <v>N</v>
          </cell>
          <cell r="E939" t="str">
            <v>A</v>
          </cell>
          <cell r="F939" t="str">
            <v>09/19/2003</v>
          </cell>
        </row>
        <row r="940">
          <cell r="B940" t="str">
            <v>15114</v>
          </cell>
          <cell r="C940" t="str">
            <v>CIL</v>
          </cell>
          <cell r="D940" t="str">
            <v>N</v>
          </cell>
          <cell r="E940" t="str">
            <v>I</v>
          </cell>
          <cell r="F940" t="str">
            <v>09/23/2003</v>
          </cell>
        </row>
        <row r="941">
          <cell r="B941" t="str">
            <v>15114</v>
          </cell>
          <cell r="C941" t="str">
            <v>CIL</v>
          </cell>
          <cell r="D941" t="str">
            <v>N</v>
          </cell>
          <cell r="E941" t="str">
            <v>I</v>
          </cell>
          <cell r="F941" t="str">
            <v>09/23/2003</v>
          </cell>
        </row>
        <row r="942">
          <cell r="B942" t="str">
            <v>15117</v>
          </cell>
          <cell r="C942" t="str">
            <v>CIP</v>
          </cell>
          <cell r="D942" t="str">
            <v>N</v>
          </cell>
          <cell r="E942" t="str">
            <v>A</v>
          </cell>
          <cell r="F942" t="str">
            <v>11/17/2003</v>
          </cell>
        </row>
        <row r="943">
          <cell r="B943" t="str">
            <v>15129</v>
          </cell>
          <cell r="C943" t="str">
            <v>UEC</v>
          </cell>
          <cell r="D943" t="str">
            <v>N</v>
          </cell>
          <cell r="E943" t="str">
            <v>A</v>
          </cell>
          <cell r="F943" t="str">
            <v>11/07/2003</v>
          </cell>
        </row>
        <row r="944">
          <cell r="B944" t="str">
            <v>15132</v>
          </cell>
          <cell r="C944" t="str">
            <v>UEC</v>
          </cell>
          <cell r="D944" t="str">
            <v>N</v>
          </cell>
          <cell r="E944" t="str">
            <v>A</v>
          </cell>
          <cell r="F944" t="str">
            <v>10/08/2003</v>
          </cell>
        </row>
        <row r="945">
          <cell r="B945" t="str">
            <v>15136</v>
          </cell>
          <cell r="C945" t="str">
            <v>CIL</v>
          </cell>
          <cell r="D945" t="str">
            <v>N</v>
          </cell>
          <cell r="E945" t="str">
            <v>I</v>
          </cell>
          <cell r="F945" t="str">
            <v>10/14/2003</v>
          </cell>
        </row>
        <row r="946">
          <cell r="B946" t="str">
            <v>15136</v>
          </cell>
          <cell r="C946" t="str">
            <v>CIL</v>
          </cell>
          <cell r="D946" t="str">
            <v>N</v>
          </cell>
          <cell r="E946" t="str">
            <v>I</v>
          </cell>
          <cell r="F946" t="str">
            <v>10/14/2003</v>
          </cell>
        </row>
        <row r="947">
          <cell r="B947" t="str">
            <v>15153</v>
          </cell>
          <cell r="C947" t="str">
            <v>CIL</v>
          </cell>
          <cell r="D947" t="str">
            <v>N</v>
          </cell>
          <cell r="E947" t="str">
            <v>I</v>
          </cell>
          <cell r="F947" t="str">
            <v>10/16/2003</v>
          </cell>
        </row>
        <row r="948">
          <cell r="B948" t="str">
            <v>15153</v>
          </cell>
          <cell r="C948" t="str">
            <v>CIL</v>
          </cell>
          <cell r="D948" t="str">
            <v>N</v>
          </cell>
          <cell r="E948" t="str">
            <v>I</v>
          </cell>
          <cell r="F948" t="str">
            <v>10/16/2003</v>
          </cell>
        </row>
        <row r="949">
          <cell r="B949" t="str">
            <v>15157</v>
          </cell>
          <cell r="C949" t="str">
            <v>UEC</v>
          </cell>
          <cell r="D949" t="str">
            <v>N</v>
          </cell>
          <cell r="E949" t="str">
            <v>A</v>
          </cell>
          <cell r="F949" t="str">
            <v>10/21/2003</v>
          </cell>
        </row>
        <row r="950">
          <cell r="B950" t="str">
            <v>15159</v>
          </cell>
          <cell r="C950" t="str">
            <v>CIL</v>
          </cell>
          <cell r="D950" t="str">
            <v>N</v>
          </cell>
          <cell r="E950" t="str">
            <v>I</v>
          </cell>
          <cell r="F950" t="str">
            <v>10/22/2003</v>
          </cell>
        </row>
        <row r="951">
          <cell r="B951" t="str">
            <v>15161</v>
          </cell>
          <cell r="C951" t="str">
            <v>CIL</v>
          </cell>
          <cell r="D951" t="str">
            <v>N</v>
          </cell>
          <cell r="E951" t="str">
            <v>I</v>
          </cell>
          <cell r="F951" t="str">
            <v>10/28/2003</v>
          </cell>
        </row>
        <row r="952">
          <cell r="B952" t="str">
            <v>15165</v>
          </cell>
          <cell r="C952" t="str">
            <v>CIL</v>
          </cell>
          <cell r="D952" t="str">
            <v>N</v>
          </cell>
          <cell r="E952" t="str">
            <v>I</v>
          </cell>
          <cell r="F952" t="str">
            <v>11/05/2003</v>
          </cell>
        </row>
        <row r="953">
          <cell r="B953" t="str">
            <v>15182</v>
          </cell>
          <cell r="C953" t="str">
            <v>CIL</v>
          </cell>
          <cell r="D953" t="str">
            <v>N</v>
          </cell>
          <cell r="E953" t="str">
            <v>I</v>
          </cell>
          <cell r="F953" t="str">
            <v>12/02/2003</v>
          </cell>
        </row>
        <row r="954">
          <cell r="B954" t="str">
            <v>15182</v>
          </cell>
          <cell r="C954" t="str">
            <v>CIL</v>
          </cell>
          <cell r="D954" t="str">
            <v>N</v>
          </cell>
          <cell r="E954" t="str">
            <v>I</v>
          </cell>
          <cell r="F954" t="str">
            <v>12/02/2003</v>
          </cell>
        </row>
        <row r="955">
          <cell r="B955" t="str">
            <v>15199</v>
          </cell>
          <cell r="C955" t="str">
            <v>UEC</v>
          </cell>
          <cell r="D955" t="str">
            <v>N</v>
          </cell>
          <cell r="E955" t="str">
            <v>A</v>
          </cell>
          <cell r="F955" t="str">
            <v>12/10/2003</v>
          </cell>
        </row>
        <row r="956">
          <cell r="B956" t="str">
            <v>15201</v>
          </cell>
          <cell r="C956" t="str">
            <v>CIL</v>
          </cell>
          <cell r="D956" t="str">
            <v>N</v>
          </cell>
          <cell r="E956" t="str">
            <v>A</v>
          </cell>
          <cell r="F956" t="str">
            <v>12/12/2003</v>
          </cell>
        </row>
        <row r="957">
          <cell r="B957" t="str">
            <v>15202</v>
          </cell>
          <cell r="C957" t="str">
            <v>ARG</v>
          </cell>
          <cell r="D957" t="str">
            <v>N</v>
          </cell>
          <cell r="E957" t="str">
            <v>I</v>
          </cell>
          <cell r="F957" t="str">
            <v>12/15/2003</v>
          </cell>
        </row>
        <row r="958">
          <cell r="B958" t="str">
            <v>15202</v>
          </cell>
          <cell r="C958" t="str">
            <v>ARG</v>
          </cell>
          <cell r="D958" t="str">
            <v>N</v>
          </cell>
          <cell r="E958" t="str">
            <v>I</v>
          </cell>
          <cell r="F958" t="str">
            <v>12/15/2003</v>
          </cell>
        </row>
        <row r="959">
          <cell r="B959" t="str">
            <v>15204</v>
          </cell>
          <cell r="C959" t="str">
            <v>UEC</v>
          </cell>
          <cell r="D959" t="str">
            <v>N</v>
          </cell>
          <cell r="E959" t="str">
            <v>A</v>
          </cell>
          <cell r="F959" t="str">
            <v>12/17/2003</v>
          </cell>
        </row>
        <row r="960">
          <cell r="B960" t="str">
            <v>15213</v>
          </cell>
          <cell r="C960" t="str">
            <v>UEC</v>
          </cell>
          <cell r="D960" t="str">
            <v>N</v>
          </cell>
          <cell r="E960" t="str">
            <v>A</v>
          </cell>
          <cell r="F960" t="str">
            <v>12/29/2003</v>
          </cell>
        </row>
        <row r="961">
          <cell r="B961" t="str">
            <v>15215</v>
          </cell>
          <cell r="C961" t="str">
            <v>UEC</v>
          </cell>
          <cell r="D961" t="str">
            <v>N</v>
          </cell>
          <cell r="E961" t="str">
            <v>A</v>
          </cell>
          <cell r="F961" t="str">
            <v>01/02/2004</v>
          </cell>
        </row>
        <row r="962">
          <cell r="B962" t="str">
            <v>15216</v>
          </cell>
          <cell r="C962" t="str">
            <v>UEC</v>
          </cell>
          <cell r="D962" t="str">
            <v>N</v>
          </cell>
          <cell r="E962" t="str">
            <v>A</v>
          </cell>
          <cell r="F962" t="str">
            <v>01/02/2004</v>
          </cell>
        </row>
        <row r="963">
          <cell r="B963" t="str">
            <v>15218</v>
          </cell>
          <cell r="C963" t="str">
            <v>UEC</v>
          </cell>
          <cell r="D963" t="str">
            <v>N</v>
          </cell>
          <cell r="E963" t="str">
            <v>A</v>
          </cell>
          <cell r="F963" t="str">
            <v>01/07/2004</v>
          </cell>
        </row>
        <row r="964">
          <cell r="B964" t="str">
            <v>15219</v>
          </cell>
          <cell r="C964" t="str">
            <v>UEC</v>
          </cell>
          <cell r="D964" t="str">
            <v>N</v>
          </cell>
          <cell r="E964" t="str">
            <v>A</v>
          </cell>
          <cell r="F964" t="str">
            <v>01/07/2004</v>
          </cell>
        </row>
        <row r="965">
          <cell r="B965" t="str">
            <v>15220</v>
          </cell>
          <cell r="C965" t="str">
            <v>CIP</v>
          </cell>
          <cell r="D965" t="str">
            <v>N</v>
          </cell>
          <cell r="E965" t="str">
            <v>I</v>
          </cell>
          <cell r="F965" t="str">
            <v>01/07/2004</v>
          </cell>
        </row>
        <row r="966">
          <cell r="B966" t="str">
            <v>15229</v>
          </cell>
          <cell r="C966" t="str">
            <v>UEC</v>
          </cell>
          <cell r="D966" t="str">
            <v>N</v>
          </cell>
          <cell r="E966" t="str">
            <v>I</v>
          </cell>
          <cell r="F966" t="str">
            <v>01/20/2004</v>
          </cell>
        </row>
        <row r="967">
          <cell r="B967" t="str">
            <v>15229</v>
          </cell>
          <cell r="C967" t="str">
            <v>UEC</v>
          </cell>
          <cell r="D967" t="str">
            <v>N</v>
          </cell>
          <cell r="E967" t="str">
            <v>I</v>
          </cell>
          <cell r="F967" t="str">
            <v>01/20/2004</v>
          </cell>
        </row>
        <row r="968">
          <cell r="B968" t="str">
            <v>15242</v>
          </cell>
          <cell r="C968" t="str">
            <v>UEC</v>
          </cell>
          <cell r="D968" t="str">
            <v>N</v>
          </cell>
          <cell r="E968" t="str">
            <v>I</v>
          </cell>
          <cell r="F968" t="str">
            <v>01/23/2004</v>
          </cell>
        </row>
        <row r="969">
          <cell r="B969" t="str">
            <v>15242</v>
          </cell>
          <cell r="C969" t="str">
            <v>UEC</v>
          </cell>
          <cell r="D969" t="str">
            <v>N</v>
          </cell>
          <cell r="E969" t="str">
            <v>I</v>
          </cell>
          <cell r="F969" t="str">
            <v>01/23/2004</v>
          </cell>
        </row>
        <row r="970">
          <cell r="B970" t="str">
            <v>15244</v>
          </cell>
          <cell r="C970" t="str">
            <v>UEC</v>
          </cell>
          <cell r="D970" t="str">
            <v>N</v>
          </cell>
          <cell r="E970" t="str">
            <v>I</v>
          </cell>
          <cell r="F970" t="str">
            <v>01/23/2004</v>
          </cell>
        </row>
        <row r="971">
          <cell r="B971" t="str">
            <v>15254</v>
          </cell>
          <cell r="C971" t="str">
            <v>CIP</v>
          </cell>
          <cell r="D971" t="str">
            <v>N</v>
          </cell>
          <cell r="E971" t="str">
            <v>C</v>
          </cell>
          <cell r="F971" t="str">
            <v>05/29/1998</v>
          </cell>
        </row>
        <row r="972">
          <cell r="B972" t="str">
            <v>15362</v>
          </cell>
          <cell r="C972" t="str">
            <v>CIP</v>
          </cell>
          <cell r="D972" t="str">
            <v>N</v>
          </cell>
          <cell r="E972" t="str">
            <v>C</v>
          </cell>
          <cell r="F972" t="str">
            <v>12/22/1997</v>
          </cell>
        </row>
        <row r="973">
          <cell r="B973" t="str">
            <v>38257</v>
          </cell>
          <cell r="C973" t="str">
            <v>CIP</v>
          </cell>
          <cell r="D973" t="str">
            <v>N</v>
          </cell>
          <cell r="E973" t="str">
            <v>C</v>
          </cell>
          <cell r="F973" t="str">
            <v>01/06/1998</v>
          </cell>
        </row>
        <row r="974">
          <cell r="B974" t="str">
            <v>0A001</v>
          </cell>
          <cell r="C974" t="str">
            <v>UEC</v>
          </cell>
          <cell r="D974" t="str">
            <v>N</v>
          </cell>
          <cell r="E974" t="str">
            <v>A</v>
          </cell>
          <cell r="F974" t="str">
            <v>12/06/1997</v>
          </cell>
        </row>
        <row r="975">
          <cell r="B975" t="str">
            <v>0A005</v>
          </cell>
          <cell r="C975" t="str">
            <v>UEC</v>
          </cell>
          <cell r="D975" t="str">
            <v>N</v>
          </cell>
          <cell r="E975" t="str">
            <v>A</v>
          </cell>
          <cell r="F975" t="str">
            <v>12/06/1997</v>
          </cell>
        </row>
        <row r="976">
          <cell r="B976" t="str">
            <v>0A006</v>
          </cell>
          <cell r="C976" t="str">
            <v>UEC</v>
          </cell>
          <cell r="D976" t="str">
            <v>N</v>
          </cell>
          <cell r="E976" t="str">
            <v>A</v>
          </cell>
          <cell r="F976" t="str">
            <v>12/06/1997</v>
          </cell>
        </row>
        <row r="977">
          <cell r="B977" t="str">
            <v>0A009</v>
          </cell>
          <cell r="C977" t="str">
            <v>UEC</v>
          </cell>
          <cell r="D977" t="str">
            <v>N</v>
          </cell>
          <cell r="E977" t="str">
            <v>A</v>
          </cell>
          <cell r="F977" t="str">
            <v>12/06/1997</v>
          </cell>
        </row>
        <row r="978">
          <cell r="B978" t="str">
            <v>0A010</v>
          </cell>
          <cell r="C978" t="str">
            <v>UEC</v>
          </cell>
          <cell r="D978" t="str">
            <v>N</v>
          </cell>
          <cell r="E978" t="str">
            <v>A</v>
          </cell>
          <cell r="F978" t="str">
            <v>02/14/2003</v>
          </cell>
        </row>
        <row r="979">
          <cell r="B979" t="str">
            <v>0A011</v>
          </cell>
          <cell r="C979" t="str">
            <v>UEC</v>
          </cell>
          <cell r="D979" t="str">
            <v>N</v>
          </cell>
          <cell r="E979" t="str">
            <v>A</v>
          </cell>
          <cell r="F979" t="str">
            <v>12/06/1997</v>
          </cell>
        </row>
        <row r="980">
          <cell r="B980" t="str">
            <v>0A012</v>
          </cell>
          <cell r="C980" t="str">
            <v>UEC</v>
          </cell>
          <cell r="D980" t="str">
            <v>N</v>
          </cell>
          <cell r="E980" t="str">
            <v>A</v>
          </cell>
          <cell r="F980" t="str">
            <v>12/06/1997</v>
          </cell>
        </row>
        <row r="981">
          <cell r="B981" t="str">
            <v>0A013</v>
          </cell>
          <cell r="C981" t="str">
            <v>UEC</v>
          </cell>
          <cell r="D981" t="str">
            <v>N</v>
          </cell>
          <cell r="E981" t="str">
            <v>A</v>
          </cell>
          <cell r="F981" t="str">
            <v>02/14/2003</v>
          </cell>
        </row>
        <row r="982">
          <cell r="B982" t="str">
            <v>0A014</v>
          </cell>
          <cell r="C982" t="str">
            <v>UEC</v>
          </cell>
          <cell r="D982" t="str">
            <v>N</v>
          </cell>
          <cell r="E982" t="str">
            <v>A</v>
          </cell>
          <cell r="F982" t="str">
            <v>02/14/2003</v>
          </cell>
        </row>
        <row r="983">
          <cell r="B983" t="str">
            <v>0A018</v>
          </cell>
          <cell r="C983" t="str">
            <v>UEC</v>
          </cell>
          <cell r="D983" t="str">
            <v>Y</v>
          </cell>
          <cell r="E983" t="str">
            <v>A</v>
          </cell>
          <cell r="F983" t="str">
            <v>07/06/2001</v>
          </cell>
        </row>
        <row r="984">
          <cell r="B984" t="str">
            <v>0A037</v>
          </cell>
          <cell r="C984" t="str">
            <v>UEC</v>
          </cell>
          <cell r="D984" t="str">
            <v>N</v>
          </cell>
          <cell r="E984" t="str">
            <v>A</v>
          </cell>
          <cell r="F984" t="str">
            <v>01/13/1998</v>
          </cell>
        </row>
        <row r="985">
          <cell r="B985" t="str">
            <v>0A039</v>
          </cell>
          <cell r="C985" t="str">
            <v>UEC</v>
          </cell>
          <cell r="D985" t="str">
            <v>N</v>
          </cell>
          <cell r="E985" t="str">
            <v>A</v>
          </cell>
          <cell r="F985" t="str">
            <v>01/12/1998</v>
          </cell>
        </row>
        <row r="986">
          <cell r="B986" t="str">
            <v>0A042</v>
          </cell>
          <cell r="C986" t="str">
            <v>UEC</v>
          </cell>
          <cell r="D986" t="str">
            <v>N</v>
          </cell>
          <cell r="E986" t="str">
            <v>C</v>
          </cell>
          <cell r="F986" t="str">
            <v>01/12/1998</v>
          </cell>
        </row>
        <row r="987">
          <cell r="B987" t="str">
            <v>0A043</v>
          </cell>
          <cell r="C987" t="str">
            <v>UEC</v>
          </cell>
          <cell r="D987" t="str">
            <v>N</v>
          </cell>
          <cell r="E987" t="str">
            <v>A</v>
          </cell>
          <cell r="F987" t="str">
            <v>01/12/1998</v>
          </cell>
        </row>
        <row r="988">
          <cell r="B988" t="str">
            <v>0A045</v>
          </cell>
          <cell r="C988" t="str">
            <v>UEC</v>
          </cell>
          <cell r="D988" t="str">
            <v>N</v>
          </cell>
          <cell r="E988" t="str">
            <v>A</v>
          </cell>
          <cell r="F988" t="str">
            <v>01/12/1998</v>
          </cell>
        </row>
        <row r="989">
          <cell r="B989" t="str">
            <v>0A046</v>
          </cell>
          <cell r="C989" t="str">
            <v>UEC</v>
          </cell>
          <cell r="D989" t="str">
            <v>N</v>
          </cell>
          <cell r="E989" t="str">
            <v>A</v>
          </cell>
          <cell r="F989" t="str">
            <v>01/12/1998</v>
          </cell>
        </row>
        <row r="990">
          <cell r="B990" t="str">
            <v>0A047</v>
          </cell>
          <cell r="C990" t="str">
            <v>UEC</v>
          </cell>
          <cell r="D990" t="str">
            <v>N</v>
          </cell>
          <cell r="E990" t="str">
            <v>A</v>
          </cell>
          <cell r="F990" t="str">
            <v>01/12/1998</v>
          </cell>
        </row>
        <row r="991">
          <cell r="B991" t="str">
            <v>0A048</v>
          </cell>
          <cell r="C991" t="str">
            <v>UEC</v>
          </cell>
          <cell r="D991" t="str">
            <v>N</v>
          </cell>
          <cell r="E991" t="str">
            <v>A</v>
          </cell>
          <cell r="F991" t="str">
            <v>01/12/1998</v>
          </cell>
        </row>
        <row r="992">
          <cell r="B992" t="str">
            <v>0A049</v>
          </cell>
          <cell r="C992" t="str">
            <v>UEC</v>
          </cell>
          <cell r="D992" t="str">
            <v>N</v>
          </cell>
          <cell r="E992" t="str">
            <v>A</v>
          </cell>
          <cell r="F992" t="str">
            <v>01/12/1998</v>
          </cell>
        </row>
        <row r="993">
          <cell r="B993" t="str">
            <v>0A076</v>
          </cell>
          <cell r="C993" t="str">
            <v>UEC</v>
          </cell>
          <cell r="D993" t="str">
            <v>N</v>
          </cell>
          <cell r="E993" t="str">
            <v>A</v>
          </cell>
          <cell r="F993" t="str">
            <v>06/08/1998</v>
          </cell>
        </row>
        <row r="994">
          <cell r="B994" t="str">
            <v>0A090</v>
          </cell>
          <cell r="C994" t="str">
            <v>UEC</v>
          </cell>
          <cell r="D994" t="str">
            <v>N</v>
          </cell>
          <cell r="E994" t="str">
            <v>A</v>
          </cell>
          <cell r="F994" t="str">
            <v>06/24/2003</v>
          </cell>
        </row>
        <row r="995">
          <cell r="B995" t="str">
            <v>0A091</v>
          </cell>
          <cell r="C995" t="str">
            <v>UEC</v>
          </cell>
          <cell r="D995" t="str">
            <v>N</v>
          </cell>
          <cell r="E995" t="str">
            <v>A</v>
          </cell>
          <cell r="F995" t="str">
            <v>11/13/1998</v>
          </cell>
        </row>
        <row r="996">
          <cell r="B996" t="str">
            <v>0A092</v>
          </cell>
          <cell r="C996" t="str">
            <v>UEC</v>
          </cell>
          <cell r="D996" t="str">
            <v>N</v>
          </cell>
          <cell r="E996" t="str">
            <v>A</v>
          </cell>
          <cell r="F996" t="str">
            <v>06/24/2003</v>
          </cell>
        </row>
        <row r="997">
          <cell r="B997" t="str">
            <v>0A093</v>
          </cell>
          <cell r="C997" t="str">
            <v>UEC</v>
          </cell>
          <cell r="D997" t="str">
            <v>N</v>
          </cell>
          <cell r="E997" t="str">
            <v>A</v>
          </cell>
          <cell r="F997" t="str">
            <v>06/24/2003</v>
          </cell>
        </row>
        <row r="998">
          <cell r="B998" t="str">
            <v>0A094</v>
          </cell>
          <cell r="C998" t="str">
            <v>UEC</v>
          </cell>
          <cell r="D998" t="str">
            <v>N</v>
          </cell>
          <cell r="E998" t="str">
            <v>A</v>
          </cell>
          <cell r="F998" t="str">
            <v>06/02/1998</v>
          </cell>
        </row>
        <row r="999">
          <cell r="B999" t="str">
            <v>0A095</v>
          </cell>
          <cell r="C999" t="str">
            <v>UEC</v>
          </cell>
          <cell r="D999" t="str">
            <v>N</v>
          </cell>
          <cell r="E999" t="str">
            <v>A</v>
          </cell>
          <cell r="F999" t="str">
            <v>06/24/2003</v>
          </cell>
        </row>
        <row r="1000">
          <cell r="B1000" t="str">
            <v>0A096</v>
          </cell>
          <cell r="C1000" t="str">
            <v>UEC</v>
          </cell>
          <cell r="D1000" t="str">
            <v>N</v>
          </cell>
          <cell r="E1000" t="str">
            <v>A</v>
          </cell>
          <cell r="F1000" t="str">
            <v>11/19/2001</v>
          </cell>
        </row>
        <row r="1001">
          <cell r="B1001" t="str">
            <v>0A100</v>
          </cell>
          <cell r="C1001" t="str">
            <v>UEC</v>
          </cell>
          <cell r="D1001" t="str">
            <v>N</v>
          </cell>
          <cell r="E1001" t="str">
            <v>A</v>
          </cell>
          <cell r="F1001" t="str">
            <v>02/14/2003</v>
          </cell>
        </row>
        <row r="1002">
          <cell r="B1002" t="str">
            <v>0A101</v>
          </cell>
          <cell r="C1002" t="str">
            <v>UEC</v>
          </cell>
          <cell r="D1002" t="str">
            <v>N</v>
          </cell>
          <cell r="E1002" t="str">
            <v>A</v>
          </cell>
          <cell r="F1002" t="str">
            <v>02/14/2003</v>
          </cell>
        </row>
        <row r="1003">
          <cell r="B1003" t="str">
            <v>0A113</v>
          </cell>
          <cell r="C1003" t="str">
            <v>UEC</v>
          </cell>
          <cell r="D1003" t="str">
            <v>N</v>
          </cell>
          <cell r="E1003" t="str">
            <v>I</v>
          </cell>
          <cell r="F1003" t="str">
            <v>04/14/1998</v>
          </cell>
        </row>
        <row r="1004">
          <cell r="B1004" t="str">
            <v>0A121</v>
          </cell>
          <cell r="C1004" t="str">
            <v>UEC</v>
          </cell>
          <cell r="D1004" t="str">
            <v>N</v>
          </cell>
          <cell r="E1004" t="str">
            <v>A</v>
          </cell>
          <cell r="F1004" t="str">
            <v>01/16/2003</v>
          </cell>
        </row>
        <row r="1005">
          <cell r="B1005" t="str">
            <v>0A125</v>
          </cell>
          <cell r="C1005" t="str">
            <v>UEC</v>
          </cell>
          <cell r="D1005" t="str">
            <v>N</v>
          </cell>
          <cell r="E1005" t="str">
            <v>A</v>
          </cell>
          <cell r="F1005" t="str">
            <v>12/06/1997</v>
          </cell>
        </row>
        <row r="1006">
          <cell r="B1006" t="str">
            <v>0A126</v>
          </cell>
          <cell r="C1006" t="str">
            <v>UEC</v>
          </cell>
          <cell r="D1006" t="str">
            <v>N</v>
          </cell>
          <cell r="E1006" t="str">
            <v>A</v>
          </cell>
          <cell r="F1006" t="str">
            <v>12/06/1997</v>
          </cell>
        </row>
        <row r="1007">
          <cell r="B1007" t="str">
            <v>0A127</v>
          </cell>
          <cell r="C1007" t="str">
            <v>UEC</v>
          </cell>
          <cell r="D1007" t="str">
            <v>N</v>
          </cell>
          <cell r="E1007" t="str">
            <v>A</v>
          </cell>
          <cell r="F1007" t="str">
            <v>12/07/2001</v>
          </cell>
        </row>
        <row r="1008">
          <cell r="B1008" t="str">
            <v>0A128</v>
          </cell>
          <cell r="C1008" t="str">
            <v>UEC</v>
          </cell>
          <cell r="D1008" t="str">
            <v>N</v>
          </cell>
          <cell r="E1008" t="str">
            <v>A</v>
          </cell>
          <cell r="F1008" t="str">
            <v>01/31/2002</v>
          </cell>
        </row>
        <row r="1009">
          <cell r="B1009" t="str">
            <v>0A190</v>
          </cell>
          <cell r="C1009" t="str">
            <v>UEC</v>
          </cell>
          <cell r="D1009" t="str">
            <v>N</v>
          </cell>
          <cell r="E1009" t="str">
            <v>A</v>
          </cell>
          <cell r="F1009" t="str">
            <v>06/27/2003</v>
          </cell>
        </row>
        <row r="1010">
          <cell r="B1010" t="str">
            <v>0A191</v>
          </cell>
          <cell r="C1010" t="str">
            <v>UEC</v>
          </cell>
          <cell r="D1010" t="str">
            <v>N</v>
          </cell>
          <cell r="E1010" t="str">
            <v>A</v>
          </cell>
          <cell r="F1010" t="str">
            <v>06/27/2003</v>
          </cell>
        </row>
        <row r="1011">
          <cell r="B1011" t="str">
            <v>0A192</v>
          </cell>
          <cell r="C1011" t="str">
            <v>UEC</v>
          </cell>
          <cell r="D1011" t="str">
            <v>N</v>
          </cell>
          <cell r="E1011" t="str">
            <v>A</v>
          </cell>
          <cell r="F1011" t="str">
            <v>06/27/2003</v>
          </cell>
        </row>
        <row r="1012">
          <cell r="B1012" t="str">
            <v>0A193</v>
          </cell>
          <cell r="C1012" t="str">
            <v>UEC</v>
          </cell>
          <cell r="D1012" t="str">
            <v>N</v>
          </cell>
          <cell r="E1012" t="str">
            <v>A</v>
          </cell>
          <cell r="F1012" t="str">
            <v>06/27/2003</v>
          </cell>
        </row>
        <row r="1013">
          <cell r="B1013" t="str">
            <v>0A194</v>
          </cell>
          <cell r="C1013" t="str">
            <v>UEC</v>
          </cell>
          <cell r="D1013" t="str">
            <v>N</v>
          </cell>
          <cell r="E1013" t="str">
            <v>A</v>
          </cell>
          <cell r="F1013" t="str">
            <v>06/13/2003</v>
          </cell>
        </row>
        <row r="1014">
          <cell r="B1014" t="str">
            <v>0A195</v>
          </cell>
          <cell r="C1014" t="str">
            <v>UEC</v>
          </cell>
          <cell r="D1014" t="str">
            <v>N</v>
          </cell>
          <cell r="E1014" t="str">
            <v>A</v>
          </cell>
          <cell r="F1014" t="str">
            <v>06/27/2003</v>
          </cell>
        </row>
        <row r="1015">
          <cell r="B1015" t="str">
            <v>0A197</v>
          </cell>
          <cell r="C1015" t="str">
            <v>UEC</v>
          </cell>
          <cell r="D1015" t="str">
            <v>N</v>
          </cell>
          <cell r="E1015" t="str">
            <v>A</v>
          </cell>
          <cell r="F1015" t="str">
            <v>02/13/2003</v>
          </cell>
        </row>
        <row r="1016">
          <cell r="B1016" t="str">
            <v>0A198</v>
          </cell>
          <cell r="C1016" t="str">
            <v>UEC</v>
          </cell>
          <cell r="D1016" t="str">
            <v>N</v>
          </cell>
          <cell r="E1016" t="str">
            <v>A</v>
          </cell>
          <cell r="F1016" t="str">
            <v>02/13/2003</v>
          </cell>
        </row>
        <row r="1017">
          <cell r="B1017" t="str">
            <v>0A198</v>
          </cell>
          <cell r="C1017" t="str">
            <v>UEC</v>
          </cell>
          <cell r="D1017" t="str">
            <v>N</v>
          </cell>
          <cell r="E1017" t="str">
            <v>A</v>
          </cell>
          <cell r="F1017" t="str">
            <v>02/13/2003</v>
          </cell>
        </row>
        <row r="1018">
          <cell r="B1018" t="str">
            <v>0A202</v>
          </cell>
          <cell r="C1018" t="str">
            <v>UEC</v>
          </cell>
          <cell r="D1018" t="str">
            <v>N</v>
          </cell>
          <cell r="E1018" t="str">
            <v>A</v>
          </cell>
          <cell r="F1018" t="str">
            <v>02/14/2003</v>
          </cell>
        </row>
        <row r="1019">
          <cell r="B1019" t="str">
            <v>0A203</v>
          </cell>
          <cell r="C1019" t="str">
            <v>UEC</v>
          </cell>
          <cell r="D1019" t="str">
            <v>N</v>
          </cell>
          <cell r="E1019" t="str">
            <v>A</v>
          </cell>
          <cell r="F1019" t="str">
            <v>02/03/2003</v>
          </cell>
        </row>
        <row r="1020">
          <cell r="B1020" t="str">
            <v>0A204</v>
          </cell>
          <cell r="C1020" t="str">
            <v>UEC</v>
          </cell>
          <cell r="D1020" t="str">
            <v>N</v>
          </cell>
          <cell r="E1020" t="str">
            <v>A</v>
          </cell>
          <cell r="F1020" t="str">
            <v>02/13/2003</v>
          </cell>
        </row>
        <row r="1021">
          <cell r="B1021" t="str">
            <v>0A205</v>
          </cell>
          <cell r="C1021" t="str">
            <v>UEC</v>
          </cell>
          <cell r="D1021" t="str">
            <v>N</v>
          </cell>
          <cell r="E1021" t="str">
            <v>A</v>
          </cell>
          <cell r="F1021" t="str">
            <v>02/13/2003</v>
          </cell>
        </row>
        <row r="1022">
          <cell r="B1022" t="str">
            <v>0A206</v>
          </cell>
          <cell r="C1022" t="str">
            <v>UEC</v>
          </cell>
          <cell r="D1022" t="str">
            <v>N</v>
          </cell>
          <cell r="E1022" t="str">
            <v>A</v>
          </cell>
          <cell r="F1022" t="str">
            <v>02/13/2003</v>
          </cell>
        </row>
        <row r="1023">
          <cell r="B1023" t="str">
            <v>0A207</v>
          </cell>
          <cell r="C1023" t="str">
            <v>UEC</v>
          </cell>
          <cell r="D1023" t="str">
            <v>N</v>
          </cell>
          <cell r="E1023" t="str">
            <v>A</v>
          </cell>
          <cell r="F1023" t="str">
            <v>02/13/2003</v>
          </cell>
        </row>
        <row r="1024">
          <cell r="B1024" t="str">
            <v>0A208</v>
          </cell>
          <cell r="C1024" t="str">
            <v>UEC</v>
          </cell>
          <cell r="D1024" t="str">
            <v>N</v>
          </cell>
          <cell r="E1024" t="str">
            <v>I</v>
          </cell>
          <cell r="F1024" t="str">
            <v>02/13/2003</v>
          </cell>
        </row>
        <row r="1025">
          <cell r="B1025" t="str">
            <v>0A209</v>
          </cell>
          <cell r="C1025" t="str">
            <v>UEC</v>
          </cell>
          <cell r="D1025" t="str">
            <v>N</v>
          </cell>
          <cell r="E1025" t="str">
            <v>A</v>
          </cell>
          <cell r="F1025" t="str">
            <v>02/13/2003</v>
          </cell>
        </row>
        <row r="1026">
          <cell r="B1026" t="str">
            <v>0A210</v>
          </cell>
          <cell r="C1026" t="str">
            <v>UEC</v>
          </cell>
          <cell r="D1026" t="str">
            <v>N</v>
          </cell>
          <cell r="E1026" t="str">
            <v>A</v>
          </cell>
          <cell r="F1026" t="str">
            <v>02/13/2003</v>
          </cell>
        </row>
        <row r="1027">
          <cell r="B1027" t="str">
            <v>0A211</v>
          </cell>
          <cell r="C1027" t="str">
            <v>UEC</v>
          </cell>
          <cell r="D1027" t="str">
            <v>N</v>
          </cell>
          <cell r="E1027" t="str">
            <v>A</v>
          </cell>
          <cell r="F1027" t="str">
            <v>02/13/2003</v>
          </cell>
        </row>
        <row r="1028">
          <cell r="B1028" t="str">
            <v>0A215</v>
          </cell>
          <cell r="C1028" t="str">
            <v>UEC</v>
          </cell>
          <cell r="D1028" t="str">
            <v>N</v>
          </cell>
          <cell r="E1028" t="str">
            <v>I</v>
          </cell>
          <cell r="F1028" t="str">
            <v>01/21/2004</v>
          </cell>
        </row>
        <row r="1029">
          <cell r="B1029" t="str">
            <v>0A215</v>
          </cell>
          <cell r="C1029" t="str">
            <v>UEC</v>
          </cell>
          <cell r="D1029" t="str">
            <v>N</v>
          </cell>
          <cell r="E1029" t="str">
            <v>I</v>
          </cell>
          <cell r="F1029" t="str">
            <v>01/21/2004</v>
          </cell>
        </row>
        <row r="1030">
          <cell r="B1030" t="str">
            <v>0A248</v>
          </cell>
          <cell r="C1030" t="str">
            <v>UEC</v>
          </cell>
          <cell r="D1030" t="str">
            <v>N</v>
          </cell>
          <cell r="E1030" t="str">
            <v>A</v>
          </cell>
          <cell r="F1030" t="str">
            <v>02/14/2003</v>
          </cell>
        </row>
        <row r="1031">
          <cell r="B1031" t="str">
            <v>0A290</v>
          </cell>
          <cell r="C1031" t="str">
            <v>UEC</v>
          </cell>
          <cell r="D1031" t="str">
            <v>N</v>
          </cell>
          <cell r="E1031" t="str">
            <v>A</v>
          </cell>
          <cell r="F1031" t="str">
            <v>06/27/2003</v>
          </cell>
        </row>
        <row r="1032">
          <cell r="B1032" t="str">
            <v>0A291</v>
          </cell>
          <cell r="C1032" t="str">
            <v>UEC</v>
          </cell>
          <cell r="D1032" t="str">
            <v>N</v>
          </cell>
          <cell r="E1032" t="str">
            <v>A</v>
          </cell>
          <cell r="F1032" t="str">
            <v>05/15/2003</v>
          </cell>
        </row>
        <row r="1033">
          <cell r="B1033" t="str">
            <v>0A292</v>
          </cell>
          <cell r="C1033" t="str">
            <v>UEC</v>
          </cell>
          <cell r="D1033" t="str">
            <v>N</v>
          </cell>
          <cell r="E1033" t="str">
            <v>I</v>
          </cell>
          <cell r="F1033" t="str">
            <v>06/27/2003</v>
          </cell>
        </row>
        <row r="1034">
          <cell r="B1034" t="str">
            <v>0A293</v>
          </cell>
          <cell r="C1034" t="str">
            <v>UEC</v>
          </cell>
          <cell r="D1034" t="str">
            <v>N</v>
          </cell>
          <cell r="E1034" t="str">
            <v>I</v>
          </cell>
          <cell r="F1034" t="str">
            <v>06/27/2003</v>
          </cell>
        </row>
        <row r="1035">
          <cell r="B1035" t="str">
            <v>0A294</v>
          </cell>
          <cell r="C1035" t="str">
            <v>UEC</v>
          </cell>
          <cell r="D1035" t="str">
            <v>N</v>
          </cell>
          <cell r="E1035" t="str">
            <v>A</v>
          </cell>
          <cell r="F1035" t="str">
            <v>06/16/1998</v>
          </cell>
        </row>
        <row r="1036">
          <cell r="B1036" t="str">
            <v>0A295</v>
          </cell>
          <cell r="C1036" t="str">
            <v>UEC</v>
          </cell>
          <cell r="D1036" t="str">
            <v>N</v>
          </cell>
          <cell r="E1036" t="str">
            <v>I</v>
          </cell>
          <cell r="F1036" t="str">
            <v>06/27/2003</v>
          </cell>
        </row>
        <row r="1037">
          <cell r="B1037" t="str">
            <v>0A392</v>
          </cell>
          <cell r="C1037" t="str">
            <v>UEC</v>
          </cell>
          <cell r="D1037" t="str">
            <v>N</v>
          </cell>
          <cell r="E1037" t="str">
            <v>A</v>
          </cell>
          <cell r="F1037" t="str">
            <v>05/14/2003</v>
          </cell>
        </row>
        <row r="1038">
          <cell r="B1038" t="str">
            <v>0A498</v>
          </cell>
          <cell r="C1038" t="str">
            <v>UEC</v>
          </cell>
          <cell r="D1038" t="str">
            <v>N</v>
          </cell>
          <cell r="E1038" t="str">
            <v>A</v>
          </cell>
          <cell r="F1038" t="str">
            <v>05/09/2003</v>
          </cell>
        </row>
        <row r="1039">
          <cell r="B1039" t="str">
            <v>0A499</v>
          </cell>
          <cell r="C1039" t="str">
            <v>UEC</v>
          </cell>
          <cell r="D1039" t="str">
            <v>N</v>
          </cell>
          <cell r="E1039" t="str">
            <v>A</v>
          </cell>
          <cell r="F1039" t="str">
            <v>08/27/2003</v>
          </cell>
        </row>
        <row r="1040">
          <cell r="B1040" t="str">
            <v>0A590</v>
          </cell>
          <cell r="C1040" t="str">
            <v>UEC</v>
          </cell>
          <cell r="D1040" t="str">
            <v>N</v>
          </cell>
          <cell r="E1040" t="str">
            <v>A</v>
          </cell>
          <cell r="F1040" t="str">
            <v>06/27/2003</v>
          </cell>
        </row>
        <row r="1041">
          <cell r="B1041" t="str">
            <v>0A591</v>
          </cell>
          <cell r="C1041" t="str">
            <v>UEC</v>
          </cell>
          <cell r="D1041" t="str">
            <v>N</v>
          </cell>
          <cell r="E1041" t="str">
            <v>A</v>
          </cell>
          <cell r="F1041" t="str">
            <v>06/27/2003</v>
          </cell>
        </row>
        <row r="1042">
          <cell r="B1042" t="str">
            <v>0A592</v>
          </cell>
          <cell r="C1042" t="str">
            <v>UEC</v>
          </cell>
          <cell r="D1042" t="str">
            <v>N</v>
          </cell>
          <cell r="E1042" t="str">
            <v>A</v>
          </cell>
          <cell r="F1042" t="str">
            <v>06/27/2003</v>
          </cell>
        </row>
        <row r="1043">
          <cell r="B1043" t="str">
            <v>0A593</v>
          </cell>
          <cell r="C1043" t="str">
            <v>UEC</v>
          </cell>
          <cell r="D1043" t="str">
            <v>N</v>
          </cell>
          <cell r="E1043" t="str">
            <v>A</v>
          </cell>
          <cell r="F1043" t="str">
            <v>06/27/2003</v>
          </cell>
        </row>
        <row r="1044">
          <cell r="B1044" t="str">
            <v>0A594</v>
          </cell>
          <cell r="C1044" t="str">
            <v>UEC</v>
          </cell>
          <cell r="D1044" t="str">
            <v>N</v>
          </cell>
          <cell r="E1044" t="str">
            <v>A</v>
          </cell>
          <cell r="F1044" t="str">
            <v>06/27/2003</v>
          </cell>
        </row>
        <row r="1045">
          <cell r="B1045" t="str">
            <v>0A595</v>
          </cell>
          <cell r="C1045" t="str">
            <v>UEC</v>
          </cell>
          <cell r="D1045" t="str">
            <v>N</v>
          </cell>
          <cell r="E1045" t="str">
            <v>A</v>
          </cell>
          <cell r="F1045" t="str">
            <v>06/27/2003</v>
          </cell>
        </row>
        <row r="1046">
          <cell r="B1046" t="str">
            <v>0A596</v>
          </cell>
          <cell r="C1046" t="str">
            <v>UEC</v>
          </cell>
          <cell r="D1046" t="str">
            <v>N</v>
          </cell>
          <cell r="E1046" t="str">
            <v>A</v>
          </cell>
          <cell r="F1046" t="str">
            <v>06/27/2003</v>
          </cell>
        </row>
        <row r="1047">
          <cell r="B1047" t="str">
            <v>0A597</v>
          </cell>
          <cell r="C1047" t="str">
            <v>UEC</v>
          </cell>
          <cell r="D1047" t="str">
            <v>N</v>
          </cell>
          <cell r="E1047" t="str">
            <v>A</v>
          </cell>
          <cell r="F1047" t="str">
            <v>06/27/2003</v>
          </cell>
        </row>
        <row r="1048">
          <cell r="B1048" t="str">
            <v>0A598</v>
          </cell>
          <cell r="C1048" t="str">
            <v>UEC</v>
          </cell>
          <cell r="D1048" t="str">
            <v>N</v>
          </cell>
          <cell r="E1048" t="str">
            <v>A</v>
          </cell>
          <cell r="F1048" t="str">
            <v>06/27/2003</v>
          </cell>
        </row>
        <row r="1049">
          <cell r="B1049" t="str">
            <v>0A599</v>
          </cell>
          <cell r="C1049" t="str">
            <v>UEC</v>
          </cell>
          <cell r="D1049" t="str">
            <v>N</v>
          </cell>
          <cell r="E1049" t="str">
            <v>A</v>
          </cell>
          <cell r="F1049" t="str">
            <v>06/27/2003</v>
          </cell>
        </row>
        <row r="1050">
          <cell r="B1050" t="str">
            <v>0A690</v>
          </cell>
          <cell r="C1050" t="str">
            <v>UEC</v>
          </cell>
          <cell r="D1050" t="str">
            <v>N</v>
          </cell>
          <cell r="E1050" t="str">
            <v>A</v>
          </cell>
          <cell r="F1050" t="str">
            <v>06/24/1998</v>
          </cell>
        </row>
        <row r="1051">
          <cell r="B1051" t="str">
            <v>0A691</v>
          </cell>
          <cell r="C1051" t="str">
            <v>UEC</v>
          </cell>
          <cell r="D1051" t="str">
            <v>N</v>
          </cell>
          <cell r="E1051" t="str">
            <v>A</v>
          </cell>
          <cell r="F1051" t="str">
            <v>06/27/2003</v>
          </cell>
        </row>
        <row r="1052">
          <cell r="B1052" t="str">
            <v>0A692</v>
          </cell>
          <cell r="C1052" t="str">
            <v>UEC</v>
          </cell>
          <cell r="D1052" t="str">
            <v>N</v>
          </cell>
          <cell r="E1052" t="str">
            <v>A</v>
          </cell>
          <cell r="F1052" t="str">
            <v>06/27/2003</v>
          </cell>
        </row>
        <row r="1053">
          <cell r="B1053" t="str">
            <v>0A693</v>
          </cell>
          <cell r="C1053" t="str">
            <v>UEC</v>
          </cell>
          <cell r="D1053" t="str">
            <v>N</v>
          </cell>
          <cell r="E1053" t="str">
            <v>A</v>
          </cell>
          <cell r="F1053" t="str">
            <v>06/27/2003</v>
          </cell>
        </row>
        <row r="1054">
          <cell r="B1054" t="str">
            <v>0A694</v>
          </cell>
          <cell r="C1054" t="str">
            <v>UEC</v>
          </cell>
          <cell r="D1054" t="str">
            <v>N</v>
          </cell>
          <cell r="E1054" t="str">
            <v>A</v>
          </cell>
          <cell r="F1054" t="str">
            <v>05/14/2003</v>
          </cell>
        </row>
        <row r="1055">
          <cell r="B1055" t="str">
            <v>0A695</v>
          </cell>
          <cell r="C1055" t="str">
            <v>UEC</v>
          </cell>
          <cell r="D1055" t="str">
            <v>N</v>
          </cell>
          <cell r="E1055" t="str">
            <v>A</v>
          </cell>
          <cell r="F1055" t="str">
            <v>06/13/2003</v>
          </cell>
        </row>
        <row r="1056">
          <cell r="B1056" t="str">
            <v>0A696</v>
          </cell>
          <cell r="C1056" t="str">
            <v>UEC</v>
          </cell>
          <cell r="D1056" t="str">
            <v>N</v>
          </cell>
          <cell r="E1056" t="str">
            <v>A</v>
          </cell>
          <cell r="F1056" t="str">
            <v>06/27/2003</v>
          </cell>
        </row>
        <row r="1057">
          <cell r="B1057" t="str">
            <v>0A697</v>
          </cell>
          <cell r="C1057" t="str">
            <v>UEC</v>
          </cell>
          <cell r="D1057" t="str">
            <v>N</v>
          </cell>
          <cell r="E1057" t="str">
            <v>A</v>
          </cell>
          <cell r="F1057" t="str">
            <v>06/27/2003</v>
          </cell>
        </row>
        <row r="1058">
          <cell r="B1058" t="str">
            <v>0A698</v>
          </cell>
          <cell r="C1058" t="str">
            <v>UEC</v>
          </cell>
          <cell r="D1058" t="str">
            <v>N</v>
          </cell>
          <cell r="E1058" t="str">
            <v>A</v>
          </cell>
          <cell r="F1058" t="str">
            <v>06/27/2003</v>
          </cell>
        </row>
        <row r="1059">
          <cell r="B1059" t="str">
            <v>0A699</v>
          </cell>
          <cell r="C1059" t="str">
            <v>UEC</v>
          </cell>
          <cell r="D1059" t="str">
            <v>N</v>
          </cell>
          <cell r="E1059" t="str">
            <v>A</v>
          </cell>
          <cell r="F1059" t="str">
            <v>06/27/2003</v>
          </cell>
        </row>
        <row r="1060">
          <cell r="B1060" t="str">
            <v>0A792</v>
          </cell>
          <cell r="C1060" t="str">
            <v>UEC</v>
          </cell>
          <cell r="D1060" t="str">
            <v>N</v>
          </cell>
          <cell r="E1060" t="str">
            <v>A</v>
          </cell>
          <cell r="F1060" t="str">
            <v>05/14/2003</v>
          </cell>
        </row>
        <row r="1061">
          <cell r="B1061" t="str">
            <v>0A793</v>
          </cell>
          <cell r="C1061" t="str">
            <v>UEC</v>
          </cell>
          <cell r="D1061" t="str">
            <v>N</v>
          </cell>
          <cell r="E1061" t="str">
            <v>A</v>
          </cell>
          <cell r="F1061" t="str">
            <v>06/13/2003</v>
          </cell>
        </row>
        <row r="1062">
          <cell r="B1062" t="str">
            <v>0A896</v>
          </cell>
          <cell r="C1062" t="str">
            <v>UEC</v>
          </cell>
          <cell r="D1062" t="str">
            <v>N</v>
          </cell>
          <cell r="E1062" t="str">
            <v>C</v>
          </cell>
          <cell r="F1062" t="str">
            <v>05/14/2003</v>
          </cell>
        </row>
        <row r="1063">
          <cell r="B1063" t="str">
            <v>0A990</v>
          </cell>
          <cell r="C1063" t="str">
            <v>UEC</v>
          </cell>
          <cell r="D1063" t="str">
            <v>N</v>
          </cell>
          <cell r="E1063" t="str">
            <v>A</v>
          </cell>
          <cell r="F1063" t="str">
            <v>06/24/2003</v>
          </cell>
        </row>
        <row r="1064">
          <cell r="B1064" t="str">
            <v>0A991</v>
          </cell>
          <cell r="C1064" t="str">
            <v>UEC</v>
          </cell>
          <cell r="D1064" t="str">
            <v>N</v>
          </cell>
          <cell r="E1064" t="str">
            <v>A</v>
          </cell>
          <cell r="F1064" t="str">
            <v>06/24/2003</v>
          </cell>
        </row>
        <row r="1065">
          <cell r="B1065" t="str">
            <v>0A992</v>
          </cell>
          <cell r="C1065" t="str">
            <v>UEC</v>
          </cell>
          <cell r="D1065" t="str">
            <v>N</v>
          </cell>
          <cell r="E1065" t="str">
            <v>A</v>
          </cell>
          <cell r="F1065" t="str">
            <v>06/24/2003</v>
          </cell>
        </row>
        <row r="1066">
          <cell r="B1066" t="str">
            <v>0A993</v>
          </cell>
          <cell r="C1066" t="str">
            <v>UEC</v>
          </cell>
          <cell r="D1066" t="str">
            <v>N</v>
          </cell>
          <cell r="E1066" t="str">
            <v>A</v>
          </cell>
          <cell r="F1066" t="str">
            <v>05/15/2003</v>
          </cell>
        </row>
        <row r="1067">
          <cell r="B1067" t="str">
            <v>0A994</v>
          </cell>
          <cell r="C1067" t="str">
            <v>UEC</v>
          </cell>
          <cell r="D1067" t="str">
            <v>N</v>
          </cell>
          <cell r="E1067" t="str">
            <v>A</v>
          </cell>
          <cell r="F1067" t="str">
            <v>06/13/2003</v>
          </cell>
        </row>
        <row r="1068">
          <cell r="B1068" t="str">
            <v>0A995</v>
          </cell>
          <cell r="C1068" t="str">
            <v>UEC</v>
          </cell>
          <cell r="D1068" t="str">
            <v>N</v>
          </cell>
          <cell r="E1068" t="str">
            <v>A</v>
          </cell>
          <cell r="F1068" t="str">
            <v>06/24/2003</v>
          </cell>
        </row>
        <row r="1069">
          <cell r="B1069" t="str">
            <v>0A996</v>
          </cell>
          <cell r="C1069" t="str">
            <v>UEC</v>
          </cell>
          <cell r="D1069" t="str">
            <v>N</v>
          </cell>
          <cell r="E1069" t="str">
            <v>A</v>
          </cell>
          <cell r="F1069" t="str">
            <v>06/16/1998</v>
          </cell>
        </row>
        <row r="1070">
          <cell r="B1070" t="str">
            <v>0A997</v>
          </cell>
          <cell r="C1070" t="str">
            <v>UEC</v>
          </cell>
          <cell r="D1070" t="str">
            <v>N</v>
          </cell>
          <cell r="E1070" t="str">
            <v>A</v>
          </cell>
          <cell r="F1070" t="str">
            <v>06/24/2003</v>
          </cell>
        </row>
        <row r="1071">
          <cell r="B1071" t="str">
            <v>0A998</v>
          </cell>
          <cell r="C1071" t="str">
            <v>UEC</v>
          </cell>
          <cell r="D1071" t="str">
            <v>N</v>
          </cell>
          <cell r="E1071" t="str">
            <v>A</v>
          </cell>
          <cell r="F1071" t="str">
            <v>07/06/1998</v>
          </cell>
        </row>
        <row r="1072">
          <cell r="B1072" t="str">
            <v>0A999</v>
          </cell>
          <cell r="C1072" t="str">
            <v>UEC</v>
          </cell>
          <cell r="D1072" t="str">
            <v>N</v>
          </cell>
          <cell r="E1072" t="str">
            <v>A</v>
          </cell>
          <cell r="F1072" t="str">
            <v>06/24/2003</v>
          </cell>
        </row>
        <row r="1073">
          <cell r="B1073" t="str">
            <v>0B001</v>
          </cell>
          <cell r="C1073" t="str">
            <v>UEC</v>
          </cell>
          <cell r="D1073" t="str">
            <v>N</v>
          </cell>
          <cell r="E1073" t="str">
            <v>A</v>
          </cell>
          <cell r="F1073" t="str">
            <v>02/12/1999</v>
          </cell>
        </row>
        <row r="1074">
          <cell r="B1074" t="str">
            <v>0B192</v>
          </cell>
          <cell r="C1074" t="str">
            <v>UEC</v>
          </cell>
          <cell r="D1074" t="str">
            <v>N</v>
          </cell>
          <cell r="E1074" t="str">
            <v>A</v>
          </cell>
          <cell r="F1074" t="str">
            <v>02/01/2002</v>
          </cell>
        </row>
        <row r="1075">
          <cell r="B1075" t="str">
            <v>0B292</v>
          </cell>
          <cell r="C1075" t="str">
            <v>UEC</v>
          </cell>
          <cell r="D1075" t="str">
            <v>N</v>
          </cell>
          <cell r="E1075" t="str">
            <v>A</v>
          </cell>
          <cell r="F1075" t="str">
            <v>02/01/2002</v>
          </cell>
        </row>
        <row r="1076">
          <cell r="B1076" t="str">
            <v>0B394</v>
          </cell>
          <cell r="C1076" t="str">
            <v>UEC</v>
          </cell>
          <cell r="D1076" t="str">
            <v>N</v>
          </cell>
          <cell r="E1076" t="str">
            <v>A</v>
          </cell>
          <cell r="F1076" t="str">
            <v>05/14/2003</v>
          </cell>
        </row>
        <row r="1077">
          <cell r="B1077" t="str">
            <v>0B395</v>
          </cell>
          <cell r="C1077" t="str">
            <v>UEC</v>
          </cell>
          <cell r="D1077" t="str">
            <v>N</v>
          </cell>
          <cell r="E1077" t="str">
            <v>A</v>
          </cell>
          <cell r="F1077" t="str">
            <v>06/13/2003</v>
          </cell>
        </row>
        <row r="1078">
          <cell r="B1078" t="str">
            <v>0B590</v>
          </cell>
          <cell r="C1078" t="str">
            <v>UEC</v>
          </cell>
          <cell r="D1078" t="str">
            <v>N</v>
          </cell>
          <cell r="E1078" t="str">
            <v>C</v>
          </cell>
          <cell r="F1078" t="str">
            <v>05/14/2003</v>
          </cell>
        </row>
        <row r="1079">
          <cell r="B1079" t="str">
            <v>0B592</v>
          </cell>
          <cell r="C1079" t="str">
            <v>UEC</v>
          </cell>
          <cell r="D1079" t="str">
            <v>N</v>
          </cell>
          <cell r="E1079" t="str">
            <v>A</v>
          </cell>
          <cell r="F1079" t="str">
            <v>12/19/2000</v>
          </cell>
        </row>
        <row r="1080">
          <cell r="B1080" t="str">
            <v>0K005</v>
          </cell>
          <cell r="C1080" t="str">
            <v>ERC</v>
          </cell>
          <cell r="D1080" t="str">
            <v>N</v>
          </cell>
          <cell r="E1080" t="str">
            <v>A</v>
          </cell>
          <cell r="F1080" t="str">
            <v>08/11/2000</v>
          </cell>
        </row>
        <row r="1081">
          <cell r="B1081" t="str">
            <v>0K009</v>
          </cell>
          <cell r="C1081" t="str">
            <v>UEC</v>
          </cell>
          <cell r="D1081" t="str">
            <v>N</v>
          </cell>
          <cell r="E1081" t="str">
            <v>A</v>
          </cell>
          <cell r="F1081" t="str">
            <v>08/18/2000</v>
          </cell>
        </row>
        <row r="1082">
          <cell r="B1082" t="str">
            <v>0K011</v>
          </cell>
          <cell r="C1082" t="str">
            <v>001D</v>
          </cell>
          <cell r="D1082" t="str">
            <v>Y</v>
          </cell>
          <cell r="E1082" t="str">
            <v>I</v>
          </cell>
          <cell r="F1082" t="str">
            <v>06/12/1998</v>
          </cell>
        </row>
        <row r="1083">
          <cell r="B1083" t="str">
            <v>0K012</v>
          </cell>
          <cell r="C1083" t="str">
            <v>001D</v>
          </cell>
          <cell r="D1083" t="str">
            <v>Y</v>
          </cell>
          <cell r="E1083" t="str">
            <v>I</v>
          </cell>
          <cell r="F1083" t="str">
            <v>08/09/1999</v>
          </cell>
        </row>
        <row r="1084">
          <cell r="B1084" t="str">
            <v>0K026</v>
          </cell>
          <cell r="C1084" t="str">
            <v>ERC</v>
          </cell>
          <cell r="D1084" t="str">
            <v>N</v>
          </cell>
          <cell r="E1084" t="str">
            <v>A</v>
          </cell>
          <cell r="F1084" t="str">
            <v>11/18/1999</v>
          </cell>
        </row>
        <row r="1085">
          <cell r="B1085" t="str">
            <v>0K028</v>
          </cell>
          <cell r="C1085" t="str">
            <v>UEC</v>
          </cell>
          <cell r="D1085" t="str">
            <v>N</v>
          </cell>
          <cell r="E1085" t="str">
            <v>A</v>
          </cell>
          <cell r="F1085" t="str">
            <v>01/06/1998</v>
          </cell>
        </row>
        <row r="1086">
          <cell r="B1086" t="str">
            <v>0K054</v>
          </cell>
          <cell r="C1086" t="str">
            <v>004F</v>
          </cell>
          <cell r="D1086" t="str">
            <v>N</v>
          </cell>
          <cell r="E1086" t="str">
            <v>A</v>
          </cell>
          <cell r="F1086" t="str">
            <v>07/01/1998</v>
          </cell>
        </row>
        <row r="1087">
          <cell r="B1087" t="str">
            <v>0K055</v>
          </cell>
          <cell r="C1087" t="str">
            <v>ERC</v>
          </cell>
          <cell r="D1087" t="str">
            <v>N</v>
          </cell>
          <cell r="E1087" t="str">
            <v>A</v>
          </cell>
          <cell r="F1087" t="str">
            <v>07/13/1998</v>
          </cell>
        </row>
        <row r="1088">
          <cell r="B1088" t="str">
            <v>0K056</v>
          </cell>
          <cell r="C1088" t="str">
            <v>AEC</v>
          </cell>
          <cell r="D1088" t="str">
            <v>N</v>
          </cell>
          <cell r="E1088" t="str">
            <v>A</v>
          </cell>
          <cell r="F1088" t="str">
            <v>07/17/1998</v>
          </cell>
        </row>
        <row r="1089">
          <cell r="B1089" t="str">
            <v>0K060</v>
          </cell>
          <cell r="C1089" t="str">
            <v>ERC</v>
          </cell>
          <cell r="D1089" t="str">
            <v>N</v>
          </cell>
          <cell r="E1089" t="str">
            <v>I</v>
          </cell>
          <cell r="F1089" t="str">
            <v>08/04/1998</v>
          </cell>
        </row>
        <row r="1090">
          <cell r="B1090" t="str">
            <v>0K063</v>
          </cell>
          <cell r="C1090" t="str">
            <v>ERC</v>
          </cell>
          <cell r="D1090" t="str">
            <v>N</v>
          </cell>
          <cell r="E1090" t="str">
            <v>A</v>
          </cell>
          <cell r="F1090" t="str">
            <v>10/05/1998</v>
          </cell>
        </row>
        <row r="1091">
          <cell r="B1091" t="str">
            <v>0K086</v>
          </cell>
          <cell r="C1091" t="str">
            <v>UEC</v>
          </cell>
          <cell r="D1091" t="str">
            <v>N</v>
          </cell>
          <cell r="E1091" t="str">
            <v>A</v>
          </cell>
          <cell r="F1091" t="str">
            <v>06/05/2000</v>
          </cell>
        </row>
        <row r="1092">
          <cell r="B1092" t="str">
            <v>0K091</v>
          </cell>
          <cell r="C1092" t="str">
            <v>UEC</v>
          </cell>
          <cell r="D1092" t="str">
            <v>N</v>
          </cell>
          <cell r="E1092" t="str">
            <v>A</v>
          </cell>
          <cell r="F1092" t="str">
            <v>08/31/2000</v>
          </cell>
        </row>
        <row r="1093">
          <cell r="B1093" t="str">
            <v>0K092</v>
          </cell>
          <cell r="C1093" t="str">
            <v>CIP</v>
          </cell>
          <cell r="D1093" t="str">
            <v>N</v>
          </cell>
          <cell r="E1093" t="str">
            <v>A</v>
          </cell>
          <cell r="F1093" t="str">
            <v>09/08/2000</v>
          </cell>
        </row>
        <row r="1094">
          <cell r="B1094" t="str">
            <v>0K115</v>
          </cell>
          <cell r="C1094" t="str">
            <v>AEC</v>
          </cell>
          <cell r="D1094" t="str">
            <v>N</v>
          </cell>
          <cell r="E1094" t="str">
            <v>I</v>
          </cell>
          <cell r="F1094" t="str">
            <v>09/15/2000</v>
          </cell>
        </row>
        <row r="1095">
          <cell r="B1095" t="str">
            <v>0K116</v>
          </cell>
          <cell r="C1095" t="str">
            <v>CIP</v>
          </cell>
          <cell r="D1095" t="str">
            <v>N</v>
          </cell>
          <cell r="E1095" t="str">
            <v>A</v>
          </cell>
          <cell r="F1095" t="str">
            <v>07/01/2002</v>
          </cell>
        </row>
        <row r="1096">
          <cell r="B1096" t="str">
            <v>0K151</v>
          </cell>
          <cell r="C1096" t="str">
            <v>ERC</v>
          </cell>
          <cell r="D1096" t="str">
            <v>N</v>
          </cell>
          <cell r="E1096" t="str">
            <v>A</v>
          </cell>
          <cell r="F1096" t="str">
            <v>12/13/2000</v>
          </cell>
        </row>
        <row r="1097">
          <cell r="B1097" t="str">
            <v>0K152</v>
          </cell>
          <cell r="C1097" t="str">
            <v>AEC</v>
          </cell>
          <cell r="D1097" t="str">
            <v>N</v>
          </cell>
          <cell r="E1097" t="str">
            <v>A</v>
          </cell>
          <cell r="F1097" t="str">
            <v>12/13/2000</v>
          </cell>
        </row>
        <row r="1098">
          <cell r="B1098" t="str">
            <v>0K185</v>
          </cell>
          <cell r="C1098" t="str">
            <v>ERC</v>
          </cell>
          <cell r="D1098" t="str">
            <v>N</v>
          </cell>
          <cell r="E1098" t="str">
            <v>A</v>
          </cell>
          <cell r="F1098" t="str">
            <v>05/03/2001</v>
          </cell>
        </row>
        <row r="1099">
          <cell r="B1099" t="str">
            <v>0K186</v>
          </cell>
          <cell r="C1099" t="str">
            <v>AEC</v>
          </cell>
          <cell r="D1099" t="str">
            <v>N</v>
          </cell>
          <cell r="E1099" t="str">
            <v>A</v>
          </cell>
          <cell r="F1099" t="str">
            <v>05/11/2001</v>
          </cell>
        </row>
        <row r="1100">
          <cell r="B1100" t="str">
            <v>0K188</v>
          </cell>
          <cell r="C1100" t="str">
            <v>CIP</v>
          </cell>
          <cell r="D1100" t="str">
            <v>N</v>
          </cell>
          <cell r="E1100" t="str">
            <v>A</v>
          </cell>
          <cell r="F1100" t="str">
            <v>07/31/2001</v>
          </cell>
        </row>
        <row r="1101">
          <cell r="B1101" t="str">
            <v>0K189</v>
          </cell>
          <cell r="C1101" t="str">
            <v>ERC</v>
          </cell>
          <cell r="D1101" t="str">
            <v>N</v>
          </cell>
          <cell r="E1101" t="str">
            <v>C</v>
          </cell>
          <cell r="F1101" t="str">
            <v>06/19/2001</v>
          </cell>
        </row>
        <row r="1102">
          <cell r="B1102" t="str">
            <v>0K190</v>
          </cell>
          <cell r="C1102" t="str">
            <v>AEC</v>
          </cell>
          <cell r="D1102" t="str">
            <v>N</v>
          </cell>
          <cell r="E1102" t="str">
            <v>A</v>
          </cell>
          <cell r="F1102" t="str">
            <v>07/12/2001</v>
          </cell>
        </row>
        <row r="1103">
          <cell r="B1103" t="str">
            <v>0K191</v>
          </cell>
          <cell r="C1103" t="str">
            <v>UEC</v>
          </cell>
          <cell r="D1103" t="str">
            <v>N</v>
          </cell>
          <cell r="E1103" t="str">
            <v>C</v>
          </cell>
          <cell r="F1103" t="str">
            <v>07/12/2001</v>
          </cell>
        </row>
        <row r="1104">
          <cell r="B1104" t="str">
            <v>0K201</v>
          </cell>
          <cell r="C1104" t="str">
            <v>AFS</v>
          </cell>
          <cell r="D1104" t="str">
            <v>N</v>
          </cell>
          <cell r="E1104" t="str">
            <v>A</v>
          </cell>
          <cell r="F1104" t="str">
            <v>12/14/2001</v>
          </cell>
        </row>
        <row r="1105">
          <cell r="B1105" t="str">
            <v>0K202</v>
          </cell>
          <cell r="C1105" t="str">
            <v>UEC</v>
          </cell>
          <cell r="D1105" t="str">
            <v>N</v>
          </cell>
          <cell r="E1105" t="str">
            <v>A</v>
          </cell>
          <cell r="F1105" t="str">
            <v>01/15/2002</v>
          </cell>
        </row>
        <row r="1106">
          <cell r="B1106" t="str">
            <v>0K204</v>
          </cell>
          <cell r="C1106" t="str">
            <v>ERC</v>
          </cell>
          <cell r="D1106" t="str">
            <v>N</v>
          </cell>
          <cell r="E1106" t="str">
            <v>A</v>
          </cell>
          <cell r="F1106" t="str">
            <v>03/25/2002</v>
          </cell>
        </row>
        <row r="1107">
          <cell r="B1107" t="str">
            <v>0K207</v>
          </cell>
          <cell r="C1107" t="str">
            <v>ERC</v>
          </cell>
          <cell r="D1107" t="str">
            <v>N</v>
          </cell>
          <cell r="E1107" t="str">
            <v>A</v>
          </cell>
          <cell r="F1107" t="str">
            <v>06/27/2002</v>
          </cell>
        </row>
        <row r="1108">
          <cell r="B1108" t="str">
            <v>0K213</v>
          </cell>
          <cell r="C1108" t="str">
            <v>CIP</v>
          </cell>
          <cell r="D1108" t="str">
            <v>N</v>
          </cell>
          <cell r="E1108" t="str">
            <v>A</v>
          </cell>
          <cell r="F1108" t="str">
            <v>08/23/2002</v>
          </cell>
        </row>
        <row r="1109">
          <cell r="B1109" t="str">
            <v>0K214</v>
          </cell>
          <cell r="C1109" t="str">
            <v>UEC</v>
          </cell>
          <cell r="D1109" t="str">
            <v>N</v>
          </cell>
          <cell r="E1109" t="str">
            <v>A</v>
          </cell>
          <cell r="F1109" t="str">
            <v>08/30/2002</v>
          </cell>
        </row>
        <row r="1110">
          <cell r="B1110" t="str">
            <v>0K215</v>
          </cell>
          <cell r="C1110" t="str">
            <v>AFS</v>
          </cell>
          <cell r="D1110" t="str">
            <v>N</v>
          </cell>
          <cell r="E1110" t="str">
            <v>A</v>
          </cell>
          <cell r="F1110" t="str">
            <v>08/29/2002</v>
          </cell>
        </row>
        <row r="1111">
          <cell r="B1111" t="str">
            <v>0K216</v>
          </cell>
          <cell r="C1111" t="str">
            <v>AFS</v>
          </cell>
          <cell r="D1111" t="str">
            <v>N</v>
          </cell>
          <cell r="E1111" t="str">
            <v>A</v>
          </cell>
          <cell r="F1111" t="str">
            <v>09/13/2002</v>
          </cell>
        </row>
        <row r="1112">
          <cell r="B1112" t="str">
            <v>0K225</v>
          </cell>
          <cell r="C1112" t="str">
            <v>AFS</v>
          </cell>
          <cell r="D1112" t="str">
            <v>N</v>
          </cell>
          <cell r="E1112" t="str">
            <v>I</v>
          </cell>
          <cell r="F1112" t="str">
            <v>04/10/2003</v>
          </cell>
        </row>
        <row r="1113">
          <cell r="B1113" t="str">
            <v>0K236</v>
          </cell>
          <cell r="C1113" t="str">
            <v>UEC</v>
          </cell>
          <cell r="D1113" t="str">
            <v>N</v>
          </cell>
          <cell r="E1113" t="str">
            <v>A</v>
          </cell>
          <cell r="F1113" t="str">
            <v>05/13/2003</v>
          </cell>
        </row>
        <row r="1114">
          <cell r="B1114" t="str">
            <v>0K237</v>
          </cell>
          <cell r="C1114" t="str">
            <v>CIL</v>
          </cell>
          <cell r="D1114" t="str">
            <v>N</v>
          </cell>
          <cell r="E1114" t="str">
            <v>A</v>
          </cell>
          <cell r="F1114" t="str">
            <v>09/09/2003</v>
          </cell>
        </row>
        <row r="1115">
          <cell r="B1115" t="str">
            <v>0K238</v>
          </cell>
          <cell r="C1115" t="str">
            <v>ARG</v>
          </cell>
          <cell r="D1115" t="str">
            <v>N</v>
          </cell>
          <cell r="E1115" t="str">
            <v>A</v>
          </cell>
          <cell r="F1115" t="str">
            <v>09/09/2003</v>
          </cell>
        </row>
        <row r="1116">
          <cell r="B1116" t="str">
            <v>0K239</v>
          </cell>
          <cell r="C1116" t="str">
            <v>CIL</v>
          </cell>
          <cell r="D1116" t="str">
            <v>N</v>
          </cell>
          <cell r="E1116" t="str">
            <v>A</v>
          </cell>
          <cell r="F1116" t="str">
            <v>09/11/2003</v>
          </cell>
        </row>
        <row r="1117">
          <cell r="B1117" t="str">
            <v>0K240</v>
          </cell>
          <cell r="C1117" t="str">
            <v>CIL</v>
          </cell>
          <cell r="D1117" t="str">
            <v>N</v>
          </cell>
          <cell r="E1117" t="str">
            <v>A</v>
          </cell>
          <cell r="F1117" t="str">
            <v>09/11/2003</v>
          </cell>
        </row>
        <row r="1118">
          <cell r="B1118" t="str">
            <v>0K243</v>
          </cell>
          <cell r="C1118" t="str">
            <v>ERC</v>
          </cell>
          <cell r="D1118" t="str">
            <v>N</v>
          </cell>
          <cell r="E1118" t="str">
            <v>A</v>
          </cell>
          <cell r="F1118" t="str">
            <v>07/29/2003</v>
          </cell>
        </row>
        <row r="1119">
          <cell r="B1119" t="str">
            <v>0K299</v>
          </cell>
          <cell r="C1119" t="str">
            <v>CIL</v>
          </cell>
          <cell r="D1119" t="str">
            <v>N</v>
          </cell>
          <cell r="E1119" t="str">
            <v>I</v>
          </cell>
          <cell r="F1119" t="str">
            <v>09/04/2003</v>
          </cell>
        </row>
        <row r="1120">
          <cell r="B1120" t="str">
            <v>0K300</v>
          </cell>
          <cell r="C1120" t="str">
            <v>UEC</v>
          </cell>
          <cell r="D1120" t="str">
            <v>N</v>
          </cell>
          <cell r="E1120" t="str">
            <v>A</v>
          </cell>
          <cell r="F1120" t="str">
            <v>09/11/2003</v>
          </cell>
        </row>
        <row r="1121">
          <cell r="B1121" t="str">
            <v>0K301</v>
          </cell>
          <cell r="C1121" t="str">
            <v>UEC</v>
          </cell>
          <cell r="D1121" t="str">
            <v>N</v>
          </cell>
          <cell r="E1121" t="str">
            <v>A</v>
          </cell>
          <cell r="F1121" t="str">
            <v>09/11/2003</v>
          </cell>
        </row>
        <row r="1122">
          <cell r="B1122" t="str">
            <v>0K302</v>
          </cell>
          <cell r="C1122" t="str">
            <v>UEC</v>
          </cell>
          <cell r="D1122" t="str">
            <v>N</v>
          </cell>
          <cell r="E1122" t="str">
            <v>A</v>
          </cell>
          <cell r="F1122" t="str">
            <v>09/11/2003</v>
          </cell>
        </row>
        <row r="1123">
          <cell r="B1123" t="str">
            <v>0K303</v>
          </cell>
          <cell r="C1123" t="str">
            <v>UEC</v>
          </cell>
          <cell r="D1123" t="str">
            <v>N</v>
          </cell>
          <cell r="E1123" t="str">
            <v>A</v>
          </cell>
          <cell r="F1123" t="str">
            <v>09/11/2003</v>
          </cell>
        </row>
        <row r="1124">
          <cell r="B1124" t="str">
            <v>0K306</v>
          </cell>
          <cell r="C1124" t="str">
            <v>CIL</v>
          </cell>
          <cell r="D1124" t="str">
            <v>N</v>
          </cell>
          <cell r="E1124" t="str">
            <v>A</v>
          </cell>
          <cell r="F1124" t="str">
            <v>10/10/2003</v>
          </cell>
        </row>
        <row r="1125">
          <cell r="B1125" t="str">
            <v>0K307</v>
          </cell>
          <cell r="C1125" t="str">
            <v>CIL</v>
          </cell>
          <cell r="D1125" t="str">
            <v>N</v>
          </cell>
          <cell r="E1125" t="str">
            <v>A</v>
          </cell>
          <cell r="F1125" t="str">
            <v>10/22/2003</v>
          </cell>
        </row>
        <row r="1126">
          <cell r="B1126" t="str">
            <v>0K308</v>
          </cell>
          <cell r="C1126" t="str">
            <v>CIL</v>
          </cell>
          <cell r="D1126" t="str">
            <v>N</v>
          </cell>
          <cell r="E1126" t="str">
            <v>A</v>
          </cell>
          <cell r="F1126" t="str">
            <v>10/22/2003</v>
          </cell>
        </row>
        <row r="1127">
          <cell r="B1127" t="str">
            <v>0K309</v>
          </cell>
          <cell r="C1127" t="str">
            <v>ERC</v>
          </cell>
          <cell r="D1127" t="str">
            <v>N</v>
          </cell>
          <cell r="E1127" t="str">
            <v>A</v>
          </cell>
          <cell r="F1127" t="str">
            <v>12/02/2003</v>
          </cell>
        </row>
        <row r="1128">
          <cell r="B1128" t="str">
            <v>0K311</v>
          </cell>
          <cell r="C1128" t="str">
            <v>UEC</v>
          </cell>
          <cell r="D1128" t="str">
            <v>N</v>
          </cell>
          <cell r="E1128" t="str">
            <v>A</v>
          </cell>
          <cell r="F1128" t="str">
            <v>01/15/2004</v>
          </cell>
        </row>
        <row r="1129">
          <cell r="B1129" t="str">
            <v>0K857</v>
          </cell>
          <cell r="C1129" t="str">
            <v>UEC</v>
          </cell>
          <cell r="D1129" t="str">
            <v>N</v>
          </cell>
          <cell r="E1129" t="str">
            <v>A</v>
          </cell>
          <cell r="F1129" t="str">
            <v>06/28/1999</v>
          </cell>
        </row>
        <row r="1130">
          <cell r="B1130" t="str">
            <v>0K858</v>
          </cell>
          <cell r="C1130" t="str">
            <v>CIP</v>
          </cell>
          <cell r="D1130" t="str">
            <v>N</v>
          </cell>
          <cell r="E1130" t="str">
            <v>A</v>
          </cell>
          <cell r="F1130" t="str">
            <v>06/28/1999</v>
          </cell>
        </row>
        <row r="1131">
          <cell r="B1131" t="str">
            <v>0K930</v>
          </cell>
          <cell r="C1131" t="str">
            <v>UEC</v>
          </cell>
          <cell r="D1131" t="str">
            <v>N</v>
          </cell>
          <cell r="E1131" t="str">
            <v>A</v>
          </cell>
          <cell r="F1131" t="str">
            <v>06/19/1998</v>
          </cell>
        </row>
        <row r="1132">
          <cell r="B1132" t="str">
            <v>0K931</v>
          </cell>
          <cell r="C1132" t="str">
            <v>UEC</v>
          </cell>
          <cell r="D1132" t="str">
            <v>N</v>
          </cell>
          <cell r="E1132" t="str">
            <v>A</v>
          </cell>
          <cell r="F1132" t="str">
            <v>09/02/1998</v>
          </cell>
        </row>
        <row r="1133">
          <cell r="B1133" t="str">
            <v>0K932</v>
          </cell>
          <cell r="C1133" t="str">
            <v>CIP</v>
          </cell>
          <cell r="D1133" t="str">
            <v>N</v>
          </cell>
          <cell r="E1133" t="str">
            <v>A</v>
          </cell>
          <cell r="F1133" t="str">
            <v>10/14/1998</v>
          </cell>
        </row>
        <row r="1134">
          <cell r="B1134" t="str">
            <v>0K934</v>
          </cell>
          <cell r="C1134" t="str">
            <v>GEN</v>
          </cell>
          <cell r="D1134" t="str">
            <v>N</v>
          </cell>
          <cell r="E1134" t="str">
            <v>A</v>
          </cell>
          <cell r="F1134" t="str">
            <v>10/26/1998</v>
          </cell>
        </row>
        <row r="1135">
          <cell r="B1135" t="str">
            <v>0K936</v>
          </cell>
          <cell r="C1135" t="str">
            <v>UEC</v>
          </cell>
          <cell r="D1135" t="str">
            <v>N</v>
          </cell>
          <cell r="E1135" t="str">
            <v>A</v>
          </cell>
          <cell r="F1135" t="str">
            <v>03/02/1999</v>
          </cell>
        </row>
        <row r="1136">
          <cell r="B1136" t="str">
            <v>0K937</v>
          </cell>
          <cell r="C1136" t="str">
            <v>CIP</v>
          </cell>
          <cell r="D1136" t="str">
            <v>N</v>
          </cell>
          <cell r="E1136" t="str">
            <v>A</v>
          </cell>
          <cell r="F1136" t="str">
            <v>06/18/1999</v>
          </cell>
        </row>
        <row r="1137">
          <cell r="B1137" t="str">
            <v>0K938</v>
          </cell>
          <cell r="C1137" t="str">
            <v>CIP</v>
          </cell>
          <cell r="D1137" t="str">
            <v>N</v>
          </cell>
          <cell r="E1137" t="str">
            <v>C</v>
          </cell>
          <cell r="F1137" t="str">
            <v>06/24/1999</v>
          </cell>
        </row>
        <row r="1138">
          <cell r="B1138" t="str">
            <v>0M234</v>
          </cell>
          <cell r="C1138" t="str">
            <v>UEC</v>
          </cell>
          <cell r="D1138" t="str">
            <v>N</v>
          </cell>
          <cell r="E1138" t="str">
            <v>A</v>
          </cell>
          <cell r="F1138" t="str">
            <v>02/01/2001</v>
          </cell>
        </row>
        <row r="1139">
          <cell r="B1139" t="str">
            <v>0P008</v>
          </cell>
          <cell r="C1139" t="str">
            <v>UEC</v>
          </cell>
          <cell r="D1139" t="str">
            <v>N</v>
          </cell>
          <cell r="E1139" t="str">
            <v>A</v>
          </cell>
          <cell r="F1139" t="str">
            <v>01/07/2000</v>
          </cell>
        </row>
        <row r="1140">
          <cell r="B1140" t="str">
            <v>0P038</v>
          </cell>
          <cell r="C1140" t="str">
            <v>UEC</v>
          </cell>
          <cell r="D1140" t="str">
            <v>N</v>
          </cell>
          <cell r="E1140" t="str">
            <v>A</v>
          </cell>
          <cell r="F1140" t="str">
            <v>01/12/1998</v>
          </cell>
        </row>
        <row r="1141">
          <cell r="B1141" t="str">
            <v>0P077</v>
          </cell>
          <cell r="C1141" t="str">
            <v>UEC</v>
          </cell>
          <cell r="D1141" t="str">
            <v>N</v>
          </cell>
          <cell r="E1141" t="str">
            <v>A</v>
          </cell>
          <cell r="F1141" t="str">
            <v>12/13/2000</v>
          </cell>
        </row>
        <row r="1142">
          <cell r="B1142" t="str">
            <v>0P094</v>
          </cell>
          <cell r="C1142" t="str">
            <v>UEC</v>
          </cell>
          <cell r="D1142" t="str">
            <v>N</v>
          </cell>
          <cell r="E1142" t="str">
            <v>A</v>
          </cell>
          <cell r="F1142" t="str">
            <v>10/02/2000</v>
          </cell>
        </row>
        <row r="1143">
          <cell r="B1143" t="str">
            <v>0P095</v>
          </cell>
          <cell r="C1143" t="str">
            <v>UEC</v>
          </cell>
          <cell r="D1143" t="str">
            <v>N</v>
          </cell>
          <cell r="E1143" t="str">
            <v>A</v>
          </cell>
          <cell r="F1143" t="str">
            <v>12/06/1999</v>
          </cell>
        </row>
        <row r="1144">
          <cell r="B1144" t="str">
            <v>0P135</v>
          </cell>
          <cell r="C1144" t="str">
            <v>UEC</v>
          </cell>
          <cell r="D1144" t="str">
            <v>N</v>
          </cell>
          <cell r="E1144" t="str">
            <v>A</v>
          </cell>
          <cell r="F1144" t="str">
            <v>09/23/1999</v>
          </cell>
        </row>
        <row r="1145">
          <cell r="B1145" t="str">
            <v>0P142</v>
          </cell>
          <cell r="C1145" t="str">
            <v>UEC</v>
          </cell>
          <cell r="D1145" t="str">
            <v>N</v>
          </cell>
          <cell r="E1145" t="str">
            <v>A</v>
          </cell>
          <cell r="F1145" t="str">
            <v>01/12/1998</v>
          </cell>
        </row>
        <row r="1146">
          <cell r="B1146" t="str">
            <v>0P151</v>
          </cell>
          <cell r="C1146" t="str">
            <v>UEC</v>
          </cell>
          <cell r="D1146" t="str">
            <v>Y</v>
          </cell>
          <cell r="E1146" t="str">
            <v>C</v>
          </cell>
          <cell r="F1146" t="str">
            <v>02/05/2002</v>
          </cell>
        </row>
        <row r="1147">
          <cell r="B1147" t="str">
            <v>0P175</v>
          </cell>
          <cell r="C1147" t="str">
            <v>UEC</v>
          </cell>
          <cell r="D1147" t="str">
            <v>N</v>
          </cell>
          <cell r="E1147" t="str">
            <v>A</v>
          </cell>
          <cell r="F1147" t="str">
            <v>01/12/1998</v>
          </cell>
        </row>
        <row r="1148">
          <cell r="B1148" t="str">
            <v>0P194</v>
          </cell>
          <cell r="C1148" t="str">
            <v>UEC</v>
          </cell>
          <cell r="D1148" t="str">
            <v>N</v>
          </cell>
          <cell r="E1148" t="str">
            <v>A</v>
          </cell>
          <cell r="F1148" t="str">
            <v>01/27/2000</v>
          </cell>
        </row>
        <row r="1149">
          <cell r="B1149" t="str">
            <v>0P237</v>
          </cell>
          <cell r="C1149" t="str">
            <v>UEC</v>
          </cell>
          <cell r="D1149" t="str">
            <v>N</v>
          </cell>
          <cell r="E1149" t="str">
            <v>A</v>
          </cell>
          <cell r="F1149" t="str">
            <v>11/17/1997</v>
          </cell>
        </row>
        <row r="1150">
          <cell r="B1150" t="str">
            <v>0P238</v>
          </cell>
          <cell r="C1150" t="str">
            <v>UEC</v>
          </cell>
          <cell r="D1150" t="str">
            <v>N</v>
          </cell>
          <cell r="E1150" t="str">
            <v>A</v>
          </cell>
          <cell r="F1150" t="str">
            <v>05/02/2000</v>
          </cell>
        </row>
        <row r="1151">
          <cell r="B1151" t="str">
            <v>0P267</v>
          </cell>
          <cell r="C1151" t="str">
            <v>UEC</v>
          </cell>
          <cell r="D1151" t="str">
            <v>N</v>
          </cell>
          <cell r="E1151" t="str">
            <v>A</v>
          </cell>
          <cell r="F1151" t="str">
            <v>01/12/1998</v>
          </cell>
        </row>
        <row r="1152">
          <cell r="B1152" t="str">
            <v>0P269</v>
          </cell>
          <cell r="C1152" t="str">
            <v>UEC</v>
          </cell>
          <cell r="D1152" t="str">
            <v>N</v>
          </cell>
          <cell r="E1152" t="str">
            <v>A</v>
          </cell>
          <cell r="F1152" t="str">
            <v>01/12/1998</v>
          </cell>
        </row>
        <row r="1153">
          <cell r="B1153" t="str">
            <v>0P272</v>
          </cell>
          <cell r="C1153" t="str">
            <v>UEC</v>
          </cell>
          <cell r="D1153" t="str">
            <v>N</v>
          </cell>
          <cell r="E1153" t="str">
            <v>A</v>
          </cell>
          <cell r="F1153" t="str">
            <v>01/12/1998</v>
          </cell>
        </row>
        <row r="1154">
          <cell r="B1154" t="str">
            <v>0P274</v>
          </cell>
          <cell r="C1154" t="str">
            <v>UEC</v>
          </cell>
          <cell r="D1154" t="str">
            <v>N</v>
          </cell>
          <cell r="E1154" t="str">
            <v>A</v>
          </cell>
          <cell r="F1154" t="str">
            <v>01/12/1998</v>
          </cell>
        </row>
        <row r="1155">
          <cell r="B1155" t="str">
            <v>0P287</v>
          </cell>
          <cell r="C1155" t="str">
            <v>UEC</v>
          </cell>
          <cell r="D1155" t="str">
            <v>N</v>
          </cell>
          <cell r="E1155" t="str">
            <v>A</v>
          </cell>
          <cell r="F1155" t="str">
            <v>01/12/1998</v>
          </cell>
        </row>
        <row r="1156">
          <cell r="B1156" t="str">
            <v>0P295</v>
          </cell>
          <cell r="C1156" t="str">
            <v>UEC</v>
          </cell>
          <cell r="D1156" t="str">
            <v>N</v>
          </cell>
          <cell r="E1156" t="str">
            <v>A</v>
          </cell>
          <cell r="F1156" t="str">
            <v>05/12/2003</v>
          </cell>
        </row>
        <row r="1157">
          <cell r="B1157" t="str">
            <v>0P300</v>
          </cell>
          <cell r="C1157" t="str">
            <v>UEC</v>
          </cell>
          <cell r="D1157" t="str">
            <v>N</v>
          </cell>
          <cell r="E1157" t="str">
            <v>A</v>
          </cell>
          <cell r="F1157" t="str">
            <v>01/14/1998</v>
          </cell>
        </row>
        <row r="1158">
          <cell r="B1158" t="str">
            <v>0P309</v>
          </cell>
          <cell r="C1158" t="str">
            <v>UEC</v>
          </cell>
          <cell r="D1158" t="str">
            <v>N</v>
          </cell>
          <cell r="E1158" t="str">
            <v>A</v>
          </cell>
          <cell r="F1158" t="str">
            <v>11/17/1997</v>
          </cell>
        </row>
        <row r="1159">
          <cell r="B1159" t="str">
            <v>0P410</v>
          </cell>
          <cell r="C1159" t="str">
            <v>UEC</v>
          </cell>
          <cell r="D1159" t="str">
            <v>N</v>
          </cell>
          <cell r="E1159" t="str">
            <v>A</v>
          </cell>
          <cell r="F1159" t="str">
            <v>07/30/2002</v>
          </cell>
        </row>
        <row r="1160">
          <cell r="B1160" t="str">
            <v>0P415</v>
          </cell>
          <cell r="C1160" t="str">
            <v>UEC</v>
          </cell>
          <cell r="D1160" t="str">
            <v>N</v>
          </cell>
          <cell r="E1160" t="str">
            <v>A</v>
          </cell>
          <cell r="F1160" t="str">
            <v>02/22/2001</v>
          </cell>
        </row>
        <row r="1161">
          <cell r="B1161" t="str">
            <v>0P432</v>
          </cell>
          <cell r="C1161" t="str">
            <v>UEC</v>
          </cell>
          <cell r="D1161" t="str">
            <v>N</v>
          </cell>
          <cell r="E1161" t="str">
            <v>A</v>
          </cell>
          <cell r="F1161" t="str">
            <v>01/12/1998</v>
          </cell>
        </row>
        <row r="1162">
          <cell r="B1162" t="str">
            <v>0P435</v>
          </cell>
          <cell r="C1162" t="str">
            <v>UEC</v>
          </cell>
          <cell r="D1162" t="str">
            <v>N</v>
          </cell>
          <cell r="E1162" t="str">
            <v>A</v>
          </cell>
          <cell r="F1162" t="str">
            <v>10/02/2000</v>
          </cell>
        </row>
        <row r="1163">
          <cell r="B1163" t="str">
            <v>0P436</v>
          </cell>
          <cell r="C1163" t="str">
            <v>UEC</v>
          </cell>
          <cell r="D1163" t="str">
            <v>N</v>
          </cell>
          <cell r="E1163" t="str">
            <v>A</v>
          </cell>
          <cell r="F1163" t="str">
            <v>01/16/1998</v>
          </cell>
        </row>
        <row r="1164">
          <cell r="B1164" t="str">
            <v>0P437</v>
          </cell>
          <cell r="C1164" t="str">
            <v>UEC</v>
          </cell>
          <cell r="D1164" t="str">
            <v>N</v>
          </cell>
          <cell r="E1164" t="str">
            <v>A</v>
          </cell>
          <cell r="F1164" t="str">
            <v>01/09/1998</v>
          </cell>
        </row>
        <row r="1165">
          <cell r="B1165" t="str">
            <v>0P438</v>
          </cell>
          <cell r="C1165" t="str">
            <v>UEC</v>
          </cell>
          <cell r="D1165" t="str">
            <v>N</v>
          </cell>
          <cell r="E1165" t="str">
            <v>A</v>
          </cell>
          <cell r="F1165" t="str">
            <v>12/06/1999</v>
          </cell>
        </row>
        <row r="1166">
          <cell r="B1166" t="str">
            <v>0P451</v>
          </cell>
          <cell r="C1166" t="str">
            <v>UEC</v>
          </cell>
          <cell r="D1166" t="str">
            <v>N</v>
          </cell>
          <cell r="E1166" t="str">
            <v>A</v>
          </cell>
          <cell r="F1166" t="str">
            <v>10/13/1999</v>
          </cell>
        </row>
        <row r="1167">
          <cell r="B1167" t="str">
            <v>0P454</v>
          </cell>
          <cell r="C1167" t="str">
            <v>UEC</v>
          </cell>
          <cell r="D1167" t="str">
            <v>N</v>
          </cell>
          <cell r="E1167" t="str">
            <v>A</v>
          </cell>
          <cell r="F1167" t="str">
            <v>01/22/1998</v>
          </cell>
        </row>
        <row r="1168">
          <cell r="B1168" t="str">
            <v>0P457</v>
          </cell>
          <cell r="C1168" t="str">
            <v>UEC</v>
          </cell>
          <cell r="D1168" t="str">
            <v>N</v>
          </cell>
          <cell r="E1168" t="str">
            <v>A</v>
          </cell>
          <cell r="F1168" t="str">
            <v>01/12/1998</v>
          </cell>
        </row>
        <row r="1169">
          <cell r="B1169" t="str">
            <v>0P516</v>
          </cell>
          <cell r="C1169" t="str">
            <v>UEC</v>
          </cell>
          <cell r="D1169" t="str">
            <v>N</v>
          </cell>
          <cell r="E1169" t="str">
            <v>A</v>
          </cell>
          <cell r="F1169" t="str">
            <v>08/07/2002</v>
          </cell>
        </row>
        <row r="1170">
          <cell r="B1170" t="str">
            <v>0P519</v>
          </cell>
          <cell r="C1170" t="str">
            <v>UEC</v>
          </cell>
          <cell r="D1170" t="str">
            <v>N</v>
          </cell>
          <cell r="E1170" t="str">
            <v>A</v>
          </cell>
          <cell r="F1170" t="str">
            <v>12/22/1997</v>
          </cell>
        </row>
        <row r="1171">
          <cell r="B1171" t="str">
            <v>0P561</v>
          </cell>
          <cell r="C1171" t="str">
            <v>UEC</v>
          </cell>
          <cell r="D1171" t="str">
            <v>N</v>
          </cell>
          <cell r="E1171" t="str">
            <v>A</v>
          </cell>
          <cell r="F1171" t="str">
            <v>04/14/1999</v>
          </cell>
        </row>
        <row r="1172">
          <cell r="B1172" t="str">
            <v>0P600</v>
          </cell>
          <cell r="C1172" t="str">
            <v>UEC</v>
          </cell>
          <cell r="D1172" t="str">
            <v>N</v>
          </cell>
          <cell r="E1172" t="str">
            <v>A</v>
          </cell>
          <cell r="F1172" t="str">
            <v>11/17/1997</v>
          </cell>
        </row>
        <row r="1173">
          <cell r="B1173" t="str">
            <v>0P602</v>
          </cell>
          <cell r="C1173" t="str">
            <v>UEC</v>
          </cell>
          <cell r="D1173" t="str">
            <v>N</v>
          </cell>
          <cell r="E1173" t="str">
            <v>A</v>
          </cell>
          <cell r="F1173" t="str">
            <v>11/17/1997</v>
          </cell>
        </row>
        <row r="1174">
          <cell r="B1174" t="str">
            <v>0P603</v>
          </cell>
          <cell r="C1174" t="str">
            <v>UEC</v>
          </cell>
          <cell r="D1174" t="str">
            <v>N</v>
          </cell>
          <cell r="E1174" t="str">
            <v>A</v>
          </cell>
          <cell r="F1174" t="str">
            <v>11/17/1997</v>
          </cell>
        </row>
        <row r="1175">
          <cell r="B1175" t="str">
            <v>0P605</v>
          </cell>
          <cell r="C1175" t="str">
            <v>UEC</v>
          </cell>
          <cell r="D1175" t="str">
            <v>N</v>
          </cell>
          <cell r="E1175" t="str">
            <v>A</v>
          </cell>
          <cell r="F1175" t="str">
            <v>01/05/1999</v>
          </cell>
        </row>
        <row r="1176">
          <cell r="B1176" t="str">
            <v>0P606</v>
          </cell>
          <cell r="C1176" t="str">
            <v>UEC</v>
          </cell>
          <cell r="D1176" t="str">
            <v>N</v>
          </cell>
          <cell r="E1176" t="str">
            <v>A</v>
          </cell>
          <cell r="F1176" t="str">
            <v>09/21/1999</v>
          </cell>
        </row>
        <row r="1177">
          <cell r="B1177" t="str">
            <v>0P607</v>
          </cell>
          <cell r="C1177" t="str">
            <v>UEC</v>
          </cell>
          <cell r="D1177" t="str">
            <v>N</v>
          </cell>
          <cell r="E1177" t="str">
            <v>A</v>
          </cell>
          <cell r="F1177" t="str">
            <v>04/14/1999</v>
          </cell>
        </row>
        <row r="1178">
          <cell r="B1178" t="str">
            <v>0P609</v>
          </cell>
          <cell r="C1178" t="str">
            <v>UEC</v>
          </cell>
          <cell r="D1178" t="str">
            <v>N</v>
          </cell>
          <cell r="E1178" t="str">
            <v>A</v>
          </cell>
          <cell r="F1178" t="str">
            <v>01/12/1998</v>
          </cell>
        </row>
        <row r="1179">
          <cell r="B1179" t="str">
            <v>0P610</v>
          </cell>
          <cell r="C1179" t="str">
            <v>UEC</v>
          </cell>
          <cell r="D1179" t="str">
            <v>N</v>
          </cell>
          <cell r="E1179" t="str">
            <v>A</v>
          </cell>
          <cell r="F1179" t="str">
            <v>11/12/1998</v>
          </cell>
        </row>
        <row r="1180">
          <cell r="B1180" t="str">
            <v>0P661</v>
          </cell>
          <cell r="C1180" t="str">
            <v>UEC</v>
          </cell>
          <cell r="D1180" t="str">
            <v>N</v>
          </cell>
          <cell r="E1180" t="str">
            <v>A</v>
          </cell>
          <cell r="F1180" t="str">
            <v>01/31/2003</v>
          </cell>
        </row>
        <row r="1181">
          <cell r="B1181" t="str">
            <v>0P672</v>
          </cell>
          <cell r="C1181" t="str">
            <v>UEC</v>
          </cell>
          <cell r="D1181" t="str">
            <v>N</v>
          </cell>
          <cell r="E1181" t="str">
            <v>A</v>
          </cell>
          <cell r="F1181" t="str">
            <v>01/15/1998</v>
          </cell>
        </row>
        <row r="1182">
          <cell r="B1182" t="str">
            <v>0P725</v>
          </cell>
          <cell r="C1182" t="str">
            <v>UEC</v>
          </cell>
          <cell r="D1182" t="str">
            <v>N</v>
          </cell>
          <cell r="E1182" t="str">
            <v>A</v>
          </cell>
          <cell r="F1182" t="str">
            <v>02/27/2003</v>
          </cell>
        </row>
        <row r="1183">
          <cell r="B1183" t="str">
            <v>0P740</v>
          </cell>
          <cell r="C1183" t="str">
            <v>UEC</v>
          </cell>
          <cell r="D1183" t="str">
            <v>N</v>
          </cell>
          <cell r="E1183" t="str">
            <v>A</v>
          </cell>
          <cell r="F1183" t="str">
            <v>11/17/1997</v>
          </cell>
        </row>
        <row r="1184">
          <cell r="B1184" t="str">
            <v>0P827</v>
          </cell>
          <cell r="C1184" t="str">
            <v>UEC</v>
          </cell>
          <cell r="D1184" t="str">
            <v>N</v>
          </cell>
          <cell r="E1184" t="str">
            <v>C</v>
          </cell>
          <cell r="F1184" t="str">
            <v>11/12/1998</v>
          </cell>
        </row>
        <row r="1185">
          <cell r="B1185" t="str">
            <v>0P868</v>
          </cell>
          <cell r="C1185" t="str">
            <v>UEC</v>
          </cell>
          <cell r="D1185" t="str">
            <v>N</v>
          </cell>
          <cell r="E1185" t="str">
            <v>A</v>
          </cell>
          <cell r="F1185" t="str">
            <v>10/01/2002</v>
          </cell>
        </row>
        <row r="1186">
          <cell r="B1186" t="str">
            <v>0P870</v>
          </cell>
          <cell r="C1186" t="str">
            <v>UEC</v>
          </cell>
          <cell r="D1186" t="str">
            <v>N</v>
          </cell>
          <cell r="E1186" t="str">
            <v>A</v>
          </cell>
          <cell r="F1186" t="str">
            <v>01/12/1998</v>
          </cell>
        </row>
        <row r="1187">
          <cell r="B1187" t="str">
            <v>0P871</v>
          </cell>
          <cell r="C1187" t="str">
            <v>UEC</v>
          </cell>
          <cell r="D1187" t="str">
            <v>N</v>
          </cell>
          <cell r="E1187" t="str">
            <v>A</v>
          </cell>
          <cell r="F1187" t="str">
            <v>10/01/2002</v>
          </cell>
        </row>
        <row r="1188">
          <cell r="B1188" t="str">
            <v>0P873</v>
          </cell>
          <cell r="C1188" t="str">
            <v>UEC</v>
          </cell>
          <cell r="D1188" t="str">
            <v>N</v>
          </cell>
          <cell r="E1188" t="str">
            <v>A</v>
          </cell>
          <cell r="F1188" t="str">
            <v>01/15/1998</v>
          </cell>
        </row>
        <row r="1189">
          <cell r="B1189" t="str">
            <v>0P879</v>
          </cell>
          <cell r="C1189" t="str">
            <v>UEC</v>
          </cell>
          <cell r="D1189" t="str">
            <v>N</v>
          </cell>
          <cell r="E1189" t="str">
            <v>A</v>
          </cell>
          <cell r="F1189" t="str">
            <v>01/15/1998</v>
          </cell>
        </row>
        <row r="1190">
          <cell r="B1190" t="str">
            <v>0P880</v>
          </cell>
          <cell r="C1190" t="str">
            <v>UEC</v>
          </cell>
          <cell r="D1190" t="str">
            <v>N</v>
          </cell>
          <cell r="E1190" t="str">
            <v>C</v>
          </cell>
          <cell r="F1190" t="str">
            <v>01/15/1998</v>
          </cell>
        </row>
        <row r="1191">
          <cell r="B1191" t="str">
            <v>0P881</v>
          </cell>
          <cell r="C1191" t="str">
            <v>UEC</v>
          </cell>
          <cell r="D1191" t="str">
            <v>N</v>
          </cell>
          <cell r="E1191" t="str">
            <v>A</v>
          </cell>
          <cell r="F1191" t="str">
            <v>01/15/1998</v>
          </cell>
        </row>
        <row r="1192">
          <cell r="B1192" t="str">
            <v>0P882</v>
          </cell>
          <cell r="C1192" t="str">
            <v>UEC</v>
          </cell>
          <cell r="D1192" t="str">
            <v>N</v>
          </cell>
          <cell r="E1192" t="str">
            <v>A</v>
          </cell>
          <cell r="F1192" t="str">
            <v>01/15/1998</v>
          </cell>
        </row>
        <row r="1193">
          <cell r="B1193" t="str">
            <v>0P883</v>
          </cell>
          <cell r="C1193" t="str">
            <v>UEC</v>
          </cell>
          <cell r="D1193" t="str">
            <v>N</v>
          </cell>
          <cell r="E1193" t="str">
            <v>A</v>
          </cell>
          <cell r="F1193" t="str">
            <v>01/15/1998</v>
          </cell>
        </row>
        <row r="1194">
          <cell r="B1194" t="str">
            <v>0P885</v>
          </cell>
          <cell r="C1194" t="str">
            <v>UEC</v>
          </cell>
          <cell r="D1194" t="str">
            <v>N</v>
          </cell>
          <cell r="E1194" t="str">
            <v>A</v>
          </cell>
          <cell r="F1194" t="str">
            <v>09/23/2002</v>
          </cell>
        </row>
        <row r="1195">
          <cell r="B1195" t="str">
            <v>0P887</v>
          </cell>
          <cell r="C1195" t="str">
            <v>UEC</v>
          </cell>
          <cell r="D1195" t="str">
            <v>N</v>
          </cell>
          <cell r="E1195" t="str">
            <v>A</v>
          </cell>
          <cell r="F1195" t="str">
            <v>02/24/1998</v>
          </cell>
        </row>
        <row r="1196">
          <cell r="B1196" t="str">
            <v>0P945</v>
          </cell>
          <cell r="C1196" t="str">
            <v>UEC</v>
          </cell>
          <cell r="D1196" t="str">
            <v>N</v>
          </cell>
          <cell r="E1196" t="str">
            <v>A</v>
          </cell>
          <cell r="F1196" t="str">
            <v>04/08/2003</v>
          </cell>
        </row>
        <row r="1197">
          <cell r="B1197" t="str">
            <v>0P975</v>
          </cell>
          <cell r="C1197" t="str">
            <v>UEC</v>
          </cell>
          <cell r="D1197" t="str">
            <v>N</v>
          </cell>
          <cell r="E1197" t="str">
            <v>A</v>
          </cell>
          <cell r="F1197" t="str">
            <v>08/19/2002</v>
          </cell>
        </row>
        <row r="1198">
          <cell r="B1198" t="str">
            <v>0PL1B</v>
          </cell>
          <cell r="C1198" t="str">
            <v>UEC</v>
          </cell>
          <cell r="D1198" t="str">
            <v>N</v>
          </cell>
          <cell r="E1198" t="str">
            <v>A</v>
          </cell>
          <cell r="F1198" t="str">
            <v>01/20/2000</v>
          </cell>
        </row>
        <row r="1199">
          <cell r="B1199" t="str">
            <v>0PM1B</v>
          </cell>
          <cell r="C1199" t="str">
            <v>UEC</v>
          </cell>
          <cell r="D1199" t="str">
            <v>N</v>
          </cell>
          <cell r="E1199" t="str">
            <v>A</v>
          </cell>
          <cell r="F1199" t="str">
            <v>12/26/2000</v>
          </cell>
        </row>
        <row r="1200">
          <cell r="B1200" t="str">
            <v>0PR2B</v>
          </cell>
          <cell r="C1200" t="str">
            <v>UEC</v>
          </cell>
          <cell r="D1200" t="str">
            <v>N</v>
          </cell>
          <cell r="E1200" t="str">
            <v>A</v>
          </cell>
          <cell r="F1200" t="str">
            <v>01/09/1998</v>
          </cell>
        </row>
        <row r="1201">
          <cell r="B1201" t="str">
            <v>0PS1B</v>
          </cell>
          <cell r="C1201" t="str">
            <v>UEC</v>
          </cell>
          <cell r="D1201" t="str">
            <v>N</v>
          </cell>
          <cell r="E1201" t="str">
            <v>A</v>
          </cell>
          <cell r="F1201" t="str">
            <v>01/15/1998</v>
          </cell>
        </row>
        <row r="1202">
          <cell r="B1202" t="str">
            <v>0PS2B</v>
          </cell>
          <cell r="C1202" t="str">
            <v>UEC</v>
          </cell>
          <cell r="D1202" t="str">
            <v>N</v>
          </cell>
          <cell r="E1202" t="str">
            <v>A</v>
          </cell>
          <cell r="F1202" t="str">
            <v>04/14/1999</v>
          </cell>
        </row>
        <row r="1203">
          <cell r="B1203" t="str">
            <v>0W563</v>
          </cell>
          <cell r="C1203" t="str">
            <v>GEN</v>
          </cell>
          <cell r="D1203" t="str">
            <v>N</v>
          </cell>
          <cell r="E1203" t="str">
            <v>I</v>
          </cell>
          <cell r="F1203" t="str">
            <v>05/25/1999</v>
          </cell>
        </row>
        <row r="1204">
          <cell r="B1204" t="str">
            <v>0W736</v>
          </cell>
          <cell r="C1204" t="str">
            <v>IHC</v>
          </cell>
          <cell r="D1204" t="str">
            <v>N</v>
          </cell>
          <cell r="E1204" t="str">
            <v>C</v>
          </cell>
          <cell r="F1204" t="str">
            <v>07/09/2002</v>
          </cell>
        </row>
        <row r="1205">
          <cell r="B1205" t="str">
            <v>0WN1B</v>
          </cell>
          <cell r="C1205" t="str">
            <v>GEN</v>
          </cell>
          <cell r="D1205" t="str">
            <v>N</v>
          </cell>
          <cell r="E1205" t="str">
            <v>I</v>
          </cell>
          <cell r="F1205" t="str">
            <v>04/17/1998</v>
          </cell>
        </row>
        <row r="1206">
          <cell r="B1206" t="str">
            <v>A0001</v>
          </cell>
          <cell r="C1206" t="str">
            <v>017A</v>
          </cell>
          <cell r="D1206" t="str">
            <v>Y</v>
          </cell>
          <cell r="E1206" t="str">
            <v>A</v>
          </cell>
          <cell r="F1206" t="str">
            <v>10/03/1997</v>
          </cell>
        </row>
        <row r="1207">
          <cell r="B1207" t="str">
            <v>A0002</v>
          </cell>
          <cell r="C1207" t="str">
            <v>017B</v>
          </cell>
          <cell r="D1207" t="str">
            <v>Y</v>
          </cell>
          <cell r="E1207" t="str">
            <v>A</v>
          </cell>
          <cell r="F1207" t="str">
            <v>10/03/1997</v>
          </cell>
        </row>
        <row r="1208">
          <cell r="B1208" t="str">
            <v>A0004</v>
          </cell>
          <cell r="C1208"/>
          <cell r="D1208" t="str">
            <v>Y</v>
          </cell>
          <cell r="E1208" t="str">
            <v>A</v>
          </cell>
          <cell r="F1208" t="str">
            <v>10/06/1997</v>
          </cell>
        </row>
        <row r="1209">
          <cell r="B1209" t="str">
            <v>A0005</v>
          </cell>
          <cell r="C1209" t="str">
            <v>UEC</v>
          </cell>
          <cell r="D1209" t="str">
            <v>Y</v>
          </cell>
          <cell r="E1209" t="str">
            <v>A</v>
          </cell>
          <cell r="F1209" t="str">
            <v>10/06/1997</v>
          </cell>
        </row>
        <row r="1210">
          <cell r="B1210" t="str">
            <v>A0006</v>
          </cell>
          <cell r="C1210" t="str">
            <v>CIP</v>
          </cell>
          <cell r="D1210" t="str">
            <v>Y</v>
          </cell>
          <cell r="E1210" t="str">
            <v>A</v>
          </cell>
          <cell r="F1210" t="str">
            <v>10/06/1997</v>
          </cell>
        </row>
        <row r="1211">
          <cell r="B1211" t="str">
            <v>A0007</v>
          </cell>
          <cell r="C1211" t="str">
            <v>CIC</v>
          </cell>
          <cell r="D1211" t="str">
            <v>Y</v>
          </cell>
          <cell r="E1211" t="str">
            <v>A</v>
          </cell>
          <cell r="F1211" t="str">
            <v>10/06/1997</v>
          </cell>
        </row>
        <row r="1212">
          <cell r="B1212" t="str">
            <v>A0008</v>
          </cell>
          <cell r="C1212" t="str">
            <v>UDC</v>
          </cell>
          <cell r="D1212" t="str">
            <v>Y</v>
          </cell>
          <cell r="E1212" t="str">
            <v>A</v>
          </cell>
          <cell r="F1212" t="str">
            <v>10/06/1997</v>
          </cell>
        </row>
        <row r="1213">
          <cell r="B1213" t="str">
            <v>A0009</v>
          </cell>
          <cell r="C1213" t="str">
            <v>AMC</v>
          </cell>
          <cell r="D1213" t="str">
            <v>Y</v>
          </cell>
          <cell r="E1213" t="str">
            <v>A</v>
          </cell>
          <cell r="F1213" t="str">
            <v>10/06/1997</v>
          </cell>
        </row>
        <row r="1214">
          <cell r="B1214" t="str">
            <v>A0012</v>
          </cell>
          <cell r="C1214" t="str">
            <v>AEC</v>
          </cell>
          <cell r="D1214" t="str">
            <v>Y</v>
          </cell>
          <cell r="E1214" t="str">
            <v>A</v>
          </cell>
          <cell r="F1214" t="str">
            <v>07/23/1998</v>
          </cell>
        </row>
        <row r="1215">
          <cell r="B1215" t="str">
            <v>A0016</v>
          </cell>
          <cell r="C1215" t="str">
            <v>ERC</v>
          </cell>
          <cell r="D1215" t="str">
            <v>Y</v>
          </cell>
          <cell r="E1215" t="str">
            <v>A</v>
          </cell>
          <cell r="F1215" t="str">
            <v>07/02/1998</v>
          </cell>
        </row>
        <row r="1216">
          <cell r="B1216" t="str">
            <v>A0018</v>
          </cell>
          <cell r="C1216" t="str">
            <v>AME</v>
          </cell>
          <cell r="D1216" t="str">
            <v>Y</v>
          </cell>
          <cell r="E1216" t="str">
            <v>A</v>
          </cell>
          <cell r="F1216" t="str">
            <v>07/23/1998</v>
          </cell>
        </row>
        <row r="1217">
          <cell r="B1217" t="str">
            <v>A0021</v>
          </cell>
          <cell r="C1217" t="str">
            <v>007A</v>
          </cell>
          <cell r="D1217" t="str">
            <v>Y</v>
          </cell>
          <cell r="E1217" t="str">
            <v>A</v>
          </cell>
          <cell r="F1217" t="str">
            <v>10/06/1997</v>
          </cell>
        </row>
        <row r="1218">
          <cell r="B1218" t="str">
            <v>A0022</v>
          </cell>
          <cell r="C1218" t="str">
            <v>004A</v>
          </cell>
          <cell r="D1218" t="str">
            <v>Y</v>
          </cell>
          <cell r="E1218" t="str">
            <v>A</v>
          </cell>
          <cell r="F1218" t="str">
            <v>03/15/1999</v>
          </cell>
        </row>
        <row r="1219">
          <cell r="B1219" t="str">
            <v>A0051</v>
          </cell>
          <cell r="C1219" t="str">
            <v>007A</v>
          </cell>
          <cell r="D1219" t="str">
            <v>Y</v>
          </cell>
          <cell r="E1219" t="str">
            <v>A</v>
          </cell>
          <cell r="F1219" t="str">
            <v>10/06/1997</v>
          </cell>
        </row>
        <row r="1220">
          <cell r="B1220" t="str">
            <v>A0071</v>
          </cell>
          <cell r="C1220" t="str">
            <v>UEC</v>
          </cell>
          <cell r="D1220" t="str">
            <v>Y</v>
          </cell>
          <cell r="E1220" t="str">
            <v>A</v>
          </cell>
          <cell r="F1220" t="str">
            <v>10/06/1997</v>
          </cell>
        </row>
        <row r="1221">
          <cell r="B1221" t="str">
            <v>A0072</v>
          </cell>
          <cell r="C1221" t="str">
            <v>CIP</v>
          </cell>
          <cell r="D1221" t="str">
            <v>Y</v>
          </cell>
          <cell r="E1221" t="str">
            <v>A</v>
          </cell>
          <cell r="F1221" t="str">
            <v>10/06/1997</v>
          </cell>
        </row>
        <row r="1222">
          <cell r="B1222" t="str">
            <v>A0075</v>
          </cell>
          <cell r="C1222" t="str">
            <v>017C</v>
          </cell>
          <cell r="D1222" t="str">
            <v>Y</v>
          </cell>
          <cell r="E1222" t="str">
            <v>A</v>
          </cell>
          <cell r="F1222" t="str">
            <v>10/06/1997</v>
          </cell>
        </row>
        <row r="1223">
          <cell r="B1223" t="str">
            <v>A0077</v>
          </cell>
          <cell r="C1223" t="str">
            <v>CIP</v>
          </cell>
          <cell r="D1223" t="str">
            <v>Y</v>
          </cell>
          <cell r="E1223" t="str">
            <v>A</v>
          </cell>
          <cell r="F1223" t="str">
            <v>10/06/1997</v>
          </cell>
        </row>
        <row r="1224">
          <cell r="B1224" t="str">
            <v>A0078</v>
          </cell>
          <cell r="C1224" t="str">
            <v>UEC</v>
          </cell>
          <cell r="D1224" t="str">
            <v>Y</v>
          </cell>
          <cell r="E1224" t="str">
            <v>A</v>
          </cell>
          <cell r="F1224" t="str">
            <v>10/06/1997</v>
          </cell>
        </row>
        <row r="1225">
          <cell r="B1225" t="str">
            <v>A0079</v>
          </cell>
          <cell r="C1225"/>
          <cell r="D1225" t="str">
            <v>Y</v>
          </cell>
          <cell r="E1225" t="str">
            <v>A</v>
          </cell>
          <cell r="F1225" t="str">
            <v>11/22/1997</v>
          </cell>
        </row>
        <row r="1226">
          <cell r="B1226" t="str">
            <v>A0080</v>
          </cell>
          <cell r="C1226" t="str">
            <v>CIP</v>
          </cell>
          <cell r="D1226" t="str">
            <v>Y</v>
          </cell>
          <cell r="E1226" t="str">
            <v>A</v>
          </cell>
          <cell r="F1226" t="str">
            <v>10/06/1997</v>
          </cell>
        </row>
        <row r="1227">
          <cell r="B1227" t="str">
            <v>A0081</v>
          </cell>
          <cell r="C1227" t="str">
            <v>UEC</v>
          </cell>
          <cell r="D1227" t="str">
            <v>Y</v>
          </cell>
          <cell r="E1227" t="str">
            <v>A</v>
          </cell>
          <cell r="F1227" t="str">
            <v>10/06/1997</v>
          </cell>
        </row>
        <row r="1228">
          <cell r="B1228" t="str">
            <v>A0083</v>
          </cell>
          <cell r="C1228" t="str">
            <v>017C</v>
          </cell>
          <cell r="D1228" t="str">
            <v>Y</v>
          </cell>
          <cell r="E1228" t="str">
            <v>A</v>
          </cell>
          <cell r="F1228" t="str">
            <v>10/06/1997</v>
          </cell>
        </row>
        <row r="1229">
          <cell r="B1229" t="str">
            <v>A0084</v>
          </cell>
          <cell r="C1229"/>
          <cell r="D1229" t="str">
            <v>N</v>
          </cell>
          <cell r="E1229" t="str">
            <v>A</v>
          </cell>
          <cell r="F1229" t="str">
            <v>12/19/1997</v>
          </cell>
        </row>
        <row r="1230">
          <cell r="B1230" t="str">
            <v>A0101</v>
          </cell>
          <cell r="C1230" t="str">
            <v>CIP</v>
          </cell>
          <cell r="D1230" t="str">
            <v>Y</v>
          </cell>
          <cell r="E1230" t="str">
            <v>A</v>
          </cell>
          <cell r="F1230" t="str">
            <v>11/19/1997</v>
          </cell>
        </row>
        <row r="1231">
          <cell r="B1231" t="str">
            <v>A0102</v>
          </cell>
          <cell r="C1231" t="str">
            <v>UEC</v>
          </cell>
          <cell r="D1231" t="str">
            <v>Y</v>
          </cell>
          <cell r="E1231" t="str">
            <v>A</v>
          </cell>
          <cell r="F1231" t="str">
            <v>10/29/1998</v>
          </cell>
        </row>
        <row r="1232">
          <cell r="B1232" t="str">
            <v>A0103</v>
          </cell>
          <cell r="C1232" t="str">
            <v>002L</v>
          </cell>
          <cell r="D1232" t="str">
            <v>Y</v>
          </cell>
          <cell r="E1232" t="str">
            <v>A</v>
          </cell>
          <cell r="F1232" t="str">
            <v>09/21/1998</v>
          </cell>
        </row>
        <row r="1233">
          <cell r="B1233" t="str">
            <v>A0104</v>
          </cell>
          <cell r="C1233" t="str">
            <v>UEC</v>
          </cell>
          <cell r="D1233" t="str">
            <v>Y</v>
          </cell>
          <cell r="E1233" t="str">
            <v>A</v>
          </cell>
          <cell r="F1233" t="str">
            <v>11/19/1997</v>
          </cell>
        </row>
        <row r="1234">
          <cell r="B1234" t="str">
            <v>A0105</v>
          </cell>
          <cell r="C1234" t="str">
            <v>011B</v>
          </cell>
          <cell r="D1234" t="str">
            <v>Y</v>
          </cell>
          <cell r="E1234" t="str">
            <v>A</v>
          </cell>
          <cell r="F1234" t="str">
            <v>10/13/1997</v>
          </cell>
        </row>
        <row r="1235">
          <cell r="B1235" t="str">
            <v>A0106</v>
          </cell>
          <cell r="C1235" t="str">
            <v>CIP</v>
          </cell>
          <cell r="D1235" t="str">
            <v>Y</v>
          </cell>
          <cell r="E1235" t="str">
            <v>A</v>
          </cell>
          <cell r="F1235" t="str">
            <v>10/13/1997</v>
          </cell>
        </row>
        <row r="1236">
          <cell r="B1236" t="str">
            <v>A0108</v>
          </cell>
          <cell r="C1236" t="str">
            <v>AME</v>
          </cell>
          <cell r="D1236" t="str">
            <v>Y</v>
          </cell>
          <cell r="E1236" t="str">
            <v>A</v>
          </cell>
          <cell r="F1236" t="str">
            <v>09/22/1998</v>
          </cell>
        </row>
        <row r="1237">
          <cell r="B1237" t="str">
            <v>A0109</v>
          </cell>
          <cell r="C1237" t="str">
            <v>GEN</v>
          </cell>
          <cell r="D1237" t="str">
            <v>Y</v>
          </cell>
          <cell r="E1237" t="str">
            <v>A</v>
          </cell>
          <cell r="F1237" t="str">
            <v>01/02/1998</v>
          </cell>
        </row>
        <row r="1238">
          <cell r="B1238" t="str">
            <v>A0110</v>
          </cell>
          <cell r="C1238" t="str">
            <v>012D</v>
          </cell>
          <cell r="D1238" t="str">
            <v>Y</v>
          </cell>
          <cell r="E1238" t="str">
            <v>A</v>
          </cell>
          <cell r="F1238" t="str">
            <v>11/19/1997</v>
          </cell>
        </row>
        <row r="1239">
          <cell r="B1239" t="str">
            <v>A0111</v>
          </cell>
          <cell r="C1239" t="str">
            <v>UEC</v>
          </cell>
          <cell r="D1239" t="str">
            <v>Y</v>
          </cell>
          <cell r="E1239" t="str">
            <v>A</v>
          </cell>
          <cell r="F1239" t="str">
            <v>11/19/1997</v>
          </cell>
        </row>
        <row r="1240">
          <cell r="B1240" t="str">
            <v>A0112</v>
          </cell>
          <cell r="C1240" t="str">
            <v>UEC</v>
          </cell>
          <cell r="D1240" t="str">
            <v>Y</v>
          </cell>
          <cell r="E1240" t="str">
            <v>A</v>
          </cell>
          <cell r="F1240" t="str">
            <v>09/24/1998</v>
          </cell>
        </row>
        <row r="1241">
          <cell r="B1241" t="str">
            <v>A0113</v>
          </cell>
          <cell r="C1241" t="str">
            <v>UEC</v>
          </cell>
          <cell r="D1241" t="str">
            <v>Y</v>
          </cell>
          <cell r="E1241" t="str">
            <v>A</v>
          </cell>
          <cell r="F1241" t="str">
            <v>09/24/1998</v>
          </cell>
        </row>
        <row r="1242">
          <cell r="B1242" t="str">
            <v>A0114</v>
          </cell>
          <cell r="C1242" t="str">
            <v>UEC</v>
          </cell>
          <cell r="D1242" t="str">
            <v>Y</v>
          </cell>
          <cell r="E1242" t="str">
            <v>A</v>
          </cell>
          <cell r="F1242" t="str">
            <v>11/19/1997</v>
          </cell>
        </row>
        <row r="1243">
          <cell r="B1243" t="str">
            <v>A0115</v>
          </cell>
          <cell r="C1243" t="str">
            <v>UEC</v>
          </cell>
          <cell r="D1243" t="str">
            <v>Y</v>
          </cell>
          <cell r="E1243" t="str">
            <v>A</v>
          </cell>
          <cell r="F1243" t="str">
            <v>02/23/1998</v>
          </cell>
        </row>
        <row r="1244">
          <cell r="B1244" t="str">
            <v>A0116</v>
          </cell>
          <cell r="C1244" t="str">
            <v>GEN</v>
          </cell>
          <cell r="D1244" t="str">
            <v>Y</v>
          </cell>
          <cell r="E1244" t="str">
            <v>A</v>
          </cell>
          <cell r="F1244" t="str">
            <v>11/19/1997</v>
          </cell>
        </row>
        <row r="1245">
          <cell r="B1245" t="str">
            <v>A0117</v>
          </cell>
          <cell r="C1245" t="str">
            <v>CIP</v>
          </cell>
          <cell r="D1245" t="str">
            <v>Y</v>
          </cell>
          <cell r="E1245" t="str">
            <v>A</v>
          </cell>
          <cell r="F1245" t="str">
            <v>11/19/1997</v>
          </cell>
        </row>
        <row r="1246">
          <cell r="B1246" t="str">
            <v>A0118</v>
          </cell>
          <cell r="C1246" t="str">
            <v>UEC</v>
          </cell>
          <cell r="D1246" t="str">
            <v>Y</v>
          </cell>
          <cell r="E1246" t="str">
            <v>A</v>
          </cell>
          <cell r="F1246" t="str">
            <v>11/19/1997</v>
          </cell>
        </row>
        <row r="1247">
          <cell r="B1247" t="str">
            <v>A0119</v>
          </cell>
          <cell r="C1247" t="str">
            <v>CIP</v>
          </cell>
          <cell r="D1247" t="str">
            <v>Y</v>
          </cell>
          <cell r="E1247" t="str">
            <v>A</v>
          </cell>
          <cell r="F1247" t="str">
            <v>11/19/1997</v>
          </cell>
        </row>
        <row r="1248">
          <cell r="B1248" t="str">
            <v>A0120</v>
          </cell>
          <cell r="C1248" t="str">
            <v>002K</v>
          </cell>
          <cell r="D1248" t="str">
            <v>Y</v>
          </cell>
          <cell r="E1248" t="str">
            <v>A</v>
          </cell>
          <cell r="F1248" t="str">
            <v>11/19/1997</v>
          </cell>
        </row>
        <row r="1249">
          <cell r="B1249" t="str">
            <v>A0121</v>
          </cell>
          <cell r="C1249" t="str">
            <v>002A</v>
          </cell>
          <cell r="D1249" t="str">
            <v>Y</v>
          </cell>
          <cell r="E1249" t="str">
            <v>A</v>
          </cell>
          <cell r="F1249" t="str">
            <v>11/19/1997</v>
          </cell>
        </row>
        <row r="1250">
          <cell r="B1250" t="str">
            <v>A0122</v>
          </cell>
          <cell r="C1250" t="str">
            <v>UEC</v>
          </cell>
          <cell r="D1250" t="str">
            <v>Y</v>
          </cell>
          <cell r="E1250" t="str">
            <v>A</v>
          </cell>
          <cell r="F1250" t="str">
            <v>11/19/1997</v>
          </cell>
        </row>
        <row r="1251">
          <cell r="B1251" t="str">
            <v>A0124</v>
          </cell>
          <cell r="C1251" t="str">
            <v>UEC</v>
          </cell>
          <cell r="D1251" t="str">
            <v>Y</v>
          </cell>
          <cell r="E1251" t="str">
            <v>A</v>
          </cell>
          <cell r="F1251" t="str">
            <v>03/02/1998</v>
          </cell>
        </row>
        <row r="1252">
          <cell r="B1252" t="str">
            <v>A0125</v>
          </cell>
          <cell r="C1252"/>
          <cell r="D1252" t="str">
            <v>Y</v>
          </cell>
          <cell r="E1252" t="str">
            <v>A</v>
          </cell>
          <cell r="F1252" t="str">
            <v>10/13/1997</v>
          </cell>
        </row>
        <row r="1253">
          <cell r="B1253" t="str">
            <v>A0126</v>
          </cell>
          <cell r="C1253" t="str">
            <v>UEC</v>
          </cell>
          <cell r="D1253" t="str">
            <v>Y</v>
          </cell>
          <cell r="E1253" t="str">
            <v>A</v>
          </cell>
          <cell r="F1253" t="str">
            <v>10/13/1997</v>
          </cell>
        </row>
        <row r="1254">
          <cell r="B1254" t="str">
            <v>A0127</v>
          </cell>
          <cell r="C1254" t="str">
            <v>018A</v>
          </cell>
          <cell r="D1254" t="str">
            <v>Y</v>
          </cell>
          <cell r="E1254" t="str">
            <v>A</v>
          </cell>
          <cell r="F1254" t="str">
            <v>10/13/1997</v>
          </cell>
        </row>
        <row r="1255">
          <cell r="B1255" t="str">
            <v>A0128</v>
          </cell>
          <cell r="C1255" t="str">
            <v>001A</v>
          </cell>
          <cell r="D1255" t="str">
            <v>Y</v>
          </cell>
          <cell r="E1255" t="str">
            <v>A</v>
          </cell>
          <cell r="F1255" t="str">
            <v>11/19/1997</v>
          </cell>
        </row>
        <row r="1256">
          <cell r="B1256" t="str">
            <v>A0129</v>
          </cell>
          <cell r="C1256" t="str">
            <v>UEC</v>
          </cell>
          <cell r="D1256" t="str">
            <v>Y</v>
          </cell>
          <cell r="E1256" t="str">
            <v>A</v>
          </cell>
          <cell r="F1256" t="str">
            <v>03/02/1998</v>
          </cell>
        </row>
        <row r="1257">
          <cell r="B1257" t="str">
            <v>A0130</v>
          </cell>
          <cell r="C1257" t="str">
            <v>UEC</v>
          </cell>
          <cell r="D1257" t="str">
            <v>Y</v>
          </cell>
          <cell r="E1257" t="str">
            <v>A</v>
          </cell>
          <cell r="F1257" t="str">
            <v>11/19/1997</v>
          </cell>
        </row>
        <row r="1258">
          <cell r="B1258" t="str">
            <v>A0131</v>
          </cell>
          <cell r="C1258" t="str">
            <v>UEC</v>
          </cell>
          <cell r="D1258" t="str">
            <v>Y</v>
          </cell>
          <cell r="E1258" t="str">
            <v>A</v>
          </cell>
          <cell r="F1258" t="str">
            <v>11/22/1997</v>
          </cell>
        </row>
        <row r="1259">
          <cell r="B1259" t="str">
            <v>A0132</v>
          </cell>
          <cell r="C1259" t="str">
            <v>001A</v>
          </cell>
          <cell r="D1259" t="str">
            <v>Y</v>
          </cell>
          <cell r="E1259" t="str">
            <v>A</v>
          </cell>
          <cell r="F1259" t="str">
            <v>10/14/1997</v>
          </cell>
        </row>
        <row r="1260">
          <cell r="B1260" t="str">
            <v>A0133</v>
          </cell>
          <cell r="C1260" t="str">
            <v>CIP</v>
          </cell>
          <cell r="D1260" t="str">
            <v>Y</v>
          </cell>
          <cell r="E1260" t="str">
            <v>A</v>
          </cell>
          <cell r="F1260" t="str">
            <v>11/22/1997</v>
          </cell>
        </row>
        <row r="1261">
          <cell r="B1261" t="str">
            <v>A0134</v>
          </cell>
          <cell r="C1261" t="str">
            <v>003A</v>
          </cell>
          <cell r="D1261" t="str">
            <v>Y</v>
          </cell>
          <cell r="E1261" t="str">
            <v>A</v>
          </cell>
          <cell r="F1261" t="str">
            <v>11/22/1997</v>
          </cell>
        </row>
        <row r="1262">
          <cell r="B1262" t="str">
            <v>A0138</v>
          </cell>
          <cell r="C1262" t="str">
            <v>UEC</v>
          </cell>
          <cell r="D1262" t="str">
            <v>Y</v>
          </cell>
          <cell r="E1262" t="str">
            <v>A</v>
          </cell>
          <cell r="F1262" t="str">
            <v>11/22/1997</v>
          </cell>
        </row>
        <row r="1263">
          <cell r="B1263" t="str">
            <v>A0139</v>
          </cell>
          <cell r="C1263" t="str">
            <v>CIP</v>
          </cell>
          <cell r="D1263" t="str">
            <v>Y</v>
          </cell>
          <cell r="E1263" t="str">
            <v>A</v>
          </cell>
          <cell r="F1263" t="str">
            <v>11/22/1997</v>
          </cell>
        </row>
        <row r="1264">
          <cell r="B1264" t="str">
            <v>A0140</v>
          </cell>
          <cell r="C1264" t="str">
            <v>003A</v>
          </cell>
          <cell r="D1264" t="str">
            <v>Y</v>
          </cell>
          <cell r="E1264" t="str">
            <v>A</v>
          </cell>
          <cell r="F1264" t="str">
            <v>11/22/1997</v>
          </cell>
        </row>
        <row r="1265">
          <cell r="B1265" t="str">
            <v>A0141</v>
          </cell>
          <cell r="C1265" t="str">
            <v>AMC</v>
          </cell>
          <cell r="D1265" t="str">
            <v>Y</v>
          </cell>
          <cell r="E1265" t="str">
            <v>A</v>
          </cell>
          <cell r="F1265" t="str">
            <v>11/24/1997</v>
          </cell>
        </row>
        <row r="1266">
          <cell r="B1266" t="str">
            <v>A0142</v>
          </cell>
          <cell r="C1266"/>
          <cell r="D1266" t="str">
            <v>Y</v>
          </cell>
          <cell r="E1266" t="str">
            <v>A</v>
          </cell>
          <cell r="F1266" t="str">
            <v>11/24/1997</v>
          </cell>
        </row>
        <row r="1267">
          <cell r="B1267" t="str">
            <v>A0143</v>
          </cell>
          <cell r="C1267" t="str">
            <v>UEC</v>
          </cell>
          <cell r="D1267" t="str">
            <v>Y</v>
          </cell>
          <cell r="E1267" t="str">
            <v>A</v>
          </cell>
          <cell r="F1267" t="str">
            <v>11/25/1997</v>
          </cell>
        </row>
        <row r="1268">
          <cell r="B1268" t="str">
            <v>A0144</v>
          </cell>
          <cell r="C1268" t="str">
            <v>CIP</v>
          </cell>
          <cell r="D1268" t="str">
            <v>Y</v>
          </cell>
          <cell r="E1268" t="str">
            <v>A</v>
          </cell>
          <cell r="F1268" t="str">
            <v>03/02/1998</v>
          </cell>
        </row>
        <row r="1269">
          <cell r="B1269" t="str">
            <v>A0145</v>
          </cell>
          <cell r="C1269" t="str">
            <v>CIP</v>
          </cell>
          <cell r="D1269" t="str">
            <v>Y</v>
          </cell>
          <cell r="E1269" t="str">
            <v>A</v>
          </cell>
          <cell r="F1269" t="str">
            <v>11/25/1997</v>
          </cell>
        </row>
        <row r="1270">
          <cell r="B1270" t="str">
            <v>A0146</v>
          </cell>
          <cell r="C1270" t="str">
            <v>002L</v>
          </cell>
          <cell r="D1270" t="str">
            <v>Y</v>
          </cell>
          <cell r="E1270" t="str">
            <v>A</v>
          </cell>
          <cell r="F1270" t="str">
            <v>11/25/1997</v>
          </cell>
        </row>
        <row r="1271">
          <cell r="B1271" t="str">
            <v>A0149</v>
          </cell>
          <cell r="C1271"/>
          <cell r="D1271" t="str">
            <v>Y</v>
          </cell>
          <cell r="E1271" t="str">
            <v>A</v>
          </cell>
          <cell r="F1271" t="str">
            <v>11/25/1997</v>
          </cell>
        </row>
        <row r="1272">
          <cell r="B1272" t="str">
            <v>A0151</v>
          </cell>
          <cell r="C1272"/>
          <cell r="D1272" t="str">
            <v>N</v>
          </cell>
          <cell r="E1272" t="str">
            <v>A</v>
          </cell>
          <cell r="F1272" t="str">
            <v>10/14/1997</v>
          </cell>
        </row>
        <row r="1273">
          <cell r="B1273" t="str">
            <v>A0152</v>
          </cell>
          <cell r="C1273" t="str">
            <v>UEC</v>
          </cell>
          <cell r="D1273" t="str">
            <v>Y</v>
          </cell>
          <cell r="E1273" t="str">
            <v>A</v>
          </cell>
          <cell r="F1273" t="str">
            <v>10/14/1997</v>
          </cell>
        </row>
        <row r="1274">
          <cell r="B1274" t="str">
            <v>A0153</v>
          </cell>
          <cell r="C1274" t="str">
            <v>UEC</v>
          </cell>
          <cell r="D1274" t="str">
            <v>Y</v>
          </cell>
          <cell r="E1274" t="str">
            <v>A</v>
          </cell>
          <cell r="F1274" t="str">
            <v>10/14/1997</v>
          </cell>
        </row>
        <row r="1275">
          <cell r="B1275" t="str">
            <v>A0154</v>
          </cell>
          <cell r="C1275" t="str">
            <v>UEC</v>
          </cell>
          <cell r="D1275" t="str">
            <v>Y</v>
          </cell>
          <cell r="E1275" t="str">
            <v>A</v>
          </cell>
          <cell r="F1275" t="str">
            <v>10/14/1997</v>
          </cell>
        </row>
        <row r="1276">
          <cell r="B1276" t="str">
            <v>A0155</v>
          </cell>
          <cell r="C1276" t="str">
            <v>CIP</v>
          </cell>
          <cell r="D1276" t="str">
            <v>Y</v>
          </cell>
          <cell r="E1276" t="str">
            <v>A</v>
          </cell>
          <cell r="F1276" t="str">
            <v>10/14/1997</v>
          </cell>
        </row>
        <row r="1277">
          <cell r="B1277" t="str">
            <v>A0156</v>
          </cell>
          <cell r="C1277" t="str">
            <v>CIP</v>
          </cell>
          <cell r="D1277" t="str">
            <v>Y</v>
          </cell>
          <cell r="E1277" t="str">
            <v>A</v>
          </cell>
          <cell r="F1277" t="str">
            <v>10/14/1997</v>
          </cell>
        </row>
        <row r="1278">
          <cell r="B1278" t="str">
            <v>A0157</v>
          </cell>
          <cell r="C1278" t="str">
            <v>CIP</v>
          </cell>
          <cell r="D1278" t="str">
            <v>Y</v>
          </cell>
          <cell r="E1278" t="str">
            <v>A</v>
          </cell>
          <cell r="F1278" t="str">
            <v>10/14/1997</v>
          </cell>
        </row>
        <row r="1279">
          <cell r="B1279" t="str">
            <v>A0158</v>
          </cell>
          <cell r="C1279" t="str">
            <v>004A</v>
          </cell>
          <cell r="D1279" t="str">
            <v>Y</v>
          </cell>
          <cell r="E1279" t="str">
            <v>A</v>
          </cell>
          <cell r="F1279" t="str">
            <v>10/14/1997</v>
          </cell>
        </row>
        <row r="1280">
          <cell r="B1280" t="str">
            <v>A0160</v>
          </cell>
          <cell r="C1280" t="str">
            <v>UEC</v>
          </cell>
          <cell r="D1280" t="str">
            <v>Y</v>
          </cell>
          <cell r="E1280" t="str">
            <v>A</v>
          </cell>
          <cell r="F1280" t="str">
            <v>10/14/1997</v>
          </cell>
        </row>
        <row r="1281">
          <cell r="B1281" t="str">
            <v>A0161</v>
          </cell>
          <cell r="C1281" t="str">
            <v>004A</v>
          </cell>
          <cell r="D1281" t="str">
            <v>Y</v>
          </cell>
          <cell r="E1281" t="str">
            <v>A</v>
          </cell>
          <cell r="F1281" t="str">
            <v>10/14/1997</v>
          </cell>
        </row>
        <row r="1282">
          <cell r="B1282" t="str">
            <v>A0162</v>
          </cell>
          <cell r="C1282" t="str">
            <v>004B</v>
          </cell>
          <cell r="D1282" t="str">
            <v>Y</v>
          </cell>
          <cell r="E1282" t="str">
            <v>A</v>
          </cell>
          <cell r="F1282" t="str">
            <v>10/14/1997</v>
          </cell>
        </row>
        <row r="1283">
          <cell r="B1283" t="str">
            <v>A0163</v>
          </cell>
          <cell r="C1283"/>
          <cell r="D1283" t="str">
            <v>Y</v>
          </cell>
          <cell r="E1283" t="str">
            <v>A</v>
          </cell>
          <cell r="F1283" t="str">
            <v>10/14/1997</v>
          </cell>
        </row>
        <row r="1284">
          <cell r="B1284" t="str">
            <v>A0164</v>
          </cell>
          <cell r="C1284" t="str">
            <v>CIP</v>
          </cell>
          <cell r="D1284" t="str">
            <v>Y</v>
          </cell>
          <cell r="E1284" t="str">
            <v>A</v>
          </cell>
          <cell r="F1284" t="str">
            <v>10/14/1997</v>
          </cell>
        </row>
        <row r="1285">
          <cell r="B1285" t="str">
            <v>A0166</v>
          </cell>
          <cell r="C1285"/>
          <cell r="D1285" t="str">
            <v>Y</v>
          </cell>
          <cell r="E1285" t="str">
            <v>A</v>
          </cell>
          <cell r="F1285" t="str">
            <v>10/14/1997</v>
          </cell>
        </row>
        <row r="1286">
          <cell r="B1286" t="str">
            <v>A0168</v>
          </cell>
          <cell r="C1286" t="str">
            <v>010B</v>
          </cell>
          <cell r="D1286" t="str">
            <v>Y</v>
          </cell>
          <cell r="E1286" t="str">
            <v>A</v>
          </cell>
          <cell r="F1286" t="str">
            <v>10/14/1997</v>
          </cell>
        </row>
        <row r="1287">
          <cell r="B1287" t="str">
            <v>A0169</v>
          </cell>
          <cell r="C1287" t="str">
            <v>011A</v>
          </cell>
          <cell r="D1287" t="str">
            <v>Y</v>
          </cell>
          <cell r="E1287" t="str">
            <v>A</v>
          </cell>
          <cell r="F1287" t="str">
            <v>10/14/1997</v>
          </cell>
        </row>
        <row r="1288">
          <cell r="B1288" t="str">
            <v>A0171</v>
          </cell>
          <cell r="C1288" t="str">
            <v>UEC</v>
          </cell>
          <cell r="D1288" t="str">
            <v>Y</v>
          </cell>
          <cell r="E1288" t="str">
            <v>A</v>
          </cell>
          <cell r="F1288" t="str">
            <v>10/14/1997</v>
          </cell>
        </row>
        <row r="1289">
          <cell r="B1289" t="str">
            <v>A0175</v>
          </cell>
          <cell r="C1289" t="str">
            <v>002L</v>
          </cell>
          <cell r="D1289" t="str">
            <v>Y</v>
          </cell>
          <cell r="E1289" t="str">
            <v>A</v>
          </cell>
          <cell r="F1289" t="str">
            <v>11/25/1997</v>
          </cell>
        </row>
        <row r="1290">
          <cell r="B1290" t="str">
            <v>A0176</v>
          </cell>
          <cell r="C1290" t="str">
            <v>UEC</v>
          </cell>
          <cell r="D1290" t="str">
            <v>Y</v>
          </cell>
          <cell r="E1290" t="str">
            <v>A</v>
          </cell>
          <cell r="F1290" t="str">
            <v>10/14/1997</v>
          </cell>
        </row>
        <row r="1291">
          <cell r="B1291" t="str">
            <v>A0177</v>
          </cell>
          <cell r="C1291" t="str">
            <v>004A</v>
          </cell>
          <cell r="D1291" t="str">
            <v>N</v>
          </cell>
          <cell r="E1291" t="str">
            <v>A</v>
          </cell>
          <cell r="F1291" t="str">
            <v>10/14/1997</v>
          </cell>
        </row>
        <row r="1292">
          <cell r="B1292" t="str">
            <v>A0178</v>
          </cell>
          <cell r="C1292" t="str">
            <v>UEC</v>
          </cell>
          <cell r="D1292" t="str">
            <v>Y</v>
          </cell>
          <cell r="E1292" t="str">
            <v>A</v>
          </cell>
          <cell r="F1292" t="str">
            <v>10/14/1997</v>
          </cell>
        </row>
        <row r="1293">
          <cell r="B1293" t="str">
            <v>A0179</v>
          </cell>
          <cell r="C1293" t="str">
            <v>CIP</v>
          </cell>
          <cell r="D1293" t="str">
            <v>Y</v>
          </cell>
          <cell r="E1293" t="str">
            <v>A</v>
          </cell>
          <cell r="F1293" t="str">
            <v>10/14/1997</v>
          </cell>
        </row>
        <row r="1294">
          <cell r="B1294" t="str">
            <v>A0180</v>
          </cell>
          <cell r="C1294" t="str">
            <v>004F</v>
          </cell>
          <cell r="D1294" t="str">
            <v>Y</v>
          </cell>
          <cell r="E1294" t="str">
            <v>A</v>
          </cell>
          <cell r="F1294" t="str">
            <v>10/14/1997</v>
          </cell>
        </row>
        <row r="1295">
          <cell r="B1295" t="str">
            <v>A0181</v>
          </cell>
          <cell r="C1295" t="str">
            <v>CIP</v>
          </cell>
          <cell r="D1295" t="str">
            <v>N</v>
          </cell>
          <cell r="E1295" t="str">
            <v>A</v>
          </cell>
          <cell r="F1295" t="str">
            <v>10/14/1997</v>
          </cell>
        </row>
        <row r="1296">
          <cell r="B1296" t="str">
            <v>A0182</v>
          </cell>
          <cell r="C1296" t="str">
            <v>UEC</v>
          </cell>
          <cell r="D1296" t="str">
            <v>Y</v>
          </cell>
          <cell r="E1296" t="str">
            <v>A</v>
          </cell>
          <cell r="F1296" t="str">
            <v>10/14/1997</v>
          </cell>
        </row>
        <row r="1297">
          <cell r="B1297" t="str">
            <v>A0183</v>
          </cell>
          <cell r="C1297" t="str">
            <v>CIP</v>
          </cell>
          <cell r="D1297" t="str">
            <v>Y</v>
          </cell>
          <cell r="E1297" t="str">
            <v>A</v>
          </cell>
          <cell r="F1297" t="str">
            <v>10/14/1997</v>
          </cell>
        </row>
        <row r="1298">
          <cell r="B1298" t="str">
            <v>A0184</v>
          </cell>
          <cell r="C1298" t="str">
            <v>CIC</v>
          </cell>
          <cell r="D1298" t="str">
            <v>Y</v>
          </cell>
          <cell r="E1298" t="str">
            <v>A</v>
          </cell>
          <cell r="F1298" t="str">
            <v>10/14/1997</v>
          </cell>
        </row>
        <row r="1299">
          <cell r="B1299" t="str">
            <v>A0185</v>
          </cell>
          <cell r="C1299" t="str">
            <v>UEC</v>
          </cell>
          <cell r="D1299" t="str">
            <v>N</v>
          </cell>
          <cell r="E1299" t="str">
            <v>A</v>
          </cell>
          <cell r="F1299" t="str">
            <v>10/14/1997</v>
          </cell>
        </row>
        <row r="1300">
          <cell r="B1300" t="str">
            <v>A0189</v>
          </cell>
          <cell r="C1300" t="str">
            <v>003B</v>
          </cell>
          <cell r="D1300" t="str">
            <v>N</v>
          </cell>
          <cell r="E1300" t="str">
            <v>A</v>
          </cell>
          <cell r="F1300" t="str">
            <v>10/14/1997</v>
          </cell>
        </row>
        <row r="1301">
          <cell r="B1301" t="str">
            <v>A0192</v>
          </cell>
          <cell r="C1301"/>
          <cell r="D1301" t="str">
            <v>Y</v>
          </cell>
          <cell r="E1301" t="str">
            <v>A</v>
          </cell>
          <cell r="F1301" t="str">
            <v>10/14/1997</v>
          </cell>
        </row>
        <row r="1302">
          <cell r="B1302" t="str">
            <v>A0193</v>
          </cell>
          <cell r="C1302"/>
          <cell r="D1302" t="str">
            <v>N</v>
          </cell>
          <cell r="E1302" t="str">
            <v>A</v>
          </cell>
          <cell r="F1302" t="str">
            <v>10/14/1997</v>
          </cell>
        </row>
        <row r="1303">
          <cell r="B1303" t="str">
            <v>A0194</v>
          </cell>
          <cell r="C1303" t="str">
            <v>CIP</v>
          </cell>
          <cell r="D1303" t="str">
            <v>N</v>
          </cell>
          <cell r="E1303" t="str">
            <v>A</v>
          </cell>
          <cell r="F1303" t="str">
            <v>10/14/1997</v>
          </cell>
        </row>
        <row r="1304">
          <cell r="B1304" t="str">
            <v>A0195</v>
          </cell>
          <cell r="C1304" t="str">
            <v>UEC</v>
          </cell>
          <cell r="D1304" t="str">
            <v>N</v>
          </cell>
          <cell r="E1304" t="str">
            <v>A</v>
          </cell>
          <cell r="F1304" t="str">
            <v>10/14/1997</v>
          </cell>
        </row>
        <row r="1305">
          <cell r="B1305" t="str">
            <v>A0196</v>
          </cell>
          <cell r="C1305" t="str">
            <v>UEC</v>
          </cell>
          <cell r="D1305" t="str">
            <v>N</v>
          </cell>
          <cell r="E1305" t="str">
            <v>A</v>
          </cell>
          <cell r="F1305" t="str">
            <v>10/14/1997</v>
          </cell>
        </row>
        <row r="1306">
          <cell r="B1306" t="str">
            <v>A0197</v>
          </cell>
          <cell r="C1306" t="str">
            <v>CIP</v>
          </cell>
          <cell r="D1306" t="str">
            <v>N</v>
          </cell>
          <cell r="E1306" t="str">
            <v>A</v>
          </cell>
          <cell r="F1306" t="str">
            <v>10/14/1997</v>
          </cell>
        </row>
        <row r="1307">
          <cell r="B1307" t="str">
            <v>A0199</v>
          </cell>
          <cell r="C1307" t="str">
            <v>002L</v>
          </cell>
          <cell r="D1307" t="str">
            <v>Y</v>
          </cell>
          <cell r="E1307" t="str">
            <v>A</v>
          </cell>
          <cell r="F1307" t="str">
            <v>03/02/1998</v>
          </cell>
        </row>
        <row r="1308">
          <cell r="B1308" t="str">
            <v>A0200</v>
          </cell>
          <cell r="C1308" t="str">
            <v>UEC</v>
          </cell>
          <cell r="D1308" t="str">
            <v>Y</v>
          </cell>
          <cell r="E1308" t="str">
            <v>A</v>
          </cell>
          <cell r="F1308" t="str">
            <v>10/15/1997</v>
          </cell>
        </row>
        <row r="1309">
          <cell r="B1309" t="str">
            <v>A0201</v>
          </cell>
          <cell r="C1309" t="str">
            <v>UEC</v>
          </cell>
          <cell r="D1309" t="str">
            <v>Y</v>
          </cell>
          <cell r="E1309" t="str">
            <v>A</v>
          </cell>
          <cell r="F1309" t="str">
            <v>10/15/1997</v>
          </cell>
        </row>
        <row r="1310">
          <cell r="B1310" t="str">
            <v>A0202</v>
          </cell>
          <cell r="C1310" t="str">
            <v>CIP</v>
          </cell>
          <cell r="D1310" t="str">
            <v>Y</v>
          </cell>
          <cell r="E1310" t="str">
            <v>A</v>
          </cell>
          <cell r="F1310" t="str">
            <v>10/15/1997</v>
          </cell>
        </row>
        <row r="1311">
          <cell r="B1311" t="str">
            <v>A0203</v>
          </cell>
          <cell r="C1311" t="str">
            <v>008B</v>
          </cell>
          <cell r="D1311" t="str">
            <v>Y</v>
          </cell>
          <cell r="E1311" t="str">
            <v>A</v>
          </cell>
          <cell r="F1311" t="str">
            <v>10/15/1997</v>
          </cell>
        </row>
        <row r="1312">
          <cell r="B1312" t="str">
            <v>A0208</v>
          </cell>
          <cell r="C1312" t="str">
            <v>012A</v>
          </cell>
          <cell r="D1312" t="str">
            <v>Y</v>
          </cell>
          <cell r="E1312" t="str">
            <v>A</v>
          </cell>
          <cell r="F1312" t="str">
            <v>11/26/1997</v>
          </cell>
        </row>
        <row r="1313">
          <cell r="B1313" t="str">
            <v>A0209</v>
          </cell>
          <cell r="C1313" t="str">
            <v>UEC</v>
          </cell>
          <cell r="D1313" t="str">
            <v>Y</v>
          </cell>
          <cell r="E1313" t="str">
            <v>A</v>
          </cell>
          <cell r="F1313" t="str">
            <v>11/26/1997</v>
          </cell>
        </row>
        <row r="1314">
          <cell r="B1314" t="str">
            <v>A0210</v>
          </cell>
          <cell r="C1314" t="str">
            <v>CIP</v>
          </cell>
          <cell r="D1314" t="str">
            <v>Y</v>
          </cell>
          <cell r="E1314" t="str">
            <v>A</v>
          </cell>
          <cell r="F1314" t="str">
            <v>11/26/1997</v>
          </cell>
        </row>
        <row r="1315">
          <cell r="B1315" t="str">
            <v>A0211</v>
          </cell>
          <cell r="C1315" t="str">
            <v>UEC</v>
          </cell>
          <cell r="D1315" t="str">
            <v>Y</v>
          </cell>
          <cell r="E1315" t="str">
            <v>A</v>
          </cell>
          <cell r="F1315" t="str">
            <v>11/26/1997</v>
          </cell>
        </row>
        <row r="1316">
          <cell r="B1316" t="str">
            <v>A0212</v>
          </cell>
          <cell r="C1316" t="str">
            <v>UEC</v>
          </cell>
          <cell r="D1316" t="str">
            <v>Y</v>
          </cell>
          <cell r="E1316" t="str">
            <v>A</v>
          </cell>
          <cell r="F1316" t="str">
            <v>10/15/1997</v>
          </cell>
        </row>
        <row r="1317">
          <cell r="B1317" t="str">
            <v>A0213</v>
          </cell>
          <cell r="C1317" t="str">
            <v>CIP</v>
          </cell>
          <cell r="D1317" t="str">
            <v>Y</v>
          </cell>
          <cell r="E1317" t="str">
            <v>A</v>
          </cell>
          <cell r="F1317" t="str">
            <v>10/16/1997</v>
          </cell>
        </row>
        <row r="1318">
          <cell r="B1318" t="str">
            <v>A0214</v>
          </cell>
          <cell r="C1318" t="str">
            <v>CIP</v>
          </cell>
          <cell r="D1318" t="str">
            <v>Y</v>
          </cell>
          <cell r="E1318" t="str">
            <v>A</v>
          </cell>
          <cell r="F1318" t="str">
            <v>10/16/1997</v>
          </cell>
        </row>
        <row r="1319">
          <cell r="B1319" t="str">
            <v>A0215</v>
          </cell>
          <cell r="C1319"/>
          <cell r="D1319" t="str">
            <v>Y</v>
          </cell>
          <cell r="E1319" t="str">
            <v>A</v>
          </cell>
          <cell r="F1319" t="str">
            <v>03/06/1998</v>
          </cell>
        </row>
        <row r="1320">
          <cell r="B1320" t="str">
            <v>A0217</v>
          </cell>
          <cell r="C1320" t="str">
            <v>UEC</v>
          </cell>
          <cell r="D1320" t="str">
            <v>Y</v>
          </cell>
          <cell r="E1320" t="str">
            <v>A</v>
          </cell>
          <cell r="F1320" t="str">
            <v>11/26/1997</v>
          </cell>
        </row>
        <row r="1321">
          <cell r="B1321" t="str">
            <v>A0218</v>
          </cell>
          <cell r="C1321" t="str">
            <v>CIC</v>
          </cell>
          <cell r="D1321" t="str">
            <v>Y</v>
          </cell>
          <cell r="E1321" t="str">
            <v>A</v>
          </cell>
          <cell r="F1321" t="str">
            <v>11/26/1997</v>
          </cell>
        </row>
        <row r="1322">
          <cell r="B1322" t="str">
            <v>A0219</v>
          </cell>
          <cell r="C1322" t="str">
            <v>UDC</v>
          </cell>
          <cell r="D1322" t="str">
            <v>Y</v>
          </cell>
          <cell r="E1322" t="str">
            <v>A</v>
          </cell>
          <cell r="F1322" t="str">
            <v>11/26/1997</v>
          </cell>
        </row>
        <row r="1323">
          <cell r="B1323" t="str">
            <v>A0220</v>
          </cell>
          <cell r="C1323" t="str">
            <v>UEC</v>
          </cell>
          <cell r="D1323" t="str">
            <v>Y</v>
          </cell>
          <cell r="E1323" t="str">
            <v>A</v>
          </cell>
          <cell r="F1323" t="str">
            <v>11/26/1997</v>
          </cell>
        </row>
        <row r="1324">
          <cell r="B1324" t="str">
            <v>A0222</v>
          </cell>
          <cell r="C1324" t="str">
            <v>017A</v>
          </cell>
          <cell r="D1324" t="str">
            <v>Y</v>
          </cell>
          <cell r="E1324" t="str">
            <v>A</v>
          </cell>
          <cell r="F1324" t="str">
            <v>10/17/1997</v>
          </cell>
        </row>
        <row r="1325">
          <cell r="B1325" t="str">
            <v>A0223</v>
          </cell>
          <cell r="C1325" t="str">
            <v>002L</v>
          </cell>
          <cell r="D1325" t="str">
            <v>Y</v>
          </cell>
          <cell r="E1325" t="str">
            <v>A</v>
          </cell>
          <cell r="F1325" t="str">
            <v>10/17/1997</v>
          </cell>
        </row>
        <row r="1326">
          <cell r="B1326" t="str">
            <v>A0224</v>
          </cell>
          <cell r="C1326" t="str">
            <v>004A</v>
          </cell>
          <cell r="D1326" t="str">
            <v>Y</v>
          </cell>
          <cell r="E1326" t="str">
            <v>A</v>
          </cell>
          <cell r="F1326" t="str">
            <v>10/17/1997</v>
          </cell>
        </row>
        <row r="1327">
          <cell r="B1327" t="str">
            <v>A0228</v>
          </cell>
          <cell r="C1327" t="str">
            <v>011A</v>
          </cell>
          <cell r="D1327" t="str">
            <v>Y</v>
          </cell>
          <cell r="E1327" t="str">
            <v>A</v>
          </cell>
          <cell r="F1327" t="str">
            <v>10/17/1997</v>
          </cell>
        </row>
        <row r="1328">
          <cell r="B1328" t="str">
            <v>A0230</v>
          </cell>
          <cell r="C1328" t="str">
            <v>UEC</v>
          </cell>
          <cell r="D1328" t="str">
            <v>Y</v>
          </cell>
          <cell r="E1328" t="str">
            <v>A</v>
          </cell>
          <cell r="F1328" t="str">
            <v>10/17/1997</v>
          </cell>
        </row>
        <row r="1329">
          <cell r="B1329" t="str">
            <v>A0231</v>
          </cell>
          <cell r="C1329" t="str">
            <v>CIP</v>
          </cell>
          <cell r="D1329" t="str">
            <v>Y</v>
          </cell>
          <cell r="E1329" t="str">
            <v>A</v>
          </cell>
          <cell r="F1329" t="str">
            <v>10/17/1997</v>
          </cell>
        </row>
        <row r="1330">
          <cell r="B1330" t="str">
            <v>A0233</v>
          </cell>
          <cell r="C1330"/>
          <cell r="D1330" t="str">
            <v>Y</v>
          </cell>
          <cell r="E1330" t="str">
            <v>A</v>
          </cell>
          <cell r="F1330" t="str">
            <v>10/17/1997</v>
          </cell>
        </row>
        <row r="1331">
          <cell r="B1331" t="str">
            <v>A0234</v>
          </cell>
          <cell r="C1331" t="str">
            <v>001A</v>
          </cell>
          <cell r="D1331" t="str">
            <v>Y</v>
          </cell>
          <cell r="E1331" t="str">
            <v>A</v>
          </cell>
          <cell r="F1331" t="str">
            <v>10/17/1997</v>
          </cell>
        </row>
        <row r="1332">
          <cell r="B1332" t="str">
            <v>A0235</v>
          </cell>
          <cell r="C1332" t="str">
            <v>004A</v>
          </cell>
          <cell r="D1332" t="str">
            <v>Y</v>
          </cell>
          <cell r="E1332" t="str">
            <v>A</v>
          </cell>
          <cell r="F1332" t="str">
            <v>10/17/1997</v>
          </cell>
        </row>
        <row r="1333">
          <cell r="B1333" t="str">
            <v>A0236</v>
          </cell>
          <cell r="C1333" t="str">
            <v>CIP</v>
          </cell>
          <cell r="D1333" t="str">
            <v>Y</v>
          </cell>
          <cell r="E1333" t="str">
            <v>A</v>
          </cell>
          <cell r="F1333" t="str">
            <v>09/24/1998</v>
          </cell>
        </row>
        <row r="1334">
          <cell r="B1334" t="str">
            <v>A0237</v>
          </cell>
          <cell r="C1334"/>
          <cell r="D1334" t="str">
            <v>Y</v>
          </cell>
          <cell r="E1334" t="str">
            <v>A</v>
          </cell>
          <cell r="F1334" t="str">
            <v>10/17/1997</v>
          </cell>
        </row>
        <row r="1335">
          <cell r="B1335" t="str">
            <v>A0238</v>
          </cell>
          <cell r="C1335" t="str">
            <v>UEC</v>
          </cell>
          <cell r="D1335" t="str">
            <v>N</v>
          </cell>
          <cell r="E1335" t="str">
            <v>A</v>
          </cell>
          <cell r="F1335" t="str">
            <v>10/20/1997</v>
          </cell>
        </row>
        <row r="1336">
          <cell r="B1336" t="str">
            <v>A0239</v>
          </cell>
          <cell r="C1336" t="str">
            <v>CIP</v>
          </cell>
          <cell r="D1336" t="str">
            <v>N</v>
          </cell>
          <cell r="E1336" t="str">
            <v>A</v>
          </cell>
          <cell r="F1336" t="str">
            <v>10/20/1997</v>
          </cell>
        </row>
        <row r="1337">
          <cell r="B1337" t="str">
            <v>A0240</v>
          </cell>
          <cell r="C1337" t="str">
            <v>UEC</v>
          </cell>
          <cell r="D1337" t="str">
            <v>Y</v>
          </cell>
          <cell r="E1337" t="str">
            <v>A</v>
          </cell>
          <cell r="F1337" t="str">
            <v>03/25/1998</v>
          </cell>
        </row>
        <row r="1338">
          <cell r="B1338" t="str">
            <v>A0241</v>
          </cell>
          <cell r="C1338" t="str">
            <v>002L</v>
          </cell>
          <cell r="D1338" t="str">
            <v>N</v>
          </cell>
          <cell r="E1338" t="str">
            <v>A</v>
          </cell>
          <cell r="F1338" t="str">
            <v>10/20/1997</v>
          </cell>
        </row>
        <row r="1339">
          <cell r="B1339" t="str">
            <v>A0242</v>
          </cell>
          <cell r="C1339" t="str">
            <v>UEC</v>
          </cell>
          <cell r="D1339" t="str">
            <v>Y</v>
          </cell>
          <cell r="E1339" t="str">
            <v>A</v>
          </cell>
          <cell r="F1339" t="str">
            <v>03/25/1998</v>
          </cell>
        </row>
        <row r="1340">
          <cell r="B1340" t="str">
            <v>A0243</v>
          </cell>
          <cell r="C1340"/>
          <cell r="D1340" t="str">
            <v>Y</v>
          </cell>
          <cell r="E1340" t="str">
            <v>A</v>
          </cell>
          <cell r="F1340" t="str">
            <v>10/20/1997</v>
          </cell>
        </row>
        <row r="1341">
          <cell r="B1341" t="str">
            <v>A0245</v>
          </cell>
          <cell r="C1341" t="str">
            <v>CIP</v>
          </cell>
          <cell r="D1341" t="str">
            <v>Y</v>
          </cell>
          <cell r="E1341" t="str">
            <v>A</v>
          </cell>
          <cell r="F1341" t="str">
            <v>10/21/1997</v>
          </cell>
        </row>
        <row r="1342">
          <cell r="B1342" t="str">
            <v>A0246</v>
          </cell>
          <cell r="C1342" t="str">
            <v>CIP</v>
          </cell>
          <cell r="D1342" t="str">
            <v>Y</v>
          </cell>
          <cell r="E1342" t="str">
            <v>A</v>
          </cell>
          <cell r="F1342" t="str">
            <v>03/25/1998</v>
          </cell>
        </row>
        <row r="1343">
          <cell r="B1343" t="str">
            <v>A0247</v>
          </cell>
          <cell r="C1343" t="str">
            <v>004F</v>
          </cell>
          <cell r="D1343" t="str">
            <v>Y</v>
          </cell>
          <cell r="E1343" t="str">
            <v>A</v>
          </cell>
          <cell r="F1343" t="str">
            <v>10/21/1997</v>
          </cell>
        </row>
        <row r="1344">
          <cell r="B1344" t="str">
            <v>A0248</v>
          </cell>
          <cell r="C1344" t="str">
            <v>002K</v>
          </cell>
          <cell r="D1344" t="str">
            <v>Y</v>
          </cell>
          <cell r="E1344" t="str">
            <v>A</v>
          </cell>
          <cell r="F1344" t="str">
            <v>09/24/1998</v>
          </cell>
        </row>
        <row r="1345">
          <cell r="B1345" t="str">
            <v>A0249</v>
          </cell>
          <cell r="C1345" t="str">
            <v>002L</v>
          </cell>
          <cell r="D1345" t="str">
            <v>Y</v>
          </cell>
          <cell r="E1345" t="str">
            <v>A</v>
          </cell>
          <cell r="F1345" t="str">
            <v>09/24/1998</v>
          </cell>
        </row>
        <row r="1346">
          <cell r="B1346" t="str">
            <v>A0250</v>
          </cell>
          <cell r="C1346" t="str">
            <v>001A</v>
          </cell>
          <cell r="D1346" t="str">
            <v>Y</v>
          </cell>
          <cell r="E1346" t="str">
            <v>A</v>
          </cell>
          <cell r="F1346" t="str">
            <v>12/01/1997</v>
          </cell>
        </row>
        <row r="1347">
          <cell r="B1347" t="str">
            <v>A0251</v>
          </cell>
          <cell r="C1347" t="str">
            <v>CIP</v>
          </cell>
          <cell r="D1347" t="str">
            <v>Y</v>
          </cell>
          <cell r="E1347" t="str">
            <v>A</v>
          </cell>
          <cell r="F1347" t="str">
            <v>12/01/1997</v>
          </cell>
        </row>
        <row r="1348">
          <cell r="B1348" t="str">
            <v>A0252</v>
          </cell>
          <cell r="C1348" t="str">
            <v>004C</v>
          </cell>
          <cell r="D1348" t="str">
            <v>Y</v>
          </cell>
          <cell r="E1348" t="str">
            <v>A</v>
          </cell>
          <cell r="F1348" t="str">
            <v>12/02/1997</v>
          </cell>
        </row>
        <row r="1349">
          <cell r="B1349" t="str">
            <v>A0253</v>
          </cell>
          <cell r="C1349" t="str">
            <v>004A</v>
          </cell>
          <cell r="D1349" t="str">
            <v>Y</v>
          </cell>
          <cell r="E1349" t="str">
            <v>A</v>
          </cell>
          <cell r="F1349" t="str">
            <v>10/23/1997</v>
          </cell>
        </row>
        <row r="1350">
          <cell r="B1350" t="str">
            <v>A0254</v>
          </cell>
          <cell r="C1350"/>
          <cell r="D1350" t="str">
            <v>Y</v>
          </cell>
          <cell r="E1350" t="str">
            <v>A</v>
          </cell>
          <cell r="F1350" t="str">
            <v>10/23/1997</v>
          </cell>
        </row>
        <row r="1351">
          <cell r="B1351" t="str">
            <v>A0255</v>
          </cell>
          <cell r="C1351"/>
          <cell r="D1351" t="str">
            <v>Y</v>
          </cell>
          <cell r="E1351" t="str">
            <v>A</v>
          </cell>
          <cell r="F1351" t="str">
            <v>10/24/1997</v>
          </cell>
        </row>
        <row r="1352">
          <cell r="B1352" t="str">
            <v>A0256</v>
          </cell>
          <cell r="C1352" t="str">
            <v>004A</v>
          </cell>
          <cell r="D1352" t="str">
            <v>N</v>
          </cell>
          <cell r="E1352" t="str">
            <v>A</v>
          </cell>
          <cell r="F1352" t="str">
            <v>10/24/1997</v>
          </cell>
        </row>
        <row r="1353">
          <cell r="B1353" t="str">
            <v>A0259</v>
          </cell>
          <cell r="C1353"/>
          <cell r="D1353" t="str">
            <v>Y</v>
          </cell>
          <cell r="E1353" t="str">
            <v>A</v>
          </cell>
          <cell r="F1353" t="str">
            <v>10/24/1997</v>
          </cell>
        </row>
        <row r="1354">
          <cell r="B1354" t="str">
            <v>A0262</v>
          </cell>
          <cell r="C1354" t="str">
            <v>007A</v>
          </cell>
          <cell r="D1354" t="str">
            <v>Y</v>
          </cell>
          <cell r="E1354" t="str">
            <v>A</v>
          </cell>
          <cell r="F1354" t="str">
            <v>12/02/1997</v>
          </cell>
        </row>
        <row r="1355">
          <cell r="B1355" t="str">
            <v>A0266</v>
          </cell>
          <cell r="C1355" t="str">
            <v>UEC</v>
          </cell>
          <cell r="D1355" t="str">
            <v>Y</v>
          </cell>
          <cell r="E1355" t="str">
            <v>A</v>
          </cell>
          <cell r="F1355" t="str">
            <v>10/24/1997</v>
          </cell>
        </row>
        <row r="1356">
          <cell r="B1356" t="str">
            <v>A0273</v>
          </cell>
          <cell r="C1356" t="str">
            <v>UEC</v>
          </cell>
          <cell r="D1356" t="str">
            <v>Y</v>
          </cell>
          <cell r="E1356" t="str">
            <v>A</v>
          </cell>
          <cell r="F1356" t="str">
            <v>10/24/1997</v>
          </cell>
        </row>
        <row r="1357">
          <cell r="B1357" t="str">
            <v>A0274</v>
          </cell>
          <cell r="C1357" t="str">
            <v>CIP</v>
          </cell>
          <cell r="D1357" t="str">
            <v>Y</v>
          </cell>
          <cell r="E1357" t="str">
            <v>A</v>
          </cell>
          <cell r="F1357" t="str">
            <v>10/24/1997</v>
          </cell>
        </row>
        <row r="1358">
          <cell r="B1358" t="str">
            <v>A0275</v>
          </cell>
          <cell r="C1358" t="str">
            <v>AMC</v>
          </cell>
          <cell r="D1358" t="str">
            <v>Y</v>
          </cell>
          <cell r="E1358" t="str">
            <v>A</v>
          </cell>
          <cell r="F1358" t="str">
            <v>10/24/1997</v>
          </cell>
        </row>
        <row r="1359">
          <cell r="B1359" t="str">
            <v>A0276</v>
          </cell>
          <cell r="C1359" t="str">
            <v>CIC</v>
          </cell>
          <cell r="D1359" t="str">
            <v>Y</v>
          </cell>
          <cell r="E1359" t="str">
            <v>A</v>
          </cell>
          <cell r="F1359" t="str">
            <v>10/24/1997</v>
          </cell>
        </row>
        <row r="1360">
          <cell r="B1360" t="str">
            <v>A0277</v>
          </cell>
          <cell r="C1360" t="str">
            <v>UDC</v>
          </cell>
          <cell r="D1360" t="str">
            <v>Y</v>
          </cell>
          <cell r="E1360" t="str">
            <v>A</v>
          </cell>
          <cell r="F1360" t="str">
            <v>10/24/1997</v>
          </cell>
        </row>
        <row r="1361">
          <cell r="B1361" t="str">
            <v>A0278</v>
          </cell>
          <cell r="C1361" t="str">
            <v>UDC</v>
          </cell>
          <cell r="D1361" t="str">
            <v>Y</v>
          </cell>
          <cell r="E1361" t="str">
            <v>A</v>
          </cell>
          <cell r="F1361" t="str">
            <v>10/24/1997</v>
          </cell>
        </row>
        <row r="1362">
          <cell r="B1362" t="str">
            <v>A0279</v>
          </cell>
          <cell r="C1362" t="str">
            <v>UEC</v>
          </cell>
          <cell r="D1362" t="str">
            <v>N</v>
          </cell>
          <cell r="E1362" t="str">
            <v>A</v>
          </cell>
          <cell r="F1362" t="str">
            <v>10/25/1997</v>
          </cell>
        </row>
        <row r="1363">
          <cell r="B1363" t="str">
            <v>A0280</v>
          </cell>
          <cell r="C1363" t="str">
            <v>CIP</v>
          </cell>
          <cell r="D1363" t="str">
            <v>N</v>
          </cell>
          <cell r="E1363" t="str">
            <v>A</v>
          </cell>
          <cell r="F1363" t="str">
            <v>10/25/1997</v>
          </cell>
        </row>
        <row r="1364">
          <cell r="B1364" t="str">
            <v>A0281</v>
          </cell>
          <cell r="C1364" t="str">
            <v>UEC</v>
          </cell>
          <cell r="D1364" t="str">
            <v>N</v>
          </cell>
          <cell r="E1364" t="str">
            <v>A</v>
          </cell>
          <cell r="F1364" t="str">
            <v>10/25/1997</v>
          </cell>
        </row>
        <row r="1365">
          <cell r="B1365" t="str">
            <v>A0282</v>
          </cell>
          <cell r="C1365" t="str">
            <v>CIP</v>
          </cell>
          <cell r="D1365" t="str">
            <v>N</v>
          </cell>
          <cell r="E1365" t="str">
            <v>A</v>
          </cell>
          <cell r="F1365" t="str">
            <v>10/25/1997</v>
          </cell>
        </row>
        <row r="1366">
          <cell r="B1366" t="str">
            <v>A0283</v>
          </cell>
          <cell r="C1366" t="str">
            <v>UEC</v>
          </cell>
          <cell r="D1366" t="str">
            <v>N</v>
          </cell>
          <cell r="E1366" t="str">
            <v>A</v>
          </cell>
          <cell r="F1366" t="str">
            <v>10/25/1997</v>
          </cell>
        </row>
        <row r="1367">
          <cell r="B1367" t="str">
            <v>A0284</v>
          </cell>
          <cell r="C1367" t="str">
            <v>CIP</v>
          </cell>
          <cell r="D1367" t="str">
            <v>N</v>
          </cell>
          <cell r="E1367" t="str">
            <v>A</v>
          </cell>
          <cell r="F1367" t="str">
            <v>10/25/1997</v>
          </cell>
        </row>
        <row r="1368">
          <cell r="B1368" t="str">
            <v>A0285</v>
          </cell>
          <cell r="C1368" t="str">
            <v>008C</v>
          </cell>
          <cell r="D1368" t="str">
            <v>Y</v>
          </cell>
          <cell r="E1368" t="str">
            <v>A</v>
          </cell>
          <cell r="F1368" t="str">
            <v>10/25/1997</v>
          </cell>
        </row>
        <row r="1369">
          <cell r="B1369" t="str">
            <v>A0286</v>
          </cell>
          <cell r="C1369" t="str">
            <v>008C</v>
          </cell>
          <cell r="D1369" t="str">
            <v>Y</v>
          </cell>
          <cell r="E1369" t="str">
            <v>A</v>
          </cell>
          <cell r="F1369" t="str">
            <v>10/25/1997</v>
          </cell>
        </row>
        <row r="1370">
          <cell r="B1370" t="str">
            <v>A0287</v>
          </cell>
          <cell r="C1370" t="str">
            <v>008C</v>
          </cell>
          <cell r="D1370" t="str">
            <v>Y</v>
          </cell>
          <cell r="E1370" t="str">
            <v>A</v>
          </cell>
          <cell r="F1370" t="str">
            <v>10/25/1997</v>
          </cell>
        </row>
        <row r="1371">
          <cell r="B1371" t="str">
            <v>A0288</v>
          </cell>
          <cell r="C1371" t="str">
            <v>001A</v>
          </cell>
          <cell r="D1371" t="str">
            <v>N</v>
          </cell>
          <cell r="E1371" t="str">
            <v>A</v>
          </cell>
          <cell r="F1371" t="str">
            <v>10/27/1997</v>
          </cell>
        </row>
        <row r="1372">
          <cell r="B1372" t="str">
            <v>A0290</v>
          </cell>
          <cell r="C1372" t="str">
            <v>UEC</v>
          </cell>
          <cell r="D1372" t="str">
            <v>Y</v>
          </cell>
          <cell r="E1372" t="str">
            <v>A</v>
          </cell>
          <cell r="F1372" t="str">
            <v>12/02/1997</v>
          </cell>
        </row>
        <row r="1373">
          <cell r="B1373" t="str">
            <v>A0291</v>
          </cell>
          <cell r="C1373" t="str">
            <v>UEC</v>
          </cell>
          <cell r="D1373" t="str">
            <v>Y</v>
          </cell>
          <cell r="E1373" t="str">
            <v>A</v>
          </cell>
          <cell r="F1373" t="str">
            <v>10/27/1997</v>
          </cell>
        </row>
        <row r="1374">
          <cell r="B1374" t="str">
            <v>A0292</v>
          </cell>
          <cell r="C1374" t="str">
            <v>002D</v>
          </cell>
          <cell r="D1374" t="str">
            <v>Y</v>
          </cell>
          <cell r="E1374" t="str">
            <v>A</v>
          </cell>
          <cell r="F1374" t="str">
            <v>10/27/1997</v>
          </cell>
        </row>
        <row r="1375">
          <cell r="B1375" t="str">
            <v>A0293</v>
          </cell>
          <cell r="C1375" t="str">
            <v>012A</v>
          </cell>
          <cell r="D1375" t="str">
            <v>Y</v>
          </cell>
          <cell r="E1375" t="str">
            <v>A</v>
          </cell>
          <cell r="F1375" t="str">
            <v>10/27/1997</v>
          </cell>
        </row>
        <row r="1376">
          <cell r="B1376" t="str">
            <v>A0294</v>
          </cell>
          <cell r="C1376" t="str">
            <v>CIP</v>
          </cell>
          <cell r="D1376" t="str">
            <v>Y</v>
          </cell>
          <cell r="E1376" t="str">
            <v>A</v>
          </cell>
          <cell r="F1376" t="str">
            <v>10/27/1997</v>
          </cell>
        </row>
        <row r="1377">
          <cell r="B1377" t="str">
            <v>A0295</v>
          </cell>
          <cell r="C1377" t="str">
            <v>UEC</v>
          </cell>
          <cell r="D1377" t="str">
            <v>Y</v>
          </cell>
          <cell r="E1377" t="str">
            <v>I</v>
          </cell>
          <cell r="F1377" t="str">
            <v>10/27/1997</v>
          </cell>
        </row>
        <row r="1378">
          <cell r="B1378" t="str">
            <v>A0296</v>
          </cell>
          <cell r="C1378" t="str">
            <v>CIP</v>
          </cell>
          <cell r="D1378" t="str">
            <v>Y</v>
          </cell>
          <cell r="E1378" t="str">
            <v>A</v>
          </cell>
          <cell r="F1378" t="str">
            <v>12/02/1997</v>
          </cell>
        </row>
        <row r="1379">
          <cell r="B1379" t="str">
            <v>A0297</v>
          </cell>
          <cell r="C1379" t="str">
            <v>CIP</v>
          </cell>
          <cell r="D1379" t="str">
            <v>Y</v>
          </cell>
          <cell r="E1379" t="str">
            <v>A</v>
          </cell>
          <cell r="F1379" t="str">
            <v>10/27/1997</v>
          </cell>
        </row>
        <row r="1380">
          <cell r="B1380" t="str">
            <v>A0298</v>
          </cell>
          <cell r="C1380" t="str">
            <v>002B</v>
          </cell>
          <cell r="D1380" t="str">
            <v>Y</v>
          </cell>
          <cell r="E1380" t="str">
            <v>I</v>
          </cell>
          <cell r="F1380" t="str">
            <v>10/27/1997</v>
          </cell>
        </row>
        <row r="1381">
          <cell r="B1381" t="str">
            <v>A0299</v>
          </cell>
          <cell r="C1381" t="str">
            <v>002D</v>
          </cell>
          <cell r="D1381" t="str">
            <v>Y</v>
          </cell>
          <cell r="E1381" t="str">
            <v>A</v>
          </cell>
          <cell r="F1381" t="str">
            <v>10/27/1997</v>
          </cell>
        </row>
        <row r="1382">
          <cell r="B1382" t="str">
            <v>A0300</v>
          </cell>
          <cell r="C1382" t="str">
            <v>UEC</v>
          </cell>
          <cell r="D1382" t="str">
            <v>Y</v>
          </cell>
          <cell r="E1382" t="str">
            <v>A</v>
          </cell>
          <cell r="F1382" t="str">
            <v>10/27/1997</v>
          </cell>
        </row>
        <row r="1383">
          <cell r="B1383" t="str">
            <v>A0302</v>
          </cell>
          <cell r="C1383" t="str">
            <v>CIP</v>
          </cell>
          <cell r="D1383" t="str">
            <v>Y</v>
          </cell>
          <cell r="E1383" t="str">
            <v>A</v>
          </cell>
          <cell r="F1383" t="str">
            <v>10/27/1997</v>
          </cell>
        </row>
        <row r="1384">
          <cell r="B1384" t="str">
            <v>A0305</v>
          </cell>
          <cell r="C1384" t="str">
            <v>UEC</v>
          </cell>
          <cell r="D1384" t="str">
            <v>Y</v>
          </cell>
          <cell r="E1384" t="str">
            <v>A</v>
          </cell>
          <cell r="F1384" t="str">
            <v>10/28/1997</v>
          </cell>
        </row>
        <row r="1385">
          <cell r="B1385" t="str">
            <v>A0306</v>
          </cell>
          <cell r="C1385" t="str">
            <v>CIP</v>
          </cell>
          <cell r="D1385" t="str">
            <v>Y</v>
          </cell>
          <cell r="E1385" t="str">
            <v>A</v>
          </cell>
          <cell r="F1385" t="str">
            <v>10/28/1997</v>
          </cell>
        </row>
        <row r="1386">
          <cell r="B1386" t="str">
            <v>A0307</v>
          </cell>
          <cell r="C1386" t="str">
            <v>002A</v>
          </cell>
          <cell r="D1386" t="str">
            <v>Y</v>
          </cell>
          <cell r="E1386" t="str">
            <v>A</v>
          </cell>
          <cell r="F1386" t="str">
            <v>10/28/1997</v>
          </cell>
        </row>
        <row r="1387">
          <cell r="B1387" t="str">
            <v>A0308</v>
          </cell>
          <cell r="C1387" t="str">
            <v>UEC</v>
          </cell>
          <cell r="D1387" t="str">
            <v>Y</v>
          </cell>
          <cell r="E1387" t="str">
            <v>A</v>
          </cell>
          <cell r="F1387" t="str">
            <v>10/28/1997</v>
          </cell>
        </row>
        <row r="1388">
          <cell r="B1388" t="str">
            <v>A0309</v>
          </cell>
          <cell r="C1388" t="str">
            <v>CIP</v>
          </cell>
          <cell r="D1388" t="str">
            <v>Y</v>
          </cell>
          <cell r="E1388" t="str">
            <v>A</v>
          </cell>
          <cell r="F1388" t="str">
            <v>10/28/1997</v>
          </cell>
        </row>
        <row r="1389">
          <cell r="B1389" t="str">
            <v>A0310</v>
          </cell>
          <cell r="C1389" t="str">
            <v>002K</v>
          </cell>
          <cell r="D1389" t="str">
            <v>Y</v>
          </cell>
          <cell r="E1389" t="str">
            <v>A</v>
          </cell>
          <cell r="F1389" t="str">
            <v>10/28/1997</v>
          </cell>
        </row>
        <row r="1390">
          <cell r="B1390" t="str">
            <v>A0311</v>
          </cell>
          <cell r="C1390" t="str">
            <v>001A</v>
          </cell>
          <cell r="D1390" t="str">
            <v>Y</v>
          </cell>
          <cell r="E1390" t="str">
            <v>A</v>
          </cell>
          <cell r="F1390" t="str">
            <v>10/29/1997</v>
          </cell>
        </row>
        <row r="1391">
          <cell r="B1391" t="str">
            <v>A0312</v>
          </cell>
          <cell r="C1391" t="str">
            <v>UEC</v>
          </cell>
          <cell r="D1391" t="str">
            <v>Y</v>
          </cell>
          <cell r="E1391" t="str">
            <v>A</v>
          </cell>
          <cell r="F1391" t="str">
            <v>10/29/1997</v>
          </cell>
        </row>
        <row r="1392">
          <cell r="B1392" t="str">
            <v>A0314</v>
          </cell>
          <cell r="C1392" t="str">
            <v>CIP</v>
          </cell>
          <cell r="D1392" t="str">
            <v>Y</v>
          </cell>
          <cell r="E1392" t="str">
            <v>A</v>
          </cell>
          <cell r="F1392" t="str">
            <v>10/29/1997</v>
          </cell>
        </row>
        <row r="1393">
          <cell r="B1393" t="str">
            <v>A0315</v>
          </cell>
          <cell r="C1393" t="str">
            <v>002L</v>
          </cell>
          <cell r="D1393" t="str">
            <v>Y</v>
          </cell>
          <cell r="E1393" t="str">
            <v>A</v>
          </cell>
          <cell r="F1393" t="str">
            <v>10/29/1997</v>
          </cell>
        </row>
        <row r="1394">
          <cell r="B1394" t="str">
            <v>A0316</v>
          </cell>
          <cell r="C1394"/>
          <cell r="D1394" t="str">
            <v>N</v>
          </cell>
          <cell r="E1394" t="str">
            <v>A</v>
          </cell>
          <cell r="F1394" t="str">
            <v>10/29/1997</v>
          </cell>
        </row>
        <row r="1395">
          <cell r="B1395" t="str">
            <v>A0317</v>
          </cell>
          <cell r="C1395" t="str">
            <v>001G</v>
          </cell>
          <cell r="D1395" t="str">
            <v>Y</v>
          </cell>
          <cell r="E1395" t="str">
            <v>A</v>
          </cell>
          <cell r="F1395" t="str">
            <v>10/29/1997</v>
          </cell>
        </row>
        <row r="1396">
          <cell r="B1396" t="str">
            <v>A0318</v>
          </cell>
          <cell r="C1396" t="str">
            <v>UEC</v>
          </cell>
          <cell r="D1396" t="str">
            <v>Y</v>
          </cell>
          <cell r="E1396" t="str">
            <v>A</v>
          </cell>
          <cell r="F1396" t="str">
            <v>10/29/1997</v>
          </cell>
        </row>
        <row r="1397">
          <cell r="B1397" t="str">
            <v>A0319</v>
          </cell>
          <cell r="C1397" t="str">
            <v>017B</v>
          </cell>
          <cell r="D1397" t="str">
            <v>Y</v>
          </cell>
          <cell r="E1397" t="str">
            <v>A</v>
          </cell>
          <cell r="F1397" t="str">
            <v>10/29/1997</v>
          </cell>
        </row>
        <row r="1398">
          <cell r="B1398" t="str">
            <v>A0320</v>
          </cell>
          <cell r="C1398" t="str">
            <v>CIP</v>
          </cell>
          <cell r="D1398" t="str">
            <v>Y</v>
          </cell>
          <cell r="E1398" t="str">
            <v>A</v>
          </cell>
          <cell r="F1398" t="str">
            <v>10/29/1997</v>
          </cell>
        </row>
        <row r="1399">
          <cell r="B1399" t="str">
            <v>A0321</v>
          </cell>
          <cell r="C1399" t="str">
            <v>016A</v>
          </cell>
          <cell r="D1399" t="str">
            <v>Y</v>
          </cell>
          <cell r="E1399" t="str">
            <v>A</v>
          </cell>
          <cell r="F1399" t="str">
            <v>10/29/1997</v>
          </cell>
        </row>
        <row r="1400">
          <cell r="B1400" t="str">
            <v>A0322</v>
          </cell>
          <cell r="C1400"/>
          <cell r="D1400" t="str">
            <v>N</v>
          </cell>
          <cell r="E1400" t="str">
            <v>A</v>
          </cell>
          <cell r="F1400" t="str">
            <v>10/29/1997</v>
          </cell>
        </row>
        <row r="1401">
          <cell r="B1401" t="str">
            <v>A0323</v>
          </cell>
          <cell r="C1401" t="str">
            <v>UEC</v>
          </cell>
          <cell r="D1401" t="str">
            <v>Y</v>
          </cell>
          <cell r="E1401" t="str">
            <v>A</v>
          </cell>
          <cell r="F1401" t="str">
            <v>10/29/1997</v>
          </cell>
        </row>
        <row r="1402">
          <cell r="B1402" t="str">
            <v>A0324</v>
          </cell>
          <cell r="C1402" t="str">
            <v>CIP</v>
          </cell>
          <cell r="D1402" t="str">
            <v>Y</v>
          </cell>
          <cell r="E1402" t="str">
            <v>A</v>
          </cell>
          <cell r="F1402" t="str">
            <v>10/29/1997</v>
          </cell>
        </row>
        <row r="1403">
          <cell r="B1403" t="str">
            <v>A0325</v>
          </cell>
          <cell r="C1403" t="str">
            <v>016A</v>
          </cell>
          <cell r="D1403" t="str">
            <v>Y</v>
          </cell>
          <cell r="E1403" t="str">
            <v>A</v>
          </cell>
          <cell r="F1403" t="str">
            <v>10/29/1997</v>
          </cell>
        </row>
        <row r="1404">
          <cell r="B1404" t="str">
            <v>A0326</v>
          </cell>
          <cell r="C1404"/>
          <cell r="D1404" t="str">
            <v>Y</v>
          </cell>
          <cell r="E1404" t="str">
            <v>A</v>
          </cell>
          <cell r="F1404" t="str">
            <v>12/02/1997</v>
          </cell>
        </row>
        <row r="1405">
          <cell r="B1405" t="str">
            <v>A0333</v>
          </cell>
          <cell r="C1405" t="str">
            <v>004A</v>
          </cell>
          <cell r="D1405" t="str">
            <v>Y</v>
          </cell>
          <cell r="E1405" t="str">
            <v>A</v>
          </cell>
          <cell r="F1405" t="str">
            <v>10/31/1997</v>
          </cell>
        </row>
        <row r="1406">
          <cell r="B1406" t="str">
            <v>A0335</v>
          </cell>
          <cell r="C1406" t="str">
            <v>007A</v>
          </cell>
          <cell r="D1406" t="str">
            <v>Y</v>
          </cell>
          <cell r="E1406" t="str">
            <v>I</v>
          </cell>
          <cell r="F1406" t="str">
            <v>10/31/1997</v>
          </cell>
        </row>
        <row r="1407">
          <cell r="B1407" t="str">
            <v>A0337</v>
          </cell>
          <cell r="C1407" t="str">
            <v>011A</v>
          </cell>
          <cell r="D1407" t="str">
            <v>Y</v>
          </cell>
          <cell r="E1407" t="str">
            <v>A</v>
          </cell>
          <cell r="F1407" t="str">
            <v>10/31/1997</v>
          </cell>
        </row>
        <row r="1408">
          <cell r="B1408" t="str">
            <v>A0338</v>
          </cell>
          <cell r="C1408" t="str">
            <v>004A</v>
          </cell>
          <cell r="D1408" t="str">
            <v>Y</v>
          </cell>
          <cell r="E1408" t="str">
            <v>A</v>
          </cell>
          <cell r="F1408" t="str">
            <v>10/31/1997</v>
          </cell>
        </row>
        <row r="1409">
          <cell r="B1409" t="str">
            <v>A0339</v>
          </cell>
          <cell r="C1409" t="str">
            <v>001A</v>
          </cell>
          <cell r="D1409" t="str">
            <v>Y</v>
          </cell>
          <cell r="E1409" t="str">
            <v>A</v>
          </cell>
          <cell r="F1409" t="str">
            <v>10/31/1997</v>
          </cell>
        </row>
        <row r="1410">
          <cell r="B1410" t="str">
            <v>A0340</v>
          </cell>
          <cell r="C1410" t="str">
            <v>001A</v>
          </cell>
          <cell r="D1410" t="str">
            <v>Y</v>
          </cell>
          <cell r="E1410" t="str">
            <v>A</v>
          </cell>
          <cell r="F1410" t="str">
            <v>10/31/1997</v>
          </cell>
        </row>
        <row r="1411">
          <cell r="B1411" t="str">
            <v>A0341</v>
          </cell>
          <cell r="C1411" t="str">
            <v>UEC</v>
          </cell>
          <cell r="D1411" t="str">
            <v>Y</v>
          </cell>
          <cell r="E1411" t="str">
            <v>A</v>
          </cell>
          <cell r="F1411" t="str">
            <v>11/03/1997</v>
          </cell>
        </row>
        <row r="1412">
          <cell r="B1412" t="str">
            <v>A0342</v>
          </cell>
          <cell r="C1412" t="str">
            <v>001A</v>
          </cell>
          <cell r="D1412" t="str">
            <v>Y</v>
          </cell>
          <cell r="E1412" t="str">
            <v>A</v>
          </cell>
          <cell r="F1412" t="str">
            <v>11/03/1997</v>
          </cell>
        </row>
        <row r="1413">
          <cell r="B1413" t="str">
            <v>A0343</v>
          </cell>
          <cell r="C1413" t="str">
            <v>002L</v>
          </cell>
          <cell r="D1413" t="str">
            <v>Y</v>
          </cell>
          <cell r="E1413" t="str">
            <v>A</v>
          </cell>
          <cell r="F1413" t="str">
            <v>11/03/1997</v>
          </cell>
        </row>
        <row r="1414">
          <cell r="B1414" t="str">
            <v>A0344</v>
          </cell>
          <cell r="C1414" t="str">
            <v>002L</v>
          </cell>
          <cell r="D1414" t="str">
            <v>Y</v>
          </cell>
          <cell r="E1414" t="str">
            <v>A</v>
          </cell>
          <cell r="F1414" t="str">
            <v>11/03/1997</v>
          </cell>
        </row>
        <row r="1415">
          <cell r="B1415" t="str">
            <v>A0345</v>
          </cell>
          <cell r="C1415" t="str">
            <v>002L</v>
          </cell>
          <cell r="D1415" t="str">
            <v>Y</v>
          </cell>
          <cell r="E1415" t="str">
            <v>A</v>
          </cell>
          <cell r="F1415" t="str">
            <v>11/03/1997</v>
          </cell>
        </row>
        <row r="1416">
          <cell r="B1416" t="str">
            <v>A0346</v>
          </cell>
          <cell r="C1416" t="str">
            <v>UEC</v>
          </cell>
          <cell r="D1416" t="str">
            <v>Y</v>
          </cell>
          <cell r="E1416" t="str">
            <v>A</v>
          </cell>
          <cell r="F1416" t="str">
            <v>11/03/1997</v>
          </cell>
        </row>
        <row r="1417">
          <cell r="B1417" t="str">
            <v>A0348</v>
          </cell>
          <cell r="C1417" t="str">
            <v>004A</v>
          </cell>
          <cell r="D1417" t="str">
            <v>Y</v>
          </cell>
          <cell r="E1417" t="str">
            <v>A</v>
          </cell>
          <cell r="F1417" t="str">
            <v>11/03/1997</v>
          </cell>
        </row>
        <row r="1418">
          <cell r="B1418" t="str">
            <v>A0349</v>
          </cell>
          <cell r="C1418" t="str">
            <v>004A</v>
          </cell>
          <cell r="D1418" t="str">
            <v>Y</v>
          </cell>
          <cell r="E1418" t="str">
            <v>A</v>
          </cell>
          <cell r="F1418" t="str">
            <v>11/03/1997</v>
          </cell>
        </row>
        <row r="1419">
          <cell r="B1419" t="str">
            <v>A0350</v>
          </cell>
          <cell r="C1419"/>
          <cell r="D1419" t="str">
            <v>Y</v>
          </cell>
          <cell r="E1419" t="str">
            <v>A</v>
          </cell>
          <cell r="F1419" t="str">
            <v>11/03/1997</v>
          </cell>
        </row>
        <row r="1420">
          <cell r="B1420" t="str">
            <v>A0351</v>
          </cell>
          <cell r="C1420"/>
          <cell r="D1420" t="str">
            <v>Y</v>
          </cell>
          <cell r="E1420" t="str">
            <v>A</v>
          </cell>
          <cell r="F1420" t="str">
            <v>11/03/1997</v>
          </cell>
        </row>
        <row r="1421">
          <cell r="B1421" t="str">
            <v>A0352</v>
          </cell>
          <cell r="C1421" t="str">
            <v>UEC</v>
          </cell>
          <cell r="D1421" t="str">
            <v>Y</v>
          </cell>
          <cell r="E1421" t="str">
            <v>A</v>
          </cell>
          <cell r="F1421" t="str">
            <v>11/03/1997</v>
          </cell>
        </row>
        <row r="1422">
          <cell r="B1422" t="str">
            <v>A0353</v>
          </cell>
          <cell r="C1422" t="str">
            <v>002A</v>
          </cell>
          <cell r="D1422" t="str">
            <v>Y</v>
          </cell>
          <cell r="E1422" t="str">
            <v>A</v>
          </cell>
          <cell r="F1422" t="str">
            <v>11/03/1997</v>
          </cell>
        </row>
        <row r="1423">
          <cell r="B1423" t="str">
            <v>A0354</v>
          </cell>
          <cell r="C1423" t="str">
            <v>CIP</v>
          </cell>
          <cell r="D1423" t="str">
            <v>Y</v>
          </cell>
          <cell r="E1423" t="str">
            <v>A</v>
          </cell>
          <cell r="F1423" t="str">
            <v>10/29/1998</v>
          </cell>
        </row>
        <row r="1424">
          <cell r="B1424" t="str">
            <v>A0355</v>
          </cell>
          <cell r="C1424" t="str">
            <v>008B</v>
          </cell>
          <cell r="D1424" t="str">
            <v>Y</v>
          </cell>
          <cell r="E1424" t="str">
            <v>A</v>
          </cell>
          <cell r="F1424" t="str">
            <v>11/04/1997</v>
          </cell>
        </row>
        <row r="1425">
          <cell r="B1425" t="str">
            <v>A0356</v>
          </cell>
          <cell r="C1425" t="str">
            <v>ERC</v>
          </cell>
          <cell r="D1425" t="str">
            <v>Y</v>
          </cell>
          <cell r="E1425" t="str">
            <v>A</v>
          </cell>
          <cell r="F1425" t="str">
            <v>04/28/1998</v>
          </cell>
        </row>
        <row r="1426">
          <cell r="B1426" t="str">
            <v>A0359</v>
          </cell>
          <cell r="C1426" t="str">
            <v>007A</v>
          </cell>
          <cell r="D1426" t="str">
            <v>Y</v>
          </cell>
          <cell r="E1426" t="str">
            <v>A</v>
          </cell>
          <cell r="F1426" t="str">
            <v>04/28/1998</v>
          </cell>
        </row>
        <row r="1427">
          <cell r="B1427" t="str">
            <v>A0361</v>
          </cell>
          <cell r="C1427" t="str">
            <v>002K</v>
          </cell>
          <cell r="D1427" t="str">
            <v>Y</v>
          </cell>
          <cell r="E1427" t="str">
            <v>A</v>
          </cell>
          <cell r="F1427" t="str">
            <v>12/03/1997</v>
          </cell>
        </row>
        <row r="1428">
          <cell r="B1428" t="str">
            <v>A0364</v>
          </cell>
          <cell r="C1428" t="str">
            <v>AME</v>
          </cell>
          <cell r="D1428" t="str">
            <v>Y</v>
          </cell>
          <cell r="E1428" t="str">
            <v>A</v>
          </cell>
          <cell r="F1428" t="str">
            <v>10/29/1998</v>
          </cell>
        </row>
        <row r="1429">
          <cell r="B1429" t="str">
            <v>A0366</v>
          </cell>
          <cell r="C1429" t="str">
            <v>011A</v>
          </cell>
          <cell r="D1429" t="str">
            <v>Y</v>
          </cell>
          <cell r="E1429" t="str">
            <v>A</v>
          </cell>
          <cell r="F1429" t="str">
            <v>11/07/1997</v>
          </cell>
        </row>
        <row r="1430">
          <cell r="B1430" t="str">
            <v>A0367</v>
          </cell>
          <cell r="C1430" t="str">
            <v>UEC</v>
          </cell>
          <cell r="D1430" t="str">
            <v>Y</v>
          </cell>
          <cell r="E1430" t="str">
            <v>A</v>
          </cell>
          <cell r="F1430" t="str">
            <v>11/07/1997</v>
          </cell>
        </row>
        <row r="1431">
          <cell r="B1431" t="str">
            <v>A0368</v>
          </cell>
          <cell r="C1431" t="str">
            <v>GEN</v>
          </cell>
          <cell r="D1431" t="str">
            <v>Y</v>
          </cell>
          <cell r="E1431" t="str">
            <v>A</v>
          </cell>
          <cell r="F1431" t="str">
            <v>11/07/1997</v>
          </cell>
        </row>
        <row r="1432">
          <cell r="B1432" t="str">
            <v>A0369</v>
          </cell>
          <cell r="C1432" t="str">
            <v>UEC</v>
          </cell>
          <cell r="D1432" t="str">
            <v>Y</v>
          </cell>
          <cell r="E1432" t="str">
            <v>A</v>
          </cell>
          <cell r="F1432" t="str">
            <v>11/07/1997</v>
          </cell>
        </row>
        <row r="1433">
          <cell r="B1433" t="str">
            <v>A0370</v>
          </cell>
          <cell r="C1433" t="str">
            <v>CIP</v>
          </cell>
          <cell r="D1433" t="str">
            <v>Y</v>
          </cell>
          <cell r="E1433" t="str">
            <v>A</v>
          </cell>
          <cell r="F1433" t="str">
            <v>11/07/1997</v>
          </cell>
        </row>
        <row r="1434">
          <cell r="B1434" t="str">
            <v>A0371</v>
          </cell>
          <cell r="C1434"/>
          <cell r="D1434" t="str">
            <v>Y</v>
          </cell>
          <cell r="E1434" t="str">
            <v>A</v>
          </cell>
          <cell r="F1434" t="str">
            <v>11/07/1997</v>
          </cell>
        </row>
        <row r="1435">
          <cell r="B1435" t="str">
            <v>A0372</v>
          </cell>
          <cell r="C1435" t="str">
            <v>010A</v>
          </cell>
          <cell r="D1435" t="str">
            <v>Y</v>
          </cell>
          <cell r="E1435" t="str">
            <v>A</v>
          </cell>
          <cell r="F1435" t="str">
            <v>11/07/1997</v>
          </cell>
        </row>
        <row r="1436">
          <cell r="B1436" t="str">
            <v>A0373</v>
          </cell>
          <cell r="C1436" t="str">
            <v>CIP</v>
          </cell>
          <cell r="D1436" t="str">
            <v>Y</v>
          </cell>
          <cell r="E1436" t="str">
            <v>A</v>
          </cell>
          <cell r="F1436" t="str">
            <v>11/07/1997</v>
          </cell>
        </row>
        <row r="1437">
          <cell r="B1437" t="str">
            <v>A0374</v>
          </cell>
          <cell r="C1437" t="str">
            <v>UEC</v>
          </cell>
          <cell r="D1437" t="str">
            <v>Y</v>
          </cell>
          <cell r="E1437" t="str">
            <v>A</v>
          </cell>
          <cell r="F1437" t="str">
            <v>11/07/1997</v>
          </cell>
        </row>
        <row r="1438">
          <cell r="B1438" t="str">
            <v>A0375</v>
          </cell>
          <cell r="C1438" t="str">
            <v>002K</v>
          </cell>
          <cell r="D1438" t="str">
            <v>Y</v>
          </cell>
          <cell r="E1438" t="str">
            <v>A</v>
          </cell>
          <cell r="F1438" t="str">
            <v>11/07/1997</v>
          </cell>
        </row>
        <row r="1439">
          <cell r="B1439" t="str">
            <v>A0376</v>
          </cell>
          <cell r="C1439" t="str">
            <v>CIP</v>
          </cell>
          <cell r="D1439" t="str">
            <v>N</v>
          </cell>
          <cell r="E1439" t="str">
            <v>A</v>
          </cell>
          <cell r="F1439" t="str">
            <v>11/07/1997</v>
          </cell>
        </row>
        <row r="1440">
          <cell r="B1440" t="str">
            <v>A0377</v>
          </cell>
          <cell r="C1440" t="str">
            <v>UEC</v>
          </cell>
          <cell r="D1440" t="str">
            <v>N</v>
          </cell>
          <cell r="E1440" t="str">
            <v>A</v>
          </cell>
          <cell r="F1440" t="str">
            <v>11/07/1997</v>
          </cell>
        </row>
        <row r="1441">
          <cell r="B1441" t="str">
            <v>A0378</v>
          </cell>
          <cell r="C1441" t="str">
            <v>011B</v>
          </cell>
          <cell r="D1441" t="str">
            <v>N</v>
          </cell>
          <cell r="E1441" t="str">
            <v>A</v>
          </cell>
          <cell r="F1441" t="str">
            <v>11/07/1997</v>
          </cell>
        </row>
        <row r="1442">
          <cell r="B1442" t="str">
            <v>A0379</v>
          </cell>
          <cell r="C1442"/>
          <cell r="D1442" t="str">
            <v>Y</v>
          </cell>
          <cell r="E1442" t="str">
            <v>A</v>
          </cell>
          <cell r="F1442" t="str">
            <v>11/07/1997</v>
          </cell>
        </row>
        <row r="1443">
          <cell r="B1443" t="str">
            <v>A0380</v>
          </cell>
          <cell r="C1443" t="str">
            <v>004A</v>
          </cell>
          <cell r="D1443" t="str">
            <v>Y</v>
          </cell>
          <cell r="E1443" t="str">
            <v>A</v>
          </cell>
          <cell r="F1443" t="str">
            <v>11/07/1997</v>
          </cell>
        </row>
        <row r="1444">
          <cell r="B1444" t="str">
            <v>A0381</v>
          </cell>
          <cell r="C1444" t="str">
            <v>004A</v>
          </cell>
          <cell r="D1444" t="str">
            <v>Y</v>
          </cell>
          <cell r="E1444" t="str">
            <v>A</v>
          </cell>
          <cell r="F1444" t="str">
            <v>11/07/1997</v>
          </cell>
        </row>
        <row r="1445">
          <cell r="B1445" t="str">
            <v>A0382</v>
          </cell>
          <cell r="C1445" t="str">
            <v>004A</v>
          </cell>
          <cell r="D1445" t="str">
            <v>Y</v>
          </cell>
          <cell r="E1445" t="str">
            <v>A</v>
          </cell>
          <cell r="F1445" t="str">
            <v>11/07/1997</v>
          </cell>
        </row>
        <row r="1446">
          <cell r="B1446" t="str">
            <v>A0383</v>
          </cell>
          <cell r="C1446" t="str">
            <v>004A</v>
          </cell>
          <cell r="D1446" t="str">
            <v>Y</v>
          </cell>
          <cell r="E1446" t="str">
            <v>A</v>
          </cell>
          <cell r="F1446" t="str">
            <v>11/07/1997</v>
          </cell>
        </row>
        <row r="1447">
          <cell r="B1447" t="str">
            <v>A0384</v>
          </cell>
          <cell r="C1447" t="str">
            <v>CIP</v>
          </cell>
          <cell r="D1447" t="str">
            <v>Y</v>
          </cell>
          <cell r="E1447" t="str">
            <v>A</v>
          </cell>
          <cell r="F1447" t="str">
            <v>11/07/1997</v>
          </cell>
        </row>
        <row r="1448">
          <cell r="B1448" t="str">
            <v>A0386</v>
          </cell>
          <cell r="C1448" t="str">
            <v>UEC</v>
          </cell>
          <cell r="D1448" t="str">
            <v>Y</v>
          </cell>
          <cell r="E1448" t="str">
            <v>A</v>
          </cell>
          <cell r="F1448" t="str">
            <v>11/07/1997</v>
          </cell>
        </row>
        <row r="1449">
          <cell r="B1449" t="str">
            <v>A0387</v>
          </cell>
          <cell r="C1449" t="str">
            <v>UEC</v>
          </cell>
          <cell r="D1449" t="str">
            <v>Y</v>
          </cell>
          <cell r="E1449" t="str">
            <v>A</v>
          </cell>
          <cell r="F1449" t="str">
            <v>11/07/1997</v>
          </cell>
        </row>
        <row r="1450">
          <cell r="B1450" t="str">
            <v>A0388</v>
          </cell>
          <cell r="C1450" t="str">
            <v>CIP</v>
          </cell>
          <cell r="D1450" t="str">
            <v>Y</v>
          </cell>
          <cell r="E1450" t="str">
            <v>A</v>
          </cell>
          <cell r="F1450" t="str">
            <v>11/07/1997</v>
          </cell>
        </row>
        <row r="1451">
          <cell r="B1451" t="str">
            <v>A0389</v>
          </cell>
          <cell r="C1451" t="str">
            <v>UDC</v>
          </cell>
          <cell r="D1451" t="str">
            <v>Y</v>
          </cell>
          <cell r="E1451" t="str">
            <v>A</v>
          </cell>
          <cell r="F1451" t="str">
            <v>11/07/1997</v>
          </cell>
        </row>
        <row r="1452">
          <cell r="B1452" t="str">
            <v>A0390</v>
          </cell>
          <cell r="C1452" t="str">
            <v>CIC</v>
          </cell>
          <cell r="D1452" t="str">
            <v>Y</v>
          </cell>
          <cell r="E1452" t="str">
            <v>A</v>
          </cell>
          <cell r="F1452" t="str">
            <v>11/07/1997</v>
          </cell>
        </row>
        <row r="1453">
          <cell r="B1453" t="str">
            <v>A0391</v>
          </cell>
          <cell r="C1453" t="str">
            <v>001A</v>
          </cell>
          <cell r="D1453" t="str">
            <v>Y</v>
          </cell>
          <cell r="E1453" t="str">
            <v>A</v>
          </cell>
          <cell r="F1453" t="str">
            <v>11/10/1997</v>
          </cell>
        </row>
        <row r="1454">
          <cell r="B1454" t="str">
            <v>A0392</v>
          </cell>
          <cell r="C1454" t="str">
            <v>003A</v>
          </cell>
          <cell r="D1454" t="str">
            <v>Y</v>
          </cell>
          <cell r="E1454" t="str">
            <v>A</v>
          </cell>
          <cell r="F1454" t="str">
            <v>11/10/1997</v>
          </cell>
        </row>
        <row r="1455">
          <cell r="B1455" t="str">
            <v>A0393</v>
          </cell>
          <cell r="C1455" t="str">
            <v>001A</v>
          </cell>
          <cell r="D1455" t="str">
            <v>Y</v>
          </cell>
          <cell r="E1455" t="str">
            <v>A</v>
          </cell>
          <cell r="F1455" t="str">
            <v>11/10/1997</v>
          </cell>
        </row>
        <row r="1456">
          <cell r="B1456" t="str">
            <v>A0394</v>
          </cell>
          <cell r="C1456" t="str">
            <v>AMC</v>
          </cell>
          <cell r="D1456" t="str">
            <v>Y</v>
          </cell>
          <cell r="E1456" t="str">
            <v>A</v>
          </cell>
          <cell r="F1456" t="str">
            <v>11/10/1997</v>
          </cell>
        </row>
        <row r="1457">
          <cell r="B1457" t="str">
            <v>A0396</v>
          </cell>
          <cell r="C1457" t="str">
            <v>UEC</v>
          </cell>
          <cell r="D1457" t="str">
            <v>Y</v>
          </cell>
          <cell r="E1457" t="str">
            <v>A</v>
          </cell>
          <cell r="F1457" t="str">
            <v>11/10/1997</v>
          </cell>
        </row>
        <row r="1458">
          <cell r="B1458" t="str">
            <v>A0397</v>
          </cell>
          <cell r="C1458" t="str">
            <v>UEC</v>
          </cell>
          <cell r="D1458" t="str">
            <v>Y</v>
          </cell>
          <cell r="E1458" t="str">
            <v>A</v>
          </cell>
          <cell r="F1458" t="str">
            <v>11/10/1997</v>
          </cell>
        </row>
        <row r="1459">
          <cell r="B1459" t="str">
            <v>A0398</v>
          </cell>
          <cell r="C1459" t="str">
            <v>CIP</v>
          </cell>
          <cell r="D1459" t="str">
            <v>Y</v>
          </cell>
          <cell r="E1459" t="str">
            <v>A</v>
          </cell>
          <cell r="F1459" t="str">
            <v>11/10/1997</v>
          </cell>
        </row>
        <row r="1460">
          <cell r="B1460" t="str">
            <v>A0399</v>
          </cell>
          <cell r="C1460"/>
          <cell r="D1460" t="str">
            <v>Y</v>
          </cell>
          <cell r="E1460" t="str">
            <v>A</v>
          </cell>
          <cell r="F1460" t="str">
            <v>11/10/1997</v>
          </cell>
        </row>
        <row r="1461">
          <cell r="B1461" t="str">
            <v>A0400</v>
          </cell>
          <cell r="C1461" t="str">
            <v>UEC</v>
          </cell>
          <cell r="D1461" t="str">
            <v>Y</v>
          </cell>
          <cell r="E1461" t="str">
            <v>A</v>
          </cell>
          <cell r="F1461" t="str">
            <v>12/03/1997</v>
          </cell>
        </row>
        <row r="1462">
          <cell r="B1462" t="str">
            <v>A0401</v>
          </cell>
          <cell r="C1462"/>
          <cell r="D1462" t="str">
            <v>Y</v>
          </cell>
          <cell r="E1462" t="str">
            <v>A</v>
          </cell>
          <cell r="F1462" t="str">
            <v>11/10/1997</v>
          </cell>
        </row>
        <row r="1463">
          <cell r="B1463" t="str">
            <v>A0402</v>
          </cell>
          <cell r="C1463" t="str">
            <v>001A</v>
          </cell>
          <cell r="D1463" t="str">
            <v>Y</v>
          </cell>
          <cell r="E1463" t="str">
            <v>A</v>
          </cell>
          <cell r="F1463" t="str">
            <v>11/10/1997</v>
          </cell>
        </row>
        <row r="1464">
          <cell r="B1464" t="str">
            <v>A0403</v>
          </cell>
          <cell r="C1464" t="str">
            <v>004A</v>
          </cell>
          <cell r="D1464" t="str">
            <v>Y</v>
          </cell>
          <cell r="E1464" t="str">
            <v>A</v>
          </cell>
          <cell r="F1464" t="str">
            <v>11/10/1997</v>
          </cell>
        </row>
        <row r="1465">
          <cell r="B1465" t="str">
            <v>A0406</v>
          </cell>
          <cell r="C1465"/>
          <cell r="D1465" t="str">
            <v>Y</v>
          </cell>
          <cell r="E1465" t="str">
            <v>A</v>
          </cell>
          <cell r="F1465" t="str">
            <v>11/10/1997</v>
          </cell>
        </row>
        <row r="1466">
          <cell r="B1466" t="str">
            <v>A0407</v>
          </cell>
          <cell r="C1466" t="str">
            <v>CIP</v>
          </cell>
          <cell r="D1466" t="str">
            <v>Y</v>
          </cell>
          <cell r="E1466" t="str">
            <v>A</v>
          </cell>
          <cell r="F1466" t="str">
            <v>12/03/1997</v>
          </cell>
        </row>
        <row r="1467">
          <cell r="B1467" t="str">
            <v>A0409</v>
          </cell>
          <cell r="C1467" t="str">
            <v>016A</v>
          </cell>
          <cell r="D1467" t="str">
            <v>Y</v>
          </cell>
          <cell r="E1467" t="str">
            <v>A</v>
          </cell>
          <cell r="F1467" t="str">
            <v>11/13/1997</v>
          </cell>
        </row>
        <row r="1468">
          <cell r="B1468" t="str">
            <v>A0410</v>
          </cell>
          <cell r="C1468" t="str">
            <v>004A</v>
          </cell>
          <cell r="D1468" t="str">
            <v>Y</v>
          </cell>
          <cell r="E1468" t="str">
            <v>A</v>
          </cell>
          <cell r="F1468" t="str">
            <v>11/13/1997</v>
          </cell>
        </row>
        <row r="1469">
          <cell r="B1469" t="str">
            <v>A0411</v>
          </cell>
          <cell r="C1469" t="str">
            <v>004A</v>
          </cell>
          <cell r="D1469" t="str">
            <v>Y</v>
          </cell>
          <cell r="E1469" t="str">
            <v>A</v>
          </cell>
          <cell r="F1469" t="str">
            <v>11/13/1997</v>
          </cell>
        </row>
        <row r="1470">
          <cell r="B1470" t="str">
            <v>A0412</v>
          </cell>
          <cell r="C1470" t="str">
            <v>004A</v>
          </cell>
          <cell r="D1470" t="str">
            <v>Y</v>
          </cell>
          <cell r="E1470" t="str">
            <v>A</v>
          </cell>
          <cell r="F1470" t="str">
            <v>11/13/1997</v>
          </cell>
        </row>
        <row r="1471">
          <cell r="B1471" t="str">
            <v>A0413</v>
          </cell>
          <cell r="C1471" t="str">
            <v>UEC</v>
          </cell>
          <cell r="D1471" t="str">
            <v>Y</v>
          </cell>
          <cell r="E1471" t="str">
            <v>A</v>
          </cell>
          <cell r="F1471" t="str">
            <v>11/14/1997</v>
          </cell>
        </row>
        <row r="1472">
          <cell r="B1472" t="str">
            <v>A0415</v>
          </cell>
          <cell r="C1472" t="str">
            <v>004A</v>
          </cell>
          <cell r="D1472" t="str">
            <v>Y</v>
          </cell>
          <cell r="E1472" t="str">
            <v>A</v>
          </cell>
          <cell r="F1472" t="str">
            <v>11/14/1997</v>
          </cell>
        </row>
        <row r="1473">
          <cell r="B1473" t="str">
            <v>A0416</v>
          </cell>
          <cell r="C1473" t="str">
            <v>004A</v>
          </cell>
          <cell r="D1473" t="str">
            <v>Y</v>
          </cell>
          <cell r="E1473" t="str">
            <v>A</v>
          </cell>
          <cell r="F1473" t="str">
            <v>11/14/1997</v>
          </cell>
        </row>
        <row r="1474">
          <cell r="B1474" t="str">
            <v>A0417</v>
          </cell>
          <cell r="C1474" t="str">
            <v>AFS</v>
          </cell>
          <cell r="D1474" t="str">
            <v>Y</v>
          </cell>
          <cell r="E1474" t="str">
            <v>A</v>
          </cell>
          <cell r="F1474" t="str">
            <v>11/14/1997</v>
          </cell>
        </row>
        <row r="1475">
          <cell r="B1475" t="str">
            <v>A0418</v>
          </cell>
          <cell r="C1475" t="str">
            <v>UEC</v>
          </cell>
          <cell r="D1475" t="str">
            <v>Y</v>
          </cell>
          <cell r="E1475" t="str">
            <v>A</v>
          </cell>
          <cell r="F1475" t="str">
            <v>11/14/1997</v>
          </cell>
        </row>
        <row r="1476">
          <cell r="B1476" t="str">
            <v>A0419</v>
          </cell>
          <cell r="C1476"/>
          <cell r="D1476" t="str">
            <v>Y</v>
          </cell>
          <cell r="E1476" t="str">
            <v>A</v>
          </cell>
          <cell r="F1476" t="str">
            <v>11/14/1997</v>
          </cell>
        </row>
        <row r="1477">
          <cell r="B1477" t="str">
            <v>A0420</v>
          </cell>
          <cell r="C1477" t="str">
            <v>CIP</v>
          </cell>
          <cell r="D1477" t="str">
            <v>Y</v>
          </cell>
          <cell r="E1477" t="str">
            <v>A</v>
          </cell>
          <cell r="F1477" t="str">
            <v>11/14/1997</v>
          </cell>
        </row>
        <row r="1478">
          <cell r="B1478" t="str">
            <v>A0421</v>
          </cell>
          <cell r="C1478" t="str">
            <v>UEC</v>
          </cell>
          <cell r="D1478" t="str">
            <v>Y</v>
          </cell>
          <cell r="E1478" t="str">
            <v>A</v>
          </cell>
          <cell r="F1478" t="str">
            <v>11/14/1997</v>
          </cell>
        </row>
        <row r="1479">
          <cell r="B1479" t="str">
            <v>A0423</v>
          </cell>
          <cell r="C1479" t="str">
            <v>CIP</v>
          </cell>
          <cell r="D1479" t="str">
            <v>Y</v>
          </cell>
          <cell r="E1479" t="str">
            <v>A</v>
          </cell>
          <cell r="F1479" t="str">
            <v>11/14/1997</v>
          </cell>
        </row>
        <row r="1480">
          <cell r="B1480" t="str">
            <v>A0424</v>
          </cell>
          <cell r="C1480" t="str">
            <v>CIP</v>
          </cell>
          <cell r="D1480" t="str">
            <v>Y</v>
          </cell>
          <cell r="E1480" t="str">
            <v>A</v>
          </cell>
          <cell r="F1480" t="str">
            <v>11/15/1997</v>
          </cell>
        </row>
        <row r="1481">
          <cell r="B1481" t="str">
            <v>A0425</v>
          </cell>
          <cell r="C1481"/>
          <cell r="D1481" t="str">
            <v>Y</v>
          </cell>
          <cell r="E1481" t="str">
            <v>A</v>
          </cell>
          <cell r="F1481" t="str">
            <v>11/15/1997</v>
          </cell>
        </row>
        <row r="1482">
          <cell r="B1482" t="str">
            <v>A0427</v>
          </cell>
          <cell r="C1482" t="str">
            <v>UEC</v>
          </cell>
          <cell r="D1482" t="str">
            <v>Y</v>
          </cell>
          <cell r="E1482" t="str">
            <v>A</v>
          </cell>
          <cell r="F1482" t="str">
            <v>05/14/1998</v>
          </cell>
        </row>
        <row r="1483">
          <cell r="B1483" t="str">
            <v>A0428</v>
          </cell>
          <cell r="C1483" t="str">
            <v>004A</v>
          </cell>
          <cell r="D1483" t="str">
            <v>Y</v>
          </cell>
          <cell r="E1483" t="str">
            <v>A</v>
          </cell>
          <cell r="F1483" t="str">
            <v>11/17/1997</v>
          </cell>
        </row>
        <row r="1484">
          <cell r="B1484" t="str">
            <v>A0429</v>
          </cell>
          <cell r="C1484" t="str">
            <v>UEC</v>
          </cell>
          <cell r="D1484" t="str">
            <v>Y</v>
          </cell>
          <cell r="E1484" t="str">
            <v>A</v>
          </cell>
          <cell r="F1484" t="str">
            <v>11/17/1997</v>
          </cell>
        </row>
        <row r="1485">
          <cell r="B1485" t="str">
            <v>A0430</v>
          </cell>
          <cell r="C1485" t="str">
            <v>012B</v>
          </cell>
          <cell r="D1485" t="str">
            <v>Y</v>
          </cell>
          <cell r="E1485" t="str">
            <v>A</v>
          </cell>
          <cell r="F1485" t="str">
            <v>11/18/1997</v>
          </cell>
        </row>
        <row r="1486">
          <cell r="B1486" t="str">
            <v>A0431</v>
          </cell>
          <cell r="C1486" t="str">
            <v>UEC</v>
          </cell>
          <cell r="D1486" t="str">
            <v>Y</v>
          </cell>
          <cell r="E1486" t="str">
            <v>A</v>
          </cell>
          <cell r="F1486" t="str">
            <v>11/18/1997</v>
          </cell>
        </row>
        <row r="1487">
          <cell r="B1487" t="str">
            <v>A0432</v>
          </cell>
          <cell r="C1487" t="str">
            <v>GEN</v>
          </cell>
          <cell r="D1487" t="str">
            <v>Y</v>
          </cell>
          <cell r="E1487" t="str">
            <v>A</v>
          </cell>
          <cell r="F1487" t="str">
            <v>11/18/1997</v>
          </cell>
        </row>
        <row r="1488">
          <cell r="B1488" t="str">
            <v>A0433</v>
          </cell>
          <cell r="C1488" t="str">
            <v>012D</v>
          </cell>
          <cell r="D1488" t="str">
            <v>Y</v>
          </cell>
          <cell r="E1488" t="str">
            <v>A</v>
          </cell>
          <cell r="F1488" t="str">
            <v>11/18/1997</v>
          </cell>
        </row>
        <row r="1489">
          <cell r="B1489" t="str">
            <v>A0434</v>
          </cell>
          <cell r="C1489" t="str">
            <v>UEC</v>
          </cell>
          <cell r="D1489" t="str">
            <v>Y</v>
          </cell>
          <cell r="E1489" t="str">
            <v>A</v>
          </cell>
          <cell r="F1489" t="str">
            <v>11/18/1997</v>
          </cell>
        </row>
        <row r="1490">
          <cell r="B1490" t="str">
            <v>A0435</v>
          </cell>
          <cell r="C1490" t="str">
            <v>GEN</v>
          </cell>
          <cell r="D1490" t="str">
            <v>Y</v>
          </cell>
          <cell r="E1490" t="str">
            <v>A</v>
          </cell>
          <cell r="F1490" t="str">
            <v>11/18/1997</v>
          </cell>
        </row>
        <row r="1491">
          <cell r="B1491" t="str">
            <v>A0436</v>
          </cell>
          <cell r="C1491" t="str">
            <v>012D</v>
          </cell>
          <cell r="D1491" t="str">
            <v>Y</v>
          </cell>
          <cell r="E1491" t="str">
            <v>A</v>
          </cell>
          <cell r="F1491" t="str">
            <v>11/18/1997</v>
          </cell>
        </row>
        <row r="1492">
          <cell r="B1492" t="str">
            <v>A0437</v>
          </cell>
          <cell r="C1492" t="str">
            <v>UEC</v>
          </cell>
          <cell r="D1492" t="str">
            <v>Y</v>
          </cell>
          <cell r="E1492" t="str">
            <v>A</v>
          </cell>
          <cell r="F1492" t="str">
            <v>11/18/1997</v>
          </cell>
        </row>
        <row r="1493">
          <cell r="B1493" t="str">
            <v>A0438</v>
          </cell>
          <cell r="C1493" t="str">
            <v>CIP</v>
          </cell>
          <cell r="D1493" t="str">
            <v>Y</v>
          </cell>
          <cell r="E1493" t="str">
            <v>A</v>
          </cell>
          <cell r="F1493" t="str">
            <v>11/18/1997</v>
          </cell>
        </row>
        <row r="1494">
          <cell r="B1494" t="str">
            <v>A0439</v>
          </cell>
          <cell r="C1494" t="str">
            <v>010A</v>
          </cell>
          <cell r="D1494" t="str">
            <v>Y</v>
          </cell>
          <cell r="E1494" t="str">
            <v>A</v>
          </cell>
          <cell r="F1494" t="str">
            <v>11/18/1997</v>
          </cell>
        </row>
        <row r="1495">
          <cell r="B1495" t="str">
            <v>A0440</v>
          </cell>
          <cell r="C1495" t="str">
            <v>UEC</v>
          </cell>
          <cell r="D1495" t="str">
            <v>Y</v>
          </cell>
          <cell r="E1495" t="str">
            <v>A</v>
          </cell>
          <cell r="F1495" t="str">
            <v>11/18/1997</v>
          </cell>
        </row>
        <row r="1496">
          <cell r="B1496" t="str">
            <v>A0441</v>
          </cell>
          <cell r="C1496" t="str">
            <v>CIP</v>
          </cell>
          <cell r="D1496" t="str">
            <v>Y</v>
          </cell>
          <cell r="E1496" t="str">
            <v>A</v>
          </cell>
          <cell r="F1496" t="str">
            <v>11/18/1997</v>
          </cell>
        </row>
        <row r="1497">
          <cell r="B1497" t="str">
            <v>A0442</v>
          </cell>
          <cell r="C1497" t="str">
            <v>010A</v>
          </cell>
          <cell r="D1497" t="str">
            <v>Y</v>
          </cell>
          <cell r="E1497" t="str">
            <v>A</v>
          </cell>
          <cell r="F1497" t="str">
            <v>11/18/1997</v>
          </cell>
        </row>
        <row r="1498">
          <cell r="B1498" t="str">
            <v>A0443</v>
          </cell>
          <cell r="C1498" t="str">
            <v>UEC</v>
          </cell>
          <cell r="D1498" t="str">
            <v>Y</v>
          </cell>
          <cell r="E1498" t="str">
            <v>A</v>
          </cell>
          <cell r="F1498" t="str">
            <v>11/18/1997</v>
          </cell>
        </row>
        <row r="1499">
          <cell r="B1499" t="str">
            <v>A0444</v>
          </cell>
          <cell r="C1499" t="str">
            <v>CIP</v>
          </cell>
          <cell r="D1499" t="str">
            <v>Y</v>
          </cell>
          <cell r="E1499" t="str">
            <v>A</v>
          </cell>
          <cell r="F1499" t="str">
            <v>11/18/1997</v>
          </cell>
        </row>
        <row r="1500">
          <cell r="B1500" t="str">
            <v>A0445</v>
          </cell>
          <cell r="C1500" t="str">
            <v>012D</v>
          </cell>
          <cell r="D1500" t="str">
            <v>Y</v>
          </cell>
          <cell r="E1500" t="str">
            <v>A</v>
          </cell>
          <cell r="F1500" t="str">
            <v>11/18/1997</v>
          </cell>
        </row>
        <row r="1501">
          <cell r="B1501" t="str">
            <v>A0446</v>
          </cell>
          <cell r="C1501" t="str">
            <v>UEC</v>
          </cell>
          <cell r="D1501" t="str">
            <v>Y</v>
          </cell>
          <cell r="E1501" t="str">
            <v>A</v>
          </cell>
          <cell r="F1501" t="str">
            <v>11/18/1997</v>
          </cell>
        </row>
        <row r="1502">
          <cell r="B1502" t="str">
            <v>A0447</v>
          </cell>
          <cell r="C1502" t="str">
            <v>008C</v>
          </cell>
          <cell r="D1502" t="str">
            <v>Y</v>
          </cell>
          <cell r="E1502" t="str">
            <v>A</v>
          </cell>
          <cell r="F1502" t="str">
            <v>11/18/1997</v>
          </cell>
        </row>
        <row r="1503">
          <cell r="B1503" t="str">
            <v>A0448</v>
          </cell>
          <cell r="C1503"/>
          <cell r="D1503" t="str">
            <v>Y</v>
          </cell>
          <cell r="E1503" t="str">
            <v>A</v>
          </cell>
          <cell r="F1503" t="str">
            <v>11/19/1997</v>
          </cell>
        </row>
        <row r="1504">
          <cell r="B1504" t="str">
            <v>A0449</v>
          </cell>
          <cell r="C1504" t="str">
            <v>CIP</v>
          </cell>
          <cell r="D1504" t="str">
            <v>Y</v>
          </cell>
          <cell r="E1504" t="str">
            <v>A</v>
          </cell>
          <cell r="F1504" t="str">
            <v>11/18/1997</v>
          </cell>
        </row>
        <row r="1505">
          <cell r="B1505" t="str">
            <v>A0450</v>
          </cell>
          <cell r="C1505" t="str">
            <v>017C</v>
          </cell>
          <cell r="D1505" t="str">
            <v>Y</v>
          </cell>
          <cell r="E1505" t="str">
            <v>A</v>
          </cell>
          <cell r="F1505" t="str">
            <v>11/18/1997</v>
          </cell>
        </row>
        <row r="1506">
          <cell r="B1506" t="str">
            <v>A0451</v>
          </cell>
          <cell r="C1506" t="str">
            <v>010A</v>
          </cell>
          <cell r="D1506" t="str">
            <v>Y</v>
          </cell>
          <cell r="E1506" t="str">
            <v>A</v>
          </cell>
          <cell r="F1506" t="str">
            <v>11/18/1997</v>
          </cell>
        </row>
        <row r="1507">
          <cell r="B1507" t="str">
            <v>A0452</v>
          </cell>
          <cell r="C1507" t="str">
            <v>AFS</v>
          </cell>
          <cell r="D1507" t="str">
            <v>Y</v>
          </cell>
          <cell r="E1507" t="str">
            <v>A</v>
          </cell>
          <cell r="F1507" t="str">
            <v>11/18/1997</v>
          </cell>
        </row>
        <row r="1508">
          <cell r="B1508" t="str">
            <v>A0454</v>
          </cell>
          <cell r="C1508" t="str">
            <v>UEC</v>
          </cell>
          <cell r="D1508" t="str">
            <v>Y</v>
          </cell>
          <cell r="E1508" t="str">
            <v>A</v>
          </cell>
          <cell r="F1508" t="str">
            <v>11/18/1997</v>
          </cell>
        </row>
        <row r="1509">
          <cell r="B1509" t="str">
            <v>A0455</v>
          </cell>
          <cell r="C1509" t="str">
            <v>015A</v>
          </cell>
          <cell r="D1509" t="str">
            <v>Y</v>
          </cell>
          <cell r="E1509" t="str">
            <v>A</v>
          </cell>
          <cell r="F1509" t="str">
            <v>11/19/1997</v>
          </cell>
        </row>
        <row r="1510">
          <cell r="B1510" t="str">
            <v>A0456</v>
          </cell>
          <cell r="C1510" t="str">
            <v>007A</v>
          </cell>
          <cell r="D1510" t="str">
            <v>Y</v>
          </cell>
          <cell r="E1510" t="str">
            <v>A</v>
          </cell>
          <cell r="F1510" t="str">
            <v>11/19/1997</v>
          </cell>
        </row>
        <row r="1511">
          <cell r="B1511" t="str">
            <v>A0457</v>
          </cell>
          <cell r="C1511" t="str">
            <v>AMC</v>
          </cell>
          <cell r="D1511" t="str">
            <v>Y</v>
          </cell>
          <cell r="E1511" t="str">
            <v>A</v>
          </cell>
          <cell r="F1511" t="str">
            <v>11/19/1997</v>
          </cell>
        </row>
        <row r="1512">
          <cell r="B1512" t="str">
            <v>A0458</v>
          </cell>
          <cell r="C1512" t="str">
            <v>UEC</v>
          </cell>
          <cell r="D1512" t="str">
            <v>Y</v>
          </cell>
          <cell r="E1512" t="str">
            <v>A</v>
          </cell>
          <cell r="F1512" t="str">
            <v>11/19/1997</v>
          </cell>
        </row>
        <row r="1513">
          <cell r="B1513" t="str">
            <v>A0459</v>
          </cell>
          <cell r="C1513" t="str">
            <v>UEC</v>
          </cell>
          <cell r="D1513" t="str">
            <v>Y</v>
          </cell>
          <cell r="E1513" t="str">
            <v>A</v>
          </cell>
          <cell r="F1513" t="str">
            <v>11/19/1997</v>
          </cell>
        </row>
        <row r="1514">
          <cell r="B1514" t="str">
            <v>A0460</v>
          </cell>
          <cell r="C1514" t="str">
            <v>UEC</v>
          </cell>
          <cell r="D1514" t="str">
            <v>Y</v>
          </cell>
          <cell r="E1514" t="str">
            <v>A</v>
          </cell>
          <cell r="F1514" t="str">
            <v>12/05/1997</v>
          </cell>
        </row>
        <row r="1515">
          <cell r="B1515" t="str">
            <v>A0461</v>
          </cell>
          <cell r="C1515" t="str">
            <v>UEC</v>
          </cell>
          <cell r="D1515" t="str">
            <v>Y</v>
          </cell>
          <cell r="E1515" t="str">
            <v>A</v>
          </cell>
          <cell r="F1515" t="str">
            <v>12/05/1997</v>
          </cell>
        </row>
        <row r="1516">
          <cell r="B1516" t="str">
            <v>A0462</v>
          </cell>
          <cell r="C1516" t="str">
            <v>UEC</v>
          </cell>
          <cell r="D1516" t="str">
            <v>Y</v>
          </cell>
          <cell r="E1516" t="str">
            <v>A</v>
          </cell>
          <cell r="F1516" t="str">
            <v>12/05/1997</v>
          </cell>
        </row>
        <row r="1517">
          <cell r="B1517" t="str">
            <v>A0463</v>
          </cell>
          <cell r="C1517" t="str">
            <v>UEC</v>
          </cell>
          <cell r="D1517" t="str">
            <v>Y</v>
          </cell>
          <cell r="E1517" t="str">
            <v>A</v>
          </cell>
          <cell r="F1517" t="str">
            <v>12/05/1997</v>
          </cell>
        </row>
        <row r="1518">
          <cell r="B1518" t="str">
            <v>A0464</v>
          </cell>
          <cell r="C1518" t="str">
            <v>CIP</v>
          </cell>
          <cell r="D1518" t="str">
            <v>Y</v>
          </cell>
          <cell r="E1518" t="str">
            <v>A</v>
          </cell>
          <cell r="F1518" t="str">
            <v>05/15/1998</v>
          </cell>
        </row>
        <row r="1519">
          <cell r="B1519" t="str">
            <v>A0465</v>
          </cell>
          <cell r="C1519"/>
          <cell r="D1519" t="str">
            <v>Y</v>
          </cell>
          <cell r="E1519" t="str">
            <v>A</v>
          </cell>
          <cell r="F1519" t="str">
            <v>05/15/1998</v>
          </cell>
        </row>
        <row r="1520">
          <cell r="B1520" t="str">
            <v>A0466</v>
          </cell>
          <cell r="C1520" t="str">
            <v>AED</v>
          </cell>
          <cell r="D1520" t="str">
            <v>Y</v>
          </cell>
          <cell r="E1520" t="str">
            <v>A</v>
          </cell>
          <cell r="F1520" t="str">
            <v>12/08/1997</v>
          </cell>
        </row>
        <row r="1521">
          <cell r="B1521" t="str">
            <v>A0467</v>
          </cell>
          <cell r="C1521" t="str">
            <v>007A</v>
          </cell>
          <cell r="D1521" t="str">
            <v>Y</v>
          </cell>
          <cell r="E1521" t="str">
            <v>A</v>
          </cell>
          <cell r="F1521" t="str">
            <v>10/29/1998</v>
          </cell>
        </row>
        <row r="1522">
          <cell r="B1522" t="str">
            <v>A0468</v>
          </cell>
          <cell r="C1522"/>
          <cell r="D1522" t="str">
            <v>Y</v>
          </cell>
          <cell r="E1522" t="str">
            <v>A</v>
          </cell>
          <cell r="F1522" t="str">
            <v>12/08/1997</v>
          </cell>
        </row>
        <row r="1523">
          <cell r="B1523" t="str">
            <v>A0471</v>
          </cell>
          <cell r="C1523"/>
          <cell r="D1523" t="str">
            <v>Y</v>
          </cell>
          <cell r="E1523" t="str">
            <v>A</v>
          </cell>
          <cell r="F1523" t="str">
            <v>12/10/1997</v>
          </cell>
        </row>
        <row r="1524">
          <cell r="B1524" t="str">
            <v>A0479</v>
          </cell>
          <cell r="C1524" t="str">
            <v>010A</v>
          </cell>
          <cell r="D1524" t="str">
            <v>Y</v>
          </cell>
          <cell r="E1524" t="str">
            <v>A</v>
          </cell>
          <cell r="F1524" t="str">
            <v>05/15/1998</v>
          </cell>
        </row>
        <row r="1525">
          <cell r="B1525" t="str">
            <v>A0480</v>
          </cell>
          <cell r="C1525" t="str">
            <v>AME</v>
          </cell>
          <cell r="D1525" t="str">
            <v>Y</v>
          </cell>
          <cell r="E1525" t="str">
            <v>A</v>
          </cell>
          <cell r="F1525" t="str">
            <v>09/29/1998</v>
          </cell>
        </row>
        <row r="1526">
          <cell r="B1526" t="str">
            <v>A0481</v>
          </cell>
          <cell r="C1526" t="str">
            <v>UEC</v>
          </cell>
          <cell r="D1526" t="str">
            <v>Y</v>
          </cell>
          <cell r="E1526" t="str">
            <v>A</v>
          </cell>
          <cell r="F1526" t="str">
            <v>12/12/1997</v>
          </cell>
        </row>
        <row r="1527">
          <cell r="B1527" t="str">
            <v>A0482</v>
          </cell>
          <cell r="C1527" t="str">
            <v>007A</v>
          </cell>
          <cell r="D1527" t="str">
            <v>Y</v>
          </cell>
          <cell r="E1527" t="str">
            <v>A</v>
          </cell>
          <cell r="F1527" t="str">
            <v>01/08/1999</v>
          </cell>
        </row>
        <row r="1528">
          <cell r="B1528" t="str">
            <v>A0483</v>
          </cell>
          <cell r="C1528" t="str">
            <v>004O</v>
          </cell>
          <cell r="D1528" t="str">
            <v>Y</v>
          </cell>
          <cell r="E1528" t="str">
            <v>A</v>
          </cell>
          <cell r="F1528" t="str">
            <v>01/08/1999</v>
          </cell>
        </row>
        <row r="1529">
          <cell r="B1529" t="str">
            <v>A0484</v>
          </cell>
          <cell r="C1529" t="str">
            <v>AEC</v>
          </cell>
          <cell r="D1529" t="str">
            <v>Y</v>
          </cell>
          <cell r="E1529" t="str">
            <v>A</v>
          </cell>
          <cell r="F1529" t="str">
            <v>09/29/1998</v>
          </cell>
        </row>
        <row r="1530">
          <cell r="B1530" t="str">
            <v>A0486</v>
          </cell>
          <cell r="C1530" t="str">
            <v>002M</v>
          </cell>
          <cell r="D1530" t="str">
            <v>Y</v>
          </cell>
          <cell r="E1530" t="str">
            <v>A</v>
          </cell>
          <cell r="F1530" t="str">
            <v>01/11/1999</v>
          </cell>
        </row>
        <row r="1531">
          <cell r="B1531" t="str">
            <v>A0487</v>
          </cell>
          <cell r="C1531" t="str">
            <v>CIP</v>
          </cell>
          <cell r="D1531" t="str">
            <v>Y</v>
          </cell>
          <cell r="E1531" t="str">
            <v>A</v>
          </cell>
          <cell r="F1531" t="str">
            <v>07/23/1998</v>
          </cell>
        </row>
        <row r="1532">
          <cell r="B1532" t="str">
            <v>A0488</v>
          </cell>
          <cell r="C1532" t="str">
            <v>AME</v>
          </cell>
          <cell r="D1532" t="str">
            <v>Y</v>
          </cell>
          <cell r="E1532" t="str">
            <v>A</v>
          </cell>
          <cell r="F1532" t="str">
            <v>10/14/1998</v>
          </cell>
        </row>
        <row r="1533">
          <cell r="B1533" t="str">
            <v>A0489</v>
          </cell>
          <cell r="C1533" t="str">
            <v>AME</v>
          </cell>
          <cell r="D1533" t="str">
            <v>Y</v>
          </cell>
          <cell r="E1533" t="str">
            <v>A</v>
          </cell>
          <cell r="F1533" t="str">
            <v>07/29/1998</v>
          </cell>
        </row>
        <row r="1534">
          <cell r="B1534" t="str">
            <v>A0490</v>
          </cell>
          <cell r="C1534" t="str">
            <v>AEC</v>
          </cell>
          <cell r="D1534" t="str">
            <v>Y</v>
          </cell>
          <cell r="E1534" t="str">
            <v>A</v>
          </cell>
          <cell r="F1534" t="str">
            <v>08/09/1998</v>
          </cell>
        </row>
        <row r="1535">
          <cell r="B1535" t="str">
            <v>A0494</v>
          </cell>
          <cell r="C1535" t="str">
            <v>ERC</v>
          </cell>
          <cell r="D1535" t="str">
            <v>Y</v>
          </cell>
          <cell r="E1535" t="str">
            <v>A</v>
          </cell>
          <cell r="F1535" t="str">
            <v>08/13/1998</v>
          </cell>
        </row>
        <row r="1536">
          <cell r="B1536" t="str">
            <v>A0496</v>
          </cell>
          <cell r="C1536"/>
          <cell r="D1536" t="str">
            <v>Y</v>
          </cell>
          <cell r="E1536" t="str">
            <v>A</v>
          </cell>
          <cell r="F1536" t="str">
            <v>10/14/1998</v>
          </cell>
        </row>
        <row r="1537">
          <cell r="B1537" t="str">
            <v>A0497</v>
          </cell>
          <cell r="C1537" t="str">
            <v>UEC</v>
          </cell>
          <cell r="D1537" t="str">
            <v>N</v>
          </cell>
          <cell r="E1537" t="str">
            <v>A</v>
          </cell>
          <cell r="F1537" t="str">
            <v>07/13/1998</v>
          </cell>
        </row>
        <row r="1538">
          <cell r="B1538" t="str">
            <v>A0499</v>
          </cell>
          <cell r="C1538" t="str">
            <v>UEC</v>
          </cell>
          <cell r="D1538" t="str">
            <v>Y</v>
          </cell>
          <cell r="E1538" t="str">
            <v>A</v>
          </cell>
          <cell r="F1538" t="str">
            <v>07/13/1998</v>
          </cell>
        </row>
        <row r="1539">
          <cell r="B1539" t="str">
            <v>A0500</v>
          </cell>
          <cell r="C1539" t="str">
            <v>012D</v>
          </cell>
          <cell r="D1539" t="str">
            <v>Y</v>
          </cell>
          <cell r="E1539" t="str">
            <v>A</v>
          </cell>
          <cell r="F1539" t="str">
            <v>12/15/1997</v>
          </cell>
        </row>
        <row r="1540">
          <cell r="B1540" t="str">
            <v>A0501</v>
          </cell>
          <cell r="C1540" t="str">
            <v>UEC</v>
          </cell>
          <cell r="D1540" t="str">
            <v>Y</v>
          </cell>
          <cell r="E1540" t="str">
            <v>A</v>
          </cell>
          <cell r="F1540" t="str">
            <v>12/15/1997</v>
          </cell>
        </row>
        <row r="1541">
          <cell r="B1541" t="str">
            <v>A0502</v>
          </cell>
          <cell r="C1541" t="str">
            <v>CIP</v>
          </cell>
          <cell r="D1541" t="str">
            <v>Y</v>
          </cell>
          <cell r="E1541" t="str">
            <v>A</v>
          </cell>
          <cell r="F1541" t="str">
            <v>12/15/1997</v>
          </cell>
        </row>
        <row r="1542">
          <cell r="B1542" t="str">
            <v>A0503</v>
          </cell>
          <cell r="C1542" t="str">
            <v>UEC</v>
          </cell>
          <cell r="D1542" t="str">
            <v>Y</v>
          </cell>
          <cell r="E1542" t="str">
            <v>A</v>
          </cell>
          <cell r="F1542" t="str">
            <v>07/13/1998</v>
          </cell>
        </row>
        <row r="1543">
          <cell r="B1543" t="str">
            <v>A0504</v>
          </cell>
          <cell r="C1543" t="str">
            <v>002K</v>
          </cell>
          <cell r="D1543" t="str">
            <v>Y</v>
          </cell>
          <cell r="E1543" t="str">
            <v>A</v>
          </cell>
          <cell r="F1543" t="str">
            <v>12/15/1997</v>
          </cell>
        </row>
        <row r="1544">
          <cell r="B1544" t="str">
            <v>A0505</v>
          </cell>
          <cell r="C1544" t="str">
            <v>GEN</v>
          </cell>
          <cell r="D1544" t="str">
            <v>Y</v>
          </cell>
          <cell r="E1544" t="str">
            <v>A</v>
          </cell>
          <cell r="F1544" t="str">
            <v>07/13/1998</v>
          </cell>
        </row>
        <row r="1545">
          <cell r="B1545" t="str">
            <v>A0506</v>
          </cell>
          <cell r="C1545" t="str">
            <v>UEC</v>
          </cell>
          <cell r="D1545" t="str">
            <v>Y</v>
          </cell>
          <cell r="E1545" t="str">
            <v>A</v>
          </cell>
          <cell r="F1545" t="str">
            <v>12/16/1997</v>
          </cell>
        </row>
        <row r="1546">
          <cell r="B1546" t="str">
            <v>A0507</v>
          </cell>
          <cell r="C1546" t="str">
            <v>CIP</v>
          </cell>
          <cell r="D1546" t="str">
            <v>Y</v>
          </cell>
          <cell r="E1546" t="str">
            <v>A</v>
          </cell>
          <cell r="F1546" t="str">
            <v>07/13/1998</v>
          </cell>
        </row>
        <row r="1547">
          <cell r="B1547" t="str">
            <v>A0508</v>
          </cell>
          <cell r="C1547" t="str">
            <v>UEC</v>
          </cell>
          <cell r="D1547" t="str">
            <v>Y</v>
          </cell>
          <cell r="E1547" t="str">
            <v>A</v>
          </cell>
          <cell r="F1547" t="str">
            <v>12/16/1997</v>
          </cell>
        </row>
        <row r="1548">
          <cell r="B1548" t="str">
            <v>A0509</v>
          </cell>
          <cell r="C1548" t="str">
            <v>001G</v>
          </cell>
          <cell r="D1548" t="str">
            <v>Y</v>
          </cell>
          <cell r="E1548" t="str">
            <v>A</v>
          </cell>
          <cell r="F1548" t="str">
            <v>12/16/1997</v>
          </cell>
        </row>
        <row r="1549">
          <cell r="B1549" t="str">
            <v>A0510</v>
          </cell>
          <cell r="C1549" t="str">
            <v>UEC</v>
          </cell>
          <cell r="D1549" t="str">
            <v>Y</v>
          </cell>
          <cell r="E1549" t="str">
            <v>A</v>
          </cell>
          <cell r="F1549" t="str">
            <v>12/16/1997</v>
          </cell>
        </row>
        <row r="1550">
          <cell r="B1550" t="str">
            <v>A0511</v>
          </cell>
          <cell r="C1550" t="str">
            <v>CIP</v>
          </cell>
          <cell r="D1550" t="str">
            <v>Y</v>
          </cell>
          <cell r="E1550" t="str">
            <v>A</v>
          </cell>
          <cell r="F1550" t="str">
            <v>12/16/1997</v>
          </cell>
        </row>
        <row r="1551">
          <cell r="B1551" t="str">
            <v>A0512</v>
          </cell>
          <cell r="C1551" t="str">
            <v>CIP</v>
          </cell>
          <cell r="D1551" t="str">
            <v>Y</v>
          </cell>
          <cell r="E1551" t="str">
            <v>A</v>
          </cell>
          <cell r="F1551" t="str">
            <v>12/16/1997</v>
          </cell>
        </row>
        <row r="1552">
          <cell r="B1552" t="str">
            <v>A0513</v>
          </cell>
          <cell r="C1552" t="str">
            <v>UDC</v>
          </cell>
          <cell r="D1552" t="str">
            <v>Y</v>
          </cell>
          <cell r="E1552" t="str">
            <v>A</v>
          </cell>
          <cell r="F1552" t="str">
            <v>12/16/1997</v>
          </cell>
        </row>
        <row r="1553">
          <cell r="B1553" t="str">
            <v>A0515</v>
          </cell>
          <cell r="C1553" t="str">
            <v>010A</v>
          </cell>
          <cell r="D1553" t="str">
            <v>Y</v>
          </cell>
          <cell r="E1553" t="str">
            <v>A</v>
          </cell>
          <cell r="F1553" t="str">
            <v>12/16/1997</v>
          </cell>
        </row>
        <row r="1554">
          <cell r="B1554" t="str">
            <v>A0517</v>
          </cell>
          <cell r="C1554" t="str">
            <v>UEC</v>
          </cell>
          <cell r="D1554" t="str">
            <v>Y</v>
          </cell>
          <cell r="E1554" t="str">
            <v>A</v>
          </cell>
          <cell r="F1554" t="str">
            <v>12/16/1997</v>
          </cell>
        </row>
        <row r="1555">
          <cell r="B1555" t="str">
            <v>A0518</v>
          </cell>
          <cell r="C1555" t="str">
            <v>CIP</v>
          </cell>
          <cell r="D1555" t="str">
            <v>Y</v>
          </cell>
          <cell r="E1555" t="str">
            <v>A</v>
          </cell>
          <cell r="F1555" t="str">
            <v>12/16/1997</v>
          </cell>
        </row>
        <row r="1556">
          <cell r="B1556" t="str">
            <v>A0519</v>
          </cell>
          <cell r="C1556" t="str">
            <v>010A</v>
          </cell>
          <cell r="D1556" t="str">
            <v>Y</v>
          </cell>
          <cell r="E1556" t="str">
            <v>A</v>
          </cell>
          <cell r="F1556" t="str">
            <v>12/16/1997</v>
          </cell>
        </row>
        <row r="1557">
          <cell r="B1557" t="str">
            <v>A0520</v>
          </cell>
          <cell r="C1557" t="str">
            <v>010A</v>
          </cell>
          <cell r="D1557" t="str">
            <v>Y</v>
          </cell>
          <cell r="E1557" t="str">
            <v>A</v>
          </cell>
          <cell r="F1557" t="str">
            <v>12/16/1997</v>
          </cell>
        </row>
        <row r="1558">
          <cell r="B1558" t="str">
            <v>A0521</v>
          </cell>
          <cell r="C1558" t="str">
            <v>UEC</v>
          </cell>
          <cell r="D1558" t="str">
            <v>Y</v>
          </cell>
          <cell r="E1558" t="str">
            <v>A</v>
          </cell>
          <cell r="F1558" t="str">
            <v>12/16/1997</v>
          </cell>
        </row>
        <row r="1559">
          <cell r="B1559" t="str">
            <v>A0522</v>
          </cell>
          <cell r="C1559" t="str">
            <v>CIP</v>
          </cell>
          <cell r="D1559" t="str">
            <v>Y</v>
          </cell>
          <cell r="E1559" t="str">
            <v>A</v>
          </cell>
          <cell r="F1559" t="str">
            <v>12/16/1997</v>
          </cell>
        </row>
        <row r="1560">
          <cell r="B1560" t="str">
            <v>A0523</v>
          </cell>
          <cell r="C1560" t="str">
            <v>010A</v>
          </cell>
          <cell r="D1560" t="str">
            <v>Y</v>
          </cell>
          <cell r="E1560" t="str">
            <v>A</v>
          </cell>
          <cell r="F1560" t="str">
            <v>12/16/1997</v>
          </cell>
        </row>
        <row r="1561">
          <cell r="B1561" t="str">
            <v>A0524</v>
          </cell>
          <cell r="C1561" t="str">
            <v>UEC</v>
          </cell>
          <cell r="D1561" t="str">
            <v>Y</v>
          </cell>
          <cell r="E1561" t="str">
            <v>A</v>
          </cell>
          <cell r="F1561" t="str">
            <v>12/16/1997</v>
          </cell>
        </row>
        <row r="1562">
          <cell r="B1562" t="str">
            <v>A0525</v>
          </cell>
          <cell r="C1562" t="str">
            <v>CIP</v>
          </cell>
          <cell r="D1562" t="str">
            <v>Y</v>
          </cell>
          <cell r="E1562" t="str">
            <v>A</v>
          </cell>
          <cell r="F1562" t="str">
            <v>12/16/1997</v>
          </cell>
        </row>
        <row r="1563">
          <cell r="B1563" t="str">
            <v>A0526</v>
          </cell>
          <cell r="C1563" t="str">
            <v>010A</v>
          </cell>
          <cell r="D1563" t="str">
            <v>Y</v>
          </cell>
          <cell r="E1563" t="str">
            <v>A</v>
          </cell>
          <cell r="F1563" t="str">
            <v>12/16/1997</v>
          </cell>
        </row>
        <row r="1564">
          <cell r="B1564" t="str">
            <v>A0527</v>
          </cell>
          <cell r="C1564" t="str">
            <v>010A</v>
          </cell>
          <cell r="D1564" t="str">
            <v>Y</v>
          </cell>
          <cell r="E1564" t="str">
            <v>A</v>
          </cell>
          <cell r="F1564" t="str">
            <v>07/14/1998</v>
          </cell>
        </row>
        <row r="1565">
          <cell r="B1565" t="str">
            <v>A0528</v>
          </cell>
          <cell r="C1565" t="str">
            <v>010A</v>
          </cell>
          <cell r="D1565" t="str">
            <v>Y</v>
          </cell>
          <cell r="E1565" t="str">
            <v>A</v>
          </cell>
          <cell r="F1565" t="str">
            <v>07/14/1998</v>
          </cell>
        </row>
        <row r="1566">
          <cell r="B1566" t="str">
            <v>A0530</v>
          </cell>
          <cell r="C1566" t="str">
            <v>010A</v>
          </cell>
          <cell r="D1566" t="str">
            <v>Y</v>
          </cell>
          <cell r="E1566" t="str">
            <v>A</v>
          </cell>
          <cell r="F1566" t="str">
            <v>07/14/1998</v>
          </cell>
        </row>
        <row r="1567">
          <cell r="B1567" t="str">
            <v>A0531</v>
          </cell>
          <cell r="C1567" t="str">
            <v>004A</v>
          </cell>
          <cell r="D1567" t="str">
            <v>Y</v>
          </cell>
          <cell r="E1567" t="str">
            <v>A</v>
          </cell>
          <cell r="F1567" t="str">
            <v>12/17/1997</v>
          </cell>
        </row>
        <row r="1568">
          <cell r="B1568" t="str">
            <v>A0532</v>
          </cell>
          <cell r="C1568" t="str">
            <v>UEC</v>
          </cell>
          <cell r="D1568" t="str">
            <v>Y</v>
          </cell>
          <cell r="E1568" t="str">
            <v>A</v>
          </cell>
          <cell r="F1568" t="str">
            <v>12/17/1997</v>
          </cell>
        </row>
        <row r="1569">
          <cell r="B1569" t="str">
            <v>A0533</v>
          </cell>
          <cell r="C1569" t="str">
            <v>CIP</v>
          </cell>
          <cell r="D1569" t="str">
            <v>Y</v>
          </cell>
          <cell r="E1569" t="str">
            <v>A</v>
          </cell>
          <cell r="F1569" t="str">
            <v>12/17/1997</v>
          </cell>
        </row>
        <row r="1570">
          <cell r="B1570" t="str">
            <v>A0534</v>
          </cell>
          <cell r="C1570" t="str">
            <v>AME</v>
          </cell>
          <cell r="D1570" t="str">
            <v>Y</v>
          </cell>
          <cell r="E1570" t="str">
            <v>A</v>
          </cell>
          <cell r="F1570" t="str">
            <v>07/17/1998</v>
          </cell>
        </row>
        <row r="1571">
          <cell r="B1571" t="str">
            <v>A0535</v>
          </cell>
          <cell r="C1571" t="str">
            <v>AMC</v>
          </cell>
          <cell r="D1571" t="str">
            <v>Y</v>
          </cell>
          <cell r="E1571" t="str">
            <v>A</v>
          </cell>
          <cell r="F1571" t="str">
            <v>12/17/1997</v>
          </cell>
        </row>
        <row r="1572">
          <cell r="B1572" t="str">
            <v>A0536</v>
          </cell>
          <cell r="C1572"/>
          <cell r="D1572" t="str">
            <v>Y</v>
          </cell>
          <cell r="E1572" t="str">
            <v>A</v>
          </cell>
          <cell r="F1572" t="str">
            <v>12/17/1997</v>
          </cell>
        </row>
        <row r="1573">
          <cell r="B1573" t="str">
            <v>A0537</v>
          </cell>
          <cell r="C1573" t="str">
            <v>UDC</v>
          </cell>
          <cell r="D1573" t="str">
            <v>Y</v>
          </cell>
          <cell r="E1573" t="str">
            <v>A</v>
          </cell>
          <cell r="F1573" t="str">
            <v>12/17/1997</v>
          </cell>
        </row>
        <row r="1574">
          <cell r="B1574" t="str">
            <v>A0543</v>
          </cell>
          <cell r="C1574" t="str">
            <v>003A</v>
          </cell>
          <cell r="D1574" t="str">
            <v>Y</v>
          </cell>
          <cell r="E1574" t="str">
            <v>A</v>
          </cell>
          <cell r="F1574" t="str">
            <v>12/17/1997</v>
          </cell>
        </row>
        <row r="1575">
          <cell r="B1575" t="str">
            <v>A0544</v>
          </cell>
          <cell r="C1575" t="str">
            <v>CIP</v>
          </cell>
          <cell r="D1575" t="str">
            <v>Y</v>
          </cell>
          <cell r="E1575" t="str">
            <v>A</v>
          </cell>
          <cell r="F1575" t="str">
            <v>12/17/1997</v>
          </cell>
        </row>
        <row r="1576">
          <cell r="B1576" t="str">
            <v>A0545</v>
          </cell>
          <cell r="C1576" t="str">
            <v>UEC</v>
          </cell>
          <cell r="D1576" t="str">
            <v>Y</v>
          </cell>
          <cell r="E1576" t="str">
            <v>A</v>
          </cell>
          <cell r="F1576" t="str">
            <v>12/17/1997</v>
          </cell>
        </row>
        <row r="1577">
          <cell r="B1577" t="str">
            <v>A0547</v>
          </cell>
          <cell r="C1577" t="str">
            <v>003A</v>
          </cell>
          <cell r="D1577" t="str">
            <v>Y</v>
          </cell>
          <cell r="E1577" t="str">
            <v>A</v>
          </cell>
          <cell r="F1577" t="str">
            <v>12/17/1997</v>
          </cell>
        </row>
        <row r="1578">
          <cell r="B1578" t="str">
            <v>A0548</v>
          </cell>
          <cell r="C1578"/>
          <cell r="D1578" t="str">
            <v>Y</v>
          </cell>
          <cell r="E1578" t="str">
            <v>A</v>
          </cell>
          <cell r="F1578" t="str">
            <v>10/14/1998</v>
          </cell>
        </row>
        <row r="1579">
          <cell r="B1579" t="str">
            <v>A0551</v>
          </cell>
          <cell r="C1579" t="str">
            <v>UEC</v>
          </cell>
          <cell r="D1579" t="str">
            <v>Y</v>
          </cell>
          <cell r="E1579" t="str">
            <v>A</v>
          </cell>
          <cell r="F1579" t="str">
            <v>12/17/1997</v>
          </cell>
        </row>
        <row r="1580">
          <cell r="B1580" t="str">
            <v>A0552</v>
          </cell>
          <cell r="C1580" t="str">
            <v>CIP</v>
          </cell>
          <cell r="D1580" t="str">
            <v>Y</v>
          </cell>
          <cell r="E1580" t="str">
            <v>A</v>
          </cell>
          <cell r="F1580" t="str">
            <v>12/17/1997</v>
          </cell>
        </row>
        <row r="1581">
          <cell r="B1581" t="str">
            <v>A0555</v>
          </cell>
          <cell r="C1581"/>
          <cell r="D1581" t="str">
            <v>Y</v>
          </cell>
          <cell r="E1581" t="str">
            <v>A</v>
          </cell>
          <cell r="F1581" t="str">
            <v>12/18/1997</v>
          </cell>
        </row>
        <row r="1582">
          <cell r="B1582" t="str">
            <v>A0556</v>
          </cell>
          <cell r="C1582" t="str">
            <v>UEC</v>
          </cell>
          <cell r="D1582" t="str">
            <v>Y</v>
          </cell>
          <cell r="E1582" t="str">
            <v>A</v>
          </cell>
          <cell r="F1582" t="str">
            <v>12/18/1997</v>
          </cell>
        </row>
        <row r="1583">
          <cell r="B1583" t="str">
            <v>A0557</v>
          </cell>
          <cell r="C1583" t="str">
            <v>CIP</v>
          </cell>
          <cell r="D1583" t="str">
            <v>Y</v>
          </cell>
          <cell r="E1583" t="str">
            <v>A</v>
          </cell>
          <cell r="F1583" t="str">
            <v>12/18/1997</v>
          </cell>
        </row>
        <row r="1584">
          <cell r="B1584" t="str">
            <v>A0558</v>
          </cell>
          <cell r="C1584" t="str">
            <v>004A</v>
          </cell>
          <cell r="D1584" t="str">
            <v>Y</v>
          </cell>
          <cell r="E1584" t="str">
            <v>A</v>
          </cell>
          <cell r="F1584" t="str">
            <v>12/18/1997</v>
          </cell>
        </row>
        <row r="1585">
          <cell r="B1585" t="str">
            <v>A0559</v>
          </cell>
          <cell r="C1585"/>
          <cell r="D1585" t="str">
            <v>Y</v>
          </cell>
          <cell r="E1585" t="str">
            <v>A</v>
          </cell>
          <cell r="F1585" t="str">
            <v>12/18/1997</v>
          </cell>
        </row>
        <row r="1586">
          <cell r="B1586" t="str">
            <v>A0560</v>
          </cell>
          <cell r="C1586" t="str">
            <v>UDC</v>
          </cell>
          <cell r="D1586" t="str">
            <v>Y</v>
          </cell>
          <cell r="E1586" t="str">
            <v>A</v>
          </cell>
          <cell r="F1586" t="str">
            <v>12/18/1997</v>
          </cell>
        </row>
        <row r="1587">
          <cell r="B1587" t="str">
            <v>A0561</v>
          </cell>
          <cell r="C1587" t="str">
            <v>AMC</v>
          </cell>
          <cell r="D1587" t="str">
            <v>Y</v>
          </cell>
          <cell r="E1587" t="str">
            <v>A</v>
          </cell>
          <cell r="F1587" t="str">
            <v>12/18/1997</v>
          </cell>
        </row>
        <row r="1588">
          <cell r="B1588" t="str">
            <v>A0562</v>
          </cell>
          <cell r="C1588" t="str">
            <v>AEC</v>
          </cell>
          <cell r="D1588" t="str">
            <v>Y</v>
          </cell>
          <cell r="E1588" t="str">
            <v>A</v>
          </cell>
          <cell r="F1588" t="str">
            <v>08/13/1998</v>
          </cell>
        </row>
        <row r="1589">
          <cell r="B1589" t="str">
            <v>A0564</v>
          </cell>
          <cell r="C1589" t="str">
            <v>AME</v>
          </cell>
          <cell r="D1589" t="str">
            <v>Y</v>
          </cell>
          <cell r="E1589" t="str">
            <v>A</v>
          </cell>
          <cell r="F1589" t="str">
            <v>08/13/1998</v>
          </cell>
        </row>
        <row r="1590">
          <cell r="B1590" t="str">
            <v>A0567</v>
          </cell>
          <cell r="C1590"/>
          <cell r="D1590" t="str">
            <v>Y</v>
          </cell>
          <cell r="E1590" t="str">
            <v>A</v>
          </cell>
          <cell r="F1590" t="str">
            <v>12/19/1997</v>
          </cell>
        </row>
        <row r="1591">
          <cell r="B1591" t="str">
            <v>A0570</v>
          </cell>
          <cell r="C1591" t="str">
            <v>UEC</v>
          </cell>
          <cell r="D1591" t="str">
            <v>Y</v>
          </cell>
          <cell r="E1591" t="str">
            <v>A</v>
          </cell>
          <cell r="F1591" t="str">
            <v>12/19/1997</v>
          </cell>
        </row>
        <row r="1592">
          <cell r="B1592" t="str">
            <v>A0571</v>
          </cell>
          <cell r="C1592" t="str">
            <v>CIP</v>
          </cell>
          <cell r="D1592" t="str">
            <v>Y</v>
          </cell>
          <cell r="E1592" t="str">
            <v>A</v>
          </cell>
          <cell r="F1592" t="str">
            <v>12/19/1997</v>
          </cell>
        </row>
        <row r="1593">
          <cell r="B1593" t="str">
            <v>A0573</v>
          </cell>
          <cell r="C1593" t="str">
            <v>UEC</v>
          </cell>
          <cell r="D1593" t="str">
            <v>Y</v>
          </cell>
          <cell r="E1593" t="str">
            <v>A</v>
          </cell>
          <cell r="F1593" t="str">
            <v>12/19/1997</v>
          </cell>
        </row>
        <row r="1594">
          <cell r="B1594" t="str">
            <v>A0574</v>
          </cell>
          <cell r="C1594" t="str">
            <v>CIP</v>
          </cell>
          <cell r="D1594" t="str">
            <v>Y</v>
          </cell>
          <cell r="E1594" t="str">
            <v>A</v>
          </cell>
          <cell r="F1594" t="str">
            <v>12/19/1997</v>
          </cell>
        </row>
        <row r="1595">
          <cell r="B1595" t="str">
            <v>A0580</v>
          </cell>
          <cell r="C1595" t="str">
            <v>CIP</v>
          </cell>
          <cell r="D1595" t="str">
            <v>Y</v>
          </cell>
          <cell r="E1595" t="str">
            <v>A</v>
          </cell>
          <cell r="F1595" t="str">
            <v>12/19/1997</v>
          </cell>
        </row>
        <row r="1596">
          <cell r="B1596" t="str">
            <v>A0593</v>
          </cell>
          <cell r="C1596" t="str">
            <v>003A</v>
          </cell>
          <cell r="D1596" t="str">
            <v>Y</v>
          </cell>
          <cell r="E1596" t="str">
            <v>A</v>
          </cell>
          <cell r="F1596" t="str">
            <v>12/22/1997</v>
          </cell>
        </row>
        <row r="1597">
          <cell r="B1597" t="str">
            <v>A0594</v>
          </cell>
          <cell r="C1597" t="str">
            <v>003A</v>
          </cell>
          <cell r="D1597" t="str">
            <v>Y</v>
          </cell>
          <cell r="E1597" t="str">
            <v>A</v>
          </cell>
          <cell r="F1597" t="str">
            <v>12/22/1997</v>
          </cell>
        </row>
        <row r="1598">
          <cell r="B1598" t="str">
            <v>A0596</v>
          </cell>
          <cell r="C1598"/>
          <cell r="D1598" t="str">
            <v>Y</v>
          </cell>
          <cell r="E1598" t="str">
            <v>A</v>
          </cell>
          <cell r="F1598" t="str">
            <v>12/23/1997</v>
          </cell>
        </row>
        <row r="1599">
          <cell r="B1599" t="str">
            <v>A0600</v>
          </cell>
          <cell r="C1599"/>
          <cell r="D1599" t="str">
            <v>Y</v>
          </cell>
          <cell r="E1599" t="str">
            <v>A</v>
          </cell>
          <cell r="F1599" t="str">
            <v>12/23/1997</v>
          </cell>
        </row>
        <row r="1600">
          <cell r="B1600" t="str">
            <v>A0613</v>
          </cell>
          <cell r="C1600" t="str">
            <v>UEC</v>
          </cell>
          <cell r="D1600" t="str">
            <v>Y</v>
          </cell>
          <cell r="E1600" t="str">
            <v>A</v>
          </cell>
          <cell r="F1600" t="str">
            <v>12/29/1997</v>
          </cell>
        </row>
        <row r="1601">
          <cell r="B1601" t="str">
            <v>A0622</v>
          </cell>
          <cell r="C1601"/>
          <cell r="D1601" t="str">
            <v>Y</v>
          </cell>
          <cell r="E1601" t="str">
            <v>A</v>
          </cell>
          <cell r="F1601" t="str">
            <v>08/22/1998</v>
          </cell>
        </row>
        <row r="1602">
          <cell r="B1602" t="str">
            <v>A0623</v>
          </cell>
          <cell r="C1602"/>
          <cell r="D1602" t="str">
            <v>Y</v>
          </cell>
          <cell r="E1602" t="str">
            <v>A</v>
          </cell>
          <cell r="F1602" t="str">
            <v>08/22/1998</v>
          </cell>
        </row>
        <row r="1603">
          <cell r="B1603" t="str">
            <v>A0624</v>
          </cell>
          <cell r="C1603"/>
          <cell r="D1603" t="str">
            <v>Y</v>
          </cell>
          <cell r="E1603" t="str">
            <v>A</v>
          </cell>
          <cell r="F1603" t="str">
            <v>08/22/1998</v>
          </cell>
        </row>
        <row r="1604">
          <cell r="B1604" t="str">
            <v>A0625</v>
          </cell>
          <cell r="C1604" t="str">
            <v>016A</v>
          </cell>
          <cell r="D1604" t="str">
            <v>Y</v>
          </cell>
          <cell r="E1604" t="str">
            <v>A</v>
          </cell>
          <cell r="F1604" t="str">
            <v>08/25/1998</v>
          </cell>
        </row>
        <row r="1605">
          <cell r="B1605" t="str">
            <v>A0629</v>
          </cell>
          <cell r="C1605"/>
          <cell r="D1605" t="str">
            <v>Y</v>
          </cell>
          <cell r="E1605" t="str">
            <v>A</v>
          </cell>
          <cell r="F1605" t="str">
            <v>12/29/1997</v>
          </cell>
        </row>
        <row r="1606">
          <cell r="B1606" t="str">
            <v>A0631</v>
          </cell>
          <cell r="C1606"/>
          <cell r="D1606" t="str">
            <v>Y</v>
          </cell>
          <cell r="E1606" t="str">
            <v>A</v>
          </cell>
          <cell r="F1606" t="str">
            <v>12/29/1997</v>
          </cell>
        </row>
        <row r="1607">
          <cell r="B1607" t="str">
            <v>A0633</v>
          </cell>
          <cell r="C1607" t="str">
            <v>UEC</v>
          </cell>
          <cell r="D1607" t="str">
            <v>Y</v>
          </cell>
          <cell r="E1607" t="str">
            <v>A</v>
          </cell>
          <cell r="F1607" t="str">
            <v>12/29/1997</v>
          </cell>
        </row>
        <row r="1608">
          <cell r="B1608" t="str">
            <v>A0647</v>
          </cell>
          <cell r="C1608" t="str">
            <v>CIP</v>
          </cell>
          <cell r="D1608" t="str">
            <v>Y</v>
          </cell>
          <cell r="E1608" t="str">
            <v>A</v>
          </cell>
          <cell r="F1608" t="str">
            <v>12/30/1997</v>
          </cell>
        </row>
        <row r="1609">
          <cell r="B1609" t="str">
            <v>A0648</v>
          </cell>
          <cell r="C1609" t="str">
            <v>UEC</v>
          </cell>
          <cell r="D1609" t="str">
            <v>Y</v>
          </cell>
          <cell r="E1609" t="str">
            <v>A</v>
          </cell>
          <cell r="F1609" t="str">
            <v>12/30/1997</v>
          </cell>
        </row>
        <row r="1610">
          <cell r="B1610" t="str">
            <v>A0654</v>
          </cell>
          <cell r="C1610" t="str">
            <v>UEC</v>
          </cell>
          <cell r="D1610" t="str">
            <v>Y</v>
          </cell>
          <cell r="E1610" t="str">
            <v>A</v>
          </cell>
          <cell r="F1610" t="str">
            <v>12/30/1997</v>
          </cell>
        </row>
        <row r="1611">
          <cell r="B1611" t="str">
            <v>A0657</v>
          </cell>
          <cell r="C1611" t="str">
            <v>CIP</v>
          </cell>
          <cell r="D1611" t="str">
            <v>Y</v>
          </cell>
          <cell r="E1611" t="str">
            <v>A</v>
          </cell>
          <cell r="F1611" t="str">
            <v>12/30/1997</v>
          </cell>
        </row>
        <row r="1612">
          <cell r="B1612" t="str">
            <v>A0662</v>
          </cell>
          <cell r="C1612" t="str">
            <v>UDC</v>
          </cell>
          <cell r="D1612" t="str">
            <v>Y</v>
          </cell>
          <cell r="E1612" t="str">
            <v>A</v>
          </cell>
          <cell r="F1612" t="str">
            <v>12/30/1997</v>
          </cell>
        </row>
        <row r="1613">
          <cell r="B1613" t="str">
            <v>A0664</v>
          </cell>
          <cell r="C1613" t="str">
            <v>002F</v>
          </cell>
          <cell r="D1613" t="str">
            <v>Y</v>
          </cell>
          <cell r="E1613" t="str">
            <v>A</v>
          </cell>
          <cell r="F1613" t="str">
            <v>01/11/1999</v>
          </cell>
        </row>
        <row r="1614">
          <cell r="B1614" t="str">
            <v>A0669</v>
          </cell>
          <cell r="C1614" t="str">
            <v>UEC</v>
          </cell>
          <cell r="D1614" t="str">
            <v>Y</v>
          </cell>
          <cell r="E1614" t="str">
            <v>A</v>
          </cell>
          <cell r="F1614" t="str">
            <v>12/30/1997</v>
          </cell>
        </row>
        <row r="1615">
          <cell r="B1615" t="str">
            <v>A0671</v>
          </cell>
          <cell r="C1615" t="str">
            <v>CIP</v>
          </cell>
          <cell r="D1615" t="str">
            <v>Y</v>
          </cell>
          <cell r="E1615" t="str">
            <v>A</v>
          </cell>
          <cell r="F1615" t="str">
            <v>12/30/1997</v>
          </cell>
        </row>
        <row r="1616">
          <cell r="B1616" t="str">
            <v>A0673</v>
          </cell>
          <cell r="C1616" t="str">
            <v>UEC</v>
          </cell>
          <cell r="D1616" t="str">
            <v>Y</v>
          </cell>
          <cell r="E1616" t="str">
            <v>A</v>
          </cell>
          <cell r="F1616" t="str">
            <v>12/31/1997</v>
          </cell>
        </row>
        <row r="1617">
          <cell r="B1617" t="str">
            <v>A0674</v>
          </cell>
          <cell r="C1617" t="str">
            <v>UEC</v>
          </cell>
          <cell r="D1617" t="str">
            <v>Y</v>
          </cell>
          <cell r="E1617" t="str">
            <v>A</v>
          </cell>
          <cell r="F1617" t="str">
            <v>12/31/1997</v>
          </cell>
        </row>
        <row r="1618">
          <cell r="B1618" t="str">
            <v>A0675</v>
          </cell>
          <cell r="C1618" t="str">
            <v>CIP</v>
          </cell>
          <cell r="D1618" t="str">
            <v>Y</v>
          </cell>
          <cell r="E1618" t="str">
            <v>A</v>
          </cell>
          <cell r="F1618" t="str">
            <v>12/31/1997</v>
          </cell>
        </row>
        <row r="1619">
          <cell r="B1619" t="str">
            <v>A0676</v>
          </cell>
          <cell r="C1619" t="str">
            <v>UEC</v>
          </cell>
          <cell r="D1619" t="str">
            <v>Y</v>
          </cell>
          <cell r="E1619" t="str">
            <v>A</v>
          </cell>
          <cell r="F1619" t="str">
            <v>12/31/1997</v>
          </cell>
        </row>
        <row r="1620">
          <cell r="B1620" t="str">
            <v>A0677</v>
          </cell>
          <cell r="C1620" t="str">
            <v>CIP</v>
          </cell>
          <cell r="D1620" t="str">
            <v>Y</v>
          </cell>
          <cell r="E1620" t="str">
            <v>A</v>
          </cell>
          <cell r="F1620" t="str">
            <v>12/31/1997</v>
          </cell>
        </row>
        <row r="1621">
          <cell r="B1621" t="str">
            <v>A0678</v>
          </cell>
          <cell r="C1621" t="str">
            <v>002L</v>
          </cell>
          <cell r="D1621" t="str">
            <v>Y</v>
          </cell>
          <cell r="E1621" t="str">
            <v>A</v>
          </cell>
          <cell r="F1621" t="str">
            <v>12/31/1997</v>
          </cell>
        </row>
        <row r="1622">
          <cell r="B1622" t="str">
            <v>A0679</v>
          </cell>
          <cell r="C1622" t="str">
            <v>UEC</v>
          </cell>
          <cell r="D1622" t="str">
            <v>Y</v>
          </cell>
          <cell r="E1622" t="str">
            <v>A</v>
          </cell>
          <cell r="F1622" t="str">
            <v>12/31/1997</v>
          </cell>
        </row>
        <row r="1623">
          <cell r="B1623" t="str">
            <v>A0680</v>
          </cell>
          <cell r="C1623" t="str">
            <v>UEC</v>
          </cell>
          <cell r="D1623" t="str">
            <v>Y</v>
          </cell>
          <cell r="E1623" t="str">
            <v>A</v>
          </cell>
          <cell r="F1623" t="str">
            <v>12/31/1997</v>
          </cell>
        </row>
        <row r="1624">
          <cell r="B1624" t="str">
            <v>A0681</v>
          </cell>
          <cell r="C1624" t="str">
            <v>CIP</v>
          </cell>
          <cell r="D1624" t="str">
            <v>Y</v>
          </cell>
          <cell r="E1624" t="str">
            <v>A</v>
          </cell>
          <cell r="F1624" t="str">
            <v>12/31/1997</v>
          </cell>
        </row>
        <row r="1625">
          <cell r="B1625" t="str">
            <v>A0682</v>
          </cell>
          <cell r="C1625" t="str">
            <v>UEC</v>
          </cell>
          <cell r="D1625" t="str">
            <v>Y</v>
          </cell>
          <cell r="E1625" t="str">
            <v>A</v>
          </cell>
          <cell r="F1625" t="str">
            <v>12/31/1997</v>
          </cell>
        </row>
        <row r="1626">
          <cell r="B1626" t="str">
            <v>A0683</v>
          </cell>
          <cell r="C1626" t="str">
            <v>UEC</v>
          </cell>
          <cell r="D1626" t="str">
            <v>Y</v>
          </cell>
          <cell r="E1626" t="str">
            <v>A</v>
          </cell>
          <cell r="F1626" t="str">
            <v>12/31/1997</v>
          </cell>
        </row>
        <row r="1627">
          <cell r="B1627" t="str">
            <v>A0684</v>
          </cell>
          <cell r="C1627" t="str">
            <v>CIP</v>
          </cell>
          <cell r="D1627" t="str">
            <v>Y</v>
          </cell>
          <cell r="E1627" t="str">
            <v>A</v>
          </cell>
          <cell r="F1627" t="str">
            <v>12/31/1997</v>
          </cell>
        </row>
        <row r="1628">
          <cell r="B1628" t="str">
            <v>A0685</v>
          </cell>
          <cell r="C1628" t="str">
            <v>UEC</v>
          </cell>
          <cell r="D1628" t="str">
            <v>N</v>
          </cell>
          <cell r="E1628" t="str">
            <v>A</v>
          </cell>
          <cell r="F1628" t="str">
            <v>12/31/1997</v>
          </cell>
        </row>
        <row r="1629">
          <cell r="B1629" t="str">
            <v>A0686</v>
          </cell>
          <cell r="C1629" t="str">
            <v>UEC</v>
          </cell>
          <cell r="D1629" t="str">
            <v>N</v>
          </cell>
          <cell r="E1629" t="str">
            <v>A</v>
          </cell>
          <cell r="F1629" t="str">
            <v>12/31/1997</v>
          </cell>
        </row>
        <row r="1630">
          <cell r="B1630" t="str">
            <v>A0687</v>
          </cell>
          <cell r="C1630" t="str">
            <v>UEC</v>
          </cell>
          <cell r="D1630" t="str">
            <v>N</v>
          </cell>
          <cell r="E1630" t="str">
            <v>A</v>
          </cell>
          <cell r="F1630" t="str">
            <v>12/31/1997</v>
          </cell>
        </row>
        <row r="1631">
          <cell r="B1631" t="str">
            <v>A0688</v>
          </cell>
          <cell r="C1631" t="str">
            <v>UEC</v>
          </cell>
          <cell r="D1631" t="str">
            <v>N</v>
          </cell>
          <cell r="E1631" t="str">
            <v>A</v>
          </cell>
          <cell r="F1631" t="str">
            <v>12/31/1997</v>
          </cell>
        </row>
        <row r="1632">
          <cell r="B1632" t="str">
            <v>A0689</v>
          </cell>
          <cell r="C1632" t="str">
            <v>UEC</v>
          </cell>
          <cell r="D1632" t="str">
            <v>N</v>
          </cell>
          <cell r="E1632" t="str">
            <v>A</v>
          </cell>
          <cell r="F1632" t="str">
            <v>12/31/1997</v>
          </cell>
        </row>
        <row r="1633">
          <cell r="B1633" t="str">
            <v>A0690</v>
          </cell>
          <cell r="C1633" t="str">
            <v>UEC</v>
          </cell>
          <cell r="D1633" t="str">
            <v>N</v>
          </cell>
          <cell r="E1633" t="str">
            <v>A</v>
          </cell>
          <cell r="F1633" t="str">
            <v>12/31/1997</v>
          </cell>
        </row>
        <row r="1634">
          <cell r="B1634" t="str">
            <v>A0691</v>
          </cell>
          <cell r="C1634" t="str">
            <v>GEN</v>
          </cell>
          <cell r="D1634" t="str">
            <v>N</v>
          </cell>
          <cell r="E1634" t="str">
            <v>A</v>
          </cell>
          <cell r="F1634" t="str">
            <v>01/02/1998</v>
          </cell>
        </row>
        <row r="1635">
          <cell r="B1635" t="str">
            <v>A0692</v>
          </cell>
          <cell r="C1635" t="str">
            <v>GEN</v>
          </cell>
          <cell r="D1635" t="str">
            <v>N</v>
          </cell>
          <cell r="E1635" t="str">
            <v>A</v>
          </cell>
          <cell r="F1635" t="str">
            <v>01/02/1998</v>
          </cell>
        </row>
        <row r="1636">
          <cell r="B1636" t="str">
            <v>A0693</v>
          </cell>
          <cell r="C1636" t="str">
            <v>GEN</v>
          </cell>
          <cell r="D1636" t="str">
            <v>N</v>
          </cell>
          <cell r="E1636" t="str">
            <v>A</v>
          </cell>
          <cell r="F1636" t="str">
            <v>01/02/1998</v>
          </cell>
        </row>
        <row r="1637">
          <cell r="B1637" t="str">
            <v>A0694</v>
          </cell>
          <cell r="C1637" t="str">
            <v>GEN</v>
          </cell>
          <cell r="D1637" t="str">
            <v>N</v>
          </cell>
          <cell r="E1637" t="str">
            <v>A</v>
          </cell>
          <cell r="F1637" t="str">
            <v>01/02/1998</v>
          </cell>
        </row>
        <row r="1638">
          <cell r="B1638" t="str">
            <v>A0695</v>
          </cell>
          <cell r="C1638" t="str">
            <v>GEN</v>
          </cell>
          <cell r="D1638" t="str">
            <v>N</v>
          </cell>
          <cell r="E1638" t="str">
            <v>A</v>
          </cell>
          <cell r="F1638" t="str">
            <v>01/02/1998</v>
          </cell>
        </row>
        <row r="1639">
          <cell r="B1639" t="str">
            <v>A0696</v>
          </cell>
          <cell r="C1639" t="str">
            <v>UEC</v>
          </cell>
          <cell r="D1639" t="str">
            <v>Y</v>
          </cell>
          <cell r="E1639" t="str">
            <v>A</v>
          </cell>
          <cell r="F1639" t="str">
            <v>01/02/1998</v>
          </cell>
        </row>
        <row r="1640">
          <cell r="B1640" t="str">
            <v>A0697</v>
          </cell>
          <cell r="C1640" t="str">
            <v>CIP</v>
          </cell>
          <cell r="D1640" t="str">
            <v>Y</v>
          </cell>
          <cell r="E1640" t="str">
            <v>A</v>
          </cell>
          <cell r="F1640" t="str">
            <v>01/02/1998</v>
          </cell>
        </row>
        <row r="1641">
          <cell r="B1641" t="str">
            <v>A0698</v>
          </cell>
          <cell r="C1641" t="str">
            <v>001G</v>
          </cell>
          <cell r="D1641" t="str">
            <v>Y</v>
          </cell>
          <cell r="E1641" t="str">
            <v>A</v>
          </cell>
          <cell r="F1641" t="str">
            <v>02/05/2001</v>
          </cell>
        </row>
        <row r="1642">
          <cell r="B1642" t="str">
            <v>A0699</v>
          </cell>
          <cell r="C1642" t="str">
            <v>017C</v>
          </cell>
          <cell r="D1642" t="str">
            <v>Y</v>
          </cell>
          <cell r="E1642" t="str">
            <v>A</v>
          </cell>
          <cell r="F1642" t="str">
            <v>01/02/1998</v>
          </cell>
        </row>
        <row r="1643">
          <cell r="B1643" t="str">
            <v>A0700</v>
          </cell>
          <cell r="C1643" t="str">
            <v>CIC</v>
          </cell>
          <cell r="D1643" t="str">
            <v>Y</v>
          </cell>
          <cell r="E1643" t="str">
            <v>A</v>
          </cell>
          <cell r="F1643" t="str">
            <v>01/02/1998</v>
          </cell>
        </row>
        <row r="1644">
          <cell r="B1644" t="str">
            <v>A0701</v>
          </cell>
          <cell r="C1644" t="str">
            <v>UEC</v>
          </cell>
          <cell r="D1644" t="str">
            <v>Y</v>
          </cell>
          <cell r="E1644" t="str">
            <v>A</v>
          </cell>
          <cell r="F1644" t="str">
            <v>01/02/1998</v>
          </cell>
        </row>
        <row r="1645">
          <cell r="B1645" t="str">
            <v>A0702</v>
          </cell>
          <cell r="C1645" t="str">
            <v>CIP</v>
          </cell>
          <cell r="D1645" t="str">
            <v>Y</v>
          </cell>
          <cell r="E1645" t="str">
            <v>A</v>
          </cell>
          <cell r="F1645" t="str">
            <v>01/02/1998</v>
          </cell>
        </row>
        <row r="1646">
          <cell r="B1646" t="str">
            <v>A0703</v>
          </cell>
          <cell r="C1646" t="str">
            <v>UDC</v>
          </cell>
          <cell r="D1646" t="str">
            <v>Y</v>
          </cell>
          <cell r="E1646" t="str">
            <v>A</v>
          </cell>
          <cell r="F1646" t="str">
            <v>01/02/1998</v>
          </cell>
        </row>
        <row r="1647">
          <cell r="B1647" t="str">
            <v>A0705</v>
          </cell>
          <cell r="C1647" t="str">
            <v>007A</v>
          </cell>
          <cell r="D1647" t="str">
            <v>Y</v>
          </cell>
          <cell r="E1647" t="str">
            <v>A</v>
          </cell>
          <cell r="F1647" t="str">
            <v>01/02/1998</v>
          </cell>
        </row>
        <row r="1648">
          <cell r="B1648" t="str">
            <v>A0706</v>
          </cell>
          <cell r="C1648" t="str">
            <v>UEC</v>
          </cell>
          <cell r="D1648" t="str">
            <v>Y</v>
          </cell>
          <cell r="E1648" t="str">
            <v>A</v>
          </cell>
          <cell r="F1648" t="str">
            <v>01/02/1998</v>
          </cell>
        </row>
        <row r="1649">
          <cell r="B1649" t="str">
            <v>A0707</v>
          </cell>
          <cell r="C1649" t="str">
            <v>CIP</v>
          </cell>
          <cell r="D1649" t="str">
            <v>Y</v>
          </cell>
          <cell r="E1649" t="str">
            <v>A</v>
          </cell>
          <cell r="F1649" t="str">
            <v>01/02/1998</v>
          </cell>
        </row>
        <row r="1650">
          <cell r="B1650" t="str">
            <v>A0708</v>
          </cell>
          <cell r="C1650" t="str">
            <v>AEC</v>
          </cell>
          <cell r="D1650" t="str">
            <v>Y</v>
          </cell>
          <cell r="E1650" t="str">
            <v>A</v>
          </cell>
          <cell r="F1650" t="str">
            <v>09/18/1998</v>
          </cell>
        </row>
        <row r="1651">
          <cell r="B1651" t="str">
            <v>A0709</v>
          </cell>
          <cell r="C1651" t="str">
            <v>CIC</v>
          </cell>
          <cell r="D1651" t="str">
            <v>Y</v>
          </cell>
          <cell r="E1651" t="str">
            <v>A</v>
          </cell>
          <cell r="F1651" t="str">
            <v>01/02/1998</v>
          </cell>
        </row>
        <row r="1652">
          <cell r="B1652" t="str">
            <v>A0710</v>
          </cell>
          <cell r="C1652" t="str">
            <v>004A</v>
          </cell>
          <cell r="D1652" t="str">
            <v>Y</v>
          </cell>
          <cell r="E1652" t="str">
            <v>A</v>
          </cell>
          <cell r="F1652" t="str">
            <v>01/02/1998</v>
          </cell>
        </row>
        <row r="1653">
          <cell r="B1653" t="str">
            <v>A0711</v>
          </cell>
          <cell r="C1653" t="str">
            <v>UEC</v>
          </cell>
          <cell r="D1653" t="str">
            <v>Y</v>
          </cell>
          <cell r="E1653" t="str">
            <v>A</v>
          </cell>
          <cell r="F1653" t="str">
            <v>01/02/1998</v>
          </cell>
        </row>
        <row r="1654">
          <cell r="B1654" t="str">
            <v>A0712</v>
          </cell>
          <cell r="C1654" t="str">
            <v>CIP</v>
          </cell>
          <cell r="D1654" t="str">
            <v>Y</v>
          </cell>
          <cell r="E1654" t="str">
            <v>A</v>
          </cell>
          <cell r="F1654" t="str">
            <v>01/02/1998</v>
          </cell>
        </row>
        <row r="1655">
          <cell r="B1655" t="str">
            <v>A0713</v>
          </cell>
          <cell r="C1655" t="str">
            <v>ERC</v>
          </cell>
          <cell r="D1655" t="str">
            <v>Y</v>
          </cell>
          <cell r="E1655" t="str">
            <v>A</v>
          </cell>
          <cell r="F1655" t="str">
            <v>09/18/1998</v>
          </cell>
        </row>
        <row r="1656">
          <cell r="B1656" t="str">
            <v>A0714</v>
          </cell>
          <cell r="C1656" t="str">
            <v>CIC</v>
          </cell>
          <cell r="D1656" t="str">
            <v>Y</v>
          </cell>
          <cell r="E1656" t="str">
            <v>A</v>
          </cell>
          <cell r="F1656" t="str">
            <v>01/02/1998</v>
          </cell>
        </row>
        <row r="1657">
          <cell r="B1657" t="str">
            <v>A0715</v>
          </cell>
          <cell r="C1657" t="str">
            <v>UEC</v>
          </cell>
          <cell r="D1657" t="str">
            <v>Y</v>
          </cell>
          <cell r="E1657" t="str">
            <v>A</v>
          </cell>
          <cell r="F1657" t="str">
            <v>01/02/1998</v>
          </cell>
        </row>
        <row r="1658">
          <cell r="B1658" t="str">
            <v>A0720</v>
          </cell>
          <cell r="C1658" t="str">
            <v>UEC</v>
          </cell>
          <cell r="D1658" t="str">
            <v>Y</v>
          </cell>
          <cell r="E1658" t="str">
            <v>A</v>
          </cell>
          <cell r="F1658" t="str">
            <v>01/02/1998</v>
          </cell>
        </row>
        <row r="1659">
          <cell r="B1659" t="str">
            <v>A0721</v>
          </cell>
          <cell r="C1659" t="str">
            <v>CIP</v>
          </cell>
          <cell r="D1659" t="str">
            <v>Y</v>
          </cell>
          <cell r="E1659" t="str">
            <v>I</v>
          </cell>
          <cell r="F1659" t="str">
            <v>01/05/1998</v>
          </cell>
        </row>
        <row r="1660">
          <cell r="B1660" t="str">
            <v>A0722</v>
          </cell>
          <cell r="C1660" t="str">
            <v>002D</v>
          </cell>
          <cell r="D1660" t="str">
            <v>Y</v>
          </cell>
          <cell r="E1660" t="str">
            <v>A</v>
          </cell>
          <cell r="F1660" t="str">
            <v>01/05/1998</v>
          </cell>
        </row>
        <row r="1661">
          <cell r="B1661" t="str">
            <v>A0723</v>
          </cell>
          <cell r="C1661"/>
          <cell r="D1661" t="str">
            <v>Y</v>
          </cell>
          <cell r="E1661" t="str">
            <v>I</v>
          </cell>
          <cell r="F1661" t="str">
            <v>01/05/1998</v>
          </cell>
        </row>
        <row r="1662">
          <cell r="B1662" t="str">
            <v>A0726</v>
          </cell>
          <cell r="C1662" t="str">
            <v>011B</v>
          </cell>
          <cell r="D1662" t="str">
            <v>N</v>
          </cell>
          <cell r="E1662" t="str">
            <v>A</v>
          </cell>
          <cell r="F1662" t="str">
            <v>01/06/1998</v>
          </cell>
        </row>
        <row r="1663">
          <cell r="B1663" t="str">
            <v>A0727</v>
          </cell>
          <cell r="C1663" t="str">
            <v>CIP</v>
          </cell>
          <cell r="D1663" t="str">
            <v>Y</v>
          </cell>
          <cell r="E1663" t="str">
            <v>A</v>
          </cell>
          <cell r="F1663" t="str">
            <v>01/06/1998</v>
          </cell>
        </row>
        <row r="1664">
          <cell r="B1664" t="str">
            <v>A0728</v>
          </cell>
          <cell r="C1664" t="str">
            <v>012D</v>
          </cell>
          <cell r="D1664" t="str">
            <v>Y</v>
          </cell>
          <cell r="E1664" t="str">
            <v>A</v>
          </cell>
          <cell r="F1664" t="str">
            <v>01/07/1998</v>
          </cell>
        </row>
        <row r="1665">
          <cell r="B1665" t="str">
            <v>A0729</v>
          </cell>
          <cell r="C1665" t="str">
            <v>UEC</v>
          </cell>
          <cell r="D1665" t="str">
            <v>Y</v>
          </cell>
          <cell r="E1665" t="str">
            <v>A</v>
          </cell>
          <cell r="F1665" t="str">
            <v>01/07/1998</v>
          </cell>
        </row>
        <row r="1666">
          <cell r="B1666" t="str">
            <v>A0730</v>
          </cell>
          <cell r="C1666" t="str">
            <v>UEC</v>
          </cell>
          <cell r="D1666" t="str">
            <v>N</v>
          </cell>
          <cell r="E1666" t="str">
            <v>A</v>
          </cell>
          <cell r="F1666" t="str">
            <v>01/08/1998</v>
          </cell>
        </row>
        <row r="1667">
          <cell r="B1667" t="str">
            <v>A0731</v>
          </cell>
          <cell r="C1667" t="str">
            <v>AME</v>
          </cell>
          <cell r="D1667" t="str">
            <v>Y</v>
          </cell>
          <cell r="E1667" t="str">
            <v>A</v>
          </cell>
          <cell r="F1667" t="str">
            <v>09/18/1998</v>
          </cell>
        </row>
        <row r="1668">
          <cell r="B1668" t="str">
            <v>A0732</v>
          </cell>
          <cell r="C1668" t="str">
            <v>002A</v>
          </cell>
          <cell r="D1668" t="str">
            <v>Y</v>
          </cell>
          <cell r="E1668" t="str">
            <v>A</v>
          </cell>
          <cell r="F1668" t="str">
            <v>01/08/1998</v>
          </cell>
        </row>
        <row r="1669">
          <cell r="B1669" t="str">
            <v>A0733</v>
          </cell>
          <cell r="C1669" t="str">
            <v>002A</v>
          </cell>
          <cell r="D1669" t="str">
            <v>Y</v>
          </cell>
          <cell r="E1669" t="str">
            <v>A</v>
          </cell>
          <cell r="F1669" t="str">
            <v>10/14/1998</v>
          </cell>
        </row>
        <row r="1670">
          <cell r="B1670" t="str">
            <v>A0734</v>
          </cell>
          <cell r="C1670" t="str">
            <v>UEC</v>
          </cell>
          <cell r="D1670" t="str">
            <v>Y</v>
          </cell>
          <cell r="E1670" t="str">
            <v>A</v>
          </cell>
          <cell r="F1670" t="str">
            <v>01/08/1998</v>
          </cell>
        </row>
        <row r="1671">
          <cell r="B1671" t="str">
            <v>A0736</v>
          </cell>
          <cell r="C1671"/>
          <cell r="D1671" t="str">
            <v>Y</v>
          </cell>
          <cell r="E1671" t="str">
            <v>A</v>
          </cell>
          <cell r="F1671" t="str">
            <v>10/15/1998</v>
          </cell>
        </row>
        <row r="1672">
          <cell r="B1672" t="str">
            <v>A0737</v>
          </cell>
          <cell r="C1672" t="str">
            <v>CIP</v>
          </cell>
          <cell r="D1672" t="str">
            <v>Y</v>
          </cell>
          <cell r="E1672" t="str">
            <v>A</v>
          </cell>
          <cell r="F1672" t="str">
            <v>01/08/1998</v>
          </cell>
        </row>
        <row r="1673">
          <cell r="B1673" t="str">
            <v>A0738</v>
          </cell>
          <cell r="C1673" t="str">
            <v>AME</v>
          </cell>
          <cell r="D1673" t="str">
            <v>Y</v>
          </cell>
          <cell r="E1673" t="str">
            <v>A</v>
          </cell>
          <cell r="F1673" t="str">
            <v>10/16/1998</v>
          </cell>
        </row>
        <row r="1674">
          <cell r="B1674" t="str">
            <v>A0740</v>
          </cell>
          <cell r="C1674" t="str">
            <v>AMC</v>
          </cell>
          <cell r="D1674" t="str">
            <v>Y</v>
          </cell>
          <cell r="E1674" t="str">
            <v>A</v>
          </cell>
          <cell r="F1674" t="str">
            <v>01/08/1998</v>
          </cell>
        </row>
        <row r="1675">
          <cell r="B1675" t="str">
            <v>A0741</v>
          </cell>
          <cell r="C1675" t="str">
            <v>UEC</v>
          </cell>
          <cell r="D1675" t="str">
            <v>Y</v>
          </cell>
          <cell r="E1675" t="str">
            <v>A</v>
          </cell>
          <cell r="F1675" t="str">
            <v>01/08/1998</v>
          </cell>
        </row>
        <row r="1676">
          <cell r="B1676" t="str">
            <v>A0742</v>
          </cell>
          <cell r="C1676"/>
          <cell r="D1676" t="str">
            <v>Y</v>
          </cell>
          <cell r="E1676" t="str">
            <v>A</v>
          </cell>
          <cell r="F1676" t="str">
            <v>10/22/1998</v>
          </cell>
        </row>
        <row r="1677">
          <cell r="B1677" t="str">
            <v>A0743</v>
          </cell>
          <cell r="C1677" t="str">
            <v>CIP</v>
          </cell>
          <cell r="D1677" t="str">
            <v>Y</v>
          </cell>
          <cell r="E1677" t="str">
            <v>A</v>
          </cell>
          <cell r="F1677" t="str">
            <v>01/08/1998</v>
          </cell>
        </row>
        <row r="1678">
          <cell r="B1678" t="str">
            <v>A0744</v>
          </cell>
          <cell r="C1678" t="str">
            <v>004A</v>
          </cell>
          <cell r="D1678" t="str">
            <v>Y</v>
          </cell>
          <cell r="E1678" t="str">
            <v>A</v>
          </cell>
          <cell r="F1678" t="str">
            <v>01/08/1998</v>
          </cell>
        </row>
        <row r="1679">
          <cell r="B1679" t="str">
            <v>A0745</v>
          </cell>
          <cell r="C1679" t="str">
            <v>GEN</v>
          </cell>
          <cell r="D1679" t="str">
            <v>Y</v>
          </cell>
          <cell r="E1679" t="str">
            <v>A</v>
          </cell>
          <cell r="F1679" t="str">
            <v>10/26/1998</v>
          </cell>
        </row>
        <row r="1680">
          <cell r="B1680" t="str">
            <v>A0746</v>
          </cell>
          <cell r="C1680" t="str">
            <v>UEC</v>
          </cell>
          <cell r="D1680" t="str">
            <v>Y</v>
          </cell>
          <cell r="E1680" t="str">
            <v>A</v>
          </cell>
          <cell r="F1680" t="str">
            <v>01/08/1998</v>
          </cell>
        </row>
        <row r="1681">
          <cell r="B1681" t="str">
            <v>A0748</v>
          </cell>
          <cell r="C1681" t="str">
            <v>CIP</v>
          </cell>
          <cell r="D1681" t="str">
            <v>Y</v>
          </cell>
          <cell r="E1681" t="str">
            <v>A</v>
          </cell>
          <cell r="F1681" t="str">
            <v>01/08/1998</v>
          </cell>
        </row>
        <row r="1682">
          <cell r="B1682" t="str">
            <v>A0749</v>
          </cell>
          <cell r="C1682" t="str">
            <v>002A</v>
          </cell>
          <cell r="D1682" t="str">
            <v>Y</v>
          </cell>
          <cell r="E1682" t="str">
            <v>A</v>
          </cell>
          <cell r="F1682" t="str">
            <v>01/08/1998</v>
          </cell>
        </row>
        <row r="1683">
          <cell r="B1683" t="str">
            <v>A0750</v>
          </cell>
          <cell r="C1683"/>
          <cell r="D1683" t="str">
            <v>Y</v>
          </cell>
          <cell r="E1683" t="str">
            <v>A</v>
          </cell>
          <cell r="F1683" t="str">
            <v>01/08/1998</v>
          </cell>
        </row>
        <row r="1684">
          <cell r="B1684" t="str">
            <v>A0751</v>
          </cell>
          <cell r="C1684" t="str">
            <v>UEC</v>
          </cell>
          <cell r="D1684" t="str">
            <v>Y</v>
          </cell>
          <cell r="E1684" t="str">
            <v>A</v>
          </cell>
          <cell r="F1684" t="str">
            <v>01/09/1998</v>
          </cell>
        </row>
        <row r="1685">
          <cell r="B1685" t="str">
            <v>A0752</v>
          </cell>
          <cell r="C1685" t="str">
            <v>CIP</v>
          </cell>
          <cell r="D1685" t="str">
            <v>N</v>
          </cell>
          <cell r="E1685" t="str">
            <v>A</v>
          </cell>
          <cell r="F1685" t="str">
            <v>01/09/1998</v>
          </cell>
        </row>
        <row r="1686">
          <cell r="B1686" t="str">
            <v>A0753</v>
          </cell>
          <cell r="C1686" t="str">
            <v>UEC</v>
          </cell>
          <cell r="D1686" t="str">
            <v>Y</v>
          </cell>
          <cell r="E1686" t="str">
            <v>A</v>
          </cell>
          <cell r="F1686" t="str">
            <v>10/30/1998</v>
          </cell>
        </row>
        <row r="1687">
          <cell r="B1687" t="str">
            <v>A0754</v>
          </cell>
          <cell r="C1687" t="str">
            <v>001A</v>
          </cell>
          <cell r="D1687" t="str">
            <v>N</v>
          </cell>
          <cell r="E1687" t="str">
            <v>A</v>
          </cell>
          <cell r="F1687" t="str">
            <v>01/09/1998</v>
          </cell>
        </row>
        <row r="1688">
          <cell r="B1688" t="str">
            <v>A0755</v>
          </cell>
          <cell r="C1688" t="str">
            <v>UEC</v>
          </cell>
          <cell r="D1688" t="str">
            <v>N</v>
          </cell>
          <cell r="E1688" t="str">
            <v>A</v>
          </cell>
          <cell r="F1688" t="str">
            <v>01/09/1998</v>
          </cell>
        </row>
        <row r="1689">
          <cell r="B1689" t="str">
            <v>A0756</v>
          </cell>
          <cell r="C1689" t="str">
            <v>UEC</v>
          </cell>
          <cell r="D1689" t="str">
            <v>Y</v>
          </cell>
          <cell r="E1689" t="str">
            <v>A</v>
          </cell>
          <cell r="F1689" t="str">
            <v>01/09/1998</v>
          </cell>
        </row>
        <row r="1690">
          <cell r="B1690" t="str">
            <v>A0757</v>
          </cell>
          <cell r="C1690" t="str">
            <v>CIP</v>
          </cell>
          <cell r="D1690" t="str">
            <v>Y</v>
          </cell>
          <cell r="E1690" t="str">
            <v>A</v>
          </cell>
          <cell r="F1690" t="str">
            <v>10/30/1998</v>
          </cell>
        </row>
        <row r="1691">
          <cell r="B1691" t="str">
            <v>A0758</v>
          </cell>
          <cell r="C1691" t="str">
            <v>CIP</v>
          </cell>
          <cell r="D1691" t="str">
            <v>N</v>
          </cell>
          <cell r="E1691" t="str">
            <v>A</v>
          </cell>
          <cell r="F1691" t="str">
            <v>01/09/1998</v>
          </cell>
        </row>
        <row r="1692">
          <cell r="B1692" t="str">
            <v>A0759</v>
          </cell>
          <cell r="C1692" t="str">
            <v>002F</v>
          </cell>
          <cell r="D1692" t="str">
            <v>Y</v>
          </cell>
          <cell r="E1692" t="str">
            <v>A</v>
          </cell>
          <cell r="F1692" t="str">
            <v>01/11/1999</v>
          </cell>
        </row>
        <row r="1693">
          <cell r="B1693" t="str">
            <v>A0760</v>
          </cell>
          <cell r="C1693" t="str">
            <v>ERC</v>
          </cell>
          <cell r="D1693" t="str">
            <v>Y</v>
          </cell>
          <cell r="E1693" t="str">
            <v>A</v>
          </cell>
          <cell r="F1693" t="str">
            <v>11/02/1998</v>
          </cell>
        </row>
        <row r="1694">
          <cell r="B1694" t="str">
            <v>A0762</v>
          </cell>
          <cell r="C1694" t="str">
            <v>AME</v>
          </cell>
          <cell r="D1694" t="str">
            <v>Y</v>
          </cell>
          <cell r="E1694" t="str">
            <v>A</v>
          </cell>
          <cell r="F1694" t="str">
            <v>11/03/1998</v>
          </cell>
        </row>
        <row r="1695">
          <cell r="B1695" t="str">
            <v>A0763</v>
          </cell>
          <cell r="C1695" t="str">
            <v>CIP</v>
          </cell>
          <cell r="D1695" t="str">
            <v>Y</v>
          </cell>
          <cell r="E1695" t="str">
            <v>A</v>
          </cell>
          <cell r="F1695" t="str">
            <v>01/09/1998</v>
          </cell>
        </row>
        <row r="1696">
          <cell r="B1696" t="str">
            <v>A0764</v>
          </cell>
          <cell r="C1696" t="str">
            <v>002K</v>
          </cell>
          <cell r="D1696" t="str">
            <v>Y</v>
          </cell>
          <cell r="E1696" t="str">
            <v>A</v>
          </cell>
          <cell r="F1696" t="str">
            <v>01/09/1998</v>
          </cell>
        </row>
        <row r="1697">
          <cell r="B1697" t="str">
            <v>A0767</v>
          </cell>
          <cell r="C1697" t="str">
            <v>UEC</v>
          </cell>
          <cell r="D1697" t="str">
            <v>Y</v>
          </cell>
          <cell r="E1697" t="str">
            <v>A</v>
          </cell>
          <cell r="F1697" t="str">
            <v>01/10/1998</v>
          </cell>
        </row>
        <row r="1698">
          <cell r="B1698" t="str">
            <v>A0768</v>
          </cell>
          <cell r="C1698" t="str">
            <v>CIP</v>
          </cell>
          <cell r="D1698" t="str">
            <v>Y</v>
          </cell>
          <cell r="E1698" t="str">
            <v>A</v>
          </cell>
          <cell r="F1698" t="str">
            <v>01/10/1998</v>
          </cell>
        </row>
        <row r="1699">
          <cell r="B1699" t="str">
            <v>A0769</v>
          </cell>
          <cell r="C1699" t="str">
            <v>002L</v>
          </cell>
          <cell r="D1699" t="str">
            <v>Y</v>
          </cell>
          <cell r="E1699" t="str">
            <v>A</v>
          </cell>
          <cell r="F1699" t="str">
            <v>01/10/1998</v>
          </cell>
        </row>
        <row r="1700">
          <cell r="B1700" t="str">
            <v>A0770</v>
          </cell>
          <cell r="C1700" t="str">
            <v>UEC</v>
          </cell>
          <cell r="D1700" t="str">
            <v>Y</v>
          </cell>
          <cell r="E1700" t="str">
            <v>A</v>
          </cell>
          <cell r="F1700" t="str">
            <v>01/10/1998</v>
          </cell>
        </row>
        <row r="1701">
          <cell r="B1701" t="str">
            <v>A0771</v>
          </cell>
          <cell r="C1701" t="str">
            <v>CIP</v>
          </cell>
          <cell r="D1701" t="str">
            <v>Y</v>
          </cell>
          <cell r="E1701" t="str">
            <v>A</v>
          </cell>
          <cell r="F1701" t="str">
            <v>01/10/1998</v>
          </cell>
        </row>
        <row r="1702">
          <cell r="B1702" t="str">
            <v>A0772</v>
          </cell>
          <cell r="C1702" t="str">
            <v>002A</v>
          </cell>
          <cell r="D1702" t="str">
            <v>Y</v>
          </cell>
          <cell r="E1702" t="str">
            <v>A</v>
          </cell>
          <cell r="F1702" t="str">
            <v>01/10/1998</v>
          </cell>
        </row>
        <row r="1703">
          <cell r="B1703" t="str">
            <v>A0773</v>
          </cell>
          <cell r="C1703" t="str">
            <v>UEC</v>
          </cell>
          <cell r="D1703" t="str">
            <v>Y</v>
          </cell>
          <cell r="E1703" t="str">
            <v>A</v>
          </cell>
          <cell r="F1703" t="str">
            <v>01/10/1998</v>
          </cell>
        </row>
        <row r="1704">
          <cell r="B1704" t="str">
            <v>A0774</v>
          </cell>
          <cell r="C1704" t="str">
            <v>CIP</v>
          </cell>
          <cell r="D1704" t="str">
            <v>Y</v>
          </cell>
          <cell r="E1704" t="str">
            <v>A</v>
          </cell>
          <cell r="F1704" t="str">
            <v>01/10/1998</v>
          </cell>
        </row>
        <row r="1705">
          <cell r="B1705" t="str">
            <v>A0776</v>
          </cell>
          <cell r="C1705" t="str">
            <v>UEC</v>
          </cell>
          <cell r="D1705" t="str">
            <v>Y</v>
          </cell>
          <cell r="E1705" t="str">
            <v>A</v>
          </cell>
          <cell r="F1705" t="str">
            <v>01/10/1998</v>
          </cell>
        </row>
        <row r="1706">
          <cell r="B1706" t="str">
            <v>A0777</v>
          </cell>
          <cell r="C1706" t="str">
            <v>CIP</v>
          </cell>
          <cell r="D1706" t="str">
            <v>Y</v>
          </cell>
          <cell r="E1706" t="str">
            <v>A</v>
          </cell>
          <cell r="F1706" t="str">
            <v>01/10/1998</v>
          </cell>
        </row>
        <row r="1707">
          <cell r="B1707" t="str">
            <v>A0778</v>
          </cell>
          <cell r="C1707" t="str">
            <v>004F</v>
          </cell>
          <cell r="D1707" t="str">
            <v>Y</v>
          </cell>
          <cell r="E1707" t="str">
            <v>A</v>
          </cell>
          <cell r="F1707" t="str">
            <v>01/10/1998</v>
          </cell>
        </row>
        <row r="1708">
          <cell r="B1708" t="str">
            <v>A0779</v>
          </cell>
          <cell r="C1708" t="str">
            <v>AME</v>
          </cell>
          <cell r="D1708" t="str">
            <v>Y</v>
          </cell>
          <cell r="E1708" t="str">
            <v>A</v>
          </cell>
          <cell r="F1708" t="str">
            <v>11/03/1998</v>
          </cell>
        </row>
        <row r="1709">
          <cell r="B1709" t="str">
            <v>A0780</v>
          </cell>
          <cell r="C1709" t="str">
            <v>UEC</v>
          </cell>
          <cell r="D1709" t="str">
            <v>Y</v>
          </cell>
          <cell r="E1709" t="str">
            <v>I</v>
          </cell>
          <cell r="F1709" t="str">
            <v>11/04/1998</v>
          </cell>
        </row>
        <row r="1710">
          <cell r="B1710" t="str">
            <v>A0781</v>
          </cell>
          <cell r="C1710" t="str">
            <v>CIP</v>
          </cell>
          <cell r="D1710" t="str">
            <v>Y</v>
          </cell>
          <cell r="E1710" t="str">
            <v>A</v>
          </cell>
          <cell r="F1710" t="str">
            <v>11/04/1998</v>
          </cell>
        </row>
        <row r="1711">
          <cell r="B1711" t="str">
            <v>A0782</v>
          </cell>
          <cell r="C1711" t="str">
            <v>UEC</v>
          </cell>
          <cell r="D1711" t="str">
            <v>Y</v>
          </cell>
          <cell r="E1711" t="str">
            <v>A</v>
          </cell>
          <cell r="F1711" t="str">
            <v>01/12/1998</v>
          </cell>
        </row>
        <row r="1712">
          <cell r="B1712" t="str">
            <v>A0787</v>
          </cell>
          <cell r="C1712" t="str">
            <v>CIP</v>
          </cell>
          <cell r="D1712" t="str">
            <v>Y</v>
          </cell>
          <cell r="E1712" t="str">
            <v>A</v>
          </cell>
          <cell r="F1712" t="str">
            <v>01/12/1998</v>
          </cell>
        </row>
        <row r="1713">
          <cell r="B1713" t="str">
            <v>A0788</v>
          </cell>
          <cell r="C1713" t="str">
            <v>UEC</v>
          </cell>
          <cell r="D1713" t="str">
            <v>Y</v>
          </cell>
          <cell r="E1713" t="str">
            <v>A</v>
          </cell>
          <cell r="F1713" t="str">
            <v>01/12/1998</v>
          </cell>
        </row>
        <row r="1714">
          <cell r="B1714" t="str">
            <v>A0789</v>
          </cell>
          <cell r="C1714" t="str">
            <v>CIP</v>
          </cell>
          <cell r="D1714" t="str">
            <v>Y</v>
          </cell>
          <cell r="E1714" t="str">
            <v>A</v>
          </cell>
          <cell r="F1714" t="str">
            <v>01/12/1998</v>
          </cell>
        </row>
        <row r="1715">
          <cell r="B1715" t="str">
            <v>A0790</v>
          </cell>
          <cell r="C1715" t="str">
            <v>UDC</v>
          </cell>
          <cell r="D1715" t="str">
            <v>N</v>
          </cell>
          <cell r="E1715" t="str">
            <v>A</v>
          </cell>
          <cell r="F1715" t="str">
            <v>01/12/1998</v>
          </cell>
        </row>
        <row r="1716">
          <cell r="B1716" t="str">
            <v>A0791</v>
          </cell>
          <cell r="C1716" t="str">
            <v>001A</v>
          </cell>
          <cell r="D1716" t="str">
            <v>Y</v>
          </cell>
          <cell r="E1716" t="str">
            <v>A</v>
          </cell>
          <cell r="F1716" t="str">
            <v>01/14/1998</v>
          </cell>
        </row>
        <row r="1717">
          <cell r="B1717" t="str">
            <v>A0792</v>
          </cell>
          <cell r="C1717" t="str">
            <v>017A</v>
          </cell>
          <cell r="D1717" t="str">
            <v>Y</v>
          </cell>
          <cell r="E1717" t="str">
            <v>A</v>
          </cell>
          <cell r="F1717" t="str">
            <v>01/14/1998</v>
          </cell>
        </row>
        <row r="1718">
          <cell r="B1718" t="str">
            <v>A0794</v>
          </cell>
          <cell r="C1718" t="str">
            <v>UEC</v>
          </cell>
          <cell r="D1718" t="str">
            <v>Y</v>
          </cell>
          <cell r="E1718" t="str">
            <v>A</v>
          </cell>
          <cell r="F1718" t="str">
            <v>01/15/1998</v>
          </cell>
        </row>
        <row r="1719">
          <cell r="B1719" t="str">
            <v>A0796</v>
          </cell>
          <cell r="C1719" t="str">
            <v>GEN</v>
          </cell>
          <cell r="D1719" t="str">
            <v>Y</v>
          </cell>
          <cell r="E1719" t="str">
            <v>A</v>
          </cell>
          <cell r="F1719" t="str">
            <v>01/16/1998</v>
          </cell>
        </row>
        <row r="1720">
          <cell r="B1720" t="str">
            <v>A0797</v>
          </cell>
          <cell r="C1720" t="str">
            <v>UEC</v>
          </cell>
          <cell r="D1720" t="str">
            <v>N</v>
          </cell>
          <cell r="E1720" t="str">
            <v>A</v>
          </cell>
          <cell r="F1720" t="str">
            <v>01/20/1998</v>
          </cell>
        </row>
        <row r="1721">
          <cell r="B1721" t="str">
            <v>A0798</v>
          </cell>
          <cell r="C1721" t="str">
            <v>UEC</v>
          </cell>
          <cell r="D1721" t="str">
            <v>Y</v>
          </cell>
          <cell r="E1721" t="str">
            <v>A</v>
          </cell>
          <cell r="F1721" t="str">
            <v>01/20/1998</v>
          </cell>
        </row>
        <row r="1722">
          <cell r="B1722" t="str">
            <v>A0800</v>
          </cell>
          <cell r="C1722" t="str">
            <v>AME</v>
          </cell>
          <cell r="D1722" t="str">
            <v>Y</v>
          </cell>
          <cell r="E1722" t="str">
            <v>A</v>
          </cell>
          <cell r="F1722" t="str">
            <v>11/04/1998</v>
          </cell>
        </row>
        <row r="1723">
          <cell r="B1723" t="str">
            <v>A0802</v>
          </cell>
          <cell r="C1723" t="str">
            <v>AME</v>
          </cell>
          <cell r="D1723" t="str">
            <v>Y</v>
          </cell>
          <cell r="E1723" t="str">
            <v>A</v>
          </cell>
          <cell r="F1723" t="str">
            <v>11/04/1998</v>
          </cell>
        </row>
        <row r="1724">
          <cell r="B1724" t="str">
            <v>A0803</v>
          </cell>
          <cell r="C1724"/>
          <cell r="D1724" t="str">
            <v>Y</v>
          </cell>
          <cell r="E1724" t="str">
            <v>A</v>
          </cell>
          <cell r="F1724" t="str">
            <v>01/22/1998</v>
          </cell>
        </row>
        <row r="1725">
          <cell r="B1725" t="str">
            <v>A0804</v>
          </cell>
          <cell r="C1725" t="str">
            <v>AEC</v>
          </cell>
          <cell r="D1725" t="str">
            <v>Y</v>
          </cell>
          <cell r="E1725" t="str">
            <v>A</v>
          </cell>
          <cell r="F1725" t="str">
            <v>11/04/1998</v>
          </cell>
        </row>
        <row r="1726">
          <cell r="B1726" t="str">
            <v>A0805</v>
          </cell>
          <cell r="C1726" t="str">
            <v>004O</v>
          </cell>
          <cell r="D1726" t="str">
            <v>Y</v>
          </cell>
          <cell r="E1726" t="str">
            <v>A</v>
          </cell>
          <cell r="F1726" t="str">
            <v>01/11/1999</v>
          </cell>
        </row>
        <row r="1727">
          <cell r="B1727" t="str">
            <v>A0807</v>
          </cell>
          <cell r="C1727" t="str">
            <v>001A</v>
          </cell>
          <cell r="D1727" t="str">
            <v>Y</v>
          </cell>
          <cell r="E1727" t="str">
            <v>A</v>
          </cell>
          <cell r="F1727" t="str">
            <v>01/12/1999</v>
          </cell>
        </row>
        <row r="1728">
          <cell r="B1728" t="str">
            <v>A0809</v>
          </cell>
          <cell r="C1728" t="str">
            <v>002L</v>
          </cell>
          <cell r="D1728" t="str">
            <v>Y</v>
          </cell>
          <cell r="E1728" t="str">
            <v>A</v>
          </cell>
          <cell r="F1728" t="str">
            <v>11/05/1998</v>
          </cell>
        </row>
        <row r="1729">
          <cell r="B1729" t="str">
            <v>A0812</v>
          </cell>
          <cell r="C1729" t="str">
            <v>UEC</v>
          </cell>
          <cell r="D1729" t="str">
            <v>Y</v>
          </cell>
          <cell r="E1729" t="str">
            <v>I</v>
          </cell>
          <cell r="F1729" t="str">
            <v>01/23/1998</v>
          </cell>
        </row>
        <row r="1730">
          <cell r="B1730" t="str">
            <v>A0813</v>
          </cell>
          <cell r="C1730" t="str">
            <v>UEC</v>
          </cell>
          <cell r="D1730" t="str">
            <v>Y</v>
          </cell>
          <cell r="E1730" t="str">
            <v>A</v>
          </cell>
          <cell r="F1730" t="str">
            <v>01/23/1998</v>
          </cell>
        </row>
        <row r="1731">
          <cell r="B1731" t="str">
            <v>A0814</v>
          </cell>
          <cell r="C1731" t="str">
            <v>UEC</v>
          </cell>
          <cell r="D1731" t="str">
            <v>Y</v>
          </cell>
          <cell r="E1731" t="str">
            <v>A</v>
          </cell>
          <cell r="F1731" t="str">
            <v>01/23/1998</v>
          </cell>
        </row>
        <row r="1732">
          <cell r="B1732" t="str">
            <v>A0815</v>
          </cell>
          <cell r="C1732" t="str">
            <v>002A</v>
          </cell>
          <cell r="D1732" t="str">
            <v>Y</v>
          </cell>
          <cell r="E1732" t="str">
            <v>A</v>
          </cell>
          <cell r="F1732" t="str">
            <v>11/05/1998</v>
          </cell>
        </row>
        <row r="1733">
          <cell r="B1733" t="str">
            <v>A0816</v>
          </cell>
          <cell r="C1733" t="str">
            <v>UEC</v>
          </cell>
          <cell r="D1733" t="str">
            <v>Y</v>
          </cell>
          <cell r="E1733" t="str">
            <v>A</v>
          </cell>
          <cell r="F1733" t="str">
            <v>11/06/1998</v>
          </cell>
        </row>
        <row r="1734">
          <cell r="B1734" t="str">
            <v>A0817</v>
          </cell>
          <cell r="C1734" t="str">
            <v>002D</v>
          </cell>
          <cell r="D1734" t="str">
            <v>Y</v>
          </cell>
          <cell r="E1734" t="str">
            <v>A</v>
          </cell>
          <cell r="F1734" t="str">
            <v>01/23/1998</v>
          </cell>
        </row>
        <row r="1735">
          <cell r="B1735" t="str">
            <v>A0818</v>
          </cell>
          <cell r="C1735" t="str">
            <v>UEC</v>
          </cell>
          <cell r="D1735" t="str">
            <v>Y</v>
          </cell>
          <cell r="E1735" t="str">
            <v>I</v>
          </cell>
          <cell r="F1735" t="str">
            <v>01/27/1998</v>
          </cell>
        </row>
        <row r="1736">
          <cell r="B1736" t="str">
            <v>A0819</v>
          </cell>
          <cell r="C1736"/>
          <cell r="D1736" t="str">
            <v>N</v>
          </cell>
          <cell r="E1736" t="str">
            <v>A</v>
          </cell>
          <cell r="F1736" t="str">
            <v>01/23/1998</v>
          </cell>
        </row>
        <row r="1737">
          <cell r="B1737" t="str">
            <v>A0820</v>
          </cell>
          <cell r="C1737" t="str">
            <v>CIP</v>
          </cell>
          <cell r="D1737" t="str">
            <v>Y</v>
          </cell>
          <cell r="E1737" t="str">
            <v>A</v>
          </cell>
          <cell r="F1737" t="str">
            <v>11/06/1998</v>
          </cell>
        </row>
        <row r="1738">
          <cell r="B1738" t="str">
            <v>A0825</v>
          </cell>
          <cell r="C1738" t="str">
            <v>004A</v>
          </cell>
          <cell r="D1738" t="str">
            <v>Y</v>
          </cell>
          <cell r="E1738" t="str">
            <v>A</v>
          </cell>
          <cell r="F1738" t="str">
            <v>01/12/1999</v>
          </cell>
        </row>
        <row r="1739">
          <cell r="B1739" t="str">
            <v>A0826</v>
          </cell>
          <cell r="C1739" t="str">
            <v>UEC</v>
          </cell>
          <cell r="D1739" t="str">
            <v>Y</v>
          </cell>
          <cell r="E1739" t="str">
            <v>A</v>
          </cell>
          <cell r="F1739" t="str">
            <v>01/31/1998</v>
          </cell>
        </row>
        <row r="1740">
          <cell r="B1740" t="str">
            <v>A0828</v>
          </cell>
          <cell r="C1740" t="str">
            <v>004B</v>
          </cell>
          <cell r="D1740" t="str">
            <v>Y</v>
          </cell>
          <cell r="E1740" t="str">
            <v>A</v>
          </cell>
          <cell r="F1740" t="str">
            <v>01/12/1999</v>
          </cell>
        </row>
        <row r="1741">
          <cell r="B1741" t="str">
            <v>A0832</v>
          </cell>
          <cell r="C1741" t="str">
            <v>UEC</v>
          </cell>
          <cell r="D1741" t="str">
            <v>Y</v>
          </cell>
          <cell r="E1741" t="str">
            <v>I</v>
          </cell>
          <cell r="F1741" t="str">
            <v>01/28/1998</v>
          </cell>
        </row>
        <row r="1742">
          <cell r="B1742" t="str">
            <v>A0833</v>
          </cell>
          <cell r="C1742" t="str">
            <v>CIP</v>
          </cell>
          <cell r="D1742" t="str">
            <v>Y</v>
          </cell>
          <cell r="E1742" t="str">
            <v>A</v>
          </cell>
          <cell r="F1742" t="str">
            <v>01/30/1998</v>
          </cell>
        </row>
        <row r="1743">
          <cell r="B1743" t="str">
            <v>A0834</v>
          </cell>
          <cell r="C1743" t="str">
            <v>CIP</v>
          </cell>
          <cell r="D1743" t="str">
            <v>Y</v>
          </cell>
          <cell r="E1743" t="str">
            <v>A</v>
          </cell>
          <cell r="F1743" t="str">
            <v>02/02/1998</v>
          </cell>
        </row>
        <row r="1744">
          <cell r="B1744" t="str">
            <v>A0835</v>
          </cell>
          <cell r="C1744" t="str">
            <v>UEC</v>
          </cell>
          <cell r="D1744" t="str">
            <v>Y</v>
          </cell>
          <cell r="E1744" t="str">
            <v>A</v>
          </cell>
          <cell r="F1744" t="str">
            <v>02/02/1998</v>
          </cell>
        </row>
        <row r="1745">
          <cell r="B1745" t="str">
            <v>A0837</v>
          </cell>
          <cell r="C1745" t="str">
            <v>001D</v>
          </cell>
          <cell r="D1745" t="str">
            <v>Y</v>
          </cell>
          <cell r="E1745" t="str">
            <v>A</v>
          </cell>
          <cell r="F1745" t="str">
            <v>02/02/1998</v>
          </cell>
        </row>
        <row r="1746">
          <cell r="B1746" t="str">
            <v>A0838</v>
          </cell>
          <cell r="C1746" t="str">
            <v>002D</v>
          </cell>
          <cell r="D1746" t="str">
            <v>Y</v>
          </cell>
          <cell r="E1746" t="str">
            <v>A</v>
          </cell>
          <cell r="F1746" t="str">
            <v>02/02/1998</v>
          </cell>
        </row>
        <row r="1747">
          <cell r="B1747" t="str">
            <v>A0839</v>
          </cell>
          <cell r="C1747" t="str">
            <v>UEC</v>
          </cell>
          <cell r="D1747" t="str">
            <v>Y</v>
          </cell>
          <cell r="E1747" t="str">
            <v>A</v>
          </cell>
          <cell r="F1747" t="str">
            <v>02/02/1998</v>
          </cell>
        </row>
        <row r="1748">
          <cell r="B1748" t="str">
            <v>A0841</v>
          </cell>
          <cell r="C1748" t="str">
            <v>CIP</v>
          </cell>
          <cell r="D1748" t="str">
            <v>Y</v>
          </cell>
          <cell r="E1748" t="str">
            <v>A</v>
          </cell>
          <cell r="F1748" t="str">
            <v>02/02/1998</v>
          </cell>
        </row>
        <row r="1749">
          <cell r="B1749" t="str">
            <v>A0850</v>
          </cell>
          <cell r="C1749"/>
          <cell r="D1749" t="str">
            <v>Y</v>
          </cell>
          <cell r="E1749" t="str">
            <v>A</v>
          </cell>
          <cell r="F1749" t="str">
            <v>02/03/1998</v>
          </cell>
        </row>
        <row r="1750">
          <cell r="B1750" t="str">
            <v>A0852</v>
          </cell>
          <cell r="C1750" t="str">
            <v>004A</v>
          </cell>
          <cell r="D1750" t="str">
            <v>Y</v>
          </cell>
          <cell r="E1750" t="str">
            <v>A</v>
          </cell>
          <cell r="F1750" t="str">
            <v>11/10/1998</v>
          </cell>
        </row>
        <row r="1751">
          <cell r="B1751" t="str">
            <v>A0859</v>
          </cell>
          <cell r="C1751" t="str">
            <v>UEC</v>
          </cell>
          <cell r="D1751" t="str">
            <v>Y</v>
          </cell>
          <cell r="E1751" t="str">
            <v>A</v>
          </cell>
          <cell r="F1751" t="str">
            <v>02/03/1998</v>
          </cell>
        </row>
        <row r="1752">
          <cell r="B1752" t="str">
            <v>A0861</v>
          </cell>
          <cell r="C1752" t="str">
            <v>UEC</v>
          </cell>
          <cell r="D1752" t="str">
            <v>Y</v>
          </cell>
          <cell r="E1752" t="str">
            <v>A</v>
          </cell>
          <cell r="F1752" t="str">
            <v>02/05/1998</v>
          </cell>
        </row>
        <row r="1753">
          <cell r="B1753" t="str">
            <v>A0862</v>
          </cell>
          <cell r="C1753" t="str">
            <v>CIP</v>
          </cell>
          <cell r="D1753" t="str">
            <v>Y</v>
          </cell>
          <cell r="E1753" t="str">
            <v>A</v>
          </cell>
          <cell r="F1753" t="str">
            <v>02/05/1998</v>
          </cell>
        </row>
        <row r="1754">
          <cell r="B1754" t="str">
            <v>A0864</v>
          </cell>
          <cell r="C1754" t="str">
            <v>CIP</v>
          </cell>
          <cell r="D1754" t="str">
            <v>Y</v>
          </cell>
          <cell r="E1754" t="str">
            <v>A</v>
          </cell>
          <cell r="F1754" t="str">
            <v>11/10/1998</v>
          </cell>
        </row>
        <row r="1755">
          <cell r="B1755" t="str">
            <v>A0865</v>
          </cell>
          <cell r="C1755" t="str">
            <v>UEC</v>
          </cell>
          <cell r="D1755" t="str">
            <v>Y</v>
          </cell>
          <cell r="E1755" t="str">
            <v>A</v>
          </cell>
          <cell r="F1755" t="str">
            <v>11/10/1998</v>
          </cell>
        </row>
        <row r="1756">
          <cell r="B1756" t="str">
            <v>A0866</v>
          </cell>
          <cell r="C1756"/>
          <cell r="D1756" t="str">
            <v>N</v>
          </cell>
          <cell r="E1756" t="str">
            <v>A</v>
          </cell>
          <cell r="F1756" t="str">
            <v>02/09/1998</v>
          </cell>
        </row>
        <row r="1757">
          <cell r="B1757" t="str">
            <v>A0868</v>
          </cell>
          <cell r="C1757" t="str">
            <v>UEC</v>
          </cell>
          <cell r="D1757" t="str">
            <v>Y</v>
          </cell>
          <cell r="E1757" t="str">
            <v>A</v>
          </cell>
          <cell r="F1757" t="str">
            <v>02/11/1998</v>
          </cell>
        </row>
        <row r="1758">
          <cell r="B1758" t="str">
            <v>A0869</v>
          </cell>
          <cell r="C1758" t="str">
            <v>004A</v>
          </cell>
          <cell r="D1758" t="str">
            <v>Y</v>
          </cell>
          <cell r="E1758" t="str">
            <v>A</v>
          </cell>
          <cell r="F1758" t="str">
            <v>11/10/1998</v>
          </cell>
        </row>
        <row r="1759">
          <cell r="B1759" t="str">
            <v>A0871</v>
          </cell>
          <cell r="C1759" t="str">
            <v>004F</v>
          </cell>
          <cell r="D1759" t="str">
            <v>Y</v>
          </cell>
          <cell r="E1759" t="str">
            <v>A</v>
          </cell>
          <cell r="F1759" t="str">
            <v>01/22/1999</v>
          </cell>
        </row>
        <row r="1760">
          <cell r="B1760" t="str">
            <v>A0877</v>
          </cell>
          <cell r="C1760" t="str">
            <v>AME</v>
          </cell>
          <cell r="D1760" t="str">
            <v>Y</v>
          </cell>
          <cell r="E1760" t="str">
            <v>A</v>
          </cell>
          <cell r="F1760" t="str">
            <v>12/22/1998</v>
          </cell>
        </row>
        <row r="1761">
          <cell r="B1761" t="str">
            <v>A0878</v>
          </cell>
          <cell r="C1761" t="str">
            <v>004B</v>
          </cell>
          <cell r="D1761" t="str">
            <v>Y</v>
          </cell>
          <cell r="E1761" t="str">
            <v>A</v>
          </cell>
          <cell r="F1761" t="str">
            <v>12/22/1998</v>
          </cell>
        </row>
        <row r="1762">
          <cell r="B1762" t="str">
            <v>A0880</v>
          </cell>
          <cell r="C1762" t="str">
            <v>010A</v>
          </cell>
          <cell r="D1762" t="str">
            <v>N</v>
          </cell>
          <cell r="E1762" t="str">
            <v>A</v>
          </cell>
          <cell r="F1762" t="str">
            <v>02/23/1999</v>
          </cell>
        </row>
        <row r="1763">
          <cell r="B1763" t="str">
            <v>A0881</v>
          </cell>
          <cell r="C1763" t="str">
            <v>AME</v>
          </cell>
          <cell r="D1763" t="str">
            <v>Y</v>
          </cell>
          <cell r="E1763" t="str">
            <v>A</v>
          </cell>
          <cell r="F1763" t="str">
            <v>02/23/1999</v>
          </cell>
        </row>
        <row r="1764">
          <cell r="B1764" t="str">
            <v>A0882</v>
          </cell>
          <cell r="C1764" t="str">
            <v>AMC</v>
          </cell>
          <cell r="D1764" t="str">
            <v>Y</v>
          </cell>
          <cell r="E1764" t="str">
            <v>A</v>
          </cell>
          <cell r="F1764" t="str">
            <v>03/02/1999</v>
          </cell>
        </row>
        <row r="1765">
          <cell r="B1765" t="str">
            <v>A0886</v>
          </cell>
          <cell r="C1765" t="str">
            <v>AME</v>
          </cell>
          <cell r="D1765" t="str">
            <v>Y</v>
          </cell>
          <cell r="E1765" t="str">
            <v>A</v>
          </cell>
          <cell r="F1765" t="str">
            <v>03/19/1999</v>
          </cell>
        </row>
        <row r="1766">
          <cell r="B1766" t="str">
            <v>A0887</v>
          </cell>
          <cell r="C1766" t="str">
            <v>AME</v>
          </cell>
          <cell r="D1766" t="str">
            <v>Y</v>
          </cell>
          <cell r="E1766" t="str">
            <v>A</v>
          </cell>
          <cell r="F1766" t="str">
            <v>03/19/1999</v>
          </cell>
        </row>
        <row r="1767">
          <cell r="B1767" t="str">
            <v>A0889</v>
          </cell>
          <cell r="C1767" t="str">
            <v>ERC</v>
          </cell>
          <cell r="D1767" t="str">
            <v>Y</v>
          </cell>
          <cell r="E1767" t="str">
            <v>A</v>
          </cell>
          <cell r="F1767" t="str">
            <v>04/13/1999</v>
          </cell>
        </row>
        <row r="1768">
          <cell r="B1768" t="str">
            <v>A0894</v>
          </cell>
          <cell r="C1768"/>
          <cell r="D1768" t="str">
            <v>Y</v>
          </cell>
          <cell r="E1768" t="str">
            <v>A</v>
          </cell>
          <cell r="F1768" t="str">
            <v>06/04/1999</v>
          </cell>
        </row>
        <row r="1769">
          <cell r="B1769" t="str">
            <v>A0896</v>
          </cell>
          <cell r="C1769" t="str">
            <v>UEC</v>
          </cell>
          <cell r="D1769" t="str">
            <v>Y</v>
          </cell>
          <cell r="E1769" t="str">
            <v>A</v>
          </cell>
          <cell r="F1769" t="str">
            <v>07/02/1999</v>
          </cell>
        </row>
        <row r="1770">
          <cell r="B1770" t="str">
            <v>A0897</v>
          </cell>
          <cell r="C1770" t="str">
            <v>CIP</v>
          </cell>
          <cell r="D1770" t="str">
            <v>Y</v>
          </cell>
          <cell r="E1770" t="str">
            <v>A</v>
          </cell>
          <cell r="F1770" t="str">
            <v>07/06/1999</v>
          </cell>
        </row>
        <row r="1771">
          <cell r="B1771" t="str">
            <v>A0898</v>
          </cell>
          <cell r="C1771" t="str">
            <v>001A</v>
          </cell>
          <cell r="D1771" t="str">
            <v>Y</v>
          </cell>
          <cell r="E1771" t="str">
            <v>A</v>
          </cell>
          <cell r="F1771" t="str">
            <v>07/06/1999</v>
          </cell>
        </row>
        <row r="1772">
          <cell r="B1772" t="str">
            <v>A0902</v>
          </cell>
          <cell r="C1772" t="str">
            <v>AME</v>
          </cell>
          <cell r="D1772" t="str">
            <v>Y</v>
          </cell>
          <cell r="E1772" t="str">
            <v>A</v>
          </cell>
          <cell r="F1772" t="str">
            <v>07/27/1999</v>
          </cell>
        </row>
        <row r="1773">
          <cell r="B1773" t="str">
            <v>A0904</v>
          </cell>
          <cell r="C1773" t="str">
            <v>AFS</v>
          </cell>
          <cell r="D1773" t="str">
            <v>Y</v>
          </cell>
          <cell r="E1773" t="str">
            <v>A</v>
          </cell>
          <cell r="F1773" t="str">
            <v>07/28/1999</v>
          </cell>
        </row>
        <row r="1774">
          <cell r="B1774" t="str">
            <v>A0906</v>
          </cell>
          <cell r="C1774" t="str">
            <v>AEC</v>
          </cell>
          <cell r="D1774" t="str">
            <v>Y</v>
          </cell>
          <cell r="E1774" t="str">
            <v>A</v>
          </cell>
          <cell r="F1774" t="str">
            <v>07/28/1999</v>
          </cell>
        </row>
        <row r="1775">
          <cell r="B1775" t="str">
            <v>A0910</v>
          </cell>
          <cell r="C1775" t="str">
            <v>AEC</v>
          </cell>
          <cell r="D1775" t="str">
            <v>Y</v>
          </cell>
          <cell r="E1775" t="str">
            <v>A</v>
          </cell>
          <cell r="F1775" t="str">
            <v>08/18/1999</v>
          </cell>
        </row>
        <row r="1776">
          <cell r="B1776" t="str">
            <v>A0912</v>
          </cell>
          <cell r="C1776" t="str">
            <v>AEC</v>
          </cell>
          <cell r="D1776" t="str">
            <v>Y</v>
          </cell>
          <cell r="E1776" t="str">
            <v>A</v>
          </cell>
          <cell r="F1776" t="str">
            <v>09/02/1999</v>
          </cell>
        </row>
        <row r="1777">
          <cell r="B1777" t="str">
            <v>A0926</v>
          </cell>
          <cell r="C1777" t="str">
            <v>010A</v>
          </cell>
          <cell r="D1777" t="str">
            <v>Y</v>
          </cell>
          <cell r="E1777" t="str">
            <v>A</v>
          </cell>
          <cell r="F1777" t="str">
            <v>09/27/1999</v>
          </cell>
        </row>
        <row r="1778">
          <cell r="B1778" t="str">
            <v>A0936</v>
          </cell>
          <cell r="C1778" t="str">
            <v>CIP</v>
          </cell>
          <cell r="D1778" t="str">
            <v>N</v>
          </cell>
          <cell r="E1778" t="str">
            <v>A</v>
          </cell>
          <cell r="F1778" t="str">
            <v>10/22/1999</v>
          </cell>
        </row>
        <row r="1779">
          <cell r="B1779" t="str">
            <v>A0940</v>
          </cell>
          <cell r="C1779" t="str">
            <v>002M</v>
          </cell>
          <cell r="D1779" t="str">
            <v>Y</v>
          </cell>
          <cell r="E1779" t="str">
            <v>A</v>
          </cell>
          <cell r="F1779" t="str">
            <v>10/22/1999</v>
          </cell>
        </row>
        <row r="1780">
          <cell r="B1780" t="str">
            <v>A0948</v>
          </cell>
          <cell r="C1780" t="str">
            <v>UEC</v>
          </cell>
          <cell r="D1780" t="str">
            <v>Y</v>
          </cell>
          <cell r="E1780" t="str">
            <v>A</v>
          </cell>
          <cell r="F1780" t="str">
            <v>11/08/1999</v>
          </cell>
        </row>
        <row r="1781">
          <cell r="B1781" t="str">
            <v>A0950</v>
          </cell>
          <cell r="C1781" t="str">
            <v>IHC</v>
          </cell>
          <cell r="D1781" t="str">
            <v>Y</v>
          </cell>
          <cell r="E1781" t="str">
            <v>A</v>
          </cell>
          <cell r="F1781" t="str">
            <v>11/12/1999</v>
          </cell>
        </row>
        <row r="1782">
          <cell r="B1782" t="str">
            <v>A0953</v>
          </cell>
          <cell r="C1782" t="str">
            <v>002F</v>
          </cell>
          <cell r="D1782" t="str">
            <v>Y</v>
          </cell>
          <cell r="E1782" t="str">
            <v>A</v>
          </cell>
          <cell r="F1782" t="str">
            <v>11/15/1999</v>
          </cell>
        </row>
        <row r="1783">
          <cell r="B1783" t="str">
            <v>A0954</v>
          </cell>
          <cell r="C1783" t="str">
            <v>017B</v>
          </cell>
          <cell r="D1783" t="str">
            <v>Y</v>
          </cell>
          <cell r="E1783" t="str">
            <v>A</v>
          </cell>
          <cell r="F1783" t="str">
            <v>11/19/1999</v>
          </cell>
        </row>
        <row r="1784">
          <cell r="B1784" t="str">
            <v>A0955</v>
          </cell>
          <cell r="C1784" t="str">
            <v>008C</v>
          </cell>
          <cell r="D1784" t="str">
            <v>Y</v>
          </cell>
          <cell r="E1784" t="str">
            <v>A</v>
          </cell>
          <cell r="F1784" t="str">
            <v>11/19/1999</v>
          </cell>
        </row>
        <row r="1785">
          <cell r="B1785" t="str">
            <v>A0957</v>
          </cell>
          <cell r="C1785" t="str">
            <v>007A</v>
          </cell>
          <cell r="D1785" t="str">
            <v>Y</v>
          </cell>
          <cell r="E1785" t="str">
            <v>A</v>
          </cell>
          <cell r="F1785" t="str">
            <v>11/19/1999</v>
          </cell>
        </row>
        <row r="1786">
          <cell r="B1786" t="str">
            <v>A0958</v>
          </cell>
          <cell r="C1786" t="str">
            <v>017A</v>
          </cell>
          <cell r="D1786" t="str">
            <v>Y</v>
          </cell>
          <cell r="E1786" t="str">
            <v>A</v>
          </cell>
          <cell r="F1786" t="str">
            <v>11/19/1999</v>
          </cell>
        </row>
        <row r="1787">
          <cell r="B1787" t="str">
            <v>A0959</v>
          </cell>
          <cell r="C1787" t="str">
            <v>001A</v>
          </cell>
          <cell r="D1787" t="str">
            <v>Y</v>
          </cell>
          <cell r="E1787" t="str">
            <v>A</v>
          </cell>
          <cell r="F1787" t="str">
            <v>11/22/1999</v>
          </cell>
        </row>
        <row r="1788">
          <cell r="B1788" t="str">
            <v>A0960</v>
          </cell>
          <cell r="C1788" t="str">
            <v>017C</v>
          </cell>
          <cell r="D1788" t="str">
            <v>Y</v>
          </cell>
          <cell r="E1788" t="str">
            <v>A</v>
          </cell>
          <cell r="F1788" t="str">
            <v>11/22/1999</v>
          </cell>
        </row>
        <row r="1789">
          <cell r="B1789" t="str">
            <v>A0961</v>
          </cell>
          <cell r="C1789" t="str">
            <v>007A</v>
          </cell>
          <cell r="D1789" t="str">
            <v>Y</v>
          </cell>
          <cell r="E1789" t="str">
            <v>A</v>
          </cell>
          <cell r="F1789" t="str">
            <v>11/22/1999</v>
          </cell>
        </row>
        <row r="1790">
          <cell r="B1790" t="str">
            <v>A0962</v>
          </cell>
          <cell r="C1790" t="str">
            <v>008C</v>
          </cell>
          <cell r="D1790" t="str">
            <v>Y</v>
          </cell>
          <cell r="E1790" t="str">
            <v>A</v>
          </cell>
          <cell r="F1790" t="str">
            <v>11/22/1999</v>
          </cell>
        </row>
        <row r="1791">
          <cell r="B1791" t="str">
            <v>A0963</v>
          </cell>
          <cell r="C1791" t="str">
            <v>015A</v>
          </cell>
          <cell r="D1791" t="str">
            <v>Y</v>
          </cell>
          <cell r="E1791" t="str">
            <v>A</v>
          </cell>
          <cell r="F1791" t="str">
            <v>11/22/1999</v>
          </cell>
        </row>
        <row r="1792">
          <cell r="B1792" t="str">
            <v>A0964</v>
          </cell>
          <cell r="C1792" t="str">
            <v>017C</v>
          </cell>
          <cell r="D1792" t="str">
            <v>Y</v>
          </cell>
          <cell r="E1792" t="str">
            <v>A</v>
          </cell>
          <cell r="F1792" t="str">
            <v>11/22/1999</v>
          </cell>
        </row>
        <row r="1793">
          <cell r="B1793" t="str">
            <v>A0966</v>
          </cell>
          <cell r="C1793" t="str">
            <v>011C</v>
          </cell>
          <cell r="D1793" t="str">
            <v>Y</v>
          </cell>
          <cell r="E1793" t="str">
            <v>A</v>
          </cell>
          <cell r="F1793" t="str">
            <v>11/22/1999</v>
          </cell>
        </row>
        <row r="1794">
          <cell r="B1794" t="str">
            <v>A0967</v>
          </cell>
          <cell r="C1794" t="str">
            <v>004A</v>
          </cell>
          <cell r="D1794" t="str">
            <v>Y</v>
          </cell>
          <cell r="E1794" t="str">
            <v>A</v>
          </cell>
          <cell r="F1794" t="str">
            <v>11/22/1999</v>
          </cell>
        </row>
        <row r="1795">
          <cell r="B1795" t="str">
            <v>A0968</v>
          </cell>
          <cell r="C1795" t="str">
            <v>002L</v>
          </cell>
          <cell r="D1795" t="str">
            <v>Y</v>
          </cell>
          <cell r="E1795" t="str">
            <v>A</v>
          </cell>
          <cell r="F1795" t="str">
            <v>11/22/1999</v>
          </cell>
        </row>
        <row r="1796">
          <cell r="B1796" t="str">
            <v>A0974</v>
          </cell>
          <cell r="C1796"/>
          <cell r="D1796" t="str">
            <v>Y</v>
          </cell>
          <cell r="E1796" t="str">
            <v>A</v>
          </cell>
          <cell r="F1796" t="str">
            <v>11/24/1999</v>
          </cell>
        </row>
        <row r="1797">
          <cell r="B1797" t="str">
            <v>A0975</v>
          </cell>
          <cell r="C1797" t="str">
            <v>003A</v>
          </cell>
          <cell r="D1797" t="str">
            <v>Y</v>
          </cell>
          <cell r="E1797" t="str">
            <v>A</v>
          </cell>
          <cell r="F1797" t="str">
            <v>11/24/1999</v>
          </cell>
        </row>
        <row r="1798">
          <cell r="B1798" t="str">
            <v>A0980</v>
          </cell>
          <cell r="C1798" t="str">
            <v>001A</v>
          </cell>
          <cell r="D1798" t="str">
            <v>N</v>
          </cell>
          <cell r="E1798" t="str">
            <v>A</v>
          </cell>
          <cell r="F1798" t="str">
            <v>11/24/1999</v>
          </cell>
        </row>
        <row r="1799">
          <cell r="B1799" t="str">
            <v>A0981</v>
          </cell>
          <cell r="C1799" t="str">
            <v>001A</v>
          </cell>
          <cell r="D1799" t="str">
            <v>Y</v>
          </cell>
          <cell r="E1799" t="str">
            <v>A</v>
          </cell>
          <cell r="F1799" t="str">
            <v>11/24/1999</v>
          </cell>
        </row>
        <row r="1800">
          <cell r="B1800" t="str">
            <v>A0983</v>
          </cell>
          <cell r="C1800" t="str">
            <v>002L</v>
          </cell>
          <cell r="D1800" t="str">
            <v>Y</v>
          </cell>
          <cell r="E1800" t="str">
            <v>A</v>
          </cell>
          <cell r="F1800" t="str">
            <v>11/26/1999</v>
          </cell>
        </row>
        <row r="1801">
          <cell r="B1801" t="str">
            <v>A0985</v>
          </cell>
          <cell r="C1801" t="str">
            <v>007A</v>
          </cell>
          <cell r="D1801" t="str">
            <v>Y</v>
          </cell>
          <cell r="E1801" t="str">
            <v>A</v>
          </cell>
          <cell r="F1801" t="str">
            <v>11/26/1999</v>
          </cell>
        </row>
        <row r="1802">
          <cell r="B1802" t="str">
            <v>A0986</v>
          </cell>
          <cell r="C1802"/>
          <cell r="D1802" t="str">
            <v>Y</v>
          </cell>
          <cell r="E1802" t="str">
            <v>A</v>
          </cell>
          <cell r="F1802" t="str">
            <v>11/26/1999</v>
          </cell>
        </row>
        <row r="1803">
          <cell r="B1803" t="str">
            <v>A0987</v>
          </cell>
          <cell r="C1803" t="str">
            <v>004A</v>
          </cell>
          <cell r="D1803" t="str">
            <v>Y</v>
          </cell>
          <cell r="E1803" t="str">
            <v>A</v>
          </cell>
          <cell r="F1803" t="str">
            <v>11/26/1999</v>
          </cell>
        </row>
        <row r="1804">
          <cell r="B1804" t="str">
            <v>A0988</v>
          </cell>
          <cell r="C1804" t="str">
            <v>018A</v>
          </cell>
          <cell r="D1804" t="str">
            <v>Y</v>
          </cell>
          <cell r="E1804" t="str">
            <v>A</v>
          </cell>
          <cell r="F1804" t="str">
            <v>11/26/1999</v>
          </cell>
        </row>
        <row r="1805">
          <cell r="B1805" t="str">
            <v>A0992</v>
          </cell>
          <cell r="C1805" t="str">
            <v>004A</v>
          </cell>
          <cell r="D1805" t="str">
            <v>Y</v>
          </cell>
          <cell r="E1805" t="str">
            <v>A</v>
          </cell>
          <cell r="F1805" t="str">
            <v>12/15/1999</v>
          </cell>
        </row>
        <row r="1806">
          <cell r="B1806" t="str">
            <v>A0993</v>
          </cell>
          <cell r="C1806" t="str">
            <v>004A</v>
          </cell>
          <cell r="D1806" t="str">
            <v>Y</v>
          </cell>
          <cell r="E1806" t="str">
            <v>A</v>
          </cell>
          <cell r="F1806" t="str">
            <v>12/15/1999</v>
          </cell>
        </row>
        <row r="1807">
          <cell r="B1807" t="str">
            <v>A0994</v>
          </cell>
          <cell r="C1807" t="str">
            <v>004A</v>
          </cell>
          <cell r="D1807" t="str">
            <v>Y</v>
          </cell>
          <cell r="E1807" t="str">
            <v>A</v>
          </cell>
          <cell r="F1807" t="str">
            <v>12/15/1999</v>
          </cell>
        </row>
        <row r="1808">
          <cell r="B1808" t="str">
            <v>A0999</v>
          </cell>
          <cell r="C1808" t="str">
            <v>004B</v>
          </cell>
          <cell r="D1808" t="str">
            <v>Y</v>
          </cell>
          <cell r="E1808" t="str">
            <v>A</v>
          </cell>
          <cell r="F1808" t="str">
            <v>12/21/1999</v>
          </cell>
        </row>
        <row r="1809">
          <cell r="B1809" t="str">
            <v>A1000</v>
          </cell>
          <cell r="C1809" t="str">
            <v>002A</v>
          </cell>
          <cell r="D1809" t="str">
            <v>Y</v>
          </cell>
          <cell r="E1809" t="str">
            <v>A</v>
          </cell>
          <cell r="F1809" t="str">
            <v>12/21/1999</v>
          </cell>
        </row>
        <row r="1810">
          <cell r="B1810" t="str">
            <v>A1001</v>
          </cell>
          <cell r="C1810" t="str">
            <v>GEN</v>
          </cell>
          <cell r="D1810" t="str">
            <v>Y</v>
          </cell>
          <cell r="E1810" t="str">
            <v>A</v>
          </cell>
          <cell r="F1810" t="str">
            <v>12/21/1999</v>
          </cell>
        </row>
        <row r="1811">
          <cell r="B1811" t="str">
            <v>A1002</v>
          </cell>
          <cell r="C1811" t="str">
            <v>002L</v>
          </cell>
          <cell r="D1811" t="str">
            <v>Y</v>
          </cell>
          <cell r="E1811" t="str">
            <v>A</v>
          </cell>
          <cell r="F1811" t="str">
            <v>12/22/1999</v>
          </cell>
        </row>
        <row r="1812">
          <cell r="B1812" t="str">
            <v>A1005</v>
          </cell>
          <cell r="C1812" t="str">
            <v>UEC</v>
          </cell>
          <cell r="D1812" t="str">
            <v>Y</v>
          </cell>
          <cell r="E1812" t="str">
            <v>A</v>
          </cell>
          <cell r="F1812" t="str">
            <v>12/22/1999</v>
          </cell>
        </row>
        <row r="1813">
          <cell r="B1813" t="str">
            <v>A1006</v>
          </cell>
          <cell r="C1813" t="str">
            <v>CIP</v>
          </cell>
          <cell r="D1813" t="str">
            <v>Y</v>
          </cell>
          <cell r="E1813" t="str">
            <v>A</v>
          </cell>
          <cell r="F1813" t="str">
            <v>12/22/1999</v>
          </cell>
        </row>
        <row r="1814">
          <cell r="B1814" t="str">
            <v>A1007</v>
          </cell>
          <cell r="C1814" t="str">
            <v>UEC</v>
          </cell>
          <cell r="D1814" t="str">
            <v>Y</v>
          </cell>
          <cell r="E1814" t="str">
            <v>A</v>
          </cell>
          <cell r="F1814" t="str">
            <v>12/22/1999</v>
          </cell>
        </row>
        <row r="1815">
          <cell r="B1815" t="str">
            <v>A1008</v>
          </cell>
          <cell r="C1815" t="str">
            <v>002K</v>
          </cell>
          <cell r="D1815" t="str">
            <v>Y</v>
          </cell>
          <cell r="E1815" t="str">
            <v>A</v>
          </cell>
          <cell r="F1815" t="str">
            <v>12/22/1999</v>
          </cell>
        </row>
        <row r="1816">
          <cell r="B1816" t="str">
            <v>A1009</v>
          </cell>
          <cell r="C1816" t="str">
            <v>002L</v>
          </cell>
          <cell r="D1816" t="str">
            <v>Y</v>
          </cell>
          <cell r="E1816" t="str">
            <v>A</v>
          </cell>
          <cell r="F1816" t="str">
            <v>12/22/1999</v>
          </cell>
        </row>
        <row r="1817">
          <cell r="B1817" t="str">
            <v>A1010</v>
          </cell>
          <cell r="C1817" t="str">
            <v>UEC</v>
          </cell>
          <cell r="D1817" t="str">
            <v>Y</v>
          </cell>
          <cell r="E1817" t="str">
            <v>A</v>
          </cell>
          <cell r="F1817" t="str">
            <v>12/22/1999</v>
          </cell>
        </row>
        <row r="1818">
          <cell r="B1818" t="str">
            <v>A1011</v>
          </cell>
          <cell r="C1818" t="str">
            <v>CIP</v>
          </cell>
          <cell r="D1818" t="str">
            <v>Y</v>
          </cell>
          <cell r="E1818" t="str">
            <v>A</v>
          </cell>
          <cell r="F1818" t="str">
            <v>12/22/1999</v>
          </cell>
        </row>
        <row r="1819">
          <cell r="B1819" t="str">
            <v>A1012</v>
          </cell>
          <cell r="C1819" t="str">
            <v>CIP</v>
          </cell>
          <cell r="D1819" t="str">
            <v>Y</v>
          </cell>
          <cell r="E1819" t="str">
            <v>A</v>
          </cell>
          <cell r="F1819" t="str">
            <v>12/22/1999</v>
          </cell>
        </row>
        <row r="1820">
          <cell r="B1820" t="str">
            <v>A1013</v>
          </cell>
          <cell r="C1820" t="str">
            <v>002M</v>
          </cell>
          <cell r="D1820" t="str">
            <v>Y</v>
          </cell>
          <cell r="E1820" t="str">
            <v>A</v>
          </cell>
          <cell r="F1820" t="str">
            <v>12/22/1999</v>
          </cell>
        </row>
        <row r="1821">
          <cell r="B1821" t="str">
            <v>A1014</v>
          </cell>
          <cell r="C1821" t="str">
            <v>002L</v>
          </cell>
          <cell r="D1821" t="str">
            <v>Y</v>
          </cell>
          <cell r="E1821" t="str">
            <v>A</v>
          </cell>
          <cell r="F1821" t="str">
            <v>12/22/1999</v>
          </cell>
        </row>
        <row r="1822">
          <cell r="B1822" t="str">
            <v>A1015</v>
          </cell>
          <cell r="C1822" t="str">
            <v>002F</v>
          </cell>
          <cell r="D1822" t="str">
            <v>Y</v>
          </cell>
          <cell r="E1822" t="str">
            <v>A</v>
          </cell>
          <cell r="F1822" t="str">
            <v>12/22/1999</v>
          </cell>
        </row>
        <row r="1823">
          <cell r="B1823" t="str">
            <v>A1017</v>
          </cell>
          <cell r="C1823" t="str">
            <v>002K</v>
          </cell>
          <cell r="D1823" t="str">
            <v>Y</v>
          </cell>
          <cell r="E1823" t="str">
            <v>A</v>
          </cell>
          <cell r="F1823" t="str">
            <v>01/04/2000</v>
          </cell>
        </row>
        <row r="1824">
          <cell r="B1824" t="str">
            <v>A1019</v>
          </cell>
          <cell r="C1824" t="str">
            <v>001A</v>
          </cell>
          <cell r="D1824" t="str">
            <v>Y</v>
          </cell>
          <cell r="E1824" t="str">
            <v>A</v>
          </cell>
          <cell r="F1824" t="str">
            <v>01/05/2000</v>
          </cell>
        </row>
        <row r="1825">
          <cell r="B1825" t="str">
            <v>A1020</v>
          </cell>
          <cell r="C1825" t="str">
            <v>001A</v>
          </cell>
          <cell r="D1825" t="str">
            <v>Y</v>
          </cell>
          <cell r="E1825" t="str">
            <v>I</v>
          </cell>
          <cell r="F1825" t="str">
            <v>01/05/2000</v>
          </cell>
        </row>
        <row r="1826">
          <cell r="B1826" t="str">
            <v>A1021</v>
          </cell>
          <cell r="C1826" t="str">
            <v>001A</v>
          </cell>
          <cell r="D1826" t="str">
            <v>Y</v>
          </cell>
          <cell r="E1826" t="str">
            <v>I</v>
          </cell>
          <cell r="F1826" t="str">
            <v>01/05/2000</v>
          </cell>
        </row>
        <row r="1827">
          <cell r="B1827" t="str">
            <v>A1022</v>
          </cell>
          <cell r="C1827" t="str">
            <v>001A</v>
          </cell>
          <cell r="D1827" t="str">
            <v>Y</v>
          </cell>
          <cell r="E1827" t="str">
            <v>I</v>
          </cell>
          <cell r="F1827" t="str">
            <v>01/05/2000</v>
          </cell>
        </row>
        <row r="1828">
          <cell r="B1828" t="str">
            <v>A1023</v>
          </cell>
          <cell r="C1828" t="str">
            <v>001A</v>
          </cell>
          <cell r="D1828" t="str">
            <v>Y</v>
          </cell>
          <cell r="E1828" t="str">
            <v>A</v>
          </cell>
          <cell r="F1828" t="str">
            <v>01/05/2000</v>
          </cell>
        </row>
        <row r="1829">
          <cell r="B1829" t="str">
            <v>A1024</v>
          </cell>
          <cell r="C1829" t="str">
            <v>008C</v>
          </cell>
          <cell r="D1829" t="str">
            <v>Y</v>
          </cell>
          <cell r="E1829" t="str">
            <v>A</v>
          </cell>
          <cell r="F1829" t="str">
            <v>01/05/2000</v>
          </cell>
        </row>
        <row r="1830">
          <cell r="B1830" t="str">
            <v>A1025</v>
          </cell>
          <cell r="C1830" t="str">
            <v>018A</v>
          </cell>
          <cell r="D1830" t="str">
            <v>Y</v>
          </cell>
          <cell r="E1830" t="str">
            <v>A</v>
          </cell>
          <cell r="F1830" t="str">
            <v>01/05/2000</v>
          </cell>
        </row>
        <row r="1831">
          <cell r="B1831" t="str">
            <v>A1026</v>
          </cell>
          <cell r="C1831" t="str">
            <v>CIP</v>
          </cell>
          <cell r="D1831" t="str">
            <v>N</v>
          </cell>
          <cell r="E1831" t="str">
            <v>A</v>
          </cell>
          <cell r="F1831" t="str">
            <v>01/05/2000</v>
          </cell>
        </row>
        <row r="1832">
          <cell r="B1832" t="str">
            <v>A1027</v>
          </cell>
          <cell r="C1832" t="str">
            <v>UEC</v>
          </cell>
          <cell r="D1832" t="str">
            <v>N</v>
          </cell>
          <cell r="E1832" t="str">
            <v>A</v>
          </cell>
          <cell r="F1832" t="str">
            <v>01/05/2000</v>
          </cell>
        </row>
        <row r="1833">
          <cell r="B1833" t="str">
            <v>A1028</v>
          </cell>
          <cell r="C1833" t="str">
            <v>UDC</v>
          </cell>
          <cell r="D1833" t="str">
            <v>N</v>
          </cell>
          <cell r="E1833" t="str">
            <v>A</v>
          </cell>
          <cell r="F1833" t="str">
            <v>01/06/2000</v>
          </cell>
        </row>
        <row r="1834">
          <cell r="B1834" t="str">
            <v>A1029</v>
          </cell>
          <cell r="C1834" t="str">
            <v>001A</v>
          </cell>
          <cell r="D1834" t="str">
            <v>N</v>
          </cell>
          <cell r="E1834" t="str">
            <v>A</v>
          </cell>
          <cell r="F1834" t="str">
            <v>01/06/2000</v>
          </cell>
        </row>
        <row r="1835">
          <cell r="B1835" t="str">
            <v>A1030</v>
          </cell>
          <cell r="C1835" t="str">
            <v>CIP</v>
          </cell>
          <cell r="D1835" t="str">
            <v>N</v>
          </cell>
          <cell r="E1835" t="str">
            <v>A</v>
          </cell>
          <cell r="F1835" t="str">
            <v>01/06/2000</v>
          </cell>
        </row>
        <row r="1836">
          <cell r="B1836" t="str">
            <v>A1031</v>
          </cell>
          <cell r="C1836" t="str">
            <v>UEC</v>
          </cell>
          <cell r="D1836" t="str">
            <v>N</v>
          </cell>
          <cell r="E1836" t="str">
            <v>A</v>
          </cell>
          <cell r="F1836" t="str">
            <v>01/06/2000</v>
          </cell>
        </row>
        <row r="1837">
          <cell r="B1837" t="str">
            <v>A1032</v>
          </cell>
          <cell r="C1837" t="str">
            <v>GEN</v>
          </cell>
          <cell r="D1837" t="str">
            <v>N</v>
          </cell>
          <cell r="E1837" t="str">
            <v>A</v>
          </cell>
          <cell r="F1837" t="str">
            <v>01/06/2000</v>
          </cell>
        </row>
        <row r="1838">
          <cell r="B1838" t="str">
            <v>A1033</v>
          </cell>
          <cell r="C1838" t="str">
            <v>UEC</v>
          </cell>
          <cell r="D1838" t="str">
            <v>N</v>
          </cell>
          <cell r="E1838" t="str">
            <v>A</v>
          </cell>
          <cell r="F1838" t="str">
            <v>01/06/2000</v>
          </cell>
        </row>
        <row r="1839">
          <cell r="B1839" t="str">
            <v>A1034</v>
          </cell>
          <cell r="C1839" t="str">
            <v>CIP</v>
          </cell>
          <cell r="D1839" t="str">
            <v>N</v>
          </cell>
          <cell r="E1839" t="str">
            <v>A</v>
          </cell>
          <cell r="F1839" t="str">
            <v>01/06/2000</v>
          </cell>
        </row>
        <row r="1840">
          <cell r="B1840" t="str">
            <v>A1035</v>
          </cell>
          <cell r="C1840" t="str">
            <v>UEC</v>
          </cell>
          <cell r="D1840" t="str">
            <v>N</v>
          </cell>
          <cell r="E1840" t="str">
            <v>A</v>
          </cell>
          <cell r="F1840" t="str">
            <v>01/06/2000</v>
          </cell>
        </row>
        <row r="1841">
          <cell r="B1841" t="str">
            <v>A1036</v>
          </cell>
          <cell r="C1841" t="str">
            <v>001A</v>
          </cell>
          <cell r="D1841" t="str">
            <v>N</v>
          </cell>
          <cell r="E1841" t="str">
            <v>A</v>
          </cell>
          <cell r="F1841" t="str">
            <v>01/06/2000</v>
          </cell>
        </row>
        <row r="1842">
          <cell r="B1842" t="str">
            <v>A1037</v>
          </cell>
          <cell r="C1842" t="str">
            <v>CIP</v>
          </cell>
          <cell r="D1842" t="str">
            <v>N</v>
          </cell>
          <cell r="E1842" t="str">
            <v>A</v>
          </cell>
          <cell r="F1842" t="str">
            <v>01/06/2000</v>
          </cell>
        </row>
        <row r="1843">
          <cell r="B1843" t="str">
            <v>A1038</v>
          </cell>
          <cell r="C1843" t="str">
            <v>UEC</v>
          </cell>
          <cell r="D1843" t="str">
            <v>N</v>
          </cell>
          <cell r="E1843" t="str">
            <v>A</v>
          </cell>
          <cell r="F1843" t="str">
            <v>01/06/2000</v>
          </cell>
        </row>
        <row r="1844">
          <cell r="B1844" t="str">
            <v>A1039</v>
          </cell>
          <cell r="C1844" t="str">
            <v>001A</v>
          </cell>
          <cell r="D1844" t="str">
            <v>N</v>
          </cell>
          <cell r="E1844" t="str">
            <v>A</v>
          </cell>
          <cell r="F1844" t="str">
            <v>01/06/2000</v>
          </cell>
        </row>
        <row r="1845">
          <cell r="B1845" t="str">
            <v>A1040</v>
          </cell>
          <cell r="C1845" t="str">
            <v>CIP</v>
          </cell>
          <cell r="D1845" t="str">
            <v>N</v>
          </cell>
          <cell r="E1845" t="str">
            <v>A</v>
          </cell>
          <cell r="F1845" t="str">
            <v>01/06/2000</v>
          </cell>
        </row>
        <row r="1846">
          <cell r="B1846" t="str">
            <v>A1041</v>
          </cell>
          <cell r="C1846" t="str">
            <v>UEC</v>
          </cell>
          <cell r="D1846" t="str">
            <v>N</v>
          </cell>
          <cell r="E1846" t="str">
            <v>A</v>
          </cell>
          <cell r="F1846" t="str">
            <v>01/06/2000</v>
          </cell>
        </row>
        <row r="1847">
          <cell r="B1847" t="str">
            <v>A1042</v>
          </cell>
          <cell r="C1847" t="str">
            <v>CIP</v>
          </cell>
          <cell r="D1847" t="str">
            <v>N</v>
          </cell>
          <cell r="E1847" t="str">
            <v>A</v>
          </cell>
          <cell r="F1847" t="str">
            <v>01/06/2000</v>
          </cell>
        </row>
        <row r="1848">
          <cell r="B1848" t="str">
            <v>A1043</v>
          </cell>
          <cell r="C1848" t="str">
            <v>UEC</v>
          </cell>
          <cell r="D1848" t="str">
            <v>N</v>
          </cell>
          <cell r="E1848" t="str">
            <v>A</v>
          </cell>
          <cell r="F1848" t="str">
            <v>01/06/2000</v>
          </cell>
        </row>
        <row r="1849">
          <cell r="B1849" t="str">
            <v>A1044</v>
          </cell>
          <cell r="C1849" t="str">
            <v>UEC</v>
          </cell>
          <cell r="D1849" t="str">
            <v>N</v>
          </cell>
          <cell r="E1849" t="str">
            <v>A</v>
          </cell>
          <cell r="F1849" t="str">
            <v>01/06/2000</v>
          </cell>
        </row>
        <row r="1850">
          <cell r="B1850" t="str">
            <v>A1045</v>
          </cell>
          <cell r="C1850" t="str">
            <v>012D</v>
          </cell>
          <cell r="D1850" t="str">
            <v>N</v>
          </cell>
          <cell r="E1850" t="str">
            <v>A</v>
          </cell>
          <cell r="F1850" t="str">
            <v>01/06/2000</v>
          </cell>
        </row>
        <row r="1851">
          <cell r="B1851" t="str">
            <v>A1046</v>
          </cell>
          <cell r="C1851" t="str">
            <v>003A</v>
          </cell>
          <cell r="D1851" t="str">
            <v>N</v>
          </cell>
          <cell r="E1851" t="str">
            <v>A</v>
          </cell>
          <cell r="F1851" t="str">
            <v>01/06/2000</v>
          </cell>
        </row>
        <row r="1852">
          <cell r="B1852" t="str">
            <v>A1047</v>
          </cell>
          <cell r="C1852"/>
          <cell r="D1852" t="str">
            <v>N</v>
          </cell>
          <cell r="E1852" t="str">
            <v>A</v>
          </cell>
          <cell r="F1852" t="str">
            <v>01/06/2000</v>
          </cell>
        </row>
        <row r="1853">
          <cell r="B1853" t="str">
            <v>A1048</v>
          </cell>
          <cell r="C1853" t="str">
            <v>001A</v>
          </cell>
          <cell r="D1853" t="str">
            <v>N</v>
          </cell>
          <cell r="E1853" t="str">
            <v>A</v>
          </cell>
          <cell r="F1853" t="str">
            <v>01/06/2000</v>
          </cell>
        </row>
        <row r="1854">
          <cell r="B1854" t="str">
            <v>A1049</v>
          </cell>
          <cell r="C1854" t="str">
            <v>001A</v>
          </cell>
          <cell r="D1854" t="str">
            <v>Y</v>
          </cell>
          <cell r="E1854" t="str">
            <v>A</v>
          </cell>
          <cell r="F1854" t="str">
            <v>01/06/2000</v>
          </cell>
        </row>
        <row r="1855">
          <cell r="B1855" t="str">
            <v>A1050</v>
          </cell>
          <cell r="C1855" t="str">
            <v>CIP</v>
          </cell>
          <cell r="D1855" t="str">
            <v>Y</v>
          </cell>
          <cell r="E1855" t="str">
            <v>A</v>
          </cell>
          <cell r="F1855" t="str">
            <v>01/06/2000</v>
          </cell>
        </row>
        <row r="1856">
          <cell r="B1856" t="str">
            <v>A1051</v>
          </cell>
          <cell r="C1856" t="str">
            <v>UEC</v>
          </cell>
          <cell r="D1856" t="str">
            <v>Y</v>
          </cell>
          <cell r="E1856" t="str">
            <v>A</v>
          </cell>
          <cell r="F1856" t="str">
            <v>01/06/2000</v>
          </cell>
        </row>
        <row r="1857">
          <cell r="B1857" t="str">
            <v>A1052</v>
          </cell>
          <cell r="C1857" t="str">
            <v>001A</v>
          </cell>
          <cell r="D1857" t="str">
            <v>Y</v>
          </cell>
          <cell r="E1857" t="str">
            <v>A</v>
          </cell>
          <cell r="F1857" t="str">
            <v>01/06/2000</v>
          </cell>
        </row>
        <row r="1858">
          <cell r="B1858" t="str">
            <v>A1054</v>
          </cell>
          <cell r="C1858" t="str">
            <v>IHC</v>
          </cell>
          <cell r="D1858" t="str">
            <v>Y</v>
          </cell>
          <cell r="E1858" t="str">
            <v>A</v>
          </cell>
          <cell r="F1858" t="str">
            <v>01/07/2000</v>
          </cell>
        </row>
        <row r="1859">
          <cell r="B1859" t="str">
            <v>A1055</v>
          </cell>
          <cell r="C1859"/>
          <cell r="D1859" t="str">
            <v>Y</v>
          </cell>
          <cell r="E1859" t="str">
            <v>A</v>
          </cell>
          <cell r="F1859" t="str">
            <v>01/09/2000</v>
          </cell>
        </row>
        <row r="1860">
          <cell r="B1860" t="str">
            <v>A1056</v>
          </cell>
          <cell r="C1860"/>
          <cell r="D1860" t="str">
            <v>Y</v>
          </cell>
          <cell r="E1860" t="str">
            <v>A</v>
          </cell>
          <cell r="F1860" t="str">
            <v>01/09/2000</v>
          </cell>
        </row>
        <row r="1861">
          <cell r="B1861" t="str">
            <v>A1057</v>
          </cell>
          <cell r="C1861"/>
          <cell r="D1861" t="str">
            <v>Y</v>
          </cell>
          <cell r="E1861" t="str">
            <v>A</v>
          </cell>
          <cell r="F1861" t="str">
            <v>01/09/2000</v>
          </cell>
        </row>
        <row r="1862">
          <cell r="B1862" t="str">
            <v>A1059</v>
          </cell>
          <cell r="C1862"/>
          <cell r="D1862" t="str">
            <v>Y</v>
          </cell>
          <cell r="E1862" t="str">
            <v>A</v>
          </cell>
          <cell r="F1862" t="str">
            <v>01/09/2000</v>
          </cell>
        </row>
        <row r="1863">
          <cell r="B1863" t="str">
            <v>A1063</v>
          </cell>
          <cell r="C1863" t="str">
            <v>002L</v>
          </cell>
          <cell r="D1863" t="str">
            <v>Y</v>
          </cell>
          <cell r="E1863" t="str">
            <v>A</v>
          </cell>
          <cell r="F1863" t="str">
            <v>01/12/2000</v>
          </cell>
        </row>
        <row r="1864">
          <cell r="B1864" t="str">
            <v>A1064</v>
          </cell>
          <cell r="C1864" t="str">
            <v>UEC</v>
          </cell>
          <cell r="D1864" t="str">
            <v>Y</v>
          </cell>
          <cell r="E1864" t="str">
            <v>A</v>
          </cell>
          <cell r="F1864" t="str">
            <v>01/12/2000</v>
          </cell>
        </row>
        <row r="1865">
          <cell r="B1865" t="str">
            <v>A1065</v>
          </cell>
          <cell r="C1865" t="str">
            <v>CIP</v>
          </cell>
          <cell r="D1865" t="str">
            <v>N</v>
          </cell>
          <cell r="E1865" t="str">
            <v>A</v>
          </cell>
          <cell r="F1865" t="str">
            <v>01/12/2000</v>
          </cell>
        </row>
        <row r="1866">
          <cell r="B1866" t="str">
            <v>A1066</v>
          </cell>
          <cell r="C1866" t="str">
            <v>017A</v>
          </cell>
          <cell r="D1866" t="str">
            <v>Y</v>
          </cell>
          <cell r="E1866" t="str">
            <v>A</v>
          </cell>
          <cell r="F1866" t="str">
            <v>01/14/2000</v>
          </cell>
        </row>
        <row r="1867">
          <cell r="B1867" t="str">
            <v>A1067</v>
          </cell>
          <cell r="C1867" t="str">
            <v>011C</v>
          </cell>
          <cell r="D1867" t="str">
            <v>Y</v>
          </cell>
          <cell r="E1867" t="str">
            <v>A</v>
          </cell>
          <cell r="F1867" t="str">
            <v>01/14/2000</v>
          </cell>
        </row>
        <row r="1868">
          <cell r="B1868" t="str">
            <v>A1068</v>
          </cell>
          <cell r="C1868" t="str">
            <v>004A</v>
          </cell>
          <cell r="D1868" t="str">
            <v>Y</v>
          </cell>
          <cell r="E1868" t="str">
            <v>A</v>
          </cell>
          <cell r="F1868" t="str">
            <v>01/14/2000</v>
          </cell>
        </row>
        <row r="1869">
          <cell r="B1869" t="str">
            <v>A1069</v>
          </cell>
          <cell r="C1869" t="str">
            <v>002L</v>
          </cell>
          <cell r="D1869" t="str">
            <v>Y</v>
          </cell>
          <cell r="E1869" t="str">
            <v>A</v>
          </cell>
          <cell r="F1869" t="str">
            <v>01/14/2000</v>
          </cell>
        </row>
        <row r="1870">
          <cell r="B1870" t="str">
            <v>A1078</v>
          </cell>
          <cell r="C1870" t="str">
            <v>002L</v>
          </cell>
          <cell r="D1870" t="str">
            <v>Y</v>
          </cell>
          <cell r="E1870" t="str">
            <v>A</v>
          </cell>
          <cell r="F1870" t="str">
            <v>01/20/2000</v>
          </cell>
        </row>
        <row r="1871">
          <cell r="B1871" t="str">
            <v>A1080</v>
          </cell>
          <cell r="C1871" t="str">
            <v>AED</v>
          </cell>
          <cell r="D1871" t="str">
            <v>Y</v>
          </cell>
          <cell r="E1871" t="str">
            <v>A</v>
          </cell>
          <cell r="F1871" t="str">
            <v>01/21/2000</v>
          </cell>
        </row>
        <row r="1872">
          <cell r="B1872" t="str">
            <v>A1081</v>
          </cell>
          <cell r="C1872" t="str">
            <v>UEC</v>
          </cell>
          <cell r="D1872" t="str">
            <v>Y</v>
          </cell>
          <cell r="E1872" t="str">
            <v>A</v>
          </cell>
          <cell r="F1872" t="str">
            <v>01/21/2000</v>
          </cell>
        </row>
        <row r="1873">
          <cell r="B1873" t="str">
            <v>A1084</v>
          </cell>
          <cell r="C1873" t="str">
            <v>GEN</v>
          </cell>
          <cell r="D1873" t="str">
            <v>Y</v>
          </cell>
          <cell r="E1873" t="str">
            <v>A</v>
          </cell>
          <cell r="F1873" t="str">
            <v>01/24/2000</v>
          </cell>
        </row>
        <row r="1874">
          <cell r="B1874" t="str">
            <v>A1085</v>
          </cell>
          <cell r="C1874" t="str">
            <v>011A</v>
          </cell>
          <cell r="D1874" t="str">
            <v>Y</v>
          </cell>
          <cell r="E1874" t="str">
            <v>A</v>
          </cell>
          <cell r="F1874" t="str">
            <v>01/24/2000</v>
          </cell>
        </row>
        <row r="1875">
          <cell r="B1875" t="str">
            <v>A1086</v>
          </cell>
          <cell r="C1875" t="str">
            <v>UEC</v>
          </cell>
          <cell r="D1875" t="str">
            <v>Y</v>
          </cell>
          <cell r="E1875" t="str">
            <v>A</v>
          </cell>
          <cell r="F1875" t="str">
            <v>01/24/2000</v>
          </cell>
        </row>
        <row r="1876">
          <cell r="B1876" t="str">
            <v>A1087</v>
          </cell>
          <cell r="C1876" t="str">
            <v>UEC</v>
          </cell>
          <cell r="D1876" t="str">
            <v>Y</v>
          </cell>
          <cell r="E1876" t="str">
            <v>A</v>
          </cell>
          <cell r="F1876" t="str">
            <v>01/26/2000</v>
          </cell>
        </row>
        <row r="1877">
          <cell r="B1877" t="str">
            <v>A1088</v>
          </cell>
          <cell r="C1877" t="str">
            <v>CIP</v>
          </cell>
          <cell r="D1877" t="str">
            <v>Y</v>
          </cell>
          <cell r="E1877" t="str">
            <v>A</v>
          </cell>
          <cell r="F1877" t="str">
            <v>01/26/2000</v>
          </cell>
        </row>
        <row r="1878">
          <cell r="B1878" t="str">
            <v>A1089</v>
          </cell>
          <cell r="C1878" t="str">
            <v>002L</v>
          </cell>
          <cell r="D1878" t="str">
            <v>Y</v>
          </cell>
          <cell r="E1878" t="str">
            <v>A</v>
          </cell>
          <cell r="F1878" t="str">
            <v>01/26/2000</v>
          </cell>
        </row>
        <row r="1879">
          <cell r="B1879" t="str">
            <v>A1100</v>
          </cell>
          <cell r="C1879" t="str">
            <v>UEC</v>
          </cell>
          <cell r="D1879" t="str">
            <v>Y</v>
          </cell>
          <cell r="E1879" t="str">
            <v>A</v>
          </cell>
          <cell r="F1879" t="str">
            <v>02/02/2000</v>
          </cell>
        </row>
        <row r="1880">
          <cell r="B1880" t="str">
            <v>A1103</v>
          </cell>
          <cell r="C1880" t="str">
            <v>CIP</v>
          </cell>
          <cell r="D1880" t="str">
            <v>Y</v>
          </cell>
          <cell r="E1880" t="str">
            <v>A</v>
          </cell>
          <cell r="F1880" t="str">
            <v>02/03/2000</v>
          </cell>
        </row>
        <row r="1881">
          <cell r="B1881" t="str">
            <v>A1107</v>
          </cell>
          <cell r="C1881" t="str">
            <v>IMS</v>
          </cell>
          <cell r="D1881" t="str">
            <v>Y</v>
          </cell>
          <cell r="E1881" t="str">
            <v>A</v>
          </cell>
          <cell r="F1881" t="str">
            <v>02/17/2000</v>
          </cell>
        </row>
        <row r="1882">
          <cell r="B1882" t="str">
            <v>A1111</v>
          </cell>
          <cell r="C1882" t="str">
            <v>ERC</v>
          </cell>
          <cell r="D1882" t="str">
            <v>Y</v>
          </cell>
          <cell r="E1882" t="str">
            <v>A</v>
          </cell>
          <cell r="F1882" t="str">
            <v>02/22/2000</v>
          </cell>
        </row>
        <row r="1883">
          <cell r="B1883" t="str">
            <v>A1112</v>
          </cell>
          <cell r="C1883" t="str">
            <v>011A</v>
          </cell>
          <cell r="D1883" t="str">
            <v>Y</v>
          </cell>
          <cell r="E1883" t="str">
            <v>A</v>
          </cell>
          <cell r="F1883" t="str">
            <v>02/23/2000</v>
          </cell>
        </row>
        <row r="1884">
          <cell r="B1884" t="str">
            <v>A1113</v>
          </cell>
          <cell r="C1884" t="str">
            <v>003A</v>
          </cell>
          <cell r="D1884" t="str">
            <v>Y</v>
          </cell>
          <cell r="E1884" t="str">
            <v>A</v>
          </cell>
          <cell r="F1884" t="str">
            <v>02/23/2000</v>
          </cell>
        </row>
        <row r="1885">
          <cell r="B1885" t="str">
            <v>A1114</v>
          </cell>
          <cell r="C1885" t="str">
            <v>003A</v>
          </cell>
          <cell r="D1885" t="str">
            <v>Y</v>
          </cell>
          <cell r="E1885" t="str">
            <v>A</v>
          </cell>
          <cell r="F1885" t="str">
            <v>02/23/2000</v>
          </cell>
        </row>
        <row r="1886">
          <cell r="B1886" t="str">
            <v>A1115</v>
          </cell>
          <cell r="C1886" t="str">
            <v>GEN</v>
          </cell>
          <cell r="D1886" t="str">
            <v>Y</v>
          </cell>
          <cell r="E1886" t="str">
            <v>A</v>
          </cell>
          <cell r="F1886" t="str">
            <v>02/23/2000</v>
          </cell>
        </row>
        <row r="1887">
          <cell r="B1887" t="str">
            <v>A1116</v>
          </cell>
          <cell r="C1887" t="str">
            <v>UEC</v>
          </cell>
          <cell r="D1887" t="str">
            <v>Y</v>
          </cell>
          <cell r="E1887" t="str">
            <v>A</v>
          </cell>
          <cell r="F1887" t="str">
            <v>02/24/2000</v>
          </cell>
        </row>
        <row r="1888">
          <cell r="B1888" t="str">
            <v>A1117</v>
          </cell>
          <cell r="C1888" t="str">
            <v>UEC</v>
          </cell>
          <cell r="D1888" t="str">
            <v>Y</v>
          </cell>
          <cell r="E1888" t="str">
            <v>A</v>
          </cell>
          <cell r="F1888" t="str">
            <v>02/24/2000</v>
          </cell>
        </row>
        <row r="1889">
          <cell r="B1889" t="str">
            <v>A1118</v>
          </cell>
          <cell r="C1889" t="str">
            <v>UEC</v>
          </cell>
          <cell r="D1889" t="str">
            <v>Y</v>
          </cell>
          <cell r="E1889" t="str">
            <v>A</v>
          </cell>
          <cell r="F1889" t="str">
            <v>02/24/2000</v>
          </cell>
        </row>
        <row r="1890">
          <cell r="B1890" t="str">
            <v>A1119</v>
          </cell>
          <cell r="C1890" t="str">
            <v>CIP</v>
          </cell>
          <cell r="D1890" t="str">
            <v>Y</v>
          </cell>
          <cell r="E1890" t="str">
            <v>A</v>
          </cell>
          <cell r="F1890" t="str">
            <v>02/24/2000</v>
          </cell>
        </row>
        <row r="1891">
          <cell r="B1891" t="str">
            <v>A1120</v>
          </cell>
          <cell r="C1891" t="str">
            <v>UEC</v>
          </cell>
          <cell r="D1891" t="str">
            <v>Y</v>
          </cell>
          <cell r="E1891" t="str">
            <v>A</v>
          </cell>
          <cell r="F1891" t="str">
            <v>02/24/2000</v>
          </cell>
        </row>
        <row r="1892">
          <cell r="B1892" t="str">
            <v>A1121</v>
          </cell>
          <cell r="C1892" t="str">
            <v>GEN</v>
          </cell>
          <cell r="D1892" t="str">
            <v>Y</v>
          </cell>
          <cell r="E1892" t="str">
            <v>A</v>
          </cell>
          <cell r="F1892" t="str">
            <v>02/24/2000</v>
          </cell>
        </row>
        <row r="1893">
          <cell r="B1893" t="str">
            <v>A1122</v>
          </cell>
          <cell r="C1893" t="str">
            <v>UEC</v>
          </cell>
          <cell r="D1893" t="str">
            <v>Y</v>
          </cell>
          <cell r="E1893" t="str">
            <v>A</v>
          </cell>
          <cell r="F1893" t="str">
            <v>02/24/2000</v>
          </cell>
        </row>
        <row r="1894">
          <cell r="B1894" t="str">
            <v>A1123</v>
          </cell>
          <cell r="C1894" t="str">
            <v>UEC</v>
          </cell>
          <cell r="D1894" t="str">
            <v>Y</v>
          </cell>
          <cell r="E1894" t="str">
            <v>A</v>
          </cell>
          <cell r="F1894" t="str">
            <v>02/24/2000</v>
          </cell>
        </row>
        <row r="1895">
          <cell r="B1895" t="str">
            <v>A1124</v>
          </cell>
          <cell r="C1895" t="str">
            <v>CIP</v>
          </cell>
          <cell r="D1895" t="str">
            <v>Y</v>
          </cell>
          <cell r="E1895" t="str">
            <v>A</v>
          </cell>
          <cell r="F1895" t="str">
            <v>02/24/2000</v>
          </cell>
        </row>
        <row r="1896">
          <cell r="B1896" t="str">
            <v>A1129</v>
          </cell>
          <cell r="C1896" t="str">
            <v>004F</v>
          </cell>
          <cell r="D1896" t="str">
            <v>Y</v>
          </cell>
          <cell r="E1896" t="str">
            <v>A</v>
          </cell>
          <cell r="F1896" t="str">
            <v>03/01/2000</v>
          </cell>
        </row>
        <row r="1897">
          <cell r="B1897" t="str">
            <v>A1134</v>
          </cell>
          <cell r="C1897" t="str">
            <v>002M</v>
          </cell>
          <cell r="D1897" t="str">
            <v>Y</v>
          </cell>
          <cell r="E1897" t="str">
            <v>C</v>
          </cell>
          <cell r="F1897" t="str">
            <v>03/10/2000</v>
          </cell>
        </row>
        <row r="1898">
          <cell r="B1898" t="str">
            <v>A1135</v>
          </cell>
          <cell r="C1898" t="str">
            <v>002M</v>
          </cell>
          <cell r="D1898" t="str">
            <v>Y</v>
          </cell>
          <cell r="E1898" t="str">
            <v>C</v>
          </cell>
          <cell r="F1898" t="str">
            <v>03/10/2000</v>
          </cell>
        </row>
        <row r="1899">
          <cell r="B1899" t="str">
            <v>A1136</v>
          </cell>
          <cell r="C1899" t="str">
            <v>001A</v>
          </cell>
          <cell r="D1899" t="str">
            <v>Y</v>
          </cell>
          <cell r="E1899" t="str">
            <v>A</v>
          </cell>
          <cell r="F1899" t="str">
            <v>03/23/2000</v>
          </cell>
        </row>
        <row r="1900">
          <cell r="B1900" t="str">
            <v>A1138</v>
          </cell>
          <cell r="C1900" t="str">
            <v>ADC</v>
          </cell>
          <cell r="D1900" t="str">
            <v>Y</v>
          </cell>
          <cell r="E1900" t="str">
            <v>A</v>
          </cell>
          <cell r="F1900" t="str">
            <v>04/06/2000</v>
          </cell>
        </row>
        <row r="1901">
          <cell r="B1901" t="str">
            <v>A1147</v>
          </cell>
          <cell r="C1901" t="str">
            <v>AED</v>
          </cell>
          <cell r="D1901" t="str">
            <v>Y</v>
          </cell>
          <cell r="E1901" t="str">
            <v>A</v>
          </cell>
          <cell r="F1901" t="str">
            <v>04/07/2000</v>
          </cell>
        </row>
        <row r="1902">
          <cell r="B1902" t="str">
            <v>A1155</v>
          </cell>
          <cell r="C1902" t="str">
            <v>GEN</v>
          </cell>
          <cell r="D1902" t="str">
            <v>Y</v>
          </cell>
          <cell r="E1902" t="str">
            <v>A</v>
          </cell>
          <cell r="F1902" t="str">
            <v>04/24/2000</v>
          </cell>
        </row>
        <row r="1903">
          <cell r="B1903" t="str">
            <v>A1163</v>
          </cell>
          <cell r="C1903" t="str">
            <v>GMC</v>
          </cell>
          <cell r="D1903" t="str">
            <v>Y</v>
          </cell>
          <cell r="E1903" t="str">
            <v>A</v>
          </cell>
          <cell r="F1903" t="str">
            <v>04/24/2000</v>
          </cell>
        </row>
        <row r="1904">
          <cell r="B1904" t="str">
            <v>A1171</v>
          </cell>
          <cell r="C1904" t="str">
            <v>001A</v>
          </cell>
          <cell r="D1904" t="str">
            <v>Y</v>
          </cell>
          <cell r="E1904" t="str">
            <v>A</v>
          </cell>
          <cell r="F1904" t="str">
            <v>04/26/2000</v>
          </cell>
        </row>
        <row r="1905">
          <cell r="B1905" t="str">
            <v>A1175</v>
          </cell>
          <cell r="C1905" t="str">
            <v>GEN</v>
          </cell>
          <cell r="D1905" t="str">
            <v>Y</v>
          </cell>
          <cell r="E1905" t="str">
            <v>A</v>
          </cell>
          <cell r="F1905" t="str">
            <v>04/27/2000</v>
          </cell>
        </row>
        <row r="1906">
          <cell r="B1906" t="str">
            <v>A1176</v>
          </cell>
          <cell r="C1906" t="str">
            <v>GEN</v>
          </cell>
          <cell r="D1906" t="str">
            <v>Y</v>
          </cell>
          <cell r="E1906" t="str">
            <v>A</v>
          </cell>
          <cell r="F1906" t="str">
            <v>04/27/2000</v>
          </cell>
        </row>
        <row r="1907">
          <cell r="B1907" t="str">
            <v>A1181</v>
          </cell>
          <cell r="C1907" t="str">
            <v>GEN</v>
          </cell>
          <cell r="D1907" t="str">
            <v>N</v>
          </cell>
          <cell r="E1907" t="str">
            <v>A</v>
          </cell>
          <cell r="F1907" t="str">
            <v>04/27/2000</v>
          </cell>
        </row>
        <row r="1908">
          <cell r="B1908" t="str">
            <v>A1182</v>
          </cell>
          <cell r="C1908" t="str">
            <v>GEN</v>
          </cell>
          <cell r="D1908" t="str">
            <v>N</v>
          </cell>
          <cell r="E1908" t="str">
            <v>A</v>
          </cell>
          <cell r="F1908" t="str">
            <v>04/27/2000</v>
          </cell>
        </row>
        <row r="1909">
          <cell r="B1909" t="str">
            <v>A1187</v>
          </cell>
          <cell r="C1909" t="str">
            <v>GMC</v>
          </cell>
          <cell r="D1909" t="str">
            <v>Y</v>
          </cell>
          <cell r="E1909" t="str">
            <v>A</v>
          </cell>
          <cell r="F1909" t="str">
            <v>04/28/2000</v>
          </cell>
        </row>
        <row r="1910">
          <cell r="B1910" t="str">
            <v>A1188</v>
          </cell>
          <cell r="C1910" t="str">
            <v>GEN</v>
          </cell>
          <cell r="D1910" t="str">
            <v>Y</v>
          </cell>
          <cell r="E1910" t="str">
            <v>A</v>
          </cell>
          <cell r="F1910" t="str">
            <v>04/28/2000</v>
          </cell>
        </row>
        <row r="1911">
          <cell r="B1911" t="str">
            <v>A1191</v>
          </cell>
          <cell r="C1911" t="str">
            <v>UEC</v>
          </cell>
          <cell r="D1911" t="str">
            <v>Y</v>
          </cell>
          <cell r="E1911" t="str">
            <v>A</v>
          </cell>
          <cell r="F1911" t="str">
            <v>05/01/2000</v>
          </cell>
        </row>
        <row r="1912">
          <cell r="B1912" t="str">
            <v>A1193</v>
          </cell>
          <cell r="C1912" t="str">
            <v>UEC</v>
          </cell>
          <cell r="D1912" t="str">
            <v>Y</v>
          </cell>
          <cell r="E1912" t="str">
            <v>A</v>
          </cell>
          <cell r="F1912" t="str">
            <v>05/01/2000</v>
          </cell>
        </row>
        <row r="1913">
          <cell r="B1913" t="str">
            <v>A1195</v>
          </cell>
          <cell r="C1913" t="str">
            <v>UEC</v>
          </cell>
          <cell r="D1913" t="str">
            <v>Y</v>
          </cell>
          <cell r="E1913" t="str">
            <v>A</v>
          </cell>
          <cell r="F1913" t="str">
            <v>05/01/2000</v>
          </cell>
        </row>
        <row r="1914">
          <cell r="B1914" t="str">
            <v>A1197</v>
          </cell>
          <cell r="C1914" t="str">
            <v>UEC</v>
          </cell>
          <cell r="D1914" t="str">
            <v>Y</v>
          </cell>
          <cell r="E1914" t="str">
            <v>A</v>
          </cell>
          <cell r="F1914" t="str">
            <v>05/01/2000</v>
          </cell>
        </row>
        <row r="1915">
          <cell r="B1915" t="str">
            <v>A1198</v>
          </cell>
          <cell r="C1915" t="str">
            <v>UEC</v>
          </cell>
          <cell r="D1915" t="str">
            <v>Y</v>
          </cell>
          <cell r="E1915" t="str">
            <v>A</v>
          </cell>
          <cell r="F1915" t="str">
            <v>05/01/2000</v>
          </cell>
        </row>
        <row r="1916">
          <cell r="B1916" t="str">
            <v>A1200</v>
          </cell>
          <cell r="C1916" t="str">
            <v>UEC</v>
          </cell>
          <cell r="D1916" t="str">
            <v>Y</v>
          </cell>
          <cell r="E1916" t="str">
            <v>A</v>
          </cell>
          <cell r="F1916" t="str">
            <v>05/01/2000</v>
          </cell>
        </row>
        <row r="1917">
          <cell r="B1917" t="str">
            <v>A1202</v>
          </cell>
          <cell r="C1917" t="str">
            <v>UEC</v>
          </cell>
          <cell r="D1917" t="str">
            <v>Y</v>
          </cell>
          <cell r="E1917" t="str">
            <v>A</v>
          </cell>
          <cell r="F1917" t="str">
            <v>05/02/2000</v>
          </cell>
        </row>
        <row r="1918">
          <cell r="B1918" t="str">
            <v>A1203</v>
          </cell>
          <cell r="C1918" t="str">
            <v>UEC</v>
          </cell>
          <cell r="D1918" t="str">
            <v>Y</v>
          </cell>
          <cell r="E1918" t="str">
            <v>A</v>
          </cell>
          <cell r="F1918" t="str">
            <v>05/02/2000</v>
          </cell>
        </row>
        <row r="1919">
          <cell r="B1919" t="str">
            <v>A1204</v>
          </cell>
          <cell r="C1919" t="str">
            <v>UEC</v>
          </cell>
          <cell r="D1919" t="str">
            <v>Y</v>
          </cell>
          <cell r="E1919" t="str">
            <v>A</v>
          </cell>
          <cell r="F1919" t="str">
            <v>05/02/2000</v>
          </cell>
        </row>
        <row r="1920">
          <cell r="B1920" t="str">
            <v>A1206</v>
          </cell>
          <cell r="C1920" t="str">
            <v>GEN</v>
          </cell>
          <cell r="D1920" t="str">
            <v>Y</v>
          </cell>
          <cell r="E1920" t="str">
            <v>A</v>
          </cell>
          <cell r="F1920" t="str">
            <v>05/03/2000</v>
          </cell>
        </row>
        <row r="1921">
          <cell r="B1921" t="str">
            <v>A1207</v>
          </cell>
          <cell r="C1921" t="str">
            <v>AED</v>
          </cell>
          <cell r="D1921" t="str">
            <v>Y</v>
          </cell>
          <cell r="E1921" t="str">
            <v>A</v>
          </cell>
          <cell r="F1921" t="str">
            <v>05/03/2000</v>
          </cell>
        </row>
        <row r="1922">
          <cell r="B1922" t="str">
            <v>A1208</v>
          </cell>
          <cell r="C1922" t="str">
            <v>GMC</v>
          </cell>
          <cell r="D1922" t="str">
            <v>Y</v>
          </cell>
          <cell r="E1922" t="str">
            <v>A</v>
          </cell>
          <cell r="F1922" t="str">
            <v>05/03/2000</v>
          </cell>
        </row>
        <row r="1923">
          <cell r="B1923" t="str">
            <v>A1209</v>
          </cell>
          <cell r="C1923" t="str">
            <v>IMS</v>
          </cell>
          <cell r="D1923" t="str">
            <v>Y</v>
          </cell>
          <cell r="E1923" t="str">
            <v>A</v>
          </cell>
          <cell r="F1923" t="str">
            <v>05/04/2000</v>
          </cell>
        </row>
        <row r="1924">
          <cell r="B1924" t="str">
            <v>A1210</v>
          </cell>
          <cell r="C1924" t="str">
            <v>GMC</v>
          </cell>
          <cell r="D1924" t="str">
            <v>Y</v>
          </cell>
          <cell r="E1924" t="str">
            <v>A</v>
          </cell>
          <cell r="F1924" t="str">
            <v>05/04/2000</v>
          </cell>
        </row>
        <row r="1925">
          <cell r="B1925" t="str">
            <v>A1214</v>
          </cell>
          <cell r="C1925" t="str">
            <v>IHC</v>
          </cell>
          <cell r="D1925" t="str">
            <v>Y</v>
          </cell>
          <cell r="E1925" t="str">
            <v>A</v>
          </cell>
          <cell r="F1925" t="str">
            <v>05/08/2000</v>
          </cell>
        </row>
        <row r="1926">
          <cell r="B1926" t="str">
            <v>A1216</v>
          </cell>
          <cell r="C1926" t="str">
            <v>GEN</v>
          </cell>
          <cell r="D1926" t="str">
            <v>Y</v>
          </cell>
          <cell r="E1926" t="str">
            <v>A</v>
          </cell>
          <cell r="F1926" t="str">
            <v>05/08/2000</v>
          </cell>
        </row>
        <row r="1927">
          <cell r="B1927" t="str">
            <v>A1217</v>
          </cell>
          <cell r="C1927" t="str">
            <v>GEN</v>
          </cell>
          <cell r="D1927" t="str">
            <v>Y</v>
          </cell>
          <cell r="E1927" t="str">
            <v>A</v>
          </cell>
          <cell r="F1927" t="str">
            <v>05/08/2000</v>
          </cell>
        </row>
        <row r="1928">
          <cell r="B1928" t="str">
            <v>A1218</v>
          </cell>
          <cell r="C1928" t="str">
            <v>GEN</v>
          </cell>
          <cell r="D1928" t="str">
            <v>Y</v>
          </cell>
          <cell r="E1928" t="str">
            <v>A</v>
          </cell>
          <cell r="F1928" t="str">
            <v>05/08/2000</v>
          </cell>
        </row>
        <row r="1929">
          <cell r="B1929" t="str">
            <v>A1219</v>
          </cell>
          <cell r="C1929" t="str">
            <v>GEN</v>
          </cell>
          <cell r="D1929" t="str">
            <v>Y</v>
          </cell>
          <cell r="E1929" t="str">
            <v>A</v>
          </cell>
          <cell r="F1929" t="str">
            <v>05/08/2000</v>
          </cell>
        </row>
        <row r="1930">
          <cell r="B1930" t="str">
            <v>A1220</v>
          </cell>
          <cell r="C1930" t="str">
            <v>GEN</v>
          </cell>
          <cell r="D1930" t="str">
            <v>Y</v>
          </cell>
          <cell r="E1930" t="str">
            <v>A</v>
          </cell>
          <cell r="F1930" t="str">
            <v>05/08/2000</v>
          </cell>
        </row>
        <row r="1931">
          <cell r="B1931" t="str">
            <v>A1221</v>
          </cell>
          <cell r="C1931" t="str">
            <v>IHC</v>
          </cell>
          <cell r="D1931" t="str">
            <v>Y</v>
          </cell>
          <cell r="E1931" t="str">
            <v>A</v>
          </cell>
          <cell r="F1931" t="str">
            <v>05/08/2000</v>
          </cell>
        </row>
        <row r="1932">
          <cell r="B1932" t="str">
            <v>A1222</v>
          </cell>
          <cell r="C1932" t="str">
            <v>GEN</v>
          </cell>
          <cell r="D1932" t="str">
            <v>N</v>
          </cell>
          <cell r="E1932" t="str">
            <v>A</v>
          </cell>
          <cell r="F1932" t="str">
            <v>05/08/2000</v>
          </cell>
        </row>
        <row r="1933">
          <cell r="B1933" t="str">
            <v>A1223</v>
          </cell>
          <cell r="C1933" t="str">
            <v>GMC</v>
          </cell>
          <cell r="D1933" t="str">
            <v>Y</v>
          </cell>
          <cell r="E1933" t="str">
            <v>A</v>
          </cell>
          <cell r="F1933" t="str">
            <v>05/08/2000</v>
          </cell>
        </row>
        <row r="1934">
          <cell r="B1934" t="str">
            <v>A1224</v>
          </cell>
          <cell r="C1934" t="str">
            <v>GEN</v>
          </cell>
          <cell r="D1934" t="str">
            <v>Y</v>
          </cell>
          <cell r="E1934" t="str">
            <v>A</v>
          </cell>
          <cell r="F1934" t="str">
            <v>05/08/2000</v>
          </cell>
        </row>
        <row r="1935">
          <cell r="B1935" t="str">
            <v>A1225</v>
          </cell>
          <cell r="C1935" t="str">
            <v>IHC</v>
          </cell>
          <cell r="D1935" t="str">
            <v>Y</v>
          </cell>
          <cell r="E1935" t="str">
            <v>A</v>
          </cell>
          <cell r="F1935" t="str">
            <v>05/08/2000</v>
          </cell>
        </row>
        <row r="1936">
          <cell r="B1936" t="str">
            <v>A1226</v>
          </cell>
          <cell r="C1936" t="str">
            <v>AED</v>
          </cell>
          <cell r="D1936" t="str">
            <v>Y</v>
          </cell>
          <cell r="E1936" t="str">
            <v>A</v>
          </cell>
          <cell r="F1936" t="str">
            <v>05/08/2000</v>
          </cell>
        </row>
        <row r="1937">
          <cell r="B1937" t="str">
            <v>A1227</v>
          </cell>
          <cell r="C1937" t="str">
            <v>IMS</v>
          </cell>
          <cell r="D1937" t="str">
            <v>Y</v>
          </cell>
          <cell r="E1937" t="str">
            <v>A</v>
          </cell>
          <cell r="F1937" t="str">
            <v>05/09/2000</v>
          </cell>
        </row>
        <row r="1938">
          <cell r="B1938" t="str">
            <v>A1228</v>
          </cell>
          <cell r="C1938" t="str">
            <v>IHC</v>
          </cell>
          <cell r="D1938" t="str">
            <v>Y</v>
          </cell>
          <cell r="E1938" t="str">
            <v>A</v>
          </cell>
          <cell r="F1938" t="str">
            <v>05/09/2000</v>
          </cell>
        </row>
        <row r="1939">
          <cell r="B1939" t="str">
            <v>A1229</v>
          </cell>
          <cell r="C1939" t="str">
            <v>IHC</v>
          </cell>
          <cell r="D1939" t="str">
            <v>Y</v>
          </cell>
          <cell r="E1939" t="str">
            <v>I</v>
          </cell>
          <cell r="F1939" t="str">
            <v>05/09/2000</v>
          </cell>
        </row>
        <row r="1940">
          <cell r="B1940" t="str">
            <v>A1231</v>
          </cell>
          <cell r="C1940" t="str">
            <v>GEN</v>
          </cell>
          <cell r="D1940" t="str">
            <v>Y</v>
          </cell>
          <cell r="E1940" t="str">
            <v>A</v>
          </cell>
          <cell r="F1940" t="str">
            <v>05/11/2000</v>
          </cell>
        </row>
        <row r="1941">
          <cell r="B1941" t="str">
            <v>A1233</v>
          </cell>
          <cell r="C1941" t="str">
            <v>GEN</v>
          </cell>
          <cell r="D1941" t="str">
            <v>Y</v>
          </cell>
          <cell r="E1941" t="str">
            <v>A</v>
          </cell>
          <cell r="F1941" t="str">
            <v>05/12/2000</v>
          </cell>
        </row>
        <row r="1942">
          <cell r="B1942" t="str">
            <v>A1235</v>
          </cell>
          <cell r="C1942" t="str">
            <v>IHC</v>
          </cell>
          <cell r="D1942" t="str">
            <v>Y</v>
          </cell>
          <cell r="E1942" t="str">
            <v>A</v>
          </cell>
          <cell r="F1942" t="str">
            <v>05/16/2000</v>
          </cell>
        </row>
        <row r="1943">
          <cell r="B1943" t="str">
            <v>A1237</v>
          </cell>
          <cell r="C1943" t="str">
            <v>GEN</v>
          </cell>
          <cell r="D1943" t="str">
            <v>Y</v>
          </cell>
          <cell r="E1943" t="str">
            <v>A</v>
          </cell>
          <cell r="F1943" t="str">
            <v>05/17/2000</v>
          </cell>
        </row>
        <row r="1944">
          <cell r="B1944" t="str">
            <v>A1238</v>
          </cell>
          <cell r="C1944" t="str">
            <v>GMC</v>
          </cell>
          <cell r="D1944" t="str">
            <v>Y</v>
          </cell>
          <cell r="E1944" t="str">
            <v>A</v>
          </cell>
          <cell r="F1944" t="str">
            <v>05/17/2000</v>
          </cell>
        </row>
        <row r="1945">
          <cell r="B1945" t="str">
            <v>A1239</v>
          </cell>
          <cell r="C1945" t="str">
            <v>004C</v>
          </cell>
          <cell r="D1945" t="str">
            <v>N</v>
          </cell>
          <cell r="E1945" t="str">
            <v>A</v>
          </cell>
          <cell r="F1945" t="str">
            <v>05/18/2000</v>
          </cell>
        </row>
        <row r="1946">
          <cell r="B1946" t="str">
            <v>A1247</v>
          </cell>
          <cell r="C1946" t="str">
            <v>004B</v>
          </cell>
          <cell r="D1946" t="str">
            <v>N</v>
          </cell>
          <cell r="E1946" t="str">
            <v>A</v>
          </cell>
          <cell r="F1946" t="str">
            <v>05/18/2000</v>
          </cell>
        </row>
        <row r="1947">
          <cell r="B1947" t="str">
            <v>A1248</v>
          </cell>
          <cell r="C1947" t="str">
            <v>GEN</v>
          </cell>
          <cell r="D1947" t="str">
            <v>Y</v>
          </cell>
          <cell r="E1947" t="str">
            <v>A</v>
          </cell>
          <cell r="F1947" t="str">
            <v>05/22/2000</v>
          </cell>
        </row>
        <row r="1948">
          <cell r="B1948" t="str">
            <v>A1251</v>
          </cell>
          <cell r="C1948" t="str">
            <v>CIP</v>
          </cell>
          <cell r="D1948" t="str">
            <v>Y</v>
          </cell>
          <cell r="E1948" t="str">
            <v>A</v>
          </cell>
          <cell r="F1948" t="str">
            <v>05/25/2000</v>
          </cell>
        </row>
        <row r="1949">
          <cell r="B1949" t="str">
            <v>A1252</v>
          </cell>
          <cell r="C1949" t="str">
            <v>CIP</v>
          </cell>
          <cell r="D1949" t="str">
            <v>Y</v>
          </cell>
          <cell r="E1949" t="str">
            <v>A</v>
          </cell>
          <cell r="F1949" t="str">
            <v>05/25/2000</v>
          </cell>
        </row>
        <row r="1950">
          <cell r="B1950" t="str">
            <v>A1253</v>
          </cell>
          <cell r="C1950" t="str">
            <v>CIP</v>
          </cell>
          <cell r="D1950" t="str">
            <v>Y</v>
          </cell>
          <cell r="E1950" t="str">
            <v>A</v>
          </cell>
          <cell r="F1950" t="str">
            <v>05/25/2000</v>
          </cell>
        </row>
        <row r="1951">
          <cell r="B1951" t="str">
            <v>A1257</v>
          </cell>
          <cell r="C1951" t="str">
            <v>GEN</v>
          </cell>
          <cell r="D1951" t="str">
            <v>Y</v>
          </cell>
          <cell r="E1951" t="str">
            <v>A</v>
          </cell>
          <cell r="F1951" t="str">
            <v>05/25/2000</v>
          </cell>
        </row>
        <row r="1952">
          <cell r="B1952" t="str">
            <v>A1258</v>
          </cell>
          <cell r="C1952" t="str">
            <v>IHC</v>
          </cell>
          <cell r="D1952" t="str">
            <v>Y</v>
          </cell>
          <cell r="E1952" t="str">
            <v>A</v>
          </cell>
          <cell r="F1952" t="str">
            <v>05/25/2000</v>
          </cell>
        </row>
        <row r="1953">
          <cell r="B1953" t="str">
            <v>A1259</v>
          </cell>
          <cell r="C1953" t="str">
            <v>GMC</v>
          </cell>
          <cell r="D1953" t="str">
            <v>Y</v>
          </cell>
          <cell r="E1953" t="str">
            <v>A</v>
          </cell>
          <cell r="F1953" t="str">
            <v>05/25/2000</v>
          </cell>
        </row>
        <row r="1954">
          <cell r="B1954" t="str">
            <v>A1261</v>
          </cell>
          <cell r="C1954" t="str">
            <v>GEN</v>
          </cell>
          <cell r="D1954" t="str">
            <v>Y</v>
          </cell>
          <cell r="E1954" t="str">
            <v>A</v>
          </cell>
          <cell r="F1954" t="str">
            <v>05/25/2000</v>
          </cell>
        </row>
        <row r="1955">
          <cell r="B1955" t="str">
            <v>A1262</v>
          </cell>
          <cell r="C1955" t="str">
            <v>IHC</v>
          </cell>
          <cell r="D1955" t="str">
            <v>Y</v>
          </cell>
          <cell r="E1955" t="str">
            <v>A</v>
          </cell>
          <cell r="F1955" t="str">
            <v>05/25/2000</v>
          </cell>
        </row>
        <row r="1956">
          <cell r="B1956" t="str">
            <v>A1263</v>
          </cell>
          <cell r="C1956" t="str">
            <v>CIP</v>
          </cell>
          <cell r="D1956" t="str">
            <v>Y</v>
          </cell>
          <cell r="E1956" t="str">
            <v>A</v>
          </cell>
          <cell r="F1956" t="str">
            <v>05/30/2000</v>
          </cell>
        </row>
        <row r="1957">
          <cell r="B1957" t="str">
            <v>A1264</v>
          </cell>
          <cell r="C1957" t="str">
            <v>UEC</v>
          </cell>
          <cell r="D1957" t="str">
            <v>Y</v>
          </cell>
          <cell r="E1957" t="str">
            <v>A</v>
          </cell>
          <cell r="F1957" t="str">
            <v>06/07/2000</v>
          </cell>
        </row>
        <row r="1958">
          <cell r="B1958" t="str">
            <v>A1265</v>
          </cell>
          <cell r="C1958" t="str">
            <v>GEN</v>
          </cell>
          <cell r="D1958" t="str">
            <v>Y</v>
          </cell>
          <cell r="E1958" t="str">
            <v>A</v>
          </cell>
          <cell r="F1958" t="str">
            <v>05/30/2000</v>
          </cell>
        </row>
        <row r="1959">
          <cell r="B1959" t="str">
            <v>A1266</v>
          </cell>
          <cell r="C1959" t="str">
            <v>GMC</v>
          </cell>
          <cell r="D1959" t="str">
            <v>Y</v>
          </cell>
          <cell r="E1959" t="str">
            <v>A</v>
          </cell>
          <cell r="F1959" t="str">
            <v>05/30/2000</v>
          </cell>
        </row>
        <row r="1960">
          <cell r="B1960" t="str">
            <v>A1267</v>
          </cell>
          <cell r="C1960" t="str">
            <v>GEN</v>
          </cell>
          <cell r="D1960" t="str">
            <v>Y</v>
          </cell>
          <cell r="E1960" t="str">
            <v>A</v>
          </cell>
          <cell r="F1960" t="str">
            <v>05/30/2000</v>
          </cell>
        </row>
        <row r="1961">
          <cell r="B1961" t="str">
            <v>A1268</v>
          </cell>
          <cell r="C1961" t="str">
            <v>GMC</v>
          </cell>
          <cell r="D1961" t="str">
            <v>Y</v>
          </cell>
          <cell r="E1961" t="str">
            <v>A</v>
          </cell>
          <cell r="F1961" t="str">
            <v>05/30/2000</v>
          </cell>
        </row>
        <row r="1962">
          <cell r="B1962" t="str">
            <v>A1269</v>
          </cell>
          <cell r="C1962" t="str">
            <v>CIP</v>
          </cell>
          <cell r="D1962" t="str">
            <v>Y</v>
          </cell>
          <cell r="E1962" t="str">
            <v>A</v>
          </cell>
          <cell r="F1962" t="str">
            <v>05/30/2000</v>
          </cell>
        </row>
        <row r="1963">
          <cell r="B1963" t="str">
            <v>A1272</v>
          </cell>
          <cell r="C1963" t="str">
            <v>IHC</v>
          </cell>
          <cell r="D1963" t="str">
            <v>Y</v>
          </cell>
          <cell r="E1963" t="str">
            <v>A</v>
          </cell>
          <cell r="F1963" t="str">
            <v>05/31/2000</v>
          </cell>
        </row>
        <row r="1964">
          <cell r="B1964" t="str">
            <v>A1276</v>
          </cell>
          <cell r="C1964" t="str">
            <v>GMC</v>
          </cell>
          <cell r="D1964" t="str">
            <v>Y</v>
          </cell>
          <cell r="E1964" t="str">
            <v>A</v>
          </cell>
          <cell r="F1964" t="str">
            <v>05/31/2000</v>
          </cell>
        </row>
        <row r="1965">
          <cell r="B1965" t="str">
            <v>A1278</v>
          </cell>
          <cell r="C1965" t="str">
            <v>GEN</v>
          </cell>
          <cell r="D1965" t="str">
            <v>Y</v>
          </cell>
          <cell r="E1965" t="str">
            <v>A</v>
          </cell>
          <cell r="F1965" t="str">
            <v>05/31/2000</v>
          </cell>
        </row>
        <row r="1966">
          <cell r="B1966" t="str">
            <v>A1282</v>
          </cell>
          <cell r="C1966" t="str">
            <v>UEC</v>
          </cell>
          <cell r="D1966" t="str">
            <v>Y</v>
          </cell>
          <cell r="E1966" t="str">
            <v>A</v>
          </cell>
          <cell r="F1966" t="str">
            <v>06/07/2000</v>
          </cell>
        </row>
        <row r="1967">
          <cell r="B1967" t="str">
            <v>A1283</v>
          </cell>
          <cell r="C1967" t="str">
            <v>CIP</v>
          </cell>
          <cell r="D1967" t="str">
            <v>Y</v>
          </cell>
          <cell r="E1967" t="str">
            <v>A</v>
          </cell>
          <cell r="F1967" t="str">
            <v>06/07/2000</v>
          </cell>
        </row>
        <row r="1968">
          <cell r="B1968" t="str">
            <v>A1284</v>
          </cell>
          <cell r="C1968" t="str">
            <v>GEN</v>
          </cell>
          <cell r="D1968" t="str">
            <v>Y</v>
          </cell>
          <cell r="E1968" t="str">
            <v>A</v>
          </cell>
          <cell r="F1968" t="str">
            <v>06/07/2000</v>
          </cell>
        </row>
        <row r="1969">
          <cell r="B1969" t="str">
            <v>A1296</v>
          </cell>
          <cell r="C1969" t="str">
            <v>CIP</v>
          </cell>
          <cell r="D1969" t="str">
            <v>Y</v>
          </cell>
          <cell r="E1969" t="str">
            <v>A</v>
          </cell>
          <cell r="F1969" t="str">
            <v>06/15/2000</v>
          </cell>
        </row>
        <row r="1970">
          <cell r="B1970" t="str">
            <v>A1297</v>
          </cell>
          <cell r="C1970" t="str">
            <v>UEC</v>
          </cell>
          <cell r="D1970" t="str">
            <v>Y</v>
          </cell>
          <cell r="E1970" t="str">
            <v>A</v>
          </cell>
          <cell r="F1970" t="str">
            <v>06/15/2000</v>
          </cell>
        </row>
        <row r="1971">
          <cell r="B1971" t="str">
            <v>A1298</v>
          </cell>
          <cell r="C1971" t="str">
            <v>GEN</v>
          </cell>
          <cell r="D1971" t="str">
            <v>Y</v>
          </cell>
          <cell r="E1971" t="str">
            <v>A</v>
          </cell>
          <cell r="F1971" t="str">
            <v>06/15/2000</v>
          </cell>
        </row>
        <row r="1972">
          <cell r="B1972" t="str">
            <v>A1299</v>
          </cell>
          <cell r="C1972" t="str">
            <v>GMC</v>
          </cell>
          <cell r="D1972" t="str">
            <v>Y</v>
          </cell>
          <cell r="E1972" t="str">
            <v>A</v>
          </cell>
          <cell r="F1972" t="str">
            <v>06/15/2000</v>
          </cell>
        </row>
        <row r="1973">
          <cell r="B1973" t="str">
            <v>A1303</v>
          </cell>
          <cell r="C1973" t="str">
            <v>001G</v>
          </cell>
          <cell r="D1973" t="str">
            <v>Y</v>
          </cell>
          <cell r="E1973" t="str">
            <v>A</v>
          </cell>
          <cell r="F1973" t="str">
            <v>06/16/2000</v>
          </cell>
        </row>
        <row r="1974">
          <cell r="B1974" t="str">
            <v>A1307</v>
          </cell>
          <cell r="C1974" t="str">
            <v>GEN</v>
          </cell>
          <cell r="D1974" t="str">
            <v>Y</v>
          </cell>
          <cell r="E1974" t="str">
            <v>A</v>
          </cell>
          <cell r="F1974" t="str">
            <v>06/21/2000</v>
          </cell>
        </row>
        <row r="1975">
          <cell r="B1975" t="str">
            <v>A1308</v>
          </cell>
          <cell r="C1975" t="str">
            <v>IHC</v>
          </cell>
          <cell r="D1975" t="str">
            <v>Y</v>
          </cell>
          <cell r="E1975" t="str">
            <v>A</v>
          </cell>
          <cell r="F1975" t="str">
            <v>06/21/2000</v>
          </cell>
        </row>
        <row r="1976">
          <cell r="B1976" t="str">
            <v>A1309</v>
          </cell>
          <cell r="C1976" t="str">
            <v>IHC</v>
          </cell>
          <cell r="D1976" t="str">
            <v>Y</v>
          </cell>
          <cell r="E1976" t="str">
            <v>A</v>
          </cell>
          <cell r="F1976" t="str">
            <v>06/21/2000</v>
          </cell>
        </row>
        <row r="1977">
          <cell r="B1977" t="str">
            <v>A1310</v>
          </cell>
          <cell r="C1977" t="str">
            <v>GEN</v>
          </cell>
          <cell r="D1977" t="str">
            <v>Y</v>
          </cell>
          <cell r="E1977" t="str">
            <v>A</v>
          </cell>
          <cell r="F1977" t="str">
            <v>06/21/2000</v>
          </cell>
        </row>
        <row r="1978">
          <cell r="B1978" t="str">
            <v>A1316</v>
          </cell>
          <cell r="C1978" t="str">
            <v>UEC</v>
          </cell>
          <cell r="D1978" t="str">
            <v>N</v>
          </cell>
          <cell r="E1978" t="str">
            <v>A</v>
          </cell>
          <cell r="F1978" t="str">
            <v>06/28/2000</v>
          </cell>
        </row>
        <row r="1979">
          <cell r="B1979" t="str">
            <v>A1317</v>
          </cell>
          <cell r="C1979" t="str">
            <v>UEC</v>
          </cell>
          <cell r="D1979" t="str">
            <v>N</v>
          </cell>
          <cell r="E1979" t="str">
            <v>A</v>
          </cell>
          <cell r="F1979" t="str">
            <v>06/28/2000</v>
          </cell>
        </row>
        <row r="1980">
          <cell r="B1980" t="str">
            <v>A2003</v>
          </cell>
          <cell r="C1980" t="str">
            <v>UEC</v>
          </cell>
          <cell r="D1980" t="str">
            <v>Y</v>
          </cell>
          <cell r="E1980" t="str">
            <v>A</v>
          </cell>
          <cell r="F1980" t="str">
            <v>08/15/2000</v>
          </cell>
        </row>
        <row r="1981">
          <cell r="B1981" t="str">
            <v>A2005</v>
          </cell>
          <cell r="C1981" t="str">
            <v>CIP</v>
          </cell>
          <cell r="D1981" t="str">
            <v>Y</v>
          </cell>
          <cell r="E1981" t="str">
            <v>A</v>
          </cell>
          <cell r="F1981" t="str">
            <v>08/15/2000</v>
          </cell>
        </row>
        <row r="1982">
          <cell r="B1982" t="str">
            <v>A2006</v>
          </cell>
          <cell r="C1982" t="str">
            <v>004A</v>
          </cell>
          <cell r="D1982" t="str">
            <v>Y</v>
          </cell>
          <cell r="E1982" t="str">
            <v>A</v>
          </cell>
          <cell r="F1982" t="str">
            <v>08/17/2000</v>
          </cell>
        </row>
        <row r="1983">
          <cell r="B1983" t="str">
            <v>A2009</v>
          </cell>
          <cell r="C1983" t="str">
            <v>UEC</v>
          </cell>
          <cell r="D1983" t="str">
            <v>Y</v>
          </cell>
          <cell r="E1983" t="str">
            <v>I</v>
          </cell>
          <cell r="F1983" t="str">
            <v>08/18/2000</v>
          </cell>
        </row>
        <row r="1984">
          <cell r="B1984" t="str">
            <v>A2010</v>
          </cell>
          <cell r="C1984" t="str">
            <v>002L</v>
          </cell>
          <cell r="D1984" t="str">
            <v>Y</v>
          </cell>
          <cell r="E1984" t="str">
            <v>A</v>
          </cell>
          <cell r="F1984" t="str">
            <v>08/11/2000</v>
          </cell>
        </row>
        <row r="1985">
          <cell r="B1985" t="str">
            <v>A2011</v>
          </cell>
          <cell r="C1985" t="str">
            <v>001A</v>
          </cell>
          <cell r="D1985" t="str">
            <v>Y</v>
          </cell>
          <cell r="E1985" t="str">
            <v>A</v>
          </cell>
          <cell r="F1985" t="str">
            <v>08/11/2000</v>
          </cell>
        </row>
        <row r="1986">
          <cell r="B1986" t="str">
            <v>A2012</v>
          </cell>
          <cell r="C1986" t="str">
            <v>AME</v>
          </cell>
          <cell r="D1986" t="str">
            <v>Y</v>
          </cell>
          <cell r="E1986" t="str">
            <v>A</v>
          </cell>
          <cell r="F1986" t="str">
            <v>08/11/2000</v>
          </cell>
        </row>
        <row r="1987">
          <cell r="B1987" t="str">
            <v>A2013</v>
          </cell>
          <cell r="C1987" t="str">
            <v>GEN</v>
          </cell>
          <cell r="D1987" t="str">
            <v>Y</v>
          </cell>
          <cell r="E1987" t="str">
            <v>I</v>
          </cell>
          <cell r="F1987" t="str">
            <v>08/11/2000</v>
          </cell>
        </row>
        <row r="1988">
          <cell r="B1988" t="str">
            <v>A2014</v>
          </cell>
          <cell r="C1988" t="str">
            <v>GMC</v>
          </cell>
          <cell r="D1988" t="str">
            <v>Y</v>
          </cell>
          <cell r="E1988" t="str">
            <v>A</v>
          </cell>
          <cell r="F1988" t="str">
            <v>08/11/2000</v>
          </cell>
        </row>
        <row r="1989">
          <cell r="B1989" t="str">
            <v>A2015</v>
          </cell>
          <cell r="C1989" t="str">
            <v>UEC</v>
          </cell>
          <cell r="D1989" t="str">
            <v>Y</v>
          </cell>
          <cell r="E1989" t="str">
            <v>I</v>
          </cell>
          <cell r="F1989" t="str">
            <v>08/11/2000</v>
          </cell>
        </row>
        <row r="1990">
          <cell r="B1990" t="str">
            <v>A2016</v>
          </cell>
          <cell r="C1990" t="str">
            <v>CIP</v>
          </cell>
          <cell r="D1990" t="str">
            <v>Y</v>
          </cell>
          <cell r="E1990" t="str">
            <v>I</v>
          </cell>
          <cell r="F1990" t="str">
            <v>08/11/2000</v>
          </cell>
        </row>
        <row r="1991">
          <cell r="B1991" t="str">
            <v>A2017</v>
          </cell>
          <cell r="C1991" t="str">
            <v>002A</v>
          </cell>
          <cell r="D1991" t="str">
            <v>Y</v>
          </cell>
          <cell r="E1991" t="str">
            <v>A</v>
          </cell>
          <cell r="F1991" t="str">
            <v>08/11/2000</v>
          </cell>
        </row>
        <row r="1992">
          <cell r="B1992" t="str">
            <v>A2018</v>
          </cell>
          <cell r="C1992" t="str">
            <v>004A</v>
          </cell>
          <cell r="D1992" t="str">
            <v>Y</v>
          </cell>
          <cell r="E1992" t="str">
            <v>I</v>
          </cell>
          <cell r="F1992" t="str">
            <v>08/11/2000</v>
          </cell>
        </row>
        <row r="1993">
          <cell r="B1993" t="str">
            <v>A2019</v>
          </cell>
          <cell r="C1993" t="str">
            <v>011A</v>
          </cell>
          <cell r="D1993" t="str">
            <v>Y</v>
          </cell>
          <cell r="E1993" t="str">
            <v>A</v>
          </cell>
          <cell r="F1993" t="str">
            <v>08/11/2000</v>
          </cell>
        </row>
        <row r="1994">
          <cell r="B1994" t="str">
            <v>A2020</v>
          </cell>
          <cell r="C1994"/>
          <cell r="D1994" t="str">
            <v>Y</v>
          </cell>
          <cell r="E1994" t="str">
            <v>I</v>
          </cell>
          <cell r="F1994" t="str">
            <v>08/11/2000</v>
          </cell>
        </row>
        <row r="1995">
          <cell r="B1995" t="str">
            <v>A2022</v>
          </cell>
          <cell r="C1995" t="str">
            <v>CIP</v>
          </cell>
          <cell r="D1995" t="str">
            <v>Y</v>
          </cell>
          <cell r="E1995" t="str">
            <v>A</v>
          </cell>
          <cell r="F1995" t="str">
            <v>08/18/2000</v>
          </cell>
        </row>
        <row r="1996">
          <cell r="B1996" t="str">
            <v>A2023</v>
          </cell>
          <cell r="C1996" t="str">
            <v>UEC</v>
          </cell>
          <cell r="D1996" t="str">
            <v>Y</v>
          </cell>
          <cell r="E1996" t="str">
            <v>A</v>
          </cell>
          <cell r="F1996" t="str">
            <v>08/17/2000</v>
          </cell>
        </row>
        <row r="1997">
          <cell r="B1997" t="str">
            <v>A2024</v>
          </cell>
          <cell r="C1997" t="str">
            <v>GEN</v>
          </cell>
          <cell r="D1997" t="str">
            <v>Y</v>
          </cell>
          <cell r="E1997" t="str">
            <v>A</v>
          </cell>
          <cell r="F1997" t="str">
            <v>08/18/2000</v>
          </cell>
        </row>
        <row r="1998">
          <cell r="B1998" t="str">
            <v>A2025</v>
          </cell>
          <cell r="C1998" t="str">
            <v>GEN</v>
          </cell>
          <cell r="D1998" t="str">
            <v>Y</v>
          </cell>
          <cell r="E1998" t="str">
            <v>A</v>
          </cell>
          <cell r="F1998" t="str">
            <v>08/18/2000</v>
          </cell>
        </row>
        <row r="1999">
          <cell r="B1999" t="str">
            <v>A2026</v>
          </cell>
          <cell r="C1999" t="str">
            <v>GEN</v>
          </cell>
          <cell r="D1999" t="str">
            <v>Y</v>
          </cell>
          <cell r="E1999" t="str">
            <v>A</v>
          </cell>
          <cell r="F1999" t="str">
            <v>08/18/2000</v>
          </cell>
        </row>
        <row r="2000">
          <cell r="B2000" t="str">
            <v>A2027</v>
          </cell>
          <cell r="C2000" t="str">
            <v>GEN</v>
          </cell>
          <cell r="D2000" t="str">
            <v>Y</v>
          </cell>
          <cell r="E2000" t="str">
            <v>A</v>
          </cell>
          <cell r="F2000" t="str">
            <v>08/18/2000</v>
          </cell>
        </row>
        <row r="2001">
          <cell r="B2001" t="str">
            <v>A2029</v>
          </cell>
          <cell r="C2001" t="str">
            <v>002L</v>
          </cell>
          <cell r="D2001" t="str">
            <v>Y</v>
          </cell>
          <cell r="E2001" t="str">
            <v>A</v>
          </cell>
          <cell r="F2001" t="str">
            <v>08/16/2000</v>
          </cell>
        </row>
        <row r="2002">
          <cell r="B2002" t="str">
            <v>A2031</v>
          </cell>
          <cell r="C2002" t="str">
            <v>GEN</v>
          </cell>
          <cell r="D2002" t="str">
            <v>Y</v>
          </cell>
          <cell r="E2002" t="str">
            <v>A</v>
          </cell>
          <cell r="F2002" t="str">
            <v>08/18/2000</v>
          </cell>
        </row>
        <row r="2003">
          <cell r="B2003" t="str">
            <v>A2032</v>
          </cell>
          <cell r="C2003" t="str">
            <v>002A</v>
          </cell>
          <cell r="D2003" t="str">
            <v>Y</v>
          </cell>
          <cell r="E2003" t="str">
            <v>A</v>
          </cell>
          <cell r="F2003" t="str">
            <v>08/18/2000</v>
          </cell>
        </row>
        <row r="2004">
          <cell r="B2004" t="str">
            <v>A2033</v>
          </cell>
          <cell r="C2004" t="str">
            <v>011B</v>
          </cell>
          <cell r="D2004" t="str">
            <v>N</v>
          </cell>
          <cell r="E2004" t="str">
            <v>A</v>
          </cell>
          <cell r="F2004" t="str">
            <v>08/21/2000</v>
          </cell>
        </row>
        <row r="2005">
          <cell r="B2005" t="str">
            <v>A2034</v>
          </cell>
          <cell r="C2005" t="str">
            <v>UEC</v>
          </cell>
          <cell r="D2005" t="str">
            <v>N</v>
          </cell>
          <cell r="E2005" t="str">
            <v>A</v>
          </cell>
          <cell r="F2005" t="str">
            <v>08/20/2000</v>
          </cell>
        </row>
        <row r="2006">
          <cell r="B2006" t="str">
            <v>A2035</v>
          </cell>
          <cell r="C2006" t="str">
            <v>UEC</v>
          </cell>
          <cell r="D2006" t="str">
            <v>N</v>
          </cell>
          <cell r="E2006" t="str">
            <v>A</v>
          </cell>
          <cell r="F2006" t="str">
            <v>08/18/2000</v>
          </cell>
        </row>
        <row r="2007">
          <cell r="B2007" t="str">
            <v>A2036</v>
          </cell>
          <cell r="C2007" t="str">
            <v>UEC</v>
          </cell>
          <cell r="D2007" t="str">
            <v>N</v>
          </cell>
          <cell r="E2007" t="str">
            <v>A</v>
          </cell>
          <cell r="F2007" t="str">
            <v>08/20/2000</v>
          </cell>
        </row>
        <row r="2008">
          <cell r="B2008" t="str">
            <v>A2037</v>
          </cell>
          <cell r="C2008" t="str">
            <v>UEC</v>
          </cell>
          <cell r="D2008" t="str">
            <v>N</v>
          </cell>
          <cell r="E2008" t="str">
            <v>A</v>
          </cell>
          <cell r="F2008" t="str">
            <v>08/20/2000</v>
          </cell>
        </row>
        <row r="2009">
          <cell r="B2009" t="str">
            <v>A2038</v>
          </cell>
          <cell r="C2009" t="str">
            <v>UEC</v>
          </cell>
          <cell r="D2009" t="str">
            <v>N</v>
          </cell>
          <cell r="E2009" t="str">
            <v>A</v>
          </cell>
          <cell r="F2009" t="str">
            <v>08/20/2000</v>
          </cell>
        </row>
        <row r="2010">
          <cell r="B2010" t="str">
            <v>A2039</v>
          </cell>
          <cell r="C2010" t="str">
            <v>UEC</v>
          </cell>
          <cell r="D2010" t="str">
            <v>N</v>
          </cell>
          <cell r="E2010" t="str">
            <v>A</v>
          </cell>
          <cell r="F2010" t="str">
            <v>08/20/2000</v>
          </cell>
        </row>
        <row r="2011">
          <cell r="B2011" t="str">
            <v>A2040</v>
          </cell>
          <cell r="C2011" t="str">
            <v>UEC</v>
          </cell>
          <cell r="D2011" t="str">
            <v>N</v>
          </cell>
          <cell r="E2011" t="str">
            <v>A</v>
          </cell>
          <cell r="F2011" t="str">
            <v>08/20/2000</v>
          </cell>
        </row>
        <row r="2012">
          <cell r="B2012" t="str">
            <v>A2041</v>
          </cell>
          <cell r="C2012" t="str">
            <v>UEC</v>
          </cell>
          <cell r="D2012" t="str">
            <v>N</v>
          </cell>
          <cell r="E2012" t="str">
            <v>A</v>
          </cell>
          <cell r="F2012" t="str">
            <v>08/20/2000</v>
          </cell>
        </row>
        <row r="2013">
          <cell r="B2013" t="str">
            <v>A2042</v>
          </cell>
          <cell r="C2013" t="str">
            <v>UEC</v>
          </cell>
          <cell r="D2013" t="str">
            <v>N</v>
          </cell>
          <cell r="E2013" t="str">
            <v>A</v>
          </cell>
          <cell r="F2013" t="str">
            <v>08/20/2000</v>
          </cell>
        </row>
        <row r="2014">
          <cell r="B2014" t="str">
            <v>A2043</v>
          </cell>
          <cell r="C2014" t="str">
            <v>UEC</v>
          </cell>
          <cell r="D2014" t="str">
            <v>N</v>
          </cell>
          <cell r="E2014" t="str">
            <v>A</v>
          </cell>
          <cell r="F2014" t="str">
            <v>08/20/2000</v>
          </cell>
        </row>
        <row r="2015">
          <cell r="B2015" t="str">
            <v>A2044</v>
          </cell>
          <cell r="C2015" t="str">
            <v>GEN</v>
          </cell>
          <cell r="D2015" t="str">
            <v>N</v>
          </cell>
          <cell r="E2015" t="str">
            <v>A</v>
          </cell>
          <cell r="F2015" t="str">
            <v>08/20/2000</v>
          </cell>
        </row>
        <row r="2016">
          <cell r="B2016" t="str">
            <v>A2045</v>
          </cell>
          <cell r="C2016" t="str">
            <v>GEN</v>
          </cell>
          <cell r="D2016" t="str">
            <v>N</v>
          </cell>
          <cell r="E2016" t="str">
            <v>A</v>
          </cell>
          <cell r="F2016" t="str">
            <v>08/20/2000</v>
          </cell>
        </row>
        <row r="2017">
          <cell r="B2017" t="str">
            <v>A2046</v>
          </cell>
          <cell r="C2017" t="str">
            <v>GEN</v>
          </cell>
          <cell r="D2017" t="str">
            <v>N</v>
          </cell>
          <cell r="E2017" t="str">
            <v>A</v>
          </cell>
          <cell r="F2017" t="str">
            <v>08/20/2000</v>
          </cell>
        </row>
        <row r="2018">
          <cell r="B2018" t="str">
            <v>A2047</v>
          </cell>
          <cell r="C2018" t="str">
            <v>GEN</v>
          </cell>
          <cell r="D2018" t="str">
            <v>N</v>
          </cell>
          <cell r="E2018" t="str">
            <v>A</v>
          </cell>
          <cell r="F2018" t="str">
            <v>08/20/2000</v>
          </cell>
        </row>
        <row r="2019">
          <cell r="B2019" t="str">
            <v>A2048</v>
          </cell>
          <cell r="C2019" t="str">
            <v>GEN</v>
          </cell>
          <cell r="D2019" t="str">
            <v>N</v>
          </cell>
          <cell r="E2019" t="str">
            <v>A</v>
          </cell>
          <cell r="F2019" t="str">
            <v>08/20/2000</v>
          </cell>
        </row>
        <row r="2020">
          <cell r="B2020" t="str">
            <v>A2049</v>
          </cell>
          <cell r="C2020" t="str">
            <v>GEN</v>
          </cell>
          <cell r="D2020" t="str">
            <v>N</v>
          </cell>
          <cell r="E2020" t="str">
            <v>A</v>
          </cell>
          <cell r="F2020" t="str">
            <v>08/20/2000</v>
          </cell>
        </row>
        <row r="2021">
          <cell r="B2021" t="str">
            <v>A2050</v>
          </cell>
          <cell r="C2021" t="str">
            <v>GEN</v>
          </cell>
          <cell r="D2021" t="str">
            <v>N</v>
          </cell>
          <cell r="E2021" t="str">
            <v>A</v>
          </cell>
          <cell r="F2021" t="str">
            <v>08/20/2000</v>
          </cell>
        </row>
        <row r="2022">
          <cell r="B2022" t="str">
            <v>A2051</v>
          </cell>
          <cell r="C2022" t="str">
            <v>GEN</v>
          </cell>
          <cell r="D2022" t="str">
            <v>N</v>
          </cell>
          <cell r="E2022" t="str">
            <v>A</v>
          </cell>
          <cell r="F2022" t="str">
            <v>08/20/2000</v>
          </cell>
        </row>
        <row r="2023">
          <cell r="B2023" t="str">
            <v>A2067</v>
          </cell>
          <cell r="C2023" t="str">
            <v>011A</v>
          </cell>
          <cell r="D2023" t="str">
            <v>Y</v>
          </cell>
          <cell r="E2023" t="str">
            <v>A</v>
          </cell>
          <cell r="F2023" t="str">
            <v>08/22/2000</v>
          </cell>
        </row>
        <row r="2024">
          <cell r="B2024" t="str">
            <v>A2074</v>
          </cell>
          <cell r="C2024" t="str">
            <v>AEC</v>
          </cell>
          <cell r="D2024" t="str">
            <v>Y</v>
          </cell>
          <cell r="E2024" t="str">
            <v>A</v>
          </cell>
          <cell r="F2024" t="str">
            <v>09/01/2000</v>
          </cell>
        </row>
        <row r="2025">
          <cell r="B2025" t="str">
            <v>A2078</v>
          </cell>
          <cell r="C2025"/>
          <cell r="D2025" t="str">
            <v>Y</v>
          </cell>
          <cell r="E2025" t="str">
            <v>A</v>
          </cell>
          <cell r="F2025" t="str">
            <v>09/05/2000</v>
          </cell>
        </row>
        <row r="2026">
          <cell r="B2026" t="str">
            <v>A2079</v>
          </cell>
          <cell r="C2026" t="str">
            <v>002A</v>
          </cell>
          <cell r="D2026" t="str">
            <v>Y</v>
          </cell>
          <cell r="E2026" t="str">
            <v>A</v>
          </cell>
          <cell r="F2026" t="str">
            <v>09/07/2000</v>
          </cell>
        </row>
        <row r="2027">
          <cell r="B2027" t="str">
            <v>A2080</v>
          </cell>
          <cell r="C2027" t="str">
            <v>004A</v>
          </cell>
          <cell r="D2027" t="str">
            <v>Y</v>
          </cell>
          <cell r="E2027" t="str">
            <v>A</v>
          </cell>
          <cell r="F2027" t="str">
            <v>09/05/2000</v>
          </cell>
        </row>
        <row r="2028">
          <cell r="B2028" t="str">
            <v>A2081</v>
          </cell>
          <cell r="C2028" t="str">
            <v>GEN</v>
          </cell>
          <cell r="D2028" t="str">
            <v>Y</v>
          </cell>
          <cell r="E2028" t="str">
            <v>A</v>
          </cell>
          <cell r="F2028" t="str">
            <v>09/06/2000</v>
          </cell>
        </row>
        <row r="2029">
          <cell r="B2029" t="str">
            <v>A2084</v>
          </cell>
          <cell r="C2029" t="str">
            <v>001A</v>
          </cell>
          <cell r="D2029" t="str">
            <v>Y</v>
          </cell>
          <cell r="E2029" t="str">
            <v>A</v>
          </cell>
          <cell r="F2029" t="str">
            <v>09/14/2000</v>
          </cell>
        </row>
        <row r="2030">
          <cell r="B2030" t="str">
            <v>A2085</v>
          </cell>
          <cell r="C2030" t="str">
            <v>001A</v>
          </cell>
          <cell r="D2030" t="str">
            <v>Y</v>
          </cell>
          <cell r="E2030" t="str">
            <v>A</v>
          </cell>
          <cell r="F2030" t="str">
            <v>09/12/2000</v>
          </cell>
        </row>
        <row r="2031">
          <cell r="B2031" t="str">
            <v>A2091</v>
          </cell>
          <cell r="C2031" t="str">
            <v>001A</v>
          </cell>
          <cell r="D2031" t="str">
            <v>N</v>
          </cell>
          <cell r="E2031" t="str">
            <v>I</v>
          </cell>
          <cell r="F2031" t="str">
            <v>09/14/2000</v>
          </cell>
        </row>
        <row r="2032">
          <cell r="B2032" t="str">
            <v>A2092</v>
          </cell>
          <cell r="C2032" t="str">
            <v>001A</v>
          </cell>
          <cell r="D2032" t="str">
            <v>Y</v>
          </cell>
          <cell r="E2032" t="str">
            <v>A</v>
          </cell>
          <cell r="F2032" t="str">
            <v>09/14/2000</v>
          </cell>
        </row>
        <row r="2033">
          <cell r="B2033" t="str">
            <v>A2093</v>
          </cell>
          <cell r="C2033" t="str">
            <v>001G</v>
          </cell>
          <cell r="D2033" t="str">
            <v>Y</v>
          </cell>
          <cell r="E2033" t="str">
            <v>I</v>
          </cell>
          <cell r="F2033" t="str">
            <v>09/19/2000</v>
          </cell>
        </row>
        <row r="2034">
          <cell r="B2034" t="str">
            <v>A2094</v>
          </cell>
          <cell r="C2034" t="str">
            <v>AFS</v>
          </cell>
          <cell r="D2034" t="str">
            <v>N</v>
          </cell>
          <cell r="E2034" t="str">
            <v>I</v>
          </cell>
          <cell r="F2034" t="str">
            <v>01/12/2004</v>
          </cell>
        </row>
        <row r="2035">
          <cell r="B2035" t="str">
            <v>A2096</v>
          </cell>
          <cell r="C2035" t="str">
            <v>AFS</v>
          </cell>
          <cell r="D2035" t="str">
            <v>Y</v>
          </cell>
          <cell r="E2035" t="str">
            <v>A</v>
          </cell>
          <cell r="F2035" t="str">
            <v>09/21/2000</v>
          </cell>
        </row>
        <row r="2036">
          <cell r="B2036" t="str">
            <v>A2104</v>
          </cell>
          <cell r="C2036" t="str">
            <v>004A</v>
          </cell>
          <cell r="D2036" t="str">
            <v>Y</v>
          </cell>
          <cell r="E2036" t="str">
            <v>A</v>
          </cell>
          <cell r="F2036" t="str">
            <v>09/22/2000</v>
          </cell>
        </row>
        <row r="2037">
          <cell r="B2037" t="str">
            <v>A2105</v>
          </cell>
          <cell r="C2037" t="str">
            <v>UEC</v>
          </cell>
          <cell r="D2037" t="str">
            <v>Y</v>
          </cell>
          <cell r="E2037" t="str">
            <v>A</v>
          </cell>
          <cell r="F2037" t="str">
            <v>09/22/2000</v>
          </cell>
        </row>
        <row r="2038">
          <cell r="B2038" t="str">
            <v>A2106</v>
          </cell>
          <cell r="C2038" t="str">
            <v>017C</v>
          </cell>
          <cell r="D2038" t="str">
            <v>Y</v>
          </cell>
          <cell r="E2038" t="str">
            <v>A</v>
          </cell>
          <cell r="F2038" t="str">
            <v>09/22/2000</v>
          </cell>
        </row>
        <row r="2039">
          <cell r="B2039" t="str">
            <v>A2107</v>
          </cell>
          <cell r="C2039" t="str">
            <v>001G</v>
          </cell>
          <cell r="D2039" t="str">
            <v>Y</v>
          </cell>
          <cell r="E2039" t="str">
            <v>A</v>
          </cell>
          <cell r="F2039" t="str">
            <v>09/22/2000</v>
          </cell>
        </row>
        <row r="2040">
          <cell r="B2040" t="str">
            <v>A2108</v>
          </cell>
          <cell r="C2040" t="str">
            <v>GEN</v>
          </cell>
          <cell r="D2040" t="str">
            <v>Y</v>
          </cell>
          <cell r="E2040" t="str">
            <v>A</v>
          </cell>
          <cell r="F2040" t="str">
            <v>09/22/2000</v>
          </cell>
        </row>
        <row r="2041">
          <cell r="B2041" t="str">
            <v>A2109</v>
          </cell>
          <cell r="C2041" t="str">
            <v>UEC</v>
          </cell>
          <cell r="D2041" t="str">
            <v>Y</v>
          </cell>
          <cell r="E2041" t="str">
            <v>A</v>
          </cell>
          <cell r="F2041" t="str">
            <v>09/22/2000</v>
          </cell>
        </row>
        <row r="2042">
          <cell r="B2042" t="str">
            <v>A2111</v>
          </cell>
          <cell r="C2042" t="str">
            <v>002K</v>
          </cell>
          <cell r="D2042" t="str">
            <v>Y</v>
          </cell>
          <cell r="E2042" t="str">
            <v>A</v>
          </cell>
          <cell r="F2042" t="str">
            <v>10/09/2000</v>
          </cell>
        </row>
        <row r="2043">
          <cell r="B2043" t="str">
            <v>A2112</v>
          </cell>
          <cell r="C2043" t="str">
            <v>004C</v>
          </cell>
          <cell r="D2043" t="str">
            <v>Y</v>
          </cell>
          <cell r="E2043" t="str">
            <v>A</v>
          </cell>
          <cell r="F2043" t="str">
            <v>10/06/2000</v>
          </cell>
        </row>
        <row r="2044">
          <cell r="B2044" t="str">
            <v>A2113</v>
          </cell>
          <cell r="C2044" t="str">
            <v>004A</v>
          </cell>
          <cell r="D2044" t="str">
            <v>Y</v>
          </cell>
          <cell r="E2044" t="str">
            <v>A</v>
          </cell>
          <cell r="F2044" t="str">
            <v>10/06/2000</v>
          </cell>
        </row>
        <row r="2045">
          <cell r="B2045" t="str">
            <v>A2114</v>
          </cell>
          <cell r="C2045" t="str">
            <v>004A</v>
          </cell>
          <cell r="D2045" t="str">
            <v>Y</v>
          </cell>
          <cell r="E2045" t="str">
            <v>A</v>
          </cell>
          <cell r="F2045" t="str">
            <v>10/06/2000</v>
          </cell>
        </row>
        <row r="2046">
          <cell r="B2046" t="str">
            <v>A2115</v>
          </cell>
          <cell r="C2046" t="str">
            <v>AFS</v>
          </cell>
          <cell r="D2046" t="str">
            <v>Y</v>
          </cell>
          <cell r="E2046" t="str">
            <v>A</v>
          </cell>
          <cell r="F2046" t="str">
            <v>10/03/2000</v>
          </cell>
        </row>
        <row r="2047">
          <cell r="B2047" t="str">
            <v>A2116</v>
          </cell>
          <cell r="C2047" t="str">
            <v>007A</v>
          </cell>
          <cell r="D2047" t="str">
            <v>Y</v>
          </cell>
          <cell r="E2047" t="str">
            <v>A</v>
          </cell>
          <cell r="F2047" t="str">
            <v>01/17/2001</v>
          </cell>
        </row>
        <row r="2048">
          <cell r="B2048" t="str">
            <v>A2122</v>
          </cell>
          <cell r="C2048"/>
          <cell r="D2048" t="str">
            <v>Y</v>
          </cell>
          <cell r="E2048" t="str">
            <v>A</v>
          </cell>
          <cell r="F2048" t="str">
            <v>10/17/2000</v>
          </cell>
        </row>
        <row r="2049">
          <cell r="B2049" t="str">
            <v>A2124</v>
          </cell>
          <cell r="C2049" t="str">
            <v>007A</v>
          </cell>
          <cell r="D2049" t="str">
            <v>Y</v>
          </cell>
          <cell r="E2049" t="str">
            <v>A</v>
          </cell>
          <cell r="F2049" t="str">
            <v>11/08/2000</v>
          </cell>
        </row>
        <row r="2050">
          <cell r="B2050" t="str">
            <v>A2126</v>
          </cell>
          <cell r="C2050" t="str">
            <v>001G</v>
          </cell>
          <cell r="D2050" t="str">
            <v>Y</v>
          </cell>
          <cell r="E2050" t="str">
            <v>A</v>
          </cell>
          <cell r="F2050" t="str">
            <v>11/30/2000</v>
          </cell>
        </row>
        <row r="2051">
          <cell r="B2051" t="str">
            <v>A2127</v>
          </cell>
          <cell r="C2051" t="str">
            <v>UEC</v>
          </cell>
          <cell r="D2051" t="str">
            <v>N</v>
          </cell>
          <cell r="E2051" t="str">
            <v>A</v>
          </cell>
          <cell r="F2051" t="str">
            <v>12/11/2000</v>
          </cell>
        </row>
        <row r="2052">
          <cell r="B2052" t="str">
            <v>A2128</v>
          </cell>
          <cell r="C2052" t="str">
            <v>UEC</v>
          </cell>
          <cell r="D2052" t="str">
            <v>N</v>
          </cell>
          <cell r="E2052" t="str">
            <v>A</v>
          </cell>
          <cell r="F2052" t="str">
            <v>12/11/2000</v>
          </cell>
        </row>
        <row r="2053">
          <cell r="B2053" t="str">
            <v>A2129</v>
          </cell>
          <cell r="C2053" t="str">
            <v>001G</v>
          </cell>
          <cell r="D2053" t="str">
            <v>N</v>
          </cell>
          <cell r="E2053" t="str">
            <v>I</v>
          </cell>
          <cell r="F2053" t="str">
            <v>12/13/2000</v>
          </cell>
        </row>
        <row r="2054">
          <cell r="B2054" t="str">
            <v>A2130</v>
          </cell>
          <cell r="C2054" t="str">
            <v>AFS</v>
          </cell>
          <cell r="D2054" t="str">
            <v>Y</v>
          </cell>
          <cell r="E2054" t="str">
            <v>A</v>
          </cell>
          <cell r="F2054" t="str">
            <v>12/13/2000</v>
          </cell>
        </row>
        <row r="2055">
          <cell r="B2055" t="str">
            <v>A2132</v>
          </cell>
          <cell r="C2055" t="str">
            <v>AFS</v>
          </cell>
          <cell r="D2055" t="str">
            <v>Y</v>
          </cell>
          <cell r="E2055" t="str">
            <v>A</v>
          </cell>
          <cell r="F2055" t="str">
            <v>01/16/2001</v>
          </cell>
        </row>
        <row r="2056">
          <cell r="B2056" t="str">
            <v>A2133</v>
          </cell>
          <cell r="C2056" t="str">
            <v>GEN</v>
          </cell>
          <cell r="D2056" t="str">
            <v>Y</v>
          </cell>
          <cell r="E2056" t="str">
            <v>A</v>
          </cell>
          <cell r="F2056" t="str">
            <v>01/16/2001</v>
          </cell>
        </row>
        <row r="2057">
          <cell r="B2057" t="str">
            <v>A2134</v>
          </cell>
          <cell r="C2057" t="str">
            <v>IMS</v>
          </cell>
          <cell r="D2057" t="str">
            <v>Y</v>
          </cell>
          <cell r="E2057" t="str">
            <v>A</v>
          </cell>
          <cell r="F2057" t="str">
            <v>02/05/2001</v>
          </cell>
        </row>
        <row r="2058">
          <cell r="B2058" t="str">
            <v>A2135</v>
          </cell>
          <cell r="C2058" t="str">
            <v>001G</v>
          </cell>
          <cell r="D2058" t="str">
            <v>Y</v>
          </cell>
          <cell r="E2058" t="str">
            <v>A</v>
          </cell>
          <cell r="F2058" t="str">
            <v>02/06/2001</v>
          </cell>
        </row>
        <row r="2059">
          <cell r="B2059" t="str">
            <v>A2136</v>
          </cell>
          <cell r="C2059" t="str">
            <v>UEC</v>
          </cell>
          <cell r="D2059" t="str">
            <v>N</v>
          </cell>
          <cell r="E2059" t="str">
            <v>A</v>
          </cell>
          <cell r="F2059" t="str">
            <v>02/07/2001</v>
          </cell>
        </row>
        <row r="2060">
          <cell r="B2060" t="str">
            <v>A2139</v>
          </cell>
          <cell r="C2060" t="str">
            <v>001A</v>
          </cell>
          <cell r="D2060" t="str">
            <v>Y</v>
          </cell>
          <cell r="E2060" t="str">
            <v>A</v>
          </cell>
          <cell r="F2060" t="str">
            <v>02/15/2001</v>
          </cell>
        </row>
        <row r="2061">
          <cell r="B2061" t="str">
            <v>A2140</v>
          </cell>
          <cell r="C2061" t="str">
            <v>004A</v>
          </cell>
          <cell r="D2061" t="str">
            <v>Y</v>
          </cell>
          <cell r="E2061" t="str">
            <v>A</v>
          </cell>
          <cell r="F2061" t="str">
            <v>03/07/2001</v>
          </cell>
        </row>
        <row r="2062">
          <cell r="B2062" t="str">
            <v>A2142</v>
          </cell>
          <cell r="C2062" t="str">
            <v>GEN</v>
          </cell>
          <cell r="D2062" t="str">
            <v>Y</v>
          </cell>
          <cell r="E2062" t="str">
            <v>A</v>
          </cell>
          <cell r="F2062" t="str">
            <v>03/14/2001</v>
          </cell>
        </row>
        <row r="2063">
          <cell r="B2063" t="str">
            <v>A2145</v>
          </cell>
          <cell r="C2063" t="str">
            <v>001A</v>
          </cell>
          <cell r="D2063" t="str">
            <v>Y</v>
          </cell>
          <cell r="E2063" t="str">
            <v>A</v>
          </cell>
          <cell r="F2063" t="str">
            <v>04/11/2001</v>
          </cell>
        </row>
        <row r="2064">
          <cell r="B2064" t="str">
            <v>A2148</v>
          </cell>
          <cell r="C2064" t="str">
            <v>007A</v>
          </cell>
          <cell r="D2064" t="str">
            <v>Y</v>
          </cell>
          <cell r="E2064" t="str">
            <v>A</v>
          </cell>
          <cell r="F2064" t="str">
            <v>05/08/2001</v>
          </cell>
        </row>
        <row r="2065">
          <cell r="B2065" t="str">
            <v>A2149</v>
          </cell>
          <cell r="C2065" t="str">
            <v>GMC</v>
          </cell>
          <cell r="D2065" t="str">
            <v>Y</v>
          </cell>
          <cell r="E2065" t="str">
            <v>A</v>
          </cell>
          <cell r="F2065" t="str">
            <v>05/09/2001</v>
          </cell>
        </row>
        <row r="2066">
          <cell r="B2066" t="str">
            <v>A2150</v>
          </cell>
          <cell r="C2066" t="str">
            <v>GEN</v>
          </cell>
          <cell r="D2066" t="str">
            <v>Y</v>
          </cell>
          <cell r="E2066" t="str">
            <v>A</v>
          </cell>
          <cell r="F2066" t="str">
            <v>06/04/2001</v>
          </cell>
        </row>
        <row r="2067">
          <cell r="B2067" t="str">
            <v>A2151</v>
          </cell>
          <cell r="C2067" t="str">
            <v>UEC</v>
          </cell>
          <cell r="D2067" t="str">
            <v>Y</v>
          </cell>
          <cell r="E2067" t="str">
            <v>A</v>
          </cell>
          <cell r="F2067" t="str">
            <v>06/13/2001</v>
          </cell>
        </row>
        <row r="2068">
          <cell r="B2068" t="str">
            <v>A2152</v>
          </cell>
          <cell r="C2068" t="str">
            <v>002K</v>
          </cell>
          <cell r="D2068" t="str">
            <v>Y</v>
          </cell>
          <cell r="E2068" t="str">
            <v>A</v>
          </cell>
          <cell r="F2068" t="str">
            <v>06/13/2001</v>
          </cell>
        </row>
        <row r="2069">
          <cell r="B2069" t="str">
            <v>A2153</v>
          </cell>
          <cell r="C2069" t="str">
            <v>CIP</v>
          </cell>
          <cell r="D2069" t="str">
            <v>Y</v>
          </cell>
          <cell r="E2069" t="str">
            <v>A</v>
          </cell>
          <cell r="F2069" t="str">
            <v>06/13/2001</v>
          </cell>
        </row>
        <row r="2070">
          <cell r="B2070" t="str">
            <v>A2154</v>
          </cell>
          <cell r="C2070" t="str">
            <v>GEN</v>
          </cell>
          <cell r="D2070" t="str">
            <v>N</v>
          </cell>
          <cell r="E2070" t="str">
            <v>A</v>
          </cell>
          <cell r="F2070" t="str">
            <v>06/13/2001</v>
          </cell>
        </row>
        <row r="2071">
          <cell r="B2071" t="str">
            <v>A2155</v>
          </cell>
          <cell r="C2071" t="str">
            <v>UEC</v>
          </cell>
          <cell r="D2071" t="str">
            <v>N</v>
          </cell>
          <cell r="E2071" t="str">
            <v>A</v>
          </cell>
          <cell r="F2071" t="str">
            <v>06/13/2001</v>
          </cell>
        </row>
        <row r="2072">
          <cell r="B2072" t="str">
            <v>A2156</v>
          </cell>
          <cell r="C2072" t="str">
            <v>AED</v>
          </cell>
          <cell r="D2072" t="str">
            <v>N</v>
          </cell>
          <cell r="E2072" t="str">
            <v>A</v>
          </cell>
          <cell r="F2072" t="str">
            <v>06/13/2001</v>
          </cell>
        </row>
        <row r="2073">
          <cell r="B2073" t="str">
            <v>A2158</v>
          </cell>
          <cell r="C2073" t="str">
            <v>001A</v>
          </cell>
          <cell r="D2073" t="str">
            <v>N</v>
          </cell>
          <cell r="E2073" t="str">
            <v>A</v>
          </cell>
          <cell r="F2073" t="str">
            <v>07/10/2001</v>
          </cell>
        </row>
        <row r="2074">
          <cell r="B2074" t="str">
            <v>A2161</v>
          </cell>
          <cell r="C2074" t="str">
            <v>UEC</v>
          </cell>
          <cell r="D2074" t="str">
            <v>Y</v>
          </cell>
          <cell r="E2074" t="str">
            <v>A</v>
          </cell>
          <cell r="F2074" t="str">
            <v>07/17/2001</v>
          </cell>
        </row>
        <row r="2075">
          <cell r="B2075" t="str">
            <v>A2162</v>
          </cell>
          <cell r="C2075" t="str">
            <v>CIP</v>
          </cell>
          <cell r="D2075" t="str">
            <v>Y</v>
          </cell>
          <cell r="E2075" t="str">
            <v>A</v>
          </cell>
          <cell r="F2075" t="str">
            <v>07/17/2001</v>
          </cell>
        </row>
        <row r="2076">
          <cell r="B2076" t="str">
            <v>A2163</v>
          </cell>
          <cell r="C2076" t="str">
            <v>002K</v>
          </cell>
          <cell r="D2076" t="str">
            <v>Y</v>
          </cell>
          <cell r="E2076" t="str">
            <v>A</v>
          </cell>
          <cell r="F2076" t="str">
            <v>07/17/2001</v>
          </cell>
        </row>
        <row r="2077">
          <cell r="B2077" t="str">
            <v>A2164</v>
          </cell>
          <cell r="C2077" t="str">
            <v>UEC</v>
          </cell>
          <cell r="D2077" t="str">
            <v>Y</v>
          </cell>
          <cell r="E2077" t="str">
            <v>A</v>
          </cell>
          <cell r="F2077" t="str">
            <v>07/18/2001</v>
          </cell>
        </row>
        <row r="2078">
          <cell r="B2078" t="str">
            <v>A2165</v>
          </cell>
          <cell r="C2078" t="str">
            <v>CIP</v>
          </cell>
          <cell r="D2078" t="str">
            <v>Y</v>
          </cell>
          <cell r="E2078" t="str">
            <v>A</v>
          </cell>
          <cell r="F2078" t="str">
            <v>07/18/2001</v>
          </cell>
        </row>
        <row r="2079">
          <cell r="B2079" t="str">
            <v>A2166</v>
          </cell>
          <cell r="C2079" t="str">
            <v>002K</v>
          </cell>
          <cell r="D2079" t="str">
            <v>Y</v>
          </cell>
          <cell r="E2079" t="str">
            <v>A</v>
          </cell>
          <cell r="F2079" t="str">
            <v>07/18/2001</v>
          </cell>
        </row>
        <row r="2080">
          <cell r="B2080" t="str">
            <v>A2167</v>
          </cell>
          <cell r="C2080"/>
          <cell r="D2080" t="str">
            <v>Y</v>
          </cell>
          <cell r="E2080" t="str">
            <v>A</v>
          </cell>
          <cell r="F2080" t="str">
            <v>07/17/2001</v>
          </cell>
        </row>
        <row r="2081">
          <cell r="B2081" t="str">
            <v>A2168</v>
          </cell>
          <cell r="C2081" t="str">
            <v>017B</v>
          </cell>
          <cell r="D2081" t="str">
            <v>Y</v>
          </cell>
          <cell r="E2081" t="str">
            <v>A</v>
          </cell>
          <cell r="F2081" t="str">
            <v>07/18/2001</v>
          </cell>
        </row>
        <row r="2082">
          <cell r="B2082" t="str">
            <v>A2173</v>
          </cell>
          <cell r="C2082" t="str">
            <v>007A</v>
          </cell>
          <cell r="D2082" t="str">
            <v>Y</v>
          </cell>
          <cell r="E2082" t="str">
            <v>I</v>
          </cell>
          <cell r="F2082" t="str">
            <v>07/18/2001</v>
          </cell>
        </row>
        <row r="2083">
          <cell r="B2083" t="str">
            <v>A2174</v>
          </cell>
          <cell r="C2083" t="str">
            <v>UEC</v>
          </cell>
          <cell r="D2083" t="str">
            <v>Y</v>
          </cell>
          <cell r="E2083" t="str">
            <v>A</v>
          </cell>
          <cell r="F2083" t="str">
            <v>07/25/2001</v>
          </cell>
        </row>
        <row r="2084">
          <cell r="B2084" t="str">
            <v>A2175</v>
          </cell>
          <cell r="C2084" t="str">
            <v>CIP</v>
          </cell>
          <cell r="D2084" t="str">
            <v>Y</v>
          </cell>
          <cell r="E2084" t="str">
            <v>A</v>
          </cell>
          <cell r="F2084" t="str">
            <v>07/25/2001</v>
          </cell>
        </row>
        <row r="2085">
          <cell r="B2085" t="str">
            <v>A2176</v>
          </cell>
          <cell r="C2085" t="str">
            <v>002K</v>
          </cell>
          <cell r="D2085" t="str">
            <v>Y</v>
          </cell>
          <cell r="E2085" t="str">
            <v>A</v>
          </cell>
          <cell r="F2085" t="str">
            <v>07/25/2001</v>
          </cell>
        </row>
        <row r="2086">
          <cell r="B2086" t="str">
            <v>A2177</v>
          </cell>
          <cell r="C2086" t="str">
            <v>UEC</v>
          </cell>
          <cell r="D2086" t="str">
            <v>Y</v>
          </cell>
          <cell r="E2086" t="str">
            <v>A</v>
          </cell>
          <cell r="F2086" t="str">
            <v>07/17/2001</v>
          </cell>
        </row>
        <row r="2087">
          <cell r="B2087" t="str">
            <v>A2178</v>
          </cell>
          <cell r="C2087" t="str">
            <v>CIP</v>
          </cell>
          <cell r="D2087" t="str">
            <v>Y</v>
          </cell>
          <cell r="E2087" t="str">
            <v>A</v>
          </cell>
          <cell r="F2087" t="str">
            <v>07/17/2001</v>
          </cell>
        </row>
        <row r="2088">
          <cell r="B2088" t="str">
            <v>A2179</v>
          </cell>
          <cell r="C2088" t="str">
            <v>002K</v>
          </cell>
          <cell r="D2088" t="str">
            <v>Y</v>
          </cell>
          <cell r="E2088" t="str">
            <v>A</v>
          </cell>
          <cell r="F2088" t="str">
            <v>07/17/2001</v>
          </cell>
        </row>
        <row r="2089">
          <cell r="B2089" t="str">
            <v>A2181</v>
          </cell>
          <cell r="C2089" t="str">
            <v>002A</v>
          </cell>
          <cell r="D2089" t="str">
            <v>Y</v>
          </cell>
          <cell r="E2089" t="str">
            <v>A</v>
          </cell>
          <cell r="F2089" t="str">
            <v>07/18/2001</v>
          </cell>
        </row>
        <row r="2090">
          <cell r="B2090" t="str">
            <v>A2184</v>
          </cell>
          <cell r="C2090" t="str">
            <v>004A</v>
          </cell>
          <cell r="D2090" t="str">
            <v>Y</v>
          </cell>
          <cell r="E2090" t="str">
            <v>A</v>
          </cell>
          <cell r="F2090" t="str">
            <v>08/17/2001</v>
          </cell>
        </row>
        <row r="2091">
          <cell r="B2091" t="str">
            <v>A2186</v>
          </cell>
          <cell r="C2091" t="str">
            <v>004H</v>
          </cell>
          <cell r="D2091" t="str">
            <v>N</v>
          </cell>
          <cell r="E2091" t="str">
            <v>A</v>
          </cell>
          <cell r="F2091" t="str">
            <v>08/10/2001</v>
          </cell>
        </row>
        <row r="2092">
          <cell r="B2092" t="str">
            <v>A2187</v>
          </cell>
          <cell r="C2092" t="str">
            <v>004I</v>
          </cell>
          <cell r="D2092" t="str">
            <v>N</v>
          </cell>
          <cell r="E2092" t="str">
            <v>A</v>
          </cell>
          <cell r="F2092" t="str">
            <v>08/10/2001</v>
          </cell>
        </row>
        <row r="2093">
          <cell r="B2093" t="str">
            <v>A2188</v>
          </cell>
          <cell r="C2093" t="str">
            <v>004J</v>
          </cell>
          <cell r="D2093" t="str">
            <v>N</v>
          </cell>
          <cell r="E2093" t="str">
            <v>A</v>
          </cell>
          <cell r="F2093" t="str">
            <v>08/10/2001</v>
          </cell>
        </row>
        <row r="2094">
          <cell r="B2094" t="str">
            <v>A2189</v>
          </cell>
          <cell r="C2094" t="str">
            <v>004M</v>
          </cell>
          <cell r="D2094" t="str">
            <v>N</v>
          </cell>
          <cell r="E2094" t="str">
            <v>A</v>
          </cell>
          <cell r="F2094" t="str">
            <v>08/10/2001</v>
          </cell>
        </row>
        <row r="2095">
          <cell r="B2095" t="str">
            <v>A2190</v>
          </cell>
          <cell r="C2095" t="str">
            <v>UEC</v>
          </cell>
          <cell r="D2095" t="str">
            <v>N</v>
          </cell>
          <cell r="E2095" t="str">
            <v>A</v>
          </cell>
          <cell r="F2095" t="str">
            <v>08/10/2001</v>
          </cell>
        </row>
        <row r="2096">
          <cell r="B2096" t="str">
            <v>A2191</v>
          </cell>
          <cell r="C2096" t="str">
            <v>004K</v>
          </cell>
          <cell r="D2096" t="str">
            <v>N</v>
          </cell>
          <cell r="E2096" t="str">
            <v>A</v>
          </cell>
          <cell r="F2096" t="str">
            <v>08/10/2001</v>
          </cell>
        </row>
        <row r="2097">
          <cell r="B2097" t="str">
            <v>A2192</v>
          </cell>
          <cell r="C2097" t="str">
            <v>004L</v>
          </cell>
          <cell r="D2097" t="str">
            <v>N</v>
          </cell>
          <cell r="E2097" t="str">
            <v>A</v>
          </cell>
          <cell r="F2097" t="str">
            <v>08/10/2001</v>
          </cell>
        </row>
        <row r="2098">
          <cell r="B2098" t="str">
            <v>A2193</v>
          </cell>
          <cell r="C2098" t="str">
            <v>002I</v>
          </cell>
          <cell r="D2098" t="str">
            <v>Y</v>
          </cell>
          <cell r="E2098" t="str">
            <v>A</v>
          </cell>
          <cell r="F2098" t="str">
            <v>08/09/2001</v>
          </cell>
        </row>
        <row r="2099">
          <cell r="B2099" t="str">
            <v>A2194</v>
          </cell>
          <cell r="C2099" t="str">
            <v>002F</v>
          </cell>
          <cell r="D2099" t="str">
            <v>Y</v>
          </cell>
          <cell r="E2099" t="str">
            <v>A</v>
          </cell>
          <cell r="F2099" t="str">
            <v>08/09/2001</v>
          </cell>
        </row>
        <row r="2100">
          <cell r="B2100" t="str">
            <v>A2195</v>
          </cell>
          <cell r="C2100" t="str">
            <v>002G</v>
          </cell>
          <cell r="D2100" t="str">
            <v>Y</v>
          </cell>
          <cell r="E2100" t="str">
            <v>A</v>
          </cell>
          <cell r="F2100" t="str">
            <v>08/09/2001</v>
          </cell>
        </row>
        <row r="2101">
          <cell r="B2101" t="str">
            <v>A2196</v>
          </cell>
          <cell r="C2101" t="str">
            <v>UEC</v>
          </cell>
          <cell r="D2101" t="str">
            <v>Y</v>
          </cell>
          <cell r="E2101" t="str">
            <v>A</v>
          </cell>
          <cell r="F2101" t="str">
            <v>08/09/2001</v>
          </cell>
        </row>
        <row r="2102">
          <cell r="B2102" t="str">
            <v>A2197</v>
          </cell>
          <cell r="C2102" t="str">
            <v>UEC</v>
          </cell>
          <cell r="D2102" t="str">
            <v>Y</v>
          </cell>
          <cell r="E2102" t="str">
            <v>A</v>
          </cell>
          <cell r="F2102" t="str">
            <v>08/09/2001</v>
          </cell>
        </row>
        <row r="2103">
          <cell r="B2103" t="str">
            <v>A2198</v>
          </cell>
          <cell r="C2103" t="str">
            <v>CIP</v>
          </cell>
          <cell r="D2103" t="str">
            <v>Y</v>
          </cell>
          <cell r="E2103" t="str">
            <v>A</v>
          </cell>
          <cell r="F2103" t="str">
            <v>08/09/2001</v>
          </cell>
        </row>
        <row r="2104">
          <cell r="B2104" t="str">
            <v>A2199</v>
          </cell>
          <cell r="C2104" t="str">
            <v>CIP</v>
          </cell>
          <cell r="D2104" t="str">
            <v>Y</v>
          </cell>
          <cell r="E2104" t="str">
            <v>A</v>
          </cell>
          <cell r="F2104" t="str">
            <v>08/09/2001</v>
          </cell>
        </row>
        <row r="2105">
          <cell r="B2105" t="str">
            <v>A2201</v>
          </cell>
          <cell r="C2105" t="str">
            <v>UEC</v>
          </cell>
          <cell r="D2105" t="str">
            <v>N</v>
          </cell>
          <cell r="E2105" t="str">
            <v>A</v>
          </cell>
          <cell r="F2105" t="str">
            <v>08/20/2001</v>
          </cell>
        </row>
        <row r="2106">
          <cell r="B2106" t="str">
            <v>A2202</v>
          </cell>
          <cell r="C2106" t="str">
            <v>CIP</v>
          </cell>
          <cell r="D2106" t="str">
            <v>N</v>
          </cell>
          <cell r="E2106" t="str">
            <v>A</v>
          </cell>
          <cell r="F2106" t="str">
            <v>08/21/2001</v>
          </cell>
        </row>
        <row r="2107">
          <cell r="B2107" t="str">
            <v>A2203</v>
          </cell>
          <cell r="C2107" t="str">
            <v>UEC</v>
          </cell>
          <cell r="D2107" t="str">
            <v>N</v>
          </cell>
          <cell r="E2107" t="str">
            <v>A</v>
          </cell>
          <cell r="F2107" t="str">
            <v>08/21/2001</v>
          </cell>
        </row>
        <row r="2108">
          <cell r="B2108" t="str">
            <v>A2206</v>
          </cell>
          <cell r="C2108" t="str">
            <v>GEN</v>
          </cell>
          <cell r="D2108" t="str">
            <v>N</v>
          </cell>
          <cell r="E2108" t="str">
            <v>A</v>
          </cell>
          <cell r="F2108" t="str">
            <v>08/24/2001</v>
          </cell>
        </row>
        <row r="2109">
          <cell r="B2109" t="str">
            <v>A2209</v>
          </cell>
          <cell r="C2109"/>
          <cell r="D2109" t="str">
            <v>Y</v>
          </cell>
          <cell r="E2109" t="str">
            <v>A</v>
          </cell>
          <cell r="F2109" t="str">
            <v>08/30/2001</v>
          </cell>
        </row>
        <row r="2110">
          <cell r="B2110" t="str">
            <v>A2216</v>
          </cell>
          <cell r="C2110" t="str">
            <v>UEC</v>
          </cell>
          <cell r="D2110" t="str">
            <v>Y</v>
          </cell>
          <cell r="E2110" t="str">
            <v>A</v>
          </cell>
          <cell r="F2110" t="str">
            <v>10/23/2001</v>
          </cell>
        </row>
        <row r="2111">
          <cell r="B2111" t="str">
            <v>A2217</v>
          </cell>
          <cell r="C2111" t="str">
            <v>CIP</v>
          </cell>
          <cell r="D2111" t="str">
            <v>Y</v>
          </cell>
          <cell r="E2111" t="str">
            <v>A</v>
          </cell>
          <cell r="F2111" t="str">
            <v>10/23/2001</v>
          </cell>
        </row>
        <row r="2112">
          <cell r="B2112" t="str">
            <v>A2220</v>
          </cell>
          <cell r="C2112" t="str">
            <v>UEC</v>
          </cell>
          <cell r="D2112" t="str">
            <v>Y</v>
          </cell>
          <cell r="E2112" t="str">
            <v>A</v>
          </cell>
          <cell r="F2112" t="str">
            <v>12/04/2001</v>
          </cell>
        </row>
        <row r="2113">
          <cell r="B2113" t="str">
            <v>A2223</v>
          </cell>
          <cell r="C2113" t="str">
            <v>CIC</v>
          </cell>
          <cell r="D2113" t="str">
            <v>N</v>
          </cell>
          <cell r="E2113" t="str">
            <v>A</v>
          </cell>
          <cell r="F2113" t="str">
            <v>01/06/2002</v>
          </cell>
        </row>
        <row r="2114">
          <cell r="B2114" t="str">
            <v>A2224</v>
          </cell>
          <cell r="C2114" t="str">
            <v>001A</v>
          </cell>
          <cell r="D2114" t="str">
            <v>Y</v>
          </cell>
          <cell r="E2114" t="str">
            <v>A</v>
          </cell>
          <cell r="F2114" t="str">
            <v>12/13/2001</v>
          </cell>
        </row>
        <row r="2115">
          <cell r="B2115" t="str">
            <v>A2225</v>
          </cell>
          <cell r="C2115" t="str">
            <v>UEC</v>
          </cell>
          <cell r="D2115" t="str">
            <v>Y</v>
          </cell>
          <cell r="E2115" t="str">
            <v>A</v>
          </cell>
          <cell r="F2115" t="str">
            <v>01/14/2002</v>
          </cell>
        </row>
        <row r="2116">
          <cell r="B2116" t="str">
            <v>A2226</v>
          </cell>
          <cell r="C2116" t="str">
            <v>CIP</v>
          </cell>
          <cell r="D2116" t="str">
            <v>Y</v>
          </cell>
          <cell r="E2116" t="str">
            <v>A</v>
          </cell>
          <cell r="F2116" t="str">
            <v>01/24/2002</v>
          </cell>
        </row>
        <row r="2117">
          <cell r="B2117" t="str">
            <v>A2227</v>
          </cell>
          <cell r="C2117" t="str">
            <v>AMC</v>
          </cell>
          <cell r="D2117" t="str">
            <v>Y</v>
          </cell>
          <cell r="E2117" t="str">
            <v>A</v>
          </cell>
          <cell r="F2117" t="str">
            <v>01/24/2002</v>
          </cell>
        </row>
        <row r="2118">
          <cell r="B2118" t="str">
            <v>A2228</v>
          </cell>
          <cell r="C2118" t="str">
            <v>IMS</v>
          </cell>
          <cell r="D2118" t="str">
            <v>Y</v>
          </cell>
          <cell r="E2118" t="str">
            <v>A</v>
          </cell>
          <cell r="F2118" t="str">
            <v>12/18/2001</v>
          </cell>
        </row>
        <row r="2119">
          <cell r="B2119" t="str">
            <v>A2230</v>
          </cell>
          <cell r="C2119" t="str">
            <v>GMC</v>
          </cell>
          <cell r="D2119" t="str">
            <v>Y</v>
          </cell>
          <cell r="E2119" t="str">
            <v>A</v>
          </cell>
          <cell r="F2119" t="str">
            <v>12/27/2001</v>
          </cell>
        </row>
        <row r="2120">
          <cell r="B2120" t="str">
            <v>A2231</v>
          </cell>
          <cell r="C2120" t="str">
            <v>GMC</v>
          </cell>
          <cell r="D2120" t="str">
            <v>Y</v>
          </cell>
          <cell r="E2120" t="str">
            <v>A</v>
          </cell>
          <cell r="F2120" t="str">
            <v>01/02/2002</v>
          </cell>
        </row>
        <row r="2121">
          <cell r="B2121" t="str">
            <v>A2232</v>
          </cell>
          <cell r="C2121" t="str">
            <v>GMC</v>
          </cell>
          <cell r="D2121" t="str">
            <v>Y</v>
          </cell>
          <cell r="E2121" t="str">
            <v>A</v>
          </cell>
          <cell r="F2121" t="str">
            <v>01/02/2002</v>
          </cell>
        </row>
        <row r="2122">
          <cell r="B2122" t="str">
            <v>A2233</v>
          </cell>
          <cell r="C2122" t="str">
            <v>GMC</v>
          </cell>
          <cell r="D2122" t="str">
            <v>Y</v>
          </cell>
          <cell r="E2122" t="str">
            <v>A</v>
          </cell>
          <cell r="F2122" t="str">
            <v>01/02/2002</v>
          </cell>
        </row>
        <row r="2123">
          <cell r="B2123" t="str">
            <v>A2234</v>
          </cell>
          <cell r="C2123" t="str">
            <v>GMC</v>
          </cell>
          <cell r="D2123" t="str">
            <v>Y</v>
          </cell>
          <cell r="E2123" t="str">
            <v>A</v>
          </cell>
          <cell r="F2123" t="str">
            <v>01/02/2002</v>
          </cell>
        </row>
        <row r="2124">
          <cell r="B2124" t="str">
            <v>A2235</v>
          </cell>
          <cell r="C2124" t="str">
            <v>GMC</v>
          </cell>
          <cell r="D2124" t="str">
            <v>Y</v>
          </cell>
          <cell r="E2124" t="str">
            <v>A</v>
          </cell>
          <cell r="F2124" t="str">
            <v>01/02/2002</v>
          </cell>
        </row>
        <row r="2125">
          <cell r="B2125" t="str">
            <v>A2236</v>
          </cell>
          <cell r="C2125" t="str">
            <v>GMC</v>
          </cell>
          <cell r="D2125" t="str">
            <v>Y</v>
          </cell>
          <cell r="E2125" t="str">
            <v>A</v>
          </cell>
          <cell r="F2125" t="str">
            <v>01/02/2002</v>
          </cell>
        </row>
        <row r="2126">
          <cell r="B2126" t="str">
            <v>A2237</v>
          </cell>
          <cell r="C2126" t="str">
            <v>GMC</v>
          </cell>
          <cell r="D2126" t="str">
            <v>Y</v>
          </cell>
          <cell r="E2126" t="str">
            <v>A</v>
          </cell>
          <cell r="F2126" t="str">
            <v>01/02/2002</v>
          </cell>
        </row>
        <row r="2127">
          <cell r="B2127" t="str">
            <v>A2238</v>
          </cell>
          <cell r="C2127" t="str">
            <v>GMC</v>
          </cell>
          <cell r="D2127" t="str">
            <v>Y</v>
          </cell>
          <cell r="E2127" t="str">
            <v>A</v>
          </cell>
          <cell r="F2127" t="str">
            <v>01/02/2002</v>
          </cell>
        </row>
        <row r="2128">
          <cell r="B2128" t="str">
            <v>A2239</v>
          </cell>
          <cell r="C2128" t="str">
            <v>IHC</v>
          </cell>
          <cell r="D2128" t="str">
            <v>Y</v>
          </cell>
          <cell r="E2128" t="str">
            <v>A</v>
          </cell>
          <cell r="F2128" t="str">
            <v>01/02/2002</v>
          </cell>
        </row>
        <row r="2129">
          <cell r="B2129" t="str">
            <v>A2240</v>
          </cell>
          <cell r="C2129" t="str">
            <v>IHC</v>
          </cell>
          <cell r="D2129" t="str">
            <v>Y</v>
          </cell>
          <cell r="E2129" t="str">
            <v>A</v>
          </cell>
          <cell r="F2129" t="str">
            <v>01/02/2002</v>
          </cell>
        </row>
        <row r="2130">
          <cell r="B2130" t="str">
            <v>A2241</v>
          </cell>
          <cell r="C2130" t="str">
            <v>IHC</v>
          </cell>
          <cell r="D2130" t="str">
            <v>Y</v>
          </cell>
          <cell r="E2130" t="str">
            <v>A</v>
          </cell>
          <cell r="F2130" t="str">
            <v>01/02/2002</v>
          </cell>
        </row>
        <row r="2131">
          <cell r="B2131" t="str">
            <v>A2242</v>
          </cell>
          <cell r="C2131" t="str">
            <v>AED</v>
          </cell>
          <cell r="D2131" t="str">
            <v>Y</v>
          </cell>
          <cell r="E2131" t="str">
            <v>A</v>
          </cell>
          <cell r="F2131" t="str">
            <v>01/02/2002</v>
          </cell>
        </row>
        <row r="2132">
          <cell r="B2132" t="str">
            <v>A2243</v>
          </cell>
          <cell r="C2132" t="str">
            <v>GMC</v>
          </cell>
          <cell r="D2132" t="str">
            <v>Y</v>
          </cell>
          <cell r="E2132" t="str">
            <v>A</v>
          </cell>
          <cell r="F2132" t="str">
            <v>01/02/2002</v>
          </cell>
        </row>
        <row r="2133">
          <cell r="B2133" t="str">
            <v>A2244</v>
          </cell>
          <cell r="C2133" t="str">
            <v>GMC</v>
          </cell>
          <cell r="D2133" t="str">
            <v>Y</v>
          </cell>
          <cell r="E2133" t="str">
            <v>A</v>
          </cell>
          <cell r="F2133" t="str">
            <v>01/02/2002</v>
          </cell>
        </row>
        <row r="2134">
          <cell r="B2134" t="str">
            <v>A2245</v>
          </cell>
          <cell r="C2134" t="str">
            <v>GMC</v>
          </cell>
          <cell r="D2134" t="str">
            <v>Y</v>
          </cell>
          <cell r="E2134" t="str">
            <v>A</v>
          </cell>
          <cell r="F2134" t="str">
            <v>01/02/2002</v>
          </cell>
        </row>
        <row r="2135">
          <cell r="B2135" t="str">
            <v>A2246</v>
          </cell>
          <cell r="C2135" t="str">
            <v>AME</v>
          </cell>
          <cell r="D2135" t="str">
            <v>Y</v>
          </cell>
          <cell r="E2135" t="str">
            <v>A</v>
          </cell>
          <cell r="F2135" t="str">
            <v>01/02/2002</v>
          </cell>
        </row>
        <row r="2136">
          <cell r="B2136" t="str">
            <v>A2247</v>
          </cell>
          <cell r="C2136" t="str">
            <v>AME</v>
          </cell>
          <cell r="D2136" t="str">
            <v>Y</v>
          </cell>
          <cell r="E2136" t="str">
            <v>A</v>
          </cell>
          <cell r="F2136" t="str">
            <v>01/02/2002</v>
          </cell>
        </row>
        <row r="2137">
          <cell r="B2137" t="str">
            <v>A2248</v>
          </cell>
          <cell r="C2137" t="str">
            <v>AME</v>
          </cell>
          <cell r="D2137" t="str">
            <v>Y</v>
          </cell>
          <cell r="E2137" t="str">
            <v>A</v>
          </cell>
          <cell r="F2137" t="str">
            <v>01/02/2002</v>
          </cell>
        </row>
        <row r="2138">
          <cell r="B2138" t="str">
            <v>A2249</v>
          </cell>
          <cell r="C2138" t="str">
            <v>AME</v>
          </cell>
          <cell r="D2138" t="str">
            <v>Y</v>
          </cell>
          <cell r="E2138" t="str">
            <v>A</v>
          </cell>
          <cell r="F2138" t="str">
            <v>01/02/2002</v>
          </cell>
        </row>
        <row r="2139">
          <cell r="B2139" t="str">
            <v>A2250</v>
          </cell>
          <cell r="C2139" t="str">
            <v>AME</v>
          </cell>
          <cell r="D2139" t="str">
            <v>Y</v>
          </cell>
          <cell r="E2139" t="str">
            <v>A</v>
          </cell>
          <cell r="F2139" t="str">
            <v>01/02/2002</v>
          </cell>
        </row>
        <row r="2140">
          <cell r="B2140" t="str">
            <v>A2251</v>
          </cell>
          <cell r="C2140" t="str">
            <v>AFS</v>
          </cell>
          <cell r="D2140" t="str">
            <v>Y</v>
          </cell>
          <cell r="E2140" t="str">
            <v>A</v>
          </cell>
          <cell r="F2140" t="str">
            <v>01/02/2002</v>
          </cell>
        </row>
        <row r="2141">
          <cell r="B2141" t="str">
            <v>A2257</v>
          </cell>
          <cell r="C2141" t="str">
            <v>004A</v>
          </cell>
          <cell r="D2141" t="str">
            <v>Y</v>
          </cell>
          <cell r="E2141" t="str">
            <v>A</v>
          </cell>
          <cell r="F2141" t="str">
            <v>01/18/2002</v>
          </cell>
        </row>
        <row r="2142">
          <cell r="B2142" t="str">
            <v>A2258</v>
          </cell>
          <cell r="C2142" t="str">
            <v>AME</v>
          </cell>
          <cell r="D2142" t="str">
            <v>Y</v>
          </cell>
          <cell r="E2142" t="str">
            <v>A</v>
          </cell>
          <cell r="F2142" t="str">
            <v>01/24/2002</v>
          </cell>
        </row>
        <row r="2143">
          <cell r="B2143" t="str">
            <v>A2263</v>
          </cell>
          <cell r="C2143" t="str">
            <v>GEN</v>
          </cell>
          <cell r="D2143" t="str">
            <v>Y</v>
          </cell>
          <cell r="E2143" t="str">
            <v>A</v>
          </cell>
          <cell r="F2143" t="str">
            <v>02/06/2002</v>
          </cell>
        </row>
        <row r="2144">
          <cell r="B2144" t="str">
            <v>A2264</v>
          </cell>
          <cell r="C2144" t="str">
            <v>UEC</v>
          </cell>
          <cell r="D2144" t="str">
            <v>N</v>
          </cell>
          <cell r="E2144" t="str">
            <v>A</v>
          </cell>
          <cell r="F2144" t="str">
            <v>02/05/2002</v>
          </cell>
        </row>
        <row r="2145">
          <cell r="B2145" t="str">
            <v>A2265</v>
          </cell>
          <cell r="C2145" t="str">
            <v>002L</v>
          </cell>
          <cell r="D2145" t="str">
            <v>N</v>
          </cell>
          <cell r="E2145" t="str">
            <v>A</v>
          </cell>
          <cell r="F2145" t="str">
            <v>02/05/2002</v>
          </cell>
        </row>
        <row r="2146">
          <cell r="B2146" t="str">
            <v>A2266</v>
          </cell>
          <cell r="C2146" t="str">
            <v>GEN</v>
          </cell>
          <cell r="D2146" t="str">
            <v>Y</v>
          </cell>
          <cell r="E2146" t="str">
            <v>A</v>
          </cell>
          <cell r="F2146" t="str">
            <v>02/12/2002</v>
          </cell>
        </row>
        <row r="2147">
          <cell r="B2147" t="str">
            <v>A2268</v>
          </cell>
          <cell r="C2147" t="str">
            <v>GMC</v>
          </cell>
          <cell r="D2147" t="str">
            <v>Y</v>
          </cell>
          <cell r="E2147" t="str">
            <v>A</v>
          </cell>
          <cell r="F2147" t="str">
            <v>02/13/2002</v>
          </cell>
        </row>
        <row r="2148">
          <cell r="B2148" t="str">
            <v>A2269</v>
          </cell>
          <cell r="C2148" t="str">
            <v>AFS</v>
          </cell>
          <cell r="D2148" t="str">
            <v>Y</v>
          </cell>
          <cell r="E2148" t="str">
            <v>A</v>
          </cell>
          <cell r="F2148" t="str">
            <v>02/13/2002</v>
          </cell>
        </row>
        <row r="2149">
          <cell r="B2149" t="str">
            <v>A2271</v>
          </cell>
          <cell r="C2149" t="str">
            <v>010A</v>
          </cell>
          <cell r="D2149" t="str">
            <v>Y</v>
          </cell>
          <cell r="E2149" t="str">
            <v>A</v>
          </cell>
          <cell r="F2149" t="str">
            <v>02/20/2002</v>
          </cell>
        </row>
        <row r="2150">
          <cell r="B2150" t="str">
            <v>A2272</v>
          </cell>
          <cell r="C2150" t="str">
            <v>001A</v>
          </cell>
          <cell r="D2150" t="str">
            <v>Y</v>
          </cell>
          <cell r="E2150" t="str">
            <v>I</v>
          </cell>
          <cell r="F2150" t="str">
            <v>03/08/2002</v>
          </cell>
        </row>
        <row r="2151">
          <cell r="B2151" t="str">
            <v>A2274</v>
          </cell>
          <cell r="C2151" t="str">
            <v>001A</v>
          </cell>
          <cell r="D2151" t="str">
            <v>Y</v>
          </cell>
          <cell r="E2151" t="str">
            <v>A</v>
          </cell>
          <cell r="F2151" t="str">
            <v>03/20/2002</v>
          </cell>
        </row>
        <row r="2152">
          <cell r="B2152" t="str">
            <v>A2275</v>
          </cell>
          <cell r="C2152" t="str">
            <v>002A</v>
          </cell>
          <cell r="D2152" t="str">
            <v>Y</v>
          </cell>
          <cell r="E2152" t="str">
            <v>A</v>
          </cell>
          <cell r="F2152" t="str">
            <v>03/20/2002</v>
          </cell>
        </row>
        <row r="2153">
          <cell r="B2153" t="str">
            <v>A2276</v>
          </cell>
          <cell r="C2153" t="str">
            <v>001A</v>
          </cell>
          <cell r="D2153" t="str">
            <v>Y</v>
          </cell>
          <cell r="E2153" t="str">
            <v>A</v>
          </cell>
          <cell r="F2153" t="str">
            <v>03/20/2002</v>
          </cell>
        </row>
        <row r="2154">
          <cell r="B2154" t="str">
            <v>A2278</v>
          </cell>
          <cell r="C2154" t="str">
            <v>AFS</v>
          </cell>
          <cell r="D2154" t="str">
            <v>Y</v>
          </cell>
          <cell r="E2154" t="str">
            <v>A</v>
          </cell>
          <cell r="F2154" t="str">
            <v>05/07/2002</v>
          </cell>
        </row>
        <row r="2155">
          <cell r="B2155" t="str">
            <v>A2280</v>
          </cell>
          <cell r="C2155" t="str">
            <v>AMC</v>
          </cell>
          <cell r="D2155" t="str">
            <v>Y</v>
          </cell>
          <cell r="E2155" t="str">
            <v>A</v>
          </cell>
          <cell r="F2155" t="str">
            <v>05/07/2002</v>
          </cell>
        </row>
        <row r="2156">
          <cell r="B2156" t="str">
            <v>A2282</v>
          </cell>
          <cell r="C2156" t="str">
            <v>IMS</v>
          </cell>
          <cell r="D2156" t="str">
            <v>Y</v>
          </cell>
          <cell r="E2156" t="str">
            <v>A</v>
          </cell>
          <cell r="F2156" t="str">
            <v>05/10/2002</v>
          </cell>
        </row>
        <row r="2157">
          <cell r="B2157" t="str">
            <v>A2284</v>
          </cell>
          <cell r="C2157" t="str">
            <v>GEN</v>
          </cell>
          <cell r="D2157" t="str">
            <v>Y</v>
          </cell>
          <cell r="E2157" t="str">
            <v>A</v>
          </cell>
          <cell r="F2157" t="str">
            <v>05/09/2002</v>
          </cell>
        </row>
        <row r="2158">
          <cell r="B2158" t="str">
            <v>A2285</v>
          </cell>
          <cell r="C2158" t="str">
            <v>GEN</v>
          </cell>
          <cell r="D2158" t="str">
            <v>Y</v>
          </cell>
          <cell r="E2158" t="str">
            <v>A</v>
          </cell>
          <cell r="F2158" t="str">
            <v>05/14/2002</v>
          </cell>
        </row>
        <row r="2159">
          <cell r="B2159" t="str">
            <v>A2286</v>
          </cell>
          <cell r="C2159" t="str">
            <v>AFS</v>
          </cell>
          <cell r="D2159" t="str">
            <v>Y</v>
          </cell>
          <cell r="E2159" t="str">
            <v>A</v>
          </cell>
          <cell r="F2159" t="str">
            <v>05/14/2002</v>
          </cell>
        </row>
        <row r="2160">
          <cell r="B2160" t="str">
            <v>A2287</v>
          </cell>
          <cell r="C2160" t="str">
            <v>GMC</v>
          </cell>
          <cell r="D2160" t="str">
            <v>Y</v>
          </cell>
          <cell r="E2160" t="str">
            <v>A</v>
          </cell>
          <cell r="F2160" t="str">
            <v>05/17/2002</v>
          </cell>
        </row>
        <row r="2161">
          <cell r="B2161" t="str">
            <v>A2288</v>
          </cell>
          <cell r="C2161" t="str">
            <v>GEN</v>
          </cell>
          <cell r="D2161" t="str">
            <v>Y</v>
          </cell>
          <cell r="E2161" t="str">
            <v>A</v>
          </cell>
          <cell r="F2161" t="str">
            <v>05/24/2002</v>
          </cell>
        </row>
        <row r="2162">
          <cell r="B2162" t="str">
            <v>A2289</v>
          </cell>
          <cell r="C2162" t="str">
            <v>CIP</v>
          </cell>
          <cell r="D2162" t="str">
            <v>Y</v>
          </cell>
          <cell r="E2162" t="str">
            <v>A</v>
          </cell>
          <cell r="F2162" t="str">
            <v>05/24/2002</v>
          </cell>
        </row>
        <row r="2163">
          <cell r="B2163" t="str">
            <v>A2290</v>
          </cell>
          <cell r="C2163" t="str">
            <v>CIP</v>
          </cell>
          <cell r="D2163" t="str">
            <v>Y</v>
          </cell>
          <cell r="E2163" t="str">
            <v>A</v>
          </cell>
          <cell r="F2163" t="str">
            <v>05/31/2002</v>
          </cell>
        </row>
        <row r="2164">
          <cell r="B2164" t="str">
            <v>A2291</v>
          </cell>
          <cell r="C2164" t="str">
            <v>UEC</v>
          </cell>
          <cell r="D2164" t="str">
            <v>Y</v>
          </cell>
          <cell r="E2164" t="str">
            <v>A</v>
          </cell>
          <cell r="F2164" t="str">
            <v>05/31/2002</v>
          </cell>
        </row>
        <row r="2165">
          <cell r="B2165" t="str">
            <v>A2292</v>
          </cell>
          <cell r="C2165" t="str">
            <v>001D</v>
          </cell>
          <cell r="D2165" t="str">
            <v>Y</v>
          </cell>
          <cell r="E2165" t="str">
            <v>A</v>
          </cell>
          <cell r="F2165" t="str">
            <v>05/31/2002</v>
          </cell>
        </row>
        <row r="2166">
          <cell r="B2166" t="str">
            <v>A2293</v>
          </cell>
          <cell r="C2166" t="str">
            <v>UEC</v>
          </cell>
          <cell r="D2166" t="str">
            <v>Y</v>
          </cell>
          <cell r="E2166" t="str">
            <v>A</v>
          </cell>
          <cell r="F2166" t="str">
            <v>06/10/2002</v>
          </cell>
        </row>
        <row r="2167">
          <cell r="B2167" t="str">
            <v>A2294</v>
          </cell>
          <cell r="C2167" t="str">
            <v>UEC</v>
          </cell>
          <cell r="D2167" t="str">
            <v>Y</v>
          </cell>
          <cell r="E2167" t="str">
            <v>A</v>
          </cell>
          <cell r="F2167" t="str">
            <v>06/11/2002</v>
          </cell>
        </row>
        <row r="2168">
          <cell r="B2168" t="str">
            <v>A2295</v>
          </cell>
          <cell r="C2168" t="str">
            <v>AFS</v>
          </cell>
          <cell r="D2168" t="str">
            <v>N</v>
          </cell>
          <cell r="E2168" t="str">
            <v>A</v>
          </cell>
          <cell r="F2168" t="str">
            <v>06/17/2002</v>
          </cell>
        </row>
        <row r="2169">
          <cell r="B2169" t="str">
            <v>A2296</v>
          </cell>
          <cell r="C2169" t="str">
            <v>002L</v>
          </cell>
          <cell r="D2169" t="str">
            <v>Y</v>
          </cell>
          <cell r="E2169" t="str">
            <v>A</v>
          </cell>
          <cell r="F2169" t="str">
            <v>06/26/2002</v>
          </cell>
        </row>
        <row r="2170">
          <cell r="B2170" t="str">
            <v>A2297</v>
          </cell>
          <cell r="C2170" t="str">
            <v>010A</v>
          </cell>
          <cell r="D2170" t="str">
            <v>Y</v>
          </cell>
          <cell r="E2170" t="str">
            <v>A</v>
          </cell>
          <cell r="F2170" t="str">
            <v>06/26/2002</v>
          </cell>
        </row>
        <row r="2171">
          <cell r="B2171" t="str">
            <v>A2298</v>
          </cell>
          <cell r="C2171" t="str">
            <v>AFS</v>
          </cell>
          <cell r="D2171" t="str">
            <v>Y</v>
          </cell>
          <cell r="E2171" t="str">
            <v>A</v>
          </cell>
          <cell r="F2171" t="str">
            <v>06/27/2002</v>
          </cell>
        </row>
        <row r="2172">
          <cell r="B2172" t="str">
            <v>A2299</v>
          </cell>
          <cell r="C2172" t="str">
            <v>AMC</v>
          </cell>
          <cell r="D2172" t="str">
            <v>Y</v>
          </cell>
          <cell r="E2172" t="str">
            <v>A</v>
          </cell>
          <cell r="F2172" t="str">
            <v>06/27/2002</v>
          </cell>
        </row>
        <row r="2173">
          <cell r="B2173" t="str">
            <v>A2300</v>
          </cell>
          <cell r="C2173" t="str">
            <v>002L</v>
          </cell>
          <cell r="D2173" t="str">
            <v>Y</v>
          </cell>
          <cell r="E2173" t="str">
            <v>A</v>
          </cell>
          <cell r="F2173" t="str">
            <v>07/01/2002</v>
          </cell>
        </row>
        <row r="2174">
          <cell r="B2174" t="str">
            <v>A2301</v>
          </cell>
          <cell r="C2174"/>
          <cell r="D2174" t="str">
            <v>Y</v>
          </cell>
          <cell r="E2174" t="str">
            <v>A</v>
          </cell>
          <cell r="F2174" t="str">
            <v>07/09/2002</v>
          </cell>
        </row>
        <row r="2175">
          <cell r="B2175" t="str">
            <v>A2302</v>
          </cell>
          <cell r="C2175"/>
          <cell r="D2175" t="str">
            <v>Y</v>
          </cell>
          <cell r="E2175" t="str">
            <v>A</v>
          </cell>
          <cell r="F2175" t="str">
            <v>07/11/2002</v>
          </cell>
        </row>
        <row r="2176">
          <cell r="B2176" t="str">
            <v>A2303</v>
          </cell>
          <cell r="C2176" t="str">
            <v>CIP</v>
          </cell>
          <cell r="D2176" t="str">
            <v>Y</v>
          </cell>
          <cell r="E2176" t="str">
            <v>A</v>
          </cell>
          <cell r="F2176" t="str">
            <v>07/11/2002</v>
          </cell>
        </row>
        <row r="2177">
          <cell r="B2177" t="str">
            <v>A2304</v>
          </cell>
          <cell r="C2177" t="str">
            <v>001A</v>
          </cell>
          <cell r="D2177" t="str">
            <v>Y</v>
          </cell>
          <cell r="E2177" t="str">
            <v>A</v>
          </cell>
          <cell r="F2177" t="str">
            <v>07/19/2002</v>
          </cell>
        </row>
        <row r="2178">
          <cell r="B2178" t="str">
            <v>A2305</v>
          </cell>
          <cell r="C2178" t="str">
            <v>GEN</v>
          </cell>
          <cell r="D2178" t="str">
            <v>N</v>
          </cell>
          <cell r="E2178" t="str">
            <v>A</v>
          </cell>
          <cell r="F2178" t="str">
            <v>07/30/2002</v>
          </cell>
        </row>
        <row r="2179">
          <cell r="B2179" t="str">
            <v>A2306</v>
          </cell>
          <cell r="C2179" t="str">
            <v>UEC</v>
          </cell>
          <cell r="D2179" t="str">
            <v>N</v>
          </cell>
          <cell r="E2179" t="str">
            <v>A</v>
          </cell>
          <cell r="F2179" t="str">
            <v>07/30/2002</v>
          </cell>
        </row>
        <row r="2180">
          <cell r="B2180" t="str">
            <v>A2307</v>
          </cell>
          <cell r="C2180" t="str">
            <v>002L</v>
          </cell>
          <cell r="D2180" t="str">
            <v>Y</v>
          </cell>
          <cell r="E2180" t="str">
            <v>A</v>
          </cell>
          <cell r="F2180" t="str">
            <v>08/06/2002</v>
          </cell>
        </row>
        <row r="2181">
          <cell r="B2181" t="str">
            <v>A2308</v>
          </cell>
          <cell r="C2181" t="str">
            <v>001A</v>
          </cell>
          <cell r="D2181" t="str">
            <v>Y</v>
          </cell>
          <cell r="E2181" t="str">
            <v>A</v>
          </cell>
          <cell r="F2181" t="str">
            <v>08/09/2002</v>
          </cell>
        </row>
        <row r="2182">
          <cell r="B2182" t="str">
            <v>A2309</v>
          </cell>
          <cell r="C2182" t="str">
            <v>004A</v>
          </cell>
          <cell r="D2182" t="str">
            <v>Y</v>
          </cell>
          <cell r="E2182" t="str">
            <v>A</v>
          </cell>
          <cell r="F2182" t="str">
            <v>08/13/2002</v>
          </cell>
        </row>
        <row r="2183">
          <cell r="B2183" t="str">
            <v>A2310</v>
          </cell>
          <cell r="C2183" t="str">
            <v>CIC</v>
          </cell>
          <cell r="D2183" t="str">
            <v>N</v>
          </cell>
          <cell r="E2183" t="str">
            <v>I</v>
          </cell>
          <cell r="F2183" t="str">
            <v>08/16/2002</v>
          </cell>
        </row>
        <row r="2184">
          <cell r="B2184" t="str">
            <v>A2312</v>
          </cell>
          <cell r="C2184" t="str">
            <v>010A</v>
          </cell>
          <cell r="D2184" t="str">
            <v>Y</v>
          </cell>
          <cell r="E2184" t="str">
            <v>A</v>
          </cell>
          <cell r="F2184" t="str">
            <v>08/16/2002</v>
          </cell>
        </row>
        <row r="2185">
          <cell r="B2185" t="str">
            <v>A2316</v>
          </cell>
          <cell r="C2185" t="str">
            <v>IHC</v>
          </cell>
          <cell r="D2185" t="str">
            <v>Y</v>
          </cell>
          <cell r="E2185" t="str">
            <v>A</v>
          </cell>
          <cell r="F2185" t="str">
            <v>08/27/2002</v>
          </cell>
        </row>
        <row r="2186">
          <cell r="B2186" t="str">
            <v>A2317</v>
          </cell>
          <cell r="C2186" t="str">
            <v>IHC</v>
          </cell>
          <cell r="D2186" t="str">
            <v>Y</v>
          </cell>
          <cell r="E2186" t="str">
            <v>A</v>
          </cell>
          <cell r="F2186" t="str">
            <v>08/30/2002</v>
          </cell>
        </row>
        <row r="2187">
          <cell r="B2187" t="str">
            <v>A2321</v>
          </cell>
          <cell r="C2187"/>
          <cell r="D2187" t="str">
            <v>Y</v>
          </cell>
          <cell r="E2187" t="str">
            <v>A</v>
          </cell>
          <cell r="F2187" t="str">
            <v>10/07/2002</v>
          </cell>
        </row>
        <row r="2188">
          <cell r="B2188" t="str">
            <v>A2322</v>
          </cell>
          <cell r="C2188" t="str">
            <v>003A</v>
          </cell>
          <cell r="D2188" t="str">
            <v>Y</v>
          </cell>
          <cell r="E2188" t="str">
            <v>I</v>
          </cell>
          <cell r="F2188" t="str">
            <v>09/18/2002</v>
          </cell>
        </row>
        <row r="2189">
          <cell r="B2189" t="str">
            <v>A2323</v>
          </cell>
          <cell r="C2189" t="str">
            <v>IHC</v>
          </cell>
          <cell r="D2189" t="str">
            <v>Y</v>
          </cell>
          <cell r="E2189" t="str">
            <v>A</v>
          </cell>
          <cell r="F2189" t="str">
            <v>09/19/2002</v>
          </cell>
        </row>
        <row r="2190">
          <cell r="B2190" t="str">
            <v>A2324</v>
          </cell>
          <cell r="C2190" t="str">
            <v>GMC</v>
          </cell>
          <cell r="D2190" t="str">
            <v>Y</v>
          </cell>
          <cell r="E2190" t="str">
            <v>A</v>
          </cell>
          <cell r="F2190" t="str">
            <v>09/19/2002</v>
          </cell>
        </row>
        <row r="2191">
          <cell r="B2191" t="str">
            <v>A2325</v>
          </cell>
          <cell r="C2191" t="str">
            <v>AME</v>
          </cell>
          <cell r="D2191" t="str">
            <v>Y</v>
          </cell>
          <cell r="E2191" t="str">
            <v>A</v>
          </cell>
          <cell r="F2191" t="str">
            <v>09/19/2002</v>
          </cell>
        </row>
        <row r="2192">
          <cell r="B2192" t="str">
            <v>A2326</v>
          </cell>
          <cell r="C2192" t="str">
            <v>AFS</v>
          </cell>
          <cell r="D2192" t="str">
            <v>Y</v>
          </cell>
          <cell r="E2192" t="str">
            <v>A</v>
          </cell>
          <cell r="F2192" t="str">
            <v>09/19/2002</v>
          </cell>
        </row>
        <row r="2193">
          <cell r="B2193" t="str">
            <v>A2327</v>
          </cell>
          <cell r="C2193" t="str">
            <v>GEN</v>
          </cell>
          <cell r="D2193" t="str">
            <v>Y</v>
          </cell>
          <cell r="E2193" t="str">
            <v>A</v>
          </cell>
          <cell r="F2193" t="str">
            <v>09/25/2002</v>
          </cell>
        </row>
        <row r="2194">
          <cell r="B2194" t="str">
            <v>A2328</v>
          </cell>
          <cell r="C2194" t="str">
            <v>004A</v>
          </cell>
          <cell r="D2194" t="str">
            <v>Y</v>
          </cell>
          <cell r="E2194" t="str">
            <v>I</v>
          </cell>
          <cell r="F2194" t="str">
            <v>10/25/2002</v>
          </cell>
        </row>
        <row r="2195">
          <cell r="B2195" t="str">
            <v>A2329</v>
          </cell>
          <cell r="C2195" t="str">
            <v>004A</v>
          </cell>
          <cell r="D2195" t="str">
            <v>Y</v>
          </cell>
          <cell r="E2195" t="str">
            <v>I</v>
          </cell>
          <cell r="F2195" t="str">
            <v>10/29/2002</v>
          </cell>
        </row>
        <row r="2196">
          <cell r="B2196" t="str">
            <v>A2330</v>
          </cell>
          <cell r="C2196" t="str">
            <v>015A</v>
          </cell>
          <cell r="D2196" t="str">
            <v>N</v>
          </cell>
          <cell r="E2196" t="str">
            <v>A</v>
          </cell>
          <cell r="F2196" t="str">
            <v>11/05/2002</v>
          </cell>
        </row>
        <row r="2197">
          <cell r="B2197" t="str">
            <v>A2331</v>
          </cell>
          <cell r="C2197" t="str">
            <v>UEC</v>
          </cell>
          <cell r="D2197" t="str">
            <v>Y</v>
          </cell>
          <cell r="E2197" t="str">
            <v>A</v>
          </cell>
          <cell r="F2197" t="str">
            <v>11/05/2002</v>
          </cell>
        </row>
        <row r="2198">
          <cell r="B2198" t="str">
            <v>A2332</v>
          </cell>
          <cell r="C2198" t="str">
            <v>UEC</v>
          </cell>
          <cell r="D2198" t="str">
            <v>Y</v>
          </cell>
          <cell r="E2198" t="str">
            <v>A</v>
          </cell>
          <cell r="F2198" t="str">
            <v>11/05/2002</v>
          </cell>
        </row>
        <row r="2199">
          <cell r="B2199" t="str">
            <v>A2333</v>
          </cell>
          <cell r="C2199" t="str">
            <v>UEC</v>
          </cell>
          <cell r="D2199" t="str">
            <v>Y</v>
          </cell>
          <cell r="E2199" t="str">
            <v>A</v>
          </cell>
          <cell r="F2199" t="str">
            <v>11/05/2002</v>
          </cell>
        </row>
        <row r="2200">
          <cell r="B2200" t="str">
            <v>A2334</v>
          </cell>
          <cell r="C2200" t="str">
            <v>UEC</v>
          </cell>
          <cell r="D2200" t="str">
            <v>Y</v>
          </cell>
          <cell r="E2200" t="str">
            <v>A</v>
          </cell>
          <cell r="F2200" t="str">
            <v>11/05/2002</v>
          </cell>
        </row>
        <row r="2201">
          <cell r="B2201" t="str">
            <v>A2335</v>
          </cell>
          <cell r="C2201" t="str">
            <v>CIP</v>
          </cell>
          <cell r="D2201" t="str">
            <v>Y</v>
          </cell>
          <cell r="E2201" t="str">
            <v>I</v>
          </cell>
          <cell r="F2201" t="str">
            <v>11/05/2002</v>
          </cell>
        </row>
        <row r="2202">
          <cell r="B2202" t="str">
            <v>A2336</v>
          </cell>
          <cell r="C2202" t="str">
            <v>CIP</v>
          </cell>
          <cell r="D2202" t="str">
            <v>Y</v>
          </cell>
          <cell r="E2202" t="str">
            <v>I</v>
          </cell>
          <cell r="F2202" t="str">
            <v>11/05/2002</v>
          </cell>
        </row>
        <row r="2203">
          <cell r="B2203" t="str">
            <v>A2337</v>
          </cell>
          <cell r="C2203" t="str">
            <v>002M</v>
          </cell>
          <cell r="D2203" t="str">
            <v>Y</v>
          </cell>
          <cell r="E2203" t="str">
            <v>A</v>
          </cell>
          <cell r="F2203" t="str">
            <v>11/12/2002</v>
          </cell>
        </row>
        <row r="2204">
          <cell r="B2204" t="str">
            <v>A2338</v>
          </cell>
          <cell r="C2204" t="str">
            <v>002M</v>
          </cell>
          <cell r="D2204" t="str">
            <v>Y</v>
          </cell>
          <cell r="E2204" t="str">
            <v>A</v>
          </cell>
          <cell r="F2204" t="str">
            <v>11/13/2002</v>
          </cell>
        </row>
        <row r="2205">
          <cell r="B2205" t="str">
            <v>A2339</v>
          </cell>
          <cell r="C2205" t="str">
            <v>011A</v>
          </cell>
          <cell r="D2205" t="str">
            <v>Y</v>
          </cell>
          <cell r="E2205" t="str">
            <v>A</v>
          </cell>
          <cell r="F2205" t="str">
            <v>11/13/2002</v>
          </cell>
        </row>
        <row r="2206">
          <cell r="B2206" t="str">
            <v>A2340</v>
          </cell>
          <cell r="C2206" t="str">
            <v>010A</v>
          </cell>
          <cell r="D2206" t="str">
            <v>Y</v>
          </cell>
          <cell r="E2206" t="str">
            <v>A</v>
          </cell>
          <cell r="F2206" t="str">
            <v>11/13/2002</v>
          </cell>
        </row>
        <row r="2207">
          <cell r="B2207" t="str">
            <v>A2341</v>
          </cell>
          <cell r="C2207" t="str">
            <v>002D</v>
          </cell>
          <cell r="D2207" t="str">
            <v>Y</v>
          </cell>
          <cell r="E2207" t="str">
            <v>A</v>
          </cell>
          <cell r="F2207" t="str">
            <v>11/13/2002</v>
          </cell>
        </row>
        <row r="2208">
          <cell r="B2208" t="str">
            <v>A2342</v>
          </cell>
          <cell r="C2208" t="str">
            <v>UEC</v>
          </cell>
          <cell r="D2208" t="str">
            <v>Y</v>
          </cell>
          <cell r="E2208" t="str">
            <v>A</v>
          </cell>
          <cell r="F2208" t="str">
            <v>11/19/2002</v>
          </cell>
        </row>
        <row r="2209">
          <cell r="B2209" t="str">
            <v>A2343</v>
          </cell>
          <cell r="C2209" t="str">
            <v>CIP</v>
          </cell>
          <cell r="D2209" t="str">
            <v>Y</v>
          </cell>
          <cell r="E2209" t="str">
            <v>A</v>
          </cell>
          <cell r="F2209" t="str">
            <v>11/19/2002</v>
          </cell>
        </row>
        <row r="2210">
          <cell r="B2210" t="str">
            <v>A2344</v>
          </cell>
          <cell r="C2210" t="str">
            <v>002K</v>
          </cell>
          <cell r="D2210" t="str">
            <v>Y</v>
          </cell>
          <cell r="E2210" t="str">
            <v>A</v>
          </cell>
          <cell r="F2210" t="str">
            <v>11/19/2002</v>
          </cell>
        </row>
        <row r="2211">
          <cell r="B2211" t="str">
            <v>A2345</v>
          </cell>
          <cell r="C2211" t="str">
            <v>CIL</v>
          </cell>
          <cell r="D2211" t="str">
            <v>Y</v>
          </cell>
          <cell r="E2211" t="str">
            <v>A</v>
          </cell>
          <cell r="F2211" t="str">
            <v>12/16/2002</v>
          </cell>
        </row>
        <row r="2212">
          <cell r="B2212" t="str">
            <v>A2347</v>
          </cell>
          <cell r="C2212"/>
          <cell r="D2212" t="str">
            <v>Y</v>
          </cell>
          <cell r="E2212" t="str">
            <v>A</v>
          </cell>
          <cell r="F2212" t="str">
            <v>01/10/2003</v>
          </cell>
        </row>
        <row r="2213">
          <cell r="B2213" t="str">
            <v>A2348</v>
          </cell>
          <cell r="C2213" t="str">
            <v>GMC</v>
          </cell>
          <cell r="D2213" t="str">
            <v>Y</v>
          </cell>
          <cell r="E2213" t="str">
            <v>A</v>
          </cell>
          <cell r="F2213" t="str">
            <v>01/22/2003</v>
          </cell>
        </row>
        <row r="2214">
          <cell r="B2214" t="str">
            <v>A2349</v>
          </cell>
          <cell r="C2214" t="str">
            <v>UEC</v>
          </cell>
          <cell r="D2214" t="str">
            <v>Y</v>
          </cell>
          <cell r="E2214" t="str">
            <v>A</v>
          </cell>
          <cell r="F2214" t="str">
            <v>01/24/2003</v>
          </cell>
        </row>
        <row r="2215">
          <cell r="B2215" t="str">
            <v>A2350</v>
          </cell>
          <cell r="C2215" t="str">
            <v>001G</v>
          </cell>
          <cell r="D2215" t="str">
            <v>Y</v>
          </cell>
          <cell r="E2215" t="str">
            <v>A</v>
          </cell>
          <cell r="F2215" t="str">
            <v>01/27/2003</v>
          </cell>
        </row>
        <row r="2216">
          <cell r="B2216" t="str">
            <v>A2351</v>
          </cell>
          <cell r="C2216" t="str">
            <v>CIL</v>
          </cell>
          <cell r="D2216" t="str">
            <v>Y</v>
          </cell>
          <cell r="E2216" t="str">
            <v>A</v>
          </cell>
          <cell r="F2216" t="str">
            <v>02/03/2003</v>
          </cell>
        </row>
        <row r="2217">
          <cell r="B2217" t="str">
            <v>A2352</v>
          </cell>
          <cell r="C2217" t="str">
            <v>CIL</v>
          </cell>
          <cell r="D2217" t="str">
            <v>Y</v>
          </cell>
          <cell r="E2217" t="str">
            <v>A</v>
          </cell>
          <cell r="F2217" t="str">
            <v>02/03/2003</v>
          </cell>
        </row>
        <row r="2218">
          <cell r="B2218" t="str">
            <v>A2353</v>
          </cell>
          <cell r="C2218" t="str">
            <v>CIL</v>
          </cell>
          <cell r="D2218" t="str">
            <v>Y</v>
          </cell>
          <cell r="E2218" t="str">
            <v>A</v>
          </cell>
          <cell r="F2218" t="str">
            <v>02/04/2003</v>
          </cell>
        </row>
        <row r="2219">
          <cell r="B2219" t="str">
            <v>A2354</v>
          </cell>
          <cell r="C2219" t="str">
            <v>CIL</v>
          </cell>
          <cell r="D2219" t="str">
            <v>Y</v>
          </cell>
          <cell r="E2219" t="str">
            <v>A</v>
          </cell>
          <cell r="F2219" t="str">
            <v>02/11/2003</v>
          </cell>
        </row>
        <row r="2220">
          <cell r="B2220" t="str">
            <v>A2355</v>
          </cell>
          <cell r="C2220" t="str">
            <v>ARG</v>
          </cell>
          <cell r="D2220" t="str">
            <v>N</v>
          </cell>
          <cell r="E2220" t="str">
            <v>A</v>
          </cell>
          <cell r="F2220" t="str">
            <v>02/05/2003</v>
          </cell>
        </row>
        <row r="2221">
          <cell r="B2221" t="str">
            <v>A2356</v>
          </cell>
          <cell r="C2221" t="str">
            <v>ARG</v>
          </cell>
          <cell r="D2221" t="str">
            <v>N</v>
          </cell>
          <cell r="E2221" t="str">
            <v>A</v>
          </cell>
          <cell r="F2221" t="str">
            <v>02/05/2003</v>
          </cell>
        </row>
        <row r="2222">
          <cell r="B2222" t="str">
            <v>A2357</v>
          </cell>
          <cell r="C2222" t="str">
            <v>CIL</v>
          </cell>
          <cell r="D2222" t="str">
            <v>N</v>
          </cell>
          <cell r="E2222" t="str">
            <v>A</v>
          </cell>
          <cell r="F2222" t="str">
            <v>02/05/2003</v>
          </cell>
        </row>
        <row r="2223">
          <cell r="B2223" t="str">
            <v>A2358</v>
          </cell>
          <cell r="C2223" t="str">
            <v>CIL</v>
          </cell>
          <cell r="D2223" t="str">
            <v>N</v>
          </cell>
          <cell r="E2223" t="str">
            <v>A</v>
          </cell>
          <cell r="F2223" t="str">
            <v>02/06/2003</v>
          </cell>
        </row>
        <row r="2224">
          <cell r="B2224" t="str">
            <v>A2359</v>
          </cell>
          <cell r="C2224" t="str">
            <v>CIL</v>
          </cell>
          <cell r="D2224" t="str">
            <v>N</v>
          </cell>
          <cell r="E2224" t="str">
            <v>A</v>
          </cell>
          <cell r="F2224" t="str">
            <v>03/12/2003</v>
          </cell>
        </row>
        <row r="2225">
          <cell r="B2225" t="str">
            <v>A2360</v>
          </cell>
          <cell r="C2225" t="str">
            <v>UEC</v>
          </cell>
          <cell r="D2225" t="str">
            <v>N</v>
          </cell>
          <cell r="E2225" t="str">
            <v>A</v>
          </cell>
          <cell r="F2225" t="str">
            <v>02/07/2003</v>
          </cell>
        </row>
        <row r="2226">
          <cell r="B2226" t="str">
            <v>A2361</v>
          </cell>
          <cell r="C2226" t="str">
            <v>CIP</v>
          </cell>
          <cell r="D2226" t="str">
            <v>N</v>
          </cell>
          <cell r="E2226" t="str">
            <v>A</v>
          </cell>
          <cell r="F2226" t="str">
            <v>02/07/2003</v>
          </cell>
        </row>
        <row r="2227">
          <cell r="B2227" t="str">
            <v>A2362</v>
          </cell>
          <cell r="C2227" t="str">
            <v>CIL</v>
          </cell>
          <cell r="D2227" t="str">
            <v>N</v>
          </cell>
          <cell r="E2227" t="str">
            <v>A</v>
          </cell>
          <cell r="F2227" t="str">
            <v>09/19/2003</v>
          </cell>
        </row>
        <row r="2228">
          <cell r="B2228" t="str">
            <v>A2363</v>
          </cell>
          <cell r="C2228" t="str">
            <v>UEC</v>
          </cell>
          <cell r="D2228" t="str">
            <v>Y</v>
          </cell>
          <cell r="E2228" t="str">
            <v>A</v>
          </cell>
          <cell r="F2228" t="str">
            <v>02/07/2003</v>
          </cell>
        </row>
        <row r="2229">
          <cell r="B2229" t="str">
            <v>A2364</v>
          </cell>
          <cell r="C2229" t="str">
            <v>UEC</v>
          </cell>
          <cell r="D2229" t="str">
            <v>Y</v>
          </cell>
          <cell r="E2229" t="str">
            <v>A</v>
          </cell>
          <cell r="F2229" t="str">
            <v>02/07/2003</v>
          </cell>
        </row>
        <row r="2230">
          <cell r="B2230" t="str">
            <v>A2365</v>
          </cell>
          <cell r="C2230" t="str">
            <v>UEC</v>
          </cell>
          <cell r="D2230" t="str">
            <v>Y</v>
          </cell>
          <cell r="E2230" t="str">
            <v>A</v>
          </cell>
          <cell r="F2230" t="str">
            <v>02/07/2003</v>
          </cell>
        </row>
        <row r="2231">
          <cell r="B2231" t="str">
            <v>A2366</v>
          </cell>
          <cell r="C2231" t="str">
            <v>002I</v>
          </cell>
          <cell r="D2231" t="str">
            <v>Y</v>
          </cell>
          <cell r="E2231" t="str">
            <v>A</v>
          </cell>
          <cell r="F2231" t="str">
            <v>02/25/2003</v>
          </cell>
        </row>
        <row r="2232">
          <cell r="B2232" t="str">
            <v>A2367</v>
          </cell>
          <cell r="C2232" t="str">
            <v>CIL</v>
          </cell>
          <cell r="D2232" t="str">
            <v>Y</v>
          </cell>
          <cell r="E2232" t="str">
            <v>A</v>
          </cell>
          <cell r="F2232" t="str">
            <v>02/25/2003</v>
          </cell>
        </row>
        <row r="2233">
          <cell r="B2233" t="str">
            <v>A2368</v>
          </cell>
          <cell r="C2233" t="str">
            <v>CIL</v>
          </cell>
          <cell r="D2233" t="str">
            <v>Y</v>
          </cell>
          <cell r="E2233" t="str">
            <v>A</v>
          </cell>
          <cell r="F2233" t="str">
            <v>02/14/2003</v>
          </cell>
        </row>
        <row r="2234">
          <cell r="B2234" t="str">
            <v>A2369</v>
          </cell>
          <cell r="C2234" t="str">
            <v>CIL</v>
          </cell>
          <cell r="D2234" t="str">
            <v>Y</v>
          </cell>
          <cell r="E2234" t="str">
            <v>A</v>
          </cell>
          <cell r="F2234" t="str">
            <v>02/14/2003</v>
          </cell>
        </row>
        <row r="2235">
          <cell r="B2235" t="str">
            <v>A2370</v>
          </cell>
          <cell r="C2235" t="str">
            <v>UEC</v>
          </cell>
          <cell r="D2235" t="str">
            <v>Y</v>
          </cell>
          <cell r="E2235" t="str">
            <v>I</v>
          </cell>
          <cell r="F2235" t="str">
            <v>02/14/2003</v>
          </cell>
        </row>
        <row r="2236">
          <cell r="B2236" t="str">
            <v>A2371</v>
          </cell>
          <cell r="C2236" t="str">
            <v>CIP</v>
          </cell>
          <cell r="D2236" t="str">
            <v>Y</v>
          </cell>
          <cell r="E2236" t="str">
            <v>I</v>
          </cell>
          <cell r="F2236" t="str">
            <v>02/14/2003</v>
          </cell>
        </row>
        <row r="2237">
          <cell r="B2237" t="str">
            <v>A2372</v>
          </cell>
          <cell r="C2237" t="str">
            <v>CIL</v>
          </cell>
          <cell r="D2237" t="str">
            <v>Y</v>
          </cell>
          <cell r="E2237" t="str">
            <v>A</v>
          </cell>
          <cell r="F2237" t="str">
            <v>02/21/2003</v>
          </cell>
        </row>
        <row r="2238">
          <cell r="B2238" t="str">
            <v>A2373</v>
          </cell>
          <cell r="C2238" t="str">
            <v>UEC</v>
          </cell>
          <cell r="D2238" t="str">
            <v>Y</v>
          </cell>
          <cell r="E2238" t="str">
            <v>A</v>
          </cell>
          <cell r="F2238" t="str">
            <v>02/20/2003</v>
          </cell>
        </row>
        <row r="2239">
          <cell r="B2239" t="str">
            <v>A2374</v>
          </cell>
          <cell r="C2239" t="str">
            <v>CIL</v>
          </cell>
          <cell r="D2239" t="str">
            <v>Y</v>
          </cell>
          <cell r="E2239" t="str">
            <v>A</v>
          </cell>
          <cell r="F2239" t="str">
            <v>02/20/2003</v>
          </cell>
        </row>
        <row r="2240">
          <cell r="B2240" t="str">
            <v>A2375</v>
          </cell>
          <cell r="C2240" t="str">
            <v>CIL</v>
          </cell>
          <cell r="D2240" t="str">
            <v>Y</v>
          </cell>
          <cell r="E2240" t="str">
            <v>I</v>
          </cell>
          <cell r="F2240" t="str">
            <v>03/04/2003</v>
          </cell>
        </row>
        <row r="2241">
          <cell r="B2241" t="str">
            <v>A2376</v>
          </cell>
          <cell r="C2241" t="str">
            <v>CIL</v>
          </cell>
          <cell r="D2241" t="str">
            <v>Y</v>
          </cell>
          <cell r="E2241" t="str">
            <v>I</v>
          </cell>
          <cell r="F2241" t="str">
            <v>03/04/2003</v>
          </cell>
        </row>
        <row r="2242">
          <cell r="B2242" t="str">
            <v>A2377</v>
          </cell>
          <cell r="C2242" t="str">
            <v>CIL</v>
          </cell>
          <cell r="D2242" t="str">
            <v>Y</v>
          </cell>
          <cell r="E2242" t="str">
            <v>I</v>
          </cell>
          <cell r="F2242" t="str">
            <v>03/04/2003</v>
          </cell>
        </row>
        <row r="2243">
          <cell r="B2243" t="str">
            <v>A2378</v>
          </cell>
          <cell r="C2243" t="str">
            <v>CIL</v>
          </cell>
          <cell r="D2243" t="str">
            <v>Y</v>
          </cell>
          <cell r="E2243" t="str">
            <v>A</v>
          </cell>
          <cell r="F2243" t="str">
            <v>03/04/2003</v>
          </cell>
        </row>
        <row r="2244">
          <cell r="B2244" t="str">
            <v>A2379</v>
          </cell>
          <cell r="C2244" t="str">
            <v>ARG</v>
          </cell>
          <cell r="D2244" t="str">
            <v>Y</v>
          </cell>
          <cell r="E2244" t="str">
            <v>A</v>
          </cell>
          <cell r="F2244" t="str">
            <v>03/04/2003</v>
          </cell>
        </row>
        <row r="2245">
          <cell r="B2245" t="str">
            <v>A2380</v>
          </cell>
          <cell r="C2245" t="str">
            <v>CIL</v>
          </cell>
          <cell r="D2245" t="str">
            <v>Y</v>
          </cell>
          <cell r="E2245" t="str">
            <v>A</v>
          </cell>
          <cell r="F2245" t="str">
            <v>03/04/2003</v>
          </cell>
        </row>
        <row r="2246">
          <cell r="B2246" t="str">
            <v>A2381</v>
          </cell>
          <cell r="C2246" t="str">
            <v>MV1</v>
          </cell>
          <cell r="D2246" t="str">
            <v>Y</v>
          </cell>
          <cell r="E2246" t="str">
            <v>A</v>
          </cell>
          <cell r="F2246" t="str">
            <v>10/16/2003</v>
          </cell>
        </row>
        <row r="2247">
          <cell r="B2247" t="str">
            <v>A2382</v>
          </cell>
          <cell r="C2247" t="str">
            <v>CIL</v>
          </cell>
          <cell r="D2247" t="str">
            <v>Y</v>
          </cell>
          <cell r="E2247" t="str">
            <v>I</v>
          </cell>
          <cell r="F2247" t="str">
            <v>03/04/2003</v>
          </cell>
        </row>
        <row r="2248">
          <cell r="B2248" t="str">
            <v>A2383</v>
          </cell>
          <cell r="C2248" t="str">
            <v>CIL</v>
          </cell>
          <cell r="D2248" t="str">
            <v>Y</v>
          </cell>
          <cell r="E2248" t="str">
            <v>A</v>
          </cell>
          <cell r="F2248" t="str">
            <v>03/04/2003</v>
          </cell>
        </row>
        <row r="2249">
          <cell r="B2249" t="str">
            <v>A2384</v>
          </cell>
          <cell r="C2249" t="str">
            <v>UEC</v>
          </cell>
          <cell r="D2249" t="str">
            <v>N</v>
          </cell>
          <cell r="E2249" t="str">
            <v>I</v>
          </cell>
          <cell r="F2249" t="str">
            <v>01/05/2004</v>
          </cell>
        </row>
        <row r="2250">
          <cell r="B2250" t="str">
            <v>A2385</v>
          </cell>
          <cell r="C2250" t="str">
            <v>CIP</v>
          </cell>
          <cell r="D2250" t="str">
            <v>N</v>
          </cell>
          <cell r="E2250" t="str">
            <v>I</v>
          </cell>
          <cell r="F2250" t="str">
            <v>01/05/2004</v>
          </cell>
        </row>
        <row r="2251">
          <cell r="B2251" t="str">
            <v>A2386</v>
          </cell>
          <cell r="C2251" t="str">
            <v>002L</v>
          </cell>
          <cell r="D2251" t="str">
            <v>N</v>
          </cell>
          <cell r="E2251" t="str">
            <v>I</v>
          </cell>
          <cell r="F2251" t="str">
            <v>01/05/2004</v>
          </cell>
        </row>
        <row r="2252">
          <cell r="B2252" t="str">
            <v>A2389</v>
          </cell>
          <cell r="C2252" t="str">
            <v>CIL</v>
          </cell>
          <cell r="D2252" t="str">
            <v>Y</v>
          </cell>
          <cell r="E2252" t="str">
            <v>A</v>
          </cell>
          <cell r="F2252" t="str">
            <v>02/26/2003</v>
          </cell>
        </row>
        <row r="2253">
          <cell r="B2253" t="str">
            <v>A2391</v>
          </cell>
          <cell r="C2253" t="str">
            <v>CIL</v>
          </cell>
          <cell r="D2253" t="str">
            <v>Y</v>
          </cell>
          <cell r="E2253" t="str">
            <v>I</v>
          </cell>
          <cell r="F2253" t="str">
            <v>02/26/2003</v>
          </cell>
        </row>
        <row r="2254">
          <cell r="B2254" t="str">
            <v>A2392</v>
          </cell>
          <cell r="C2254" t="str">
            <v>UEC</v>
          </cell>
          <cell r="D2254" t="str">
            <v>Y</v>
          </cell>
          <cell r="E2254" t="str">
            <v>A</v>
          </cell>
          <cell r="F2254" t="str">
            <v>07/30/2003</v>
          </cell>
        </row>
        <row r="2255">
          <cell r="B2255" t="str">
            <v>A2393</v>
          </cell>
          <cell r="C2255" t="str">
            <v>CIP</v>
          </cell>
          <cell r="D2255" t="str">
            <v>Y</v>
          </cell>
          <cell r="E2255" t="str">
            <v>A</v>
          </cell>
          <cell r="F2255" t="str">
            <v>07/30/2003</v>
          </cell>
        </row>
        <row r="2256">
          <cell r="B2256" t="str">
            <v>A2394</v>
          </cell>
          <cell r="C2256" t="str">
            <v>002L</v>
          </cell>
          <cell r="D2256" t="str">
            <v>Y</v>
          </cell>
          <cell r="E2256" t="str">
            <v>A</v>
          </cell>
          <cell r="F2256" t="str">
            <v>07/30/2003</v>
          </cell>
        </row>
        <row r="2257">
          <cell r="B2257" t="str">
            <v>A2395</v>
          </cell>
          <cell r="C2257" t="str">
            <v>CIP</v>
          </cell>
          <cell r="D2257" t="str">
            <v>Y</v>
          </cell>
          <cell r="E2257" t="str">
            <v>A</v>
          </cell>
          <cell r="F2257" t="str">
            <v>03/03/2003</v>
          </cell>
        </row>
        <row r="2258">
          <cell r="B2258" t="str">
            <v>A2396</v>
          </cell>
          <cell r="C2258" t="str">
            <v>CIP</v>
          </cell>
          <cell r="D2258" t="str">
            <v>Y</v>
          </cell>
          <cell r="E2258" t="str">
            <v>A</v>
          </cell>
          <cell r="F2258" t="str">
            <v>03/03/2003</v>
          </cell>
        </row>
        <row r="2259">
          <cell r="B2259" t="str">
            <v>A2397</v>
          </cell>
          <cell r="C2259"/>
          <cell r="D2259" t="str">
            <v>Y</v>
          </cell>
          <cell r="E2259" t="str">
            <v>A</v>
          </cell>
          <cell r="F2259" t="str">
            <v>03/04/2003</v>
          </cell>
        </row>
        <row r="2260">
          <cell r="B2260" t="str">
            <v>A2398</v>
          </cell>
          <cell r="C2260" t="str">
            <v>CIL</v>
          </cell>
          <cell r="D2260" t="str">
            <v>Y</v>
          </cell>
          <cell r="E2260" t="str">
            <v>A</v>
          </cell>
          <cell r="F2260" t="str">
            <v>03/04/2003</v>
          </cell>
        </row>
        <row r="2261">
          <cell r="B2261" t="str">
            <v>A2399</v>
          </cell>
          <cell r="C2261" t="str">
            <v>004A</v>
          </cell>
          <cell r="D2261" t="str">
            <v>Y</v>
          </cell>
          <cell r="E2261" t="str">
            <v>A</v>
          </cell>
          <cell r="F2261" t="str">
            <v>03/06/2003</v>
          </cell>
        </row>
        <row r="2262">
          <cell r="B2262" t="str">
            <v>A2400</v>
          </cell>
          <cell r="C2262" t="str">
            <v>004A</v>
          </cell>
          <cell r="D2262" t="str">
            <v>Y</v>
          </cell>
          <cell r="E2262" t="str">
            <v>A</v>
          </cell>
          <cell r="F2262" t="str">
            <v>03/06/2003</v>
          </cell>
        </row>
        <row r="2263">
          <cell r="B2263" t="str">
            <v>A2401</v>
          </cell>
          <cell r="C2263" t="str">
            <v>CIL</v>
          </cell>
          <cell r="D2263" t="str">
            <v>Y</v>
          </cell>
          <cell r="E2263" t="str">
            <v>A</v>
          </cell>
          <cell r="F2263" t="str">
            <v>03/06/2003</v>
          </cell>
        </row>
        <row r="2264">
          <cell r="B2264" t="str">
            <v>A2403</v>
          </cell>
          <cell r="C2264" t="str">
            <v>CIP</v>
          </cell>
          <cell r="D2264" t="str">
            <v>Y</v>
          </cell>
          <cell r="E2264" t="str">
            <v>A</v>
          </cell>
          <cell r="F2264" t="str">
            <v>03/12/2003</v>
          </cell>
        </row>
        <row r="2265">
          <cell r="B2265" t="str">
            <v>A2404</v>
          </cell>
          <cell r="C2265" t="str">
            <v>CIP</v>
          </cell>
          <cell r="D2265" t="str">
            <v>Y</v>
          </cell>
          <cell r="E2265" t="str">
            <v>A</v>
          </cell>
          <cell r="F2265" t="str">
            <v>03/12/2003</v>
          </cell>
        </row>
        <row r="2266">
          <cell r="B2266" t="str">
            <v>A2405</v>
          </cell>
          <cell r="C2266" t="str">
            <v>002I</v>
          </cell>
          <cell r="D2266" t="str">
            <v>Y</v>
          </cell>
          <cell r="E2266" t="str">
            <v>A</v>
          </cell>
          <cell r="F2266" t="str">
            <v>03/12/2003</v>
          </cell>
        </row>
        <row r="2267">
          <cell r="B2267" t="str">
            <v>A2408</v>
          </cell>
          <cell r="C2267" t="str">
            <v>CIL</v>
          </cell>
          <cell r="D2267" t="str">
            <v>Y</v>
          </cell>
          <cell r="E2267" t="str">
            <v>I</v>
          </cell>
          <cell r="F2267" t="str">
            <v>03/12/2003</v>
          </cell>
        </row>
        <row r="2268">
          <cell r="B2268" t="str">
            <v>A2409</v>
          </cell>
          <cell r="C2268" t="str">
            <v>CIL</v>
          </cell>
          <cell r="D2268" t="str">
            <v>Y</v>
          </cell>
          <cell r="E2268" t="str">
            <v>A</v>
          </cell>
          <cell r="F2268" t="str">
            <v>03/12/2003</v>
          </cell>
        </row>
        <row r="2269">
          <cell r="B2269" t="str">
            <v>A2411</v>
          </cell>
          <cell r="C2269" t="str">
            <v>CIL</v>
          </cell>
          <cell r="D2269" t="str">
            <v>N</v>
          </cell>
          <cell r="E2269" t="str">
            <v>A</v>
          </cell>
          <cell r="F2269" t="str">
            <v>10/27/2003</v>
          </cell>
        </row>
        <row r="2270">
          <cell r="B2270" t="str">
            <v>A2412</v>
          </cell>
          <cell r="C2270" t="str">
            <v>CIL</v>
          </cell>
          <cell r="D2270" t="str">
            <v>Y</v>
          </cell>
          <cell r="E2270" t="str">
            <v>A</v>
          </cell>
          <cell r="F2270" t="str">
            <v>04/01/2003</v>
          </cell>
        </row>
        <row r="2271">
          <cell r="B2271" t="str">
            <v>A2413</v>
          </cell>
          <cell r="C2271" t="str">
            <v>MV1</v>
          </cell>
          <cell r="D2271" t="str">
            <v>Y</v>
          </cell>
          <cell r="E2271" t="str">
            <v>A</v>
          </cell>
          <cell r="F2271" t="str">
            <v>04/01/2003</v>
          </cell>
        </row>
        <row r="2272">
          <cell r="B2272" t="str">
            <v>A2414</v>
          </cell>
          <cell r="C2272" t="str">
            <v>MV1</v>
          </cell>
          <cell r="D2272" t="str">
            <v>Y</v>
          </cell>
          <cell r="E2272" t="str">
            <v>A</v>
          </cell>
          <cell r="F2272" t="str">
            <v>04/22/2003</v>
          </cell>
        </row>
        <row r="2273">
          <cell r="B2273" t="str">
            <v>A2416</v>
          </cell>
          <cell r="C2273" t="str">
            <v>AMC</v>
          </cell>
          <cell r="D2273" t="str">
            <v>Y</v>
          </cell>
          <cell r="E2273" t="str">
            <v>A</v>
          </cell>
          <cell r="F2273" t="str">
            <v>04/16/2003</v>
          </cell>
        </row>
        <row r="2274">
          <cell r="B2274" t="str">
            <v>A2417</v>
          </cell>
          <cell r="C2274" t="str">
            <v>CIL</v>
          </cell>
          <cell r="D2274" t="str">
            <v>Y</v>
          </cell>
          <cell r="E2274" t="str">
            <v>A</v>
          </cell>
          <cell r="F2274" t="str">
            <v>04/16/2003</v>
          </cell>
        </row>
        <row r="2275">
          <cell r="B2275" t="str">
            <v>A2418</v>
          </cell>
          <cell r="C2275" t="str">
            <v>CIL</v>
          </cell>
          <cell r="D2275" t="str">
            <v>Y</v>
          </cell>
          <cell r="E2275" t="str">
            <v>A</v>
          </cell>
          <cell r="F2275" t="str">
            <v>04/16/2003</v>
          </cell>
        </row>
        <row r="2276">
          <cell r="B2276" t="str">
            <v>A2419</v>
          </cell>
          <cell r="C2276" t="str">
            <v>CIL</v>
          </cell>
          <cell r="D2276" t="str">
            <v>N</v>
          </cell>
          <cell r="E2276" t="str">
            <v>A</v>
          </cell>
          <cell r="F2276" t="str">
            <v>04/23/2003</v>
          </cell>
        </row>
        <row r="2277">
          <cell r="B2277" t="str">
            <v>A2420</v>
          </cell>
          <cell r="C2277" t="str">
            <v>CIL</v>
          </cell>
          <cell r="D2277" t="str">
            <v>N</v>
          </cell>
          <cell r="E2277" t="str">
            <v>A</v>
          </cell>
          <cell r="F2277" t="str">
            <v>05/06/2003</v>
          </cell>
        </row>
        <row r="2278">
          <cell r="B2278" t="str">
            <v>A2421</v>
          </cell>
          <cell r="C2278" t="str">
            <v>CIL</v>
          </cell>
          <cell r="D2278" t="str">
            <v>Y</v>
          </cell>
          <cell r="E2278" t="str">
            <v>A</v>
          </cell>
          <cell r="F2278" t="str">
            <v>05/08/2003</v>
          </cell>
        </row>
        <row r="2279">
          <cell r="B2279" t="str">
            <v>A2422</v>
          </cell>
          <cell r="C2279" t="str">
            <v>CIL</v>
          </cell>
          <cell r="D2279" t="str">
            <v>Y</v>
          </cell>
          <cell r="E2279" t="str">
            <v>A</v>
          </cell>
          <cell r="F2279" t="str">
            <v>05/08/2003</v>
          </cell>
        </row>
        <row r="2280">
          <cell r="B2280" t="str">
            <v>A2426</v>
          </cell>
          <cell r="C2280" t="str">
            <v>002D</v>
          </cell>
          <cell r="D2280" t="str">
            <v>Y</v>
          </cell>
          <cell r="E2280" t="str">
            <v>A</v>
          </cell>
          <cell r="F2280" t="str">
            <v>05/30/2003</v>
          </cell>
        </row>
        <row r="2281">
          <cell r="B2281" t="str">
            <v>A2427</v>
          </cell>
          <cell r="C2281" t="str">
            <v>UEC</v>
          </cell>
          <cell r="D2281" t="str">
            <v>Y</v>
          </cell>
          <cell r="E2281" t="str">
            <v>A</v>
          </cell>
          <cell r="F2281" t="str">
            <v>06/25/2003</v>
          </cell>
        </row>
        <row r="2282">
          <cell r="B2282" t="str">
            <v>A2429</v>
          </cell>
          <cell r="C2282" t="str">
            <v>004B</v>
          </cell>
          <cell r="D2282" t="str">
            <v>Y</v>
          </cell>
          <cell r="E2282" t="str">
            <v>A</v>
          </cell>
          <cell r="F2282" t="str">
            <v>07/02/2003</v>
          </cell>
        </row>
        <row r="2283">
          <cell r="B2283" t="str">
            <v>A2430</v>
          </cell>
          <cell r="C2283" t="str">
            <v>CIL</v>
          </cell>
          <cell r="D2283" t="str">
            <v>Y</v>
          </cell>
          <cell r="E2283" t="str">
            <v>A</v>
          </cell>
          <cell r="F2283" t="str">
            <v>01/05/2004</v>
          </cell>
        </row>
        <row r="2284">
          <cell r="B2284" t="str">
            <v>A2431</v>
          </cell>
          <cell r="C2284" t="str">
            <v>CIL</v>
          </cell>
          <cell r="D2284" t="str">
            <v>Y</v>
          </cell>
          <cell r="E2284" t="str">
            <v>A</v>
          </cell>
          <cell r="F2284" t="str">
            <v>09/03/2003</v>
          </cell>
        </row>
        <row r="2285">
          <cell r="B2285" t="str">
            <v>A2432</v>
          </cell>
          <cell r="C2285" t="str">
            <v>CIL</v>
          </cell>
          <cell r="D2285" t="str">
            <v>Y</v>
          </cell>
          <cell r="E2285" t="str">
            <v>A</v>
          </cell>
          <cell r="F2285" t="str">
            <v>09/03/2003</v>
          </cell>
        </row>
        <row r="2286">
          <cell r="B2286" t="str">
            <v>A2434</v>
          </cell>
          <cell r="C2286" t="str">
            <v>CIL</v>
          </cell>
          <cell r="D2286" t="str">
            <v>Y</v>
          </cell>
          <cell r="E2286" t="str">
            <v>A</v>
          </cell>
          <cell r="F2286" t="str">
            <v>09/03/2003</v>
          </cell>
        </row>
        <row r="2287">
          <cell r="B2287" t="str">
            <v>A2435</v>
          </cell>
          <cell r="C2287" t="str">
            <v>CIL</v>
          </cell>
          <cell r="D2287" t="str">
            <v>Y</v>
          </cell>
          <cell r="E2287" t="str">
            <v>A</v>
          </cell>
          <cell r="F2287" t="str">
            <v>09/03/2003</v>
          </cell>
        </row>
        <row r="2288">
          <cell r="B2288" t="str">
            <v>A2436</v>
          </cell>
          <cell r="C2288" t="str">
            <v>CIL</v>
          </cell>
          <cell r="D2288" t="str">
            <v>Y</v>
          </cell>
          <cell r="E2288" t="str">
            <v>A</v>
          </cell>
          <cell r="F2288" t="str">
            <v>09/04/2003</v>
          </cell>
        </row>
        <row r="2289">
          <cell r="B2289" t="str">
            <v>A2437</v>
          </cell>
          <cell r="C2289" t="str">
            <v>CIL</v>
          </cell>
          <cell r="D2289" t="str">
            <v>Y</v>
          </cell>
          <cell r="E2289" t="str">
            <v>A</v>
          </cell>
          <cell r="F2289" t="str">
            <v>01/20/2004</v>
          </cell>
        </row>
        <row r="2290">
          <cell r="B2290" t="str">
            <v>A2439</v>
          </cell>
          <cell r="C2290" t="str">
            <v>CIL</v>
          </cell>
          <cell r="D2290" t="str">
            <v>Y</v>
          </cell>
          <cell r="E2290" t="str">
            <v>A</v>
          </cell>
          <cell r="F2290" t="str">
            <v>09/03/2003</v>
          </cell>
        </row>
        <row r="2291">
          <cell r="B2291" t="str">
            <v>A2440</v>
          </cell>
          <cell r="C2291" t="str">
            <v>CIL</v>
          </cell>
          <cell r="D2291" t="str">
            <v>Y</v>
          </cell>
          <cell r="E2291" t="str">
            <v>A</v>
          </cell>
          <cell r="F2291" t="str">
            <v>09/03/2003</v>
          </cell>
        </row>
        <row r="2292">
          <cell r="B2292" t="str">
            <v>A2441</v>
          </cell>
          <cell r="C2292" t="str">
            <v>CIL</v>
          </cell>
          <cell r="D2292" t="str">
            <v>Y</v>
          </cell>
          <cell r="E2292" t="str">
            <v>A</v>
          </cell>
          <cell r="F2292" t="str">
            <v>09/03/2003</v>
          </cell>
        </row>
        <row r="2293">
          <cell r="B2293" t="str">
            <v>A2442</v>
          </cell>
          <cell r="C2293" t="str">
            <v>CIL</v>
          </cell>
          <cell r="D2293" t="str">
            <v>Y</v>
          </cell>
          <cell r="E2293" t="str">
            <v>A</v>
          </cell>
          <cell r="F2293" t="str">
            <v>09/03/2003</v>
          </cell>
        </row>
        <row r="2294">
          <cell r="B2294" t="str">
            <v>A2443</v>
          </cell>
          <cell r="C2294" t="str">
            <v>CIL</v>
          </cell>
          <cell r="D2294" t="str">
            <v>Y</v>
          </cell>
          <cell r="E2294" t="str">
            <v>A</v>
          </cell>
          <cell r="F2294" t="str">
            <v>09/04/2003</v>
          </cell>
        </row>
        <row r="2295">
          <cell r="B2295" t="str">
            <v>A2444</v>
          </cell>
          <cell r="C2295" t="str">
            <v>CIP</v>
          </cell>
          <cell r="D2295" t="str">
            <v>Y</v>
          </cell>
          <cell r="E2295" t="str">
            <v>A</v>
          </cell>
          <cell r="F2295" t="str">
            <v>10/01/2003</v>
          </cell>
        </row>
        <row r="2296">
          <cell r="B2296" t="str">
            <v>A2445</v>
          </cell>
          <cell r="C2296" t="str">
            <v>CIL</v>
          </cell>
          <cell r="D2296" t="str">
            <v>Y</v>
          </cell>
          <cell r="E2296" t="str">
            <v>A</v>
          </cell>
          <cell r="F2296" t="str">
            <v>09/04/2003</v>
          </cell>
        </row>
        <row r="2297">
          <cell r="B2297" t="str">
            <v>A2446</v>
          </cell>
          <cell r="C2297" t="str">
            <v>CIL</v>
          </cell>
          <cell r="D2297" t="str">
            <v>Y</v>
          </cell>
          <cell r="E2297" t="str">
            <v>A</v>
          </cell>
          <cell r="F2297" t="str">
            <v>09/04/2003</v>
          </cell>
        </row>
        <row r="2298">
          <cell r="B2298" t="str">
            <v>A2447</v>
          </cell>
          <cell r="C2298" t="str">
            <v>CIL</v>
          </cell>
          <cell r="D2298" t="str">
            <v>Y</v>
          </cell>
          <cell r="E2298" t="str">
            <v>A</v>
          </cell>
          <cell r="F2298" t="str">
            <v>09/04/2003</v>
          </cell>
        </row>
        <row r="2299">
          <cell r="B2299" t="str">
            <v>A2448</v>
          </cell>
          <cell r="C2299" t="str">
            <v>CIL</v>
          </cell>
          <cell r="D2299" t="str">
            <v>Y</v>
          </cell>
          <cell r="E2299" t="str">
            <v>A</v>
          </cell>
          <cell r="F2299" t="str">
            <v>09/03/2003</v>
          </cell>
        </row>
        <row r="2300">
          <cell r="B2300" t="str">
            <v>A2449</v>
          </cell>
          <cell r="C2300" t="str">
            <v>CIL</v>
          </cell>
          <cell r="D2300" t="str">
            <v>Y</v>
          </cell>
          <cell r="E2300" t="str">
            <v>A</v>
          </cell>
          <cell r="F2300" t="str">
            <v>09/03/2003</v>
          </cell>
        </row>
        <row r="2301">
          <cell r="B2301" t="str">
            <v>A2450</v>
          </cell>
          <cell r="C2301" t="str">
            <v>CIL</v>
          </cell>
          <cell r="D2301" t="str">
            <v>Y</v>
          </cell>
          <cell r="E2301" t="str">
            <v>A</v>
          </cell>
          <cell r="F2301" t="str">
            <v>09/03/2003</v>
          </cell>
        </row>
        <row r="2302">
          <cell r="B2302" t="str">
            <v>A2451</v>
          </cell>
          <cell r="C2302" t="str">
            <v>CIL</v>
          </cell>
          <cell r="D2302" t="str">
            <v>Y</v>
          </cell>
          <cell r="E2302" t="str">
            <v>A</v>
          </cell>
          <cell r="F2302" t="str">
            <v>09/03/2003</v>
          </cell>
        </row>
        <row r="2303">
          <cell r="B2303" t="str">
            <v>A2452</v>
          </cell>
          <cell r="C2303" t="str">
            <v>CIL</v>
          </cell>
          <cell r="D2303" t="str">
            <v>Y</v>
          </cell>
          <cell r="E2303" t="str">
            <v>A</v>
          </cell>
          <cell r="F2303" t="str">
            <v>09/03/2003</v>
          </cell>
        </row>
        <row r="2304">
          <cell r="B2304" t="str">
            <v>A2455</v>
          </cell>
          <cell r="C2304" t="str">
            <v>CIL</v>
          </cell>
          <cell r="D2304" t="str">
            <v>Y</v>
          </cell>
          <cell r="E2304" t="str">
            <v>A</v>
          </cell>
          <cell r="F2304" t="str">
            <v>09/03/2003</v>
          </cell>
        </row>
        <row r="2305">
          <cell r="B2305" t="str">
            <v>A2456</v>
          </cell>
          <cell r="C2305" t="str">
            <v>CIL</v>
          </cell>
          <cell r="D2305" t="str">
            <v>Y</v>
          </cell>
          <cell r="E2305" t="str">
            <v>A</v>
          </cell>
          <cell r="F2305" t="str">
            <v>09/03/2003</v>
          </cell>
        </row>
        <row r="2306">
          <cell r="B2306" t="str">
            <v>A2457</v>
          </cell>
          <cell r="C2306" t="str">
            <v>CIL</v>
          </cell>
          <cell r="D2306" t="str">
            <v>Y</v>
          </cell>
          <cell r="E2306" t="str">
            <v>A</v>
          </cell>
          <cell r="F2306" t="str">
            <v>09/04/2003</v>
          </cell>
        </row>
        <row r="2307">
          <cell r="B2307" t="str">
            <v>A2459</v>
          </cell>
          <cell r="C2307" t="str">
            <v>CIL</v>
          </cell>
          <cell r="D2307" t="str">
            <v>Y</v>
          </cell>
          <cell r="E2307" t="str">
            <v>A</v>
          </cell>
          <cell r="F2307" t="str">
            <v>09/03/2003</v>
          </cell>
        </row>
        <row r="2308">
          <cell r="B2308" t="str">
            <v>A2460</v>
          </cell>
          <cell r="C2308" t="str">
            <v>CIL</v>
          </cell>
          <cell r="D2308" t="str">
            <v>Y</v>
          </cell>
          <cell r="E2308" t="str">
            <v>A</v>
          </cell>
          <cell r="F2308" t="str">
            <v>09/03/2003</v>
          </cell>
        </row>
        <row r="2309">
          <cell r="B2309" t="str">
            <v>A2461</v>
          </cell>
          <cell r="C2309" t="str">
            <v>CIL</v>
          </cell>
          <cell r="D2309" t="str">
            <v>Y</v>
          </cell>
          <cell r="E2309" t="str">
            <v>A</v>
          </cell>
          <cell r="F2309" t="str">
            <v>09/03/2003</v>
          </cell>
        </row>
        <row r="2310">
          <cell r="B2310" t="str">
            <v>A2462</v>
          </cell>
          <cell r="C2310" t="str">
            <v>CIL</v>
          </cell>
          <cell r="D2310" t="str">
            <v>Y</v>
          </cell>
          <cell r="E2310" t="str">
            <v>A</v>
          </cell>
          <cell r="F2310" t="str">
            <v>09/03/2003</v>
          </cell>
        </row>
        <row r="2311">
          <cell r="B2311" t="str">
            <v>A2465</v>
          </cell>
          <cell r="C2311" t="str">
            <v>CIL</v>
          </cell>
          <cell r="D2311" t="str">
            <v>Y</v>
          </cell>
          <cell r="E2311" t="str">
            <v>A</v>
          </cell>
          <cell r="F2311" t="str">
            <v>09/03/2003</v>
          </cell>
        </row>
        <row r="2312">
          <cell r="B2312" t="str">
            <v>A2466</v>
          </cell>
          <cell r="C2312" t="str">
            <v>CIL</v>
          </cell>
          <cell r="D2312" t="str">
            <v>N</v>
          </cell>
          <cell r="E2312" t="str">
            <v>A</v>
          </cell>
          <cell r="F2312" t="str">
            <v>08/01/2003</v>
          </cell>
        </row>
        <row r="2313">
          <cell r="B2313" t="str">
            <v>A2467</v>
          </cell>
          <cell r="C2313" t="str">
            <v>CIL</v>
          </cell>
          <cell r="D2313" t="str">
            <v>N</v>
          </cell>
          <cell r="E2313" t="str">
            <v>A</v>
          </cell>
          <cell r="F2313" t="str">
            <v>08/01/2003</v>
          </cell>
        </row>
        <row r="2314">
          <cell r="B2314" t="str">
            <v>A2468</v>
          </cell>
          <cell r="C2314" t="str">
            <v>CIL</v>
          </cell>
          <cell r="D2314" t="str">
            <v>N</v>
          </cell>
          <cell r="E2314" t="str">
            <v>A</v>
          </cell>
          <cell r="F2314" t="str">
            <v>08/07/2003</v>
          </cell>
        </row>
        <row r="2315">
          <cell r="B2315" t="str">
            <v>A2469</v>
          </cell>
          <cell r="C2315" t="str">
            <v>MV1</v>
          </cell>
          <cell r="D2315" t="str">
            <v>N</v>
          </cell>
          <cell r="E2315" t="str">
            <v>A</v>
          </cell>
          <cell r="F2315" t="str">
            <v>08/07/2003</v>
          </cell>
        </row>
        <row r="2316">
          <cell r="B2316" t="str">
            <v>A2470</v>
          </cell>
          <cell r="C2316" t="str">
            <v>CIS</v>
          </cell>
          <cell r="D2316" t="str">
            <v>N</v>
          </cell>
          <cell r="E2316" t="str">
            <v>A</v>
          </cell>
          <cell r="F2316" t="str">
            <v>08/07/2003</v>
          </cell>
        </row>
        <row r="2317">
          <cell r="B2317" t="str">
            <v>A2471</v>
          </cell>
          <cell r="C2317" t="str">
            <v>CIL</v>
          </cell>
          <cell r="D2317" t="str">
            <v>Y</v>
          </cell>
          <cell r="E2317" t="str">
            <v>A</v>
          </cell>
          <cell r="F2317" t="str">
            <v>09/18/2003</v>
          </cell>
        </row>
        <row r="2318">
          <cell r="B2318" t="str">
            <v>A2472</v>
          </cell>
          <cell r="C2318" t="str">
            <v>CIL</v>
          </cell>
          <cell r="D2318" t="str">
            <v>Y</v>
          </cell>
          <cell r="E2318" t="str">
            <v>A</v>
          </cell>
          <cell r="F2318" t="str">
            <v>09/18/2003</v>
          </cell>
        </row>
        <row r="2319">
          <cell r="B2319" t="str">
            <v>A2473</v>
          </cell>
          <cell r="C2319" t="str">
            <v>CIL</v>
          </cell>
          <cell r="D2319" t="str">
            <v>N</v>
          </cell>
          <cell r="E2319" t="str">
            <v>A</v>
          </cell>
          <cell r="F2319" t="str">
            <v>08/07/2003</v>
          </cell>
        </row>
        <row r="2320">
          <cell r="B2320" t="str">
            <v>A2474</v>
          </cell>
          <cell r="C2320" t="str">
            <v>CIL</v>
          </cell>
          <cell r="D2320" t="str">
            <v>N</v>
          </cell>
          <cell r="E2320" t="str">
            <v>A</v>
          </cell>
          <cell r="F2320" t="str">
            <v>08/07/2003</v>
          </cell>
        </row>
        <row r="2321">
          <cell r="B2321" t="str">
            <v>A2475</v>
          </cell>
          <cell r="C2321" t="str">
            <v>CIL</v>
          </cell>
          <cell r="D2321" t="str">
            <v>Y</v>
          </cell>
          <cell r="E2321" t="str">
            <v>A</v>
          </cell>
          <cell r="F2321" t="str">
            <v>08/06/2003</v>
          </cell>
        </row>
        <row r="2322">
          <cell r="B2322" t="str">
            <v>A2476</v>
          </cell>
          <cell r="C2322" t="str">
            <v>CIL</v>
          </cell>
          <cell r="D2322" t="str">
            <v>Y</v>
          </cell>
          <cell r="E2322" t="str">
            <v>A</v>
          </cell>
          <cell r="F2322" t="str">
            <v>08/06/2003</v>
          </cell>
        </row>
        <row r="2323">
          <cell r="B2323" t="str">
            <v>A2477</v>
          </cell>
          <cell r="C2323" t="str">
            <v>UEC</v>
          </cell>
          <cell r="D2323" t="str">
            <v>Y</v>
          </cell>
          <cell r="E2323" t="str">
            <v>A</v>
          </cell>
          <cell r="F2323" t="str">
            <v>08/07/2003</v>
          </cell>
        </row>
        <row r="2324">
          <cell r="B2324" t="str">
            <v>A2478</v>
          </cell>
          <cell r="C2324" t="str">
            <v>CIP</v>
          </cell>
          <cell r="D2324" t="str">
            <v>Y</v>
          </cell>
          <cell r="E2324" t="str">
            <v>A</v>
          </cell>
          <cell r="F2324" t="str">
            <v>08/07/2003</v>
          </cell>
        </row>
        <row r="2325">
          <cell r="B2325" t="str">
            <v>A2479</v>
          </cell>
          <cell r="C2325" t="str">
            <v>CIL</v>
          </cell>
          <cell r="D2325" t="str">
            <v>Y</v>
          </cell>
          <cell r="E2325" t="str">
            <v>A</v>
          </cell>
          <cell r="F2325" t="str">
            <v>08/07/2003</v>
          </cell>
        </row>
        <row r="2326">
          <cell r="B2326" t="str">
            <v>A2481</v>
          </cell>
          <cell r="C2326" t="str">
            <v>CIL</v>
          </cell>
          <cell r="D2326" t="str">
            <v>Y</v>
          </cell>
          <cell r="E2326" t="str">
            <v>A</v>
          </cell>
          <cell r="F2326" t="str">
            <v>08/18/2003</v>
          </cell>
        </row>
        <row r="2327">
          <cell r="B2327" t="str">
            <v>A2482</v>
          </cell>
          <cell r="C2327" t="str">
            <v>CIL</v>
          </cell>
          <cell r="D2327" t="str">
            <v>Y</v>
          </cell>
          <cell r="E2327" t="str">
            <v>A</v>
          </cell>
          <cell r="F2327" t="str">
            <v>08/26/2003</v>
          </cell>
        </row>
        <row r="2328">
          <cell r="B2328" t="str">
            <v>A2483</v>
          </cell>
          <cell r="C2328" t="str">
            <v>CIL</v>
          </cell>
          <cell r="D2328" t="str">
            <v>Y</v>
          </cell>
          <cell r="E2328" t="str">
            <v>A</v>
          </cell>
          <cell r="F2328" t="str">
            <v>12/31/2003</v>
          </cell>
        </row>
        <row r="2329">
          <cell r="B2329" t="str">
            <v>A2484</v>
          </cell>
          <cell r="C2329" t="str">
            <v>CIL</v>
          </cell>
          <cell r="D2329" t="str">
            <v>Y</v>
          </cell>
          <cell r="E2329" t="str">
            <v>A</v>
          </cell>
          <cell r="F2329" t="str">
            <v>12/31/2003</v>
          </cell>
        </row>
        <row r="2330">
          <cell r="B2330" t="str">
            <v>A2485</v>
          </cell>
          <cell r="C2330" t="str">
            <v>CIL</v>
          </cell>
          <cell r="D2330" t="str">
            <v>Y</v>
          </cell>
          <cell r="E2330" t="str">
            <v>A</v>
          </cell>
          <cell r="F2330" t="str">
            <v>12/31/2003</v>
          </cell>
        </row>
        <row r="2331">
          <cell r="B2331" t="str">
            <v>A2486</v>
          </cell>
          <cell r="C2331" t="str">
            <v>CIL</v>
          </cell>
          <cell r="D2331" t="str">
            <v>Y</v>
          </cell>
          <cell r="E2331" t="str">
            <v>A</v>
          </cell>
          <cell r="F2331" t="str">
            <v>09/04/2003</v>
          </cell>
        </row>
        <row r="2332">
          <cell r="B2332" t="str">
            <v>A2487</v>
          </cell>
          <cell r="C2332" t="str">
            <v>CIL</v>
          </cell>
          <cell r="D2332" t="str">
            <v>N</v>
          </cell>
          <cell r="E2332" t="str">
            <v>A</v>
          </cell>
          <cell r="F2332" t="str">
            <v>08/19/2003</v>
          </cell>
        </row>
        <row r="2333">
          <cell r="B2333" t="str">
            <v>A2488</v>
          </cell>
          <cell r="C2333" t="str">
            <v>CIL</v>
          </cell>
          <cell r="D2333" t="str">
            <v>Y</v>
          </cell>
          <cell r="E2333" t="str">
            <v>A</v>
          </cell>
          <cell r="F2333" t="str">
            <v>10/27/2003</v>
          </cell>
        </row>
        <row r="2334">
          <cell r="B2334" t="str">
            <v>A2489</v>
          </cell>
          <cell r="C2334" t="str">
            <v>CCP</v>
          </cell>
          <cell r="D2334" t="str">
            <v>Y</v>
          </cell>
          <cell r="E2334" t="str">
            <v>A</v>
          </cell>
          <cell r="F2334" t="str">
            <v>08/29/2003</v>
          </cell>
        </row>
        <row r="2335">
          <cell r="B2335" t="str">
            <v>A2490</v>
          </cell>
          <cell r="C2335" t="str">
            <v>CIL</v>
          </cell>
          <cell r="D2335" t="str">
            <v>Y</v>
          </cell>
          <cell r="E2335" t="str">
            <v>A</v>
          </cell>
          <cell r="F2335" t="str">
            <v>08/29/2003</v>
          </cell>
        </row>
        <row r="2336">
          <cell r="B2336" t="str">
            <v>A2491</v>
          </cell>
          <cell r="C2336" t="str">
            <v>CCP</v>
          </cell>
          <cell r="D2336" t="str">
            <v>Y</v>
          </cell>
          <cell r="E2336" t="str">
            <v>A</v>
          </cell>
          <cell r="F2336" t="str">
            <v>08/28/2003</v>
          </cell>
        </row>
        <row r="2337">
          <cell r="B2337" t="str">
            <v>A2492</v>
          </cell>
          <cell r="C2337" t="str">
            <v>CIL</v>
          </cell>
          <cell r="D2337" t="str">
            <v>Y</v>
          </cell>
          <cell r="E2337" t="str">
            <v>A</v>
          </cell>
          <cell r="F2337" t="str">
            <v>08/28/2003</v>
          </cell>
        </row>
        <row r="2338">
          <cell r="B2338" t="str">
            <v>A2493</v>
          </cell>
          <cell r="C2338" t="str">
            <v>CCP</v>
          </cell>
          <cell r="D2338" t="str">
            <v>Y</v>
          </cell>
          <cell r="E2338" t="str">
            <v>A</v>
          </cell>
          <cell r="F2338" t="str">
            <v>08/28/2003</v>
          </cell>
        </row>
        <row r="2339">
          <cell r="B2339" t="str">
            <v>A2494</v>
          </cell>
          <cell r="C2339" t="str">
            <v>CIL</v>
          </cell>
          <cell r="D2339" t="str">
            <v>Y</v>
          </cell>
          <cell r="E2339" t="str">
            <v>A</v>
          </cell>
          <cell r="F2339" t="str">
            <v>08/28/2003</v>
          </cell>
        </row>
        <row r="2340">
          <cell r="B2340" t="str">
            <v>A2495</v>
          </cell>
          <cell r="C2340" t="str">
            <v>002M</v>
          </cell>
          <cell r="D2340" t="str">
            <v>Y</v>
          </cell>
          <cell r="E2340" t="str">
            <v>A</v>
          </cell>
          <cell r="F2340" t="str">
            <v>08/28/2003</v>
          </cell>
        </row>
        <row r="2341">
          <cell r="B2341" t="str">
            <v>A2496</v>
          </cell>
          <cell r="C2341" t="str">
            <v>CIM</v>
          </cell>
          <cell r="D2341" t="str">
            <v>Y</v>
          </cell>
          <cell r="E2341" t="str">
            <v>A</v>
          </cell>
          <cell r="F2341" t="str">
            <v>08/28/2003</v>
          </cell>
        </row>
        <row r="2342">
          <cell r="B2342" t="str">
            <v>A2497</v>
          </cell>
          <cell r="C2342" t="str">
            <v>ARG</v>
          </cell>
          <cell r="D2342" t="str">
            <v>Y</v>
          </cell>
          <cell r="E2342" t="str">
            <v>A</v>
          </cell>
          <cell r="F2342" t="str">
            <v>08/28/2003</v>
          </cell>
        </row>
        <row r="2343">
          <cell r="B2343" t="str">
            <v>A2498</v>
          </cell>
          <cell r="C2343" t="str">
            <v>011A</v>
          </cell>
          <cell r="D2343" t="str">
            <v>Y</v>
          </cell>
          <cell r="E2343" t="str">
            <v>I</v>
          </cell>
          <cell r="F2343" t="str">
            <v>09/08/2003</v>
          </cell>
        </row>
        <row r="2344">
          <cell r="B2344" t="str">
            <v>A2499</v>
          </cell>
          <cell r="C2344" t="str">
            <v>004A</v>
          </cell>
          <cell r="D2344" t="str">
            <v>Y</v>
          </cell>
          <cell r="E2344" t="str">
            <v>I</v>
          </cell>
          <cell r="F2344" t="str">
            <v>09/08/2003</v>
          </cell>
        </row>
        <row r="2345">
          <cell r="B2345" t="str">
            <v>A2500</v>
          </cell>
          <cell r="C2345" t="str">
            <v>002K</v>
          </cell>
          <cell r="D2345" t="str">
            <v>Y</v>
          </cell>
          <cell r="E2345" t="str">
            <v>I</v>
          </cell>
          <cell r="F2345" t="str">
            <v>09/08/2003</v>
          </cell>
        </row>
        <row r="2346">
          <cell r="B2346" t="str">
            <v>A2501</v>
          </cell>
          <cell r="C2346" t="str">
            <v>002D</v>
          </cell>
          <cell r="D2346" t="str">
            <v>Y</v>
          </cell>
          <cell r="E2346" t="str">
            <v>I</v>
          </cell>
          <cell r="F2346" t="str">
            <v>09/08/2003</v>
          </cell>
        </row>
        <row r="2347">
          <cell r="B2347" t="str">
            <v>A2502</v>
          </cell>
          <cell r="C2347" t="str">
            <v>AFS</v>
          </cell>
          <cell r="D2347" t="str">
            <v>Y</v>
          </cell>
          <cell r="E2347" t="str">
            <v>I</v>
          </cell>
          <cell r="F2347" t="str">
            <v>09/08/2003</v>
          </cell>
        </row>
        <row r="2348">
          <cell r="B2348" t="str">
            <v>A2503</v>
          </cell>
          <cell r="C2348" t="str">
            <v>007A</v>
          </cell>
          <cell r="D2348" t="str">
            <v>Y</v>
          </cell>
          <cell r="E2348" t="str">
            <v>I</v>
          </cell>
          <cell r="F2348" t="str">
            <v>09/08/2003</v>
          </cell>
        </row>
        <row r="2349">
          <cell r="B2349" t="str">
            <v>A2504</v>
          </cell>
          <cell r="C2349" t="str">
            <v>004A</v>
          </cell>
          <cell r="D2349" t="str">
            <v>Y</v>
          </cell>
          <cell r="E2349" t="str">
            <v>I</v>
          </cell>
          <cell r="F2349" t="str">
            <v>09/08/2003</v>
          </cell>
        </row>
        <row r="2350">
          <cell r="B2350" t="str">
            <v>A2505</v>
          </cell>
          <cell r="C2350" t="str">
            <v>004A</v>
          </cell>
          <cell r="D2350" t="str">
            <v>Y</v>
          </cell>
          <cell r="E2350" t="str">
            <v>I</v>
          </cell>
          <cell r="F2350" t="str">
            <v>09/08/2003</v>
          </cell>
        </row>
        <row r="2351">
          <cell r="B2351" t="str">
            <v>A2506</v>
          </cell>
          <cell r="C2351"/>
          <cell r="D2351" t="str">
            <v>Y</v>
          </cell>
          <cell r="E2351" t="str">
            <v>I</v>
          </cell>
          <cell r="F2351" t="str">
            <v>09/09/2003</v>
          </cell>
        </row>
        <row r="2352">
          <cell r="B2352" t="str">
            <v>A2507</v>
          </cell>
          <cell r="C2352" t="str">
            <v>004A</v>
          </cell>
          <cell r="D2352" t="str">
            <v>Y</v>
          </cell>
          <cell r="E2352" t="str">
            <v>I</v>
          </cell>
          <cell r="F2352" t="str">
            <v>09/09/2003</v>
          </cell>
        </row>
        <row r="2353">
          <cell r="B2353" t="str">
            <v>A2508</v>
          </cell>
          <cell r="C2353" t="str">
            <v>009A</v>
          </cell>
          <cell r="D2353" t="str">
            <v>Y</v>
          </cell>
          <cell r="E2353" t="str">
            <v>I</v>
          </cell>
          <cell r="F2353" t="str">
            <v>09/09/2003</v>
          </cell>
        </row>
        <row r="2354">
          <cell r="B2354" t="str">
            <v>A2509</v>
          </cell>
          <cell r="C2354" t="str">
            <v>MV1</v>
          </cell>
          <cell r="D2354" t="str">
            <v>N</v>
          </cell>
          <cell r="E2354" t="str">
            <v>A</v>
          </cell>
          <cell r="F2354" t="str">
            <v>09/22/2003</v>
          </cell>
        </row>
        <row r="2355">
          <cell r="B2355" t="str">
            <v>A2510</v>
          </cell>
          <cell r="C2355" t="str">
            <v>012B</v>
          </cell>
          <cell r="D2355" t="str">
            <v>Y</v>
          </cell>
          <cell r="E2355" t="str">
            <v>A</v>
          </cell>
          <cell r="F2355" t="str">
            <v>10/03/2003</v>
          </cell>
        </row>
        <row r="2356">
          <cell r="B2356" t="str">
            <v>A2511</v>
          </cell>
          <cell r="C2356" t="str">
            <v>CIS</v>
          </cell>
          <cell r="D2356" t="str">
            <v>Y</v>
          </cell>
          <cell r="E2356" t="str">
            <v>A</v>
          </cell>
          <cell r="F2356" t="str">
            <v>10/07/2003</v>
          </cell>
        </row>
        <row r="2357">
          <cell r="B2357" t="str">
            <v>A2513</v>
          </cell>
          <cell r="C2357" t="str">
            <v>ARG</v>
          </cell>
          <cell r="D2357" t="str">
            <v>Y</v>
          </cell>
          <cell r="E2357" t="str">
            <v>I</v>
          </cell>
          <cell r="F2357" t="str">
            <v>10/16/2003</v>
          </cell>
        </row>
        <row r="2358">
          <cell r="B2358" t="str">
            <v>A2514</v>
          </cell>
          <cell r="C2358" t="str">
            <v>GEN</v>
          </cell>
          <cell r="D2358" t="str">
            <v>Y</v>
          </cell>
          <cell r="E2358" t="str">
            <v>A</v>
          </cell>
          <cell r="F2358" t="str">
            <v>10/21/2003</v>
          </cell>
        </row>
        <row r="2359">
          <cell r="B2359" t="str">
            <v>A2515</v>
          </cell>
          <cell r="C2359" t="str">
            <v>ARG</v>
          </cell>
          <cell r="D2359" t="str">
            <v>Y</v>
          </cell>
          <cell r="E2359" t="str">
            <v>A</v>
          </cell>
          <cell r="F2359" t="str">
            <v>10/21/2003</v>
          </cell>
        </row>
        <row r="2360">
          <cell r="B2360" t="str">
            <v>A2516</v>
          </cell>
          <cell r="C2360" t="str">
            <v>ARG</v>
          </cell>
          <cell r="D2360" t="str">
            <v>Y</v>
          </cell>
          <cell r="E2360" t="str">
            <v>A</v>
          </cell>
          <cell r="F2360" t="str">
            <v>10/21/2003</v>
          </cell>
        </row>
        <row r="2361">
          <cell r="B2361" t="str">
            <v>A2517</v>
          </cell>
          <cell r="C2361" t="str">
            <v>UEC</v>
          </cell>
          <cell r="D2361" t="str">
            <v>Y</v>
          </cell>
          <cell r="E2361" t="str">
            <v>A</v>
          </cell>
          <cell r="F2361" t="str">
            <v>10/21/2003</v>
          </cell>
        </row>
        <row r="2362">
          <cell r="B2362" t="str">
            <v>A2518</v>
          </cell>
          <cell r="C2362" t="str">
            <v>ARG</v>
          </cell>
          <cell r="D2362" t="str">
            <v>Y</v>
          </cell>
          <cell r="E2362" t="str">
            <v>A</v>
          </cell>
          <cell r="F2362" t="str">
            <v>10/30/2003</v>
          </cell>
        </row>
        <row r="2363">
          <cell r="B2363" t="str">
            <v>A2519</v>
          </cell>
          <cell r="C2363" t="str">
            <v>ARG</v>
          </cell>
          <cell r="D2363" t="str">
            <v>Y</v>
          </cell>
          <cell r="E2363" t="str">
            <v>A</v>
          </cell>
          <cell r="F2363" t="str">
            <v>10/30/2003</v>
          </cell>
        </row>
        <row r="2364">
          <cell r="B2364" t="str">
            <v>A2520</v>
          </cell>
          <cell r="C2364" t="str">
            <v>ARG</v>
          </cell>
          <cell r="D2364" t="str">
            <v>Y</v>
          </cell>
          <cell r="E2364" t="str">
            <v>A</v>
          </cell>
          <cell r="F2364" t="str">
            <v>10/30/2003</v>
          </cell>
        </row>
        <row r="2365">
          <cell r="B2365" t="str">
            <v>A2521</v>
          </cell>
          <cell r="C2365" t="str">
            <v>ARG</v>
          </cell>
          <cell r="D2365" t="str">
            <v>Y</v>
          </cell>
          <cell r="E2365" t="str">
            <v>I</v>
          </cell>
          <cell r="F2365" t="str">
            <v>10/30/2003</v>
          </cell>
        </row>
        <row r="2366">
          <cell r="B2366" t="str">
            <v>A2522</v>
          </cell>
          <cell r="C2366" t="str">
            <v>011B</v>
          </cell>
          <cell r="D2366" t="str">
            <v>Y</v>
          </cell>
          <cell r="E2366" t="str">
            <v>A</v>
          </cell>
          <cell r="F2366" t="str">
            <v>11/14/2003</v>
          </cell>
        </row>
        <row r="2367">
          <cell r="B2367" t="str">
            <v>A2523</v>
          </cell>
          <cell r="C2367" t="str">
            <v>ARG</v>
          </cell>
          <cell r="D2367" t="str">
            <v>Y</v>
          </cell>
          <cell r="E2367" t="str">
            <v>A</v>
          </cell>
          <cell r="F2367" t="str">
            <v>11/14/2003</v>
          </cell>
        </row>
        <row r="2368">
          <cell r="B2368" t="str">
            <v>A2524</v>
          </cell>
          <cell r="C2368" t="str">
            <v>UEC</v>
          </cell>
          <cell r="D2368" t="str">
            <v>Y</v>
          </cell>
          <cell r="E2368" t="str">
            <v>A</v>
          </cell>
          <cell r="F2368" t="str">
            <v>11/17/2003</v>
          </cell>
        </row>
        <row r="2369">
          <cell r="B2369" t="str">
            <v>A2531</v>
          </cell>
          <cell r="C2369" t="str">
            <v>CIL</v>
          </cell>
          <cell r="D2369" t="str">
            <v>Y</v>
          </cell>
          <cell r="E2369" t="str">
            <v>A</v>
          </cell>
          <cell r="F2369" t="str">
            <v>12/03/2003</v>
          </cell>
        </row>
        <row r="2370">
          <cell r="B2370" t="str">
            <v>A2532</v>
          </cell>
          <cell r="C2370" t="str">
            <v>ARG</v>
          </cell>
          <cell r="D2370" t="str">
            <v>Y</v>
          </cell>
          <cell r="E2370" t="str">
            <v>A</v>
          </cell>
          <cell r="F2370" t="str">
            <v>12/04/2003</v>
          </cell>
        </row>
        <row r="2371">
          <cell r="B2371" t="str">
            <v>A2533</v>
          </cell>
          <cell r="C2371" t="str">
            <v>CIL</v>
          </cell>
          <cell r="D2371" t="str">
            <v>N</v>
          </cell>
          <cell r="E2371" t="str">
            <v>A</v>
          </cell>
          <cell r="F2371" t="str">
            <v>01/02/2004</v>
          </cell>
        </row>
        <row r="2372">
          <cell r="B2372" t="str">
            <v>A2534</v>
          </cell>
          <cell r="C2372" t="str">
            <v>ARG</v>
          </cell>
          <cell r="D2372" t="str">
            <v>N</v>
          </cell>
          <cell r="E2372" t="str">
            <v>A</v>
          </cell>
          <cell r="F2372" t="str">
            <v>01/05/2004</v>
          </cell>
        </row>
        <row r="2373">
          <cell r="B2373" t="str">
            <v>A2535</v>
          </cell>
          <cell r="C2373" t="str">
            <v>ARG</v>
          </cell>
          <cell r="D2373" t="str">
            <v>Y</v>
          </cell>
          <cell r="E2373" t="str">
            <v>I</v>
          </cell>
          <cell r="F2373" t="str">
            <v>01/21/2004</v>
          </cell>
        </row>
        <row r="2374">
          <cell r="B2374" t="str">
            <v>A2536</v>
          </cell>
          <cell r="C2374" t="str">
            <v>MV1</v>
          </cell>
          <cell r="D2374" t="str">
            <v>Y</v>
          </cell>
          <cell r="E2374" t="str">
            <v>A</v>
          </cell>
          <cell r="F2374" t="str">
            <v>01/21/2004</v>
          </cell>
        </row>
        <row r="2375">
          <cell r="B2375" t="str">
            <v>A2537</v>
          </cell>
          <cell r="C2375" t="str">
            <v>UEC</v>
          </cell>
          <cell r="D2375" t="str">
            <v>Y</v>
          </cell>
          <cell r="E2375" t="str">
            <v>A</v>
          </cell>
          <cell r="F2375" t="str">
            <v>01/15/2004</v>
          </cell>
        </row>
        <row r="2376">
          <cell r="B2376" t="str">
            <v>A2538</v>
          </cell>
          <cell r="C2376" t="str">
            <v>007A</v>
          </cell>
          <cell r="D2376" t="str">
            <v>Y</v>
          </cell>
          <cell r="E2376" t="str">
            <v>A</v>
          </cell>
          <cell r="F2376" t="str">
            <v>01/22/2004</v>
          </cell>
        </row>
        <row r="2377">
          <cell r="B2377" t="str">
            <v>A2539</v>
          </cell>
          <cell r="C2377" t="str">
            <v>CIM</v>
          </cell>
          <cell r="D2377" t="str">
            <v>Y</v>
          </cell>
          <cell r="E2377" t="str">
            <v>I</v>
          </cell>
          <cell r="F2377" t="str">
            <v>01/23/2004</v>
          </cell>
        </row>
        <row r="2378">
          <cell r="B2378" t="str">
            <v>AXA11</v>
          </cell>
          <cell r="C2378"/>
          <cell r="D2378" t="str">
            <v>Y</v>
          </cell>
          <cell r="E2378" t="str">
            <v>A</v>
          </cell>
          <cell r="F2378" t="str">
            <v>12/15/1997</v>
          </cell>
        </row>
        <row r="2379">
          <cell r="B2379" t="str">
            <v>AXA1F</v>
          </cell>
          <cell r="C2379" t="str">
            <v>AFS</v>
          </cell>
          <cell r="D2379" t="str">
            <v>Y</v>
          </cell>
          <cell r="E2379" t="str">
            <v>A</v>
          </cell>
          <cell r="F2379" t="str">
            <v>12/07/2000</v>
          </cell>
        </row>
        <row r="2380">
          <cell r="B2380" t="str">
            <v>AXA21</v>
          </cell>
          <cell r="C2380" t="str">
            <v>UEC</v>
          </cell>
          <cell r="D2380" t="str">
            <v>Y</v>
          </cell>
          <cell r="E2380" t="str">
            <v>A</v>
          </cell>
          <cell r="F2380" t="str">
            <v>12/21/1997</v>
          </cell>
        </row>
        <row r="2381">
          <cell r="B2381" t="str">
            <v>AXA41</v>
          </cell>
          <cell r="C2381" t="str">
            <v>CIP</v>
          </cell>
          <cell r="D2381" t="str">
            <v>Y</v>
          </cell>
          <cell r="E2381" t="str">
            <v>A</v>
          </cell>
          <cell r="F2381" t="str">
            <v>12/21/1997</v>
          </cell>
        </row>
        <row r="2382">
          <cell r="B2382" t="str">
            <v>AXB10</v>
          </cell>
          <cell r="C2382" t="str">
            <v>AMC</v>
          </cell>
          <cell r="D2382" t="str">
            <v>Y</v>
          </cell>
          <cell r="E2382" t="str">
            <v>A</v>
          </cell>
          <cell r="F2382" t="str">
            <v>12/26/1997</v>
          </cell>
        </row>
        <row r="2383">
          <cell r="B2383" t="str">
            <v>AXB11</v>
          </cell>
          <cell r="C2383"/>
          <cell r="D2383" t="str">
            <v>Y</v>
          </cell>
          <cell r="E2383" t="str">
            <v>A</v>
          </cell>
          <cell r="F2383" t="str">
            <v>12/26/1997</v>
          </cell>
        </row>
        <row r="2384">
          <cell r="B2384" t="str">
            <v>AXB12</v>
          </cell>
          <cell r="C2384" t="str">
            <v>AEC</v>
          </cell>
          <cell r="D2384" t="str">
            <v>Y</v>
          </cell>
          <cell r="E2384" t="str">
            <v>A</v>
          </cell>
          <cell r="F2384" t="str">
            <v>10/13/1998</v>
          </cell>
        </row>
        <row r="2385">
          <cell r="B2385" t="str">
            <v>AXB13</v>
          </cell>
          <cell r="C2385" t="str">
            <v>CIC</v>
          </cell>
          <cell r="D2385" t="str">
            <v>Y</v>
          </cell>
          <cell r="E2385" t="str">
            <v>A</v>
          </cell>
          <cell r="F2385" t="str">
            <v>12/26/1997</v>
          </cell>
        </row>
        <row r="2386">
          <cell r="B2386" t="str">
            <v>AXB14</v>
          </cell>
          <cell r="C2386" t="str">
            <v>UDC</v>
          </cell>
          <cell r="D2386" t="str">
            <v>Y</v>
          </cell>
          <cell r="E2386" t="str">
            <v>A</v>
          </cell>
          <cell r="F2386" t="str">
            <v>12/26/1997</v>
          </cell>
        </row>
        <row r="2387">
          <cell r="B2387" t="str">
            <v>AXB16</v>
          </cell>
          <cell r="C2387" t="str">
            <v>AME</v>
          </cell>
          <cell r="D2387" t="str">
            <v>Y</v>
          </cell>
          <cell r="E2387" t="str">
            <v>A</v>
          </cell>
          <cell r="F2387" t="str">
            <v>10/13/1998</v>
          </cell>
        </row>
        <row r="2388">
          <cell r="B2388" t="str">
            <v>AXB18</v>
          </cell>
          <cell r="C2388" t="str">
            <v>ERC</v>
          </cell>
          <cell r="D2388" t="str">
            <v>Y</v>
          </cell>
          <cell r="E2388" t="str">
            <v>A</v>
          </cell>
          <cell r="F2388" t="str">
            <v>04/28/1998</v>
          </cell>
        </row>
        <row r="2389">
          <cell r="B2389" t="str">
            <v>AXB1D</v>
          </cell>
          <cell r="C2389" t="str">
            <v>AED</v>
          </cell>
          <cell r="D2389" t="str">
            <v>Y</v>
          </cell>
          <cell r="E2389" t="str">
            <v>A</v>
          </cell>
          <cell r="F2389" t="str">
            <v>05/12/2000</v>
          </cell>
        </row>
        <row r="2390">
          <cell r="B2390" t="str">
            <v>AXB1G</v>
          </cell>
          <cell r="C2390" t="str">
            <v>GMC</v>
          </cell>
          <cell r="D2390" t="str">
            <v>Y</v>
          </cell>
          <cell r="E2390" t="str">
            <v>A</v>
          </cell>
          <cell r="F2390" t="str">
            <v>05/29/2000</v>
          </cell>
        </row>
        <row r="2391">
          <cell r="B2391" t="str">
            <v>AXB1H</v>
          </cell>
          <cell r="C2391" t="str">
            <v>IHC</v>
          </cell>
          <cell r="D2391" t="str">
            <v>Y</v>
          </cell>
          <cell r="E2391" t="str">
            <v>A</v>
          </cell>
          <cell r="F2391" t="str">
            <v>12/20/1999</v>
          </cell>
        </row>
        <row r="2392">
          <cell r="B2392" t="str">
            <v>AXB1M</v>
          </cell>
          <cell r="C2392" t="str">
            <v>IMS</v>
          </cell>
          <cell r="D2392" t="str">
            <v>Y</v>
          </cell>
          <cell r="E2392" t="str">
            <v>A</v>
          </cell>
          <cell r="F2392" t="str">
            <v>05/29/2000</v>
          </cell>
        </row>
        <row r="2393">
          <cell r="B2393" t="str">
            <v>AXB21</v>
          </cell>
          <cell r="C2393" t="str">
            <v>UEC</v>
          </cell>
          <cell r="D2393" t="str">
            <v>Y</v>
          </cell>
          <cell r="E2393" t="str">
            <v>A</v>
          </cell>
          <cell r="F2393" t="str">
            <v>12/26/1997</v>
          </cell>
        </row>
        <row r="2394">
          <cell r="B2394" t="str">
            <v>AXB41</v>
          </cell>
          <cell r="C2394" t="str">
            <v>CIP</v>
          </cell>
          <cell r="D2394" t="str">
            <v>Y</v>
          </cell>
          <cell r="E2394" t="str">
            <v>A</v>
          </cell>
          <cell r="F2394" t="str">
            <v>12/26/1997</v>
          </cell>
        </row>
        <row r="2395">
          <cell r="B2395" t="str">
            <v>AXB90</v>
          </cell>
          <cell r="C2395" t="str">
            <v>GEN</v>
          </cell>
          <cell r="D2395" t="str">
            <v>Y</v>
          </cell>
          <cell r="E2395" t="str">
            <v>A</v>
          </cell>
          <cell r="F2395" t="str">
            <v>05/29/2000</v>
          </cell>
        </row>
        <row r="2396">
          <cell r="B2396" t="str">
            <v>C0012</v>
          </cell>
          <cell r="C2396" t="str">
            <v>CIP</v>
          </cell>
          <cell r="D2396" t="str">
            <v>N</v>
          </cell>
          <cell r="E2396" t="str">
            <v>A</v>
          </cell>
          <cell r="F2396" t="str">
            <v>01/31/2002</v>
          </cell>
        </row>
        <row r="2397">
          <cell r="B2397" t="str">
            <v>C0022</v>
          </cell>
          <cell r="C2397" t="str">
            <v>CIP</v>
          </cell>
          <cell r="D2397" t="str">
            <v>N</v>
          </cell>
          <cell r="E2397" t="str">
            <v>A</v>
          </cell>
          <cell r="F2397" t="str">
            <v>05/30/2002</v>
          </cell>
        </row>
        <row r="2398">
          <cell r="B2398" t="str">
            <v>C0023</v>
          </cell>
          <cell r="C2398" t="str">
            <v>CIP</v>
          </cell>
          <cell r="D2398" t="str">
            <v>N</v>
          </cell>
          <cell r="E2398" t="str">
            <v>I</v>
          </cell>
          <cell r="F2398" t="str">
            <v>09/18/2002</v>
          </cell>
        </row>
        <row r="2399">
          <cell r="B2399" t="str">
            <v>C0025</v>
          </cell>
          <cell r="C2399" t="str">
            <v>CIP</v>
          </cell>
          <cell r="D2399" t="str">
            <v>N</v>
          </cell>
          <cell r="E2399" t="str">
            <v>A</v>
          </cell>
          <cell r="F2399" t="str">
            <v>01/13/1998</v>
          </cell>
        </row>
        <row r="2400">
          <cell r="B2400" t="str">
            <v>C0030</v>
          </cell>
          <cell r="C2400" t="str">
            <v>CIP</v>
          </cell>
          <cell r="D2400" t="str">
            <v>N</v>
          </cell>
          <cell r="E2400" t="str">
            <v>A</v>
          </cell>
          <cell r="F2400" t="str">
            <v>05/04/1999</v>
          </cell>
        </row>
        <row r="2401">
          <cell r="B2401" t="str">
            <v>C0032</v>
          </cell>
          <cell r="C2401" t="str">
            <v>CIP</v>
          </cell>
          <cell r="D2401" t="str">
            <v>N</v>
          </cell>
          <cell r="E2401" t="str">
            <v>A</v>
          </cell>
          <cell r="F2401" t="str">
            <v>01/06/1998</v>
          </cell>
        </row>
        <row r="2402">
          <cell r="B2402" t="str">
            <v>C0101</v>
          </cell>
          <cell r="C2402" t="str">
            <v>CIP</v>
          </cell>
          <cell r="D2402" t="str">
            <v>N</v>
          </cell>
          <cell r="E2402" t="str">
            <v>A</v>
          </cell>
          <cell r="F2402" t="str">
            <v>01/12/1998</v>
          </cell>
        </row>
        <row r="2403">
          <cell r="B2403" t="str">
            <v>C0102</v>
          </cell>
          <cell r="C2403" t="str">
            <v>CIP</v>
          </cell>
          <cell r="D2403" t="str">
            <v>N</v>
          </cell>
          <cell r="E2403" t="str">
            <v>A</v>
          </cell>
          <cell r="F2403" t="str">
            <v>01/12/1998</v>
          </cell>
        </row>
        <row r="2404">
          <cell r="B2404" t="str">
            <v>C0103</v>
          </cell>
          <cell r="C2404" t="str">
            <v>CIP</v>
          </cell>
          <cell r="D2404" t="str">
            <v>N</v>
          </cell>
          <cell r="E2404" t="str">
            <v>A</v>
          </cell>
          <cell r="F2404" t="str">
            <v>01/12/1998</v>
          </cell>
        </row>
        <row r="2405">
          <cell r="B2405" t="str">
            <v>C0105</v>
          </cell>
          <cell r="C2405" t="str">
            <v>CIP</v>
          </cell>
          <cell r="D2405" t="str">
            <v>N</v>
          </cell>
          <cell r="E2405" t="str">
            <v>A</v>
          </cell>
          <cell r="F2405" t="str">
            <v>01/12/1998</v>
          </cell>
        </row>
        <row r="2406">
          <cell r="B2406" t="str">
            <v>C0111</v>
          </cell>
          <cell r="C2406" t="str">
            <v>CIP</v>
          </cell>
          <cell r="D2406" t="str">
            <v>N</v>
          </cell>
          <cell r="E2406" t="str">
            <v>A</v>
          </cell>
          <cell r="F2406" t="str">
            <v>12/07/1997</v>
          </cell>
        </row>
        <row r="2407">
          <cell r="B2407" t="str">
            <v>C0113</v>
          </cell>
          <cell r="C2407" t="str">
            <v>CIP</v>
          </cell>
          <cell r="D2407" t="str">
            <v>N</v>
          </cell>
          <cell r="E2407" t="str">
            <v>A</v>
          </cell>
          <cell r="F2407" t="str">
            <v>12/07/1997</v>
          </cell>
        </row>
        <row r="2408">
          <cell r="B2408" t="str">
            <v>C0114</v>
          </cell>
          <cell r="C2408" t="str">
            <v>CIP</v>
          </cell>
          <cell r="D2408" t="str">
            <v>N</v>
          </cell>
          <cell r="E2408" t="str">
            <v>A</v>
          </cell>
          <cell r="F2408" t="str">
            <v>08/02/2003</v>
          </cell>
        </row>
        <row r="2409">
          <cell r="B2409" t="str">
            <v>C0201</v>
          </cell>
          <cell r="C2409" t="str">
            <v>CIP</v>
          </cell>
          <cell r="D2409" t="str">
            <v>N</v>
          </cell>
          <cell r="E2409" t="str">
            <v>A</v>
          </cell>
          <cell r="F2409" t="str">
            <v>12/07/1997</v>
          </cell>
        </row>
        <row r="2410">
          <cell r="B2410" t="str">
            <v>C0202</v>
          </cell>
          <cell r="C2410" t="str">
            <v>CIP</v>
          </cell>
          <cell r="D2410" t="str">
            <v>N</v>
          </cell>
          <cell r="E2410" t="str">
            <v>A</v>
          </cell>
          <cell r="F2410" t="str">
            <v>12/07/1997</v>
          </cell>
        </row>
        <row r="2411">
          <cell r="B2411" t="str">
            <v>C0203</v>
          </cell>
          <cell r="C2411" t="str">
            <v>CIP</v>
          </cell>
          <cell r="D2411" t="str">
            <v>N</v>
          </cell>
          <cell r="E2411" t="str">
            <v>A</v>
          </cell>
          <cell r="F2411" t="str">
            <v>12/07/1997</v>
          </cell>
        </row>
        <row r="2412">
          <cell r="B2412" t="str">
            <v>C0204</v>
          </cell>
          <cell r="C2412" t="str">
            <v>CIP</v>
          </cell>
          <cell r="D2412" t="str">
            <v>N</v>
          </cell>
          <cell r="E2412" t="str">
            <v>I</v>
          </cell>
          <cell r="F2412" t="str">
            <v>12/07/1997</v>
          </cell>
        </row>
        <row r="2413">
          <cell r="B2413" t="str">
            <v>C0205</v>
          </cell>
          <cell r="C2413" t="str">
            <v>CIP</v>
          </cell>
          <cell r="D2413" t="str">
            <v>N</v>
          </cell>
          <cell r="E2413" t="str">
            <v>I</v>
          </cell>
          <cell r="F2413" t="str">
            <v>12/07/1997</v>
          </cell>
        </row>
        <row r="2414">
          <cell r="B2414" t="str">
            <v>C0211</v>
          </cell>
          <cell r="C2414" t="str">
            <v>CIP</v>
          </cell>
          <cell r="D2414" t="str">
            <v>N</v>
          </cell>
          <cell r="E2414" t="str">
            <v>A</v>
          </cell>
          <cell r="F2414" t="str">
            <v>12/07/1997</v>
          </cell>
        </row>
        <row r="2415">
          <cell r="B2415" t="str">
            <v>C0213</v>
          </cell>
          <cell r="C2415" t="str">
            <v>CIP</v>
          </cell>
          <cell r="D2415" t="str">
            <v>N</v>
          </cell>
          <cell r="E2415" t="str">
            <v>A</v>
          </cell>
          <cell r="F2415" t="str">
            <v>12/07/1997</v>
          </cell>
        </row>
        <row r="2416">
          <cell r="B2416" t="str">
            <v>C0214</v>
          </cell>
          <cell r="C2416" t="str">
            <v>CIP</v>
          </cell>
          <cell r="D2416" t="str">
            <v>N</v>
          </cell>
          <cell r="E2416" t="str">
            <v>A</v>
          </cell>
          <cell r="F2416" t="str">
            <v>12/07/1997</v>
          </cell>
        </row>
        <row r="2417">
          <cell r="B2417" t="str">
            <v>C0301</v>
          </cell>
          <cell r="C2417" t="str">
            <v>CIP</v>
          </cell>
          <cell r="D2417" t="str">
            <v>N</v>
          </cell>
          <cell r="E2417" t="str">
            <v>A</v>
          </cell>
          <cell r="F2417" t="str">
            <v>12/07/1997</v>
          </cell>
        </row>
        <row r="2418">
          <cell r="B2418" t="str">
            <v>C0302</v>
          </cell>
          <cell r="C2418" t="str">
            <v>CIP</v>
          </cell>
          <cell r="D2418" t="str">
            <v>N</v>
          </cell>
          <cell r="E2418" t="str">
            <v>A</v>
          </cell>
          <cell r="F2418" t="str">
            <v>12/07/1997</v>
          </cell>
        </row>
        <row r="2419">
          <cell r="B2419" t="str">
            <v>C0303</v>
          </cell>
          <cell r="C2419" t="str">
            <v>CIP</v>
          </cell>
          <cell r="D2419" t="str">
            <v>N</v>
          </cell>
          <cell r="E2419" t="str">
            <v>A</v>
          </cell>
          <cell r="F2419" t="str">
            <v>12/07/1997</v>
          </cell>
        </row>
        <row r="2420">
          <cell r="B2420" t="str">
            <v>C0305</v>
          </cell>
          <cell r="C2420" t="str">
            <v>CIP</v>
          </cell>
          <cell r="D2420" t="str">
            <v>N</v>
          </cell>
          <cell r="E2420" t="str">
            <v>A</v>
          </cell>
          <cell r="F2420" t="str">
            <v>12/07/1997</v>
          </cell>
        </row>
        <row r="2421">
          <cell r="B2421" t="str">
            <v>C0311</v>
          </cell>
          <cell r="C2421" t="str">
            <v>CIP</v>
          </cell>
          <cell r="D2421" t="str">
            <v>N</v>
          </cell>
          <cell r="E2421" t="str">
            <v>A</v>
          </cell>
          <cell r="F2421" t="str">
            <v>12/07/1997</v>
          </cell>
        </row>
        <row r="2422">
          <cell r="B2422" t="str">
            <v>C0313</v>
          </cell>
          <cell r="C2422" t="str">
            <v>CIP</v>
          </cell>
          <cell r="D2422" t="str">
            <v>N</v>
          </cell>
          <cell r="E2422" t="str">
            <v>A</v>
          </cell>
          <cell r="F2422" t="str">
            <v>12/07/1997</v>
          </cell>
        </row>
        <row r="2423">
          <cell r="B2423" t="str">
            <v>C0314</v>
          </cell>
          <cell r="C2423" t="str">
            <v>CIP</v>
          </cell>
          <cell r="D2423" t="str">
            <v>N</v>
          </cell>
          <cell r="E2423" t="str">
            <v>A</v>
          </cell>
          <cell r="F2423" t="str">
            <v>12/07/1997</v>
          </cell>
        </row>
        <row r="2424">
          <cell r="B2424" t="str">
            <v>C0401</v>
          </cell>
          <cell r="C2424" t="str">
            <v>CIP</v>
          </cell>
          <cell r="D2424" t="str">
            <v>N</v>
          </cell>
          <cell r="E2424" t="str">
            <v>A</v>
          </cell>
          <cell r="F2424" t="str">
            <v>12/07/1997</v>
          </cell>
        </row>
        <row r="2425">
          <cell r="B2425" t="str">
            <v>C0402</v>
          </cell>
          <cell r="C2425" t="str">
            <v>CIP</v>
          </cell>
          <cell r="D2425" t="str">
            <v>N</v>
          </cell>
          <cell r="E2425" t="str">
            <v>A</v>
          </cell>
          <cell r="F2425" t="str">
            <v>12/07/1997</v>
          </cell>
        </row>
        <row r="2426">
          <cell r="B2426" t="str">
            <v>C0403</v>
          </cell>
          <cell r="C2426" t="str">
            <v>CIP</v>
          </cell>
          <cell r="D2426" t="str">
            <v>N</v>
          </cell>
          <cell r="E2426" t="str">
            <v>A</v>
          </cell>
          <cell r="F2426" t="str">
            <v>12/07/1997</v>
          </cell>
        </row>
        <row r="2427">
          <cell r="B2427" t="str">
            <v>C0407</v>
          </cell>
          <cell r="C2427" t="str">
            <v>CIP</v>
          </cell>
          <cell r="D2427" t="str">
            <v>N</v>
          </cell>
          <cell r="E2427" t="str">
            <v>A</v>
          </cell>
          <cell r="F2427" t="str">
            <v>06/26/1998</v>
          </cell>
        </row>
        <row r="2428">
          <cell r="B2428" t="str">
            <v>C0411</v>
          </cell>
          <cell r="C2428" t="str">
            <v>CIP</v>
          </cell>
          <cell r="D2428" t="str">
            <v>N</v>
          </cell>
          <cell r="E2428" t="str">
            <v>A</v>
          </cell>
          <cell r="F2428" t="str">
            <v>12/07/1997</v>
          </cell>
        </row>
        <row r="2429">
          <cell r="B2429" t="str">
            <v>C0413</v>
          </cell>
          <cell r="C2429" t="str">
            <v>CIP</v>
          </cell>
          <cell r="D2429" t="str">
            <v>N</v>
          </cell>
          <cell r="E2429" t="str">
            <v>A</v>
          </cell>
          <cell r="F2429" t="str">
            <v>12/07/1997</v>
          </cell>
        </row>
        <row r="2430">
          <cell r="B2430" t="str">
            <v>C0414</v>
          </cell>
          <cell r="C2430" t="str">
            <v>CIP</v>
          </cell>
          <cell r="D2430" t="str">
            <v>N</v>
          </cell>
          <cell r="E2430" t="str">
            <v>A</v>
          </cell>
          <cell r="F2430" t="str">
            <v>12/07/1997</v>
          </cell>
        </row>
        <row r="2431">
          <cell r="B2431" t="str">
            <v>C0701</v>
          </cell>
          <cell r="C2431" t="str">
            <v>CIP</v>
          </cell>
          <cell r="D2431" t="str">
            <v>N</v>
          </cell>
          <cell r="E2431" t="str">
            <v>A</v>
          </cell>
          <cell r="F2431" t="str">
            <v>12/07/1997</v>
          </cell>
        </row>
        <row r="2432">
          <cell r="B2432" t="str">
            <v>C0702</v>
          </cell>
          <cell r="C2432" t="str">
            <v>CIP</v>
          </cell>
          <cell r="D2432" t="str">
            <v>N</v>
          </cell>
          <cell r="E2432" t="str">
            <v>A</v>
          </cell>
          <cell r="F2432" t="str">
            <v>12/07/1997</v>
          </cell>
        </row>
        <row r="2433">
          <cell r="B2433" t="str">
            <v>C0703</v>
          </cell>
          <cell r="C2433" t="str">
            <v>CIP</v>
          </cell>
          <cell r="D2433" t="str">
            <v>N</v>
          </cell>
          <cell r="E2433" t="str">
            <v>A</v>
          </cell>
          <cell r="F2433" t="str">
            <v>12/07/1997</v>
          </cell>
        </row>
        <row r="2434">
          <cell r="B2434" t="str">
            <v>C0711</v>
          </cell>
          <cell r="C2434" t="str">
            <v>CIP</v>
          </cell>
          <cell r="D2434" t="str">
            <v>N</v>
          </cell>
          <cell r="E2434" t="str">
            <v>A</v>
          </cell>
          <cell r="F2434" t="str">
            <v>12/07/1997</v>
          </cell>
        </row>
        <row r="2435">
          <cell r="B2435" t="str">
            <v>C0713</v>
          </cell>
          <cell r="C2435" t="str">
            <v>CIP</v>
          </cell>
          <cell r="D2435" t="str">
            <v>N</v>
          </cell>
          <cell r="E2435" t="str">
            <v>A</v>
          </cell>
          <cell r="F2435" t="str">
            <v>12/07/1997</v>
          </cell>
        </row>
        <row r="2436">
          <cell r="B2436" t="str">
            <v>C0801</v>
          </cell>
          <cell r="C2436" t="str">
            <v>CIP</v>
          </cell>
          <cell r="D2436" t="str">
            <v>N</v>
          </cell>
          <cell r="E2436" t="str">
            <v>A</v>
          </cell>
          <cell r="F2436" t="str">
            <v>12/07/1997</v>
          </cell>
        </row>
        <row r="2437">
          <cell r="B2437" t="str">
            <v>C0802</v>
          </cell>
          <cell r="C2437" t="str">
            <v>CIP</v>
          </cell>
          <cell r="D2437" t="str">
            <v>N</v>
          </cell>
          <cell r="E2437" t="str">
            <v>A</v>
          </cell>
          <cell r="F2437" t="str">
            <v>12/07/1997</v>
          </cell>
        </row>
        <row r="2438">
          <cell r="B2438" t="str">
            <v>C0803</v>
          </cell>
          <cell r="C2438" t="str">
            <v>CIP</v>
          </cell>
          <cell r="D2438" t="str">
            <v>N</v>
          </cell>
          <cell r="E2438" t="str">
            <v>A</v>
          </cell>
          <cell r="F2438" t="str">
            <v>12/07/1997</v>
          </cell>
        </row>
        <row r="2439">
          <cell r="B2439" t="str">
            <v>C0805</v>
          </cell>
          <cell r="C2439" t="str">
            <v>CIP</v>
          </cell>
          <cell r="D2439" t="str">
            <v>N</v>
          </cell>
          <cell r="E2439" t="str">
            <v>A</v>
          </cell>
          <cell r="F2439" t="str">
            <v>12/07/1997</v>
          </cell>
        </row>
        <row r="2440">
          <cell r="B2440" t="str">
            <v>C0811</v>
          </cell>
          <cell r="C2440" t="str">
            <v>CIP</v>
          </cell>
          <cell r="D2440" t="str">
            <v>N</v>
          </cell>
          <cell r="E2440" t="str">
            <v>A</v>
          </cell>
          <cell r="F2440" t="str">
            <v>12/07/1997</v>
          </cell>
        </row>
        <row r="2441">
          <cell r="B2441" t="str">
            <v>C0813</v>
          </cell>
          <cell r="C2441" t="str">
            <v>CIP</v>
          </cell>
          <cell r="D2441" t="str">
            <v>N</v>
          </cell>
          <cell r="E2441" t="str">
            <v>A</v>
          </cell>
          <cell r="F2441" t="str">
            <v>12/07/1997</v>
          </cell>
        </row>
        <row r="2442">
          <cell r="B2442" t="str">
            <v>C0920</v>
          </cell>
          <cell r="C2442" t="str">
            <v>GEN</v>
          </cell>
          <cell r="D2442" t="str">
            <v>N</v>
          </cell>
          <cell r="E2442" t="str">
            <v>A</v>
          </cell>
          <cell r="F2442" t="str">
            <v>01/12/1998</v>
          </cell>
        </row>
        <row r="2443">
          <cell r="B2443" t="str">
            <v>C0930</v>
          </cell>
          <cell r="C2443" t="str">
            <v>GEN</v>
          </cell>
          <cell r="D2443" t="str">
            <v>N</v>
          </cell>
          <cell r="E2443" t="str">
            <v>A</v>
          </cell>
          <cell r="F2443" t="str">
            <v>01/12/1998</v>
          </cell>
        </row>
        <row r="2444">
          <cell r="B2444" t="str">
            <v>C0940</v>
          </cell>
          <cell r="C2444" t="str">
            <v>GEN</v>
          </cell>
          <cell r="D2444" t="str">
            <v>N</v>
          </cell>
          <cell r="E2444" t="str">
            <v>A</v>
          </cell>
          <cell r="F2444" t="str">
            <v>01/12/1998</v>
          </cell>
        </row>
        <row r="2445">
          <cell r="B2445" t="str">
            <v>C0950</v>
          </cell>
          <cell r="C2445" t="str">
            <v>GEN</v>
          </cell>
          <cell r="D2445" t="str">
            <v>N</v>
          </cell>
          <cell r="E2445" t="str">
            <v>A</v>
          </cell>
          <cell r="F2445" t="str">
            <v>01/12/1998</v>
          </cell>
        </row>
        <row r="2446">
          <cell r="B2446" t="str">
            <v>C0992</v>
          </cell>
          <cell r="C2446" t="str">
            <v>CIP</v>
          </cell>
          <cell r="D2446" t="str">
            <v>N</v>
          </cell>
          <cell r="E2446" t="str">
            <v>A</v>
          </cell>
          <cell r="F2446" t="str">
            <v>05/09/2003</v>
          </cell>
        </row>
        <row r="2447">
          <cell r="B2447" t="str">
            <v>C1201</v>
          </cell>
          <cell r="C2447" t="str">
            <v>CIL</v>
          </cell>
          <cell r="D2447" t="str">
            <v>N</v>
          </cell>
          <cell r="E2447" t="str">
            <v>A</v>
          </cell>
          <cell r="F2447" t="str">
            <v>11/17/2003</v>
          </cell>
        </row>
        <row r="2448">
          <cell r="B2448" t="str">
            <v>C1209</v>
          </cell>
          <cell r="C2448" t="str">
            <v>CIL</v>
          </cell>
          <cell r="D2448" t="str">
            <v>N</v>
          </cell>
          <cell r="E2448" t="str">
            <v>A</v>
          </cell>
          <cell r="F2448" t="str">
            <v>01/05/2004</v>
          </cell>
        </row>
        <row r="2449">
          <cell r="B2449" t="str">
            <v>C1209</v>
          </cell>
          <cell r="C2449" t="str">
            <v>CIL</v>
          </cell>
          <cell r="D2449" t="str">
            <v>N</v>
          </cell>
          <cell r="E2449" t="str">
            <v>A</v>
          </cell>
          <cell r="F2449" t="str">
            <v>01/05/2004</v>
          </cell>
        </row>
        <row r="2450">
          <cell r="B2450" t="str">
            <v>C1220</v>
          </cell>
          <cell r="C2450" t="str">
            <v>CIL</v>
          </cell>
          <cell r="D2450" t="str">
            <v>N</v>
          </cell>
          <cell r="E2450" t="str">
            <v>A</v>
          </cell>
          <cell r="F2450" t="str">
            <v>12/21/2003</v>
          </cell>
        </row>
        <row r="2451">
          <cell r="B2451" t="str">
            <v>C1250</v>
          </cell>
          <cell r="C2451" t="str">
            <v>CIL</v>
          </cell>
          <cell r="D2451" t="str">
            <v>N</v>
          </cell>
          <cell r="E2451" t="str">
            <v>A</v>
          </cell>
          <cell r="F2451" t="str">
            <v>12/21/2003</v>
          </cell>
        </row>
        <row r="2452">
          <cell r="B2452" t="str">
            <v>C1250</v>
          </cell>
          <cell r="C2452" t="str">
            <v>CIL</v>
          </cell>
          <cell r="D2452" t="str">
            <v>N</v>
          </cell>
          <cell r="E2452" t="str">
            <v>A</v>
          </cell>
          <cell r="F2452" t="str">
            <v>12/21/2003</v>
          </cell>
        </row>
        <row r="2453">
          <cell r="B2453" t="str">
            <v>C1310</v>
          </cell>
          <cell r="C2453" t="str">
            <v>CIL</v>
          </cell>
          <cell r="D2453" t="str">
            <v>N</v>
          </cell>
          <cell r="E2453" t="str">
            <v>A</v>
          </cell>
          <cell r="F2453" t="str">
            <v>12/21/2003</v>
          </cell>
        </row>
        <row r="2454">
          <cell r="B2454" t="str">
            <v>C2023</v>
          </cell>
          <cell r="C2454" t="str">
            <v>CIL</v>
          </cell>
          <cell r="D2454" t="str">
            <v>N</v>
          </cell>
          <cell r="E2454" t="str">
            <v>A</v>
          </cell>
          <cell r="F2454" t="str">
            <v>12/21/2003</v>
          </cell>
        </row>
        <row r="2455">
          <cell r="B2455" t="str">
            <v>CIL01</v>
          </cell>
          <cell r="C2455" t="str">
            <v>CIL</v>
          </cell>
          <cell r="D2455" t="str">
            <v>N</v>
          </cell>
          <cell r="E2455" t="str">
            <v>A</v>
          </cell>
          <cell r="F2455" t="str">
            <v>01/06/2004</v>
          </cell>
        </row>
        <row r="2456">
          <cell r="B2456" t="str">
            <v>CIP01</v>
          </cell>
          <cell r="C2456" t="str">
            <v>CIP</v>
          </cell>
          <cell r="D2456" t="str">
            <v>N</v>
          </cell>
          <cell r="E2456" t="str">
            <v>A</v>
          </cell>
          <cell r="F2456" t="str">
            <v>01/12/2001</v>
          </cell>
        </row>
        <row r="2457">
          <cell r="B2457" t="str">
            <v>GEN03</v>
          </cell>
          <cell r="C2457" t="str">
            <v>GEN</v>
          </cell>
          <cell r="D2457" t="str">
            <v>N</v>
          </cell>
          <cell r="E2457" t="str">
            <v>A</v>
          </cell>
          <cell r="F2457" t="str">
            <v>01/12/2001</v>
          </cell>
        </row>
        <row r="2458">
          <cell r="B2458" t="str">
            <v>UEC01</v>
          </cell>
          <cell r="C2458" t="str">
            <v>UEC</v>
          </cell>
          <cell r="D2458" t="str">
            <v>N</v>
          </cell>
          <cell r="E2458" t="str">
            <v>A</v>
          </cell>
          <cell r="F2458" t="str">
            <v>01/12/2001</v>
          </cell>
        </row>
        <row r="2459">
          <cell r="B2459" t="str">
            <v>UEC03</v>
          </cell>
          <cell r="C2459" t="str">
            <v>UEC</v>
          </cell>
          <cell r="D2459" t="str">
            <v>N</v>
          </cell>
          <cell r="E2459" t="str">
            <v>A</v>
          </cell>
          <cell r="F2459" t="str">
            <v>01/12/2001</v>
          </cell>
        </row>
        <row r="2460">
          <cell r="B2460" t="str">
            <v>X9998</v>
          </cell>
          <cell r="C2460" t="str">
            <v>CIP</v>
          </cell>
          <cell r="D2460" t="str">
            <v>N</v>
          </cell>
          <cell r="E2460" t="str">
            <v>A</v>
          </cell>
          <cell r="F2460" t="str">
            <v>01/15/1998</v>
          </cell>
        </row>
        <row r="2461">
          <cell r="B2461" t="str">
            <v>X9999</v>
          </cell>
          <cell r="C2461" t="str">
            <v>UEC</v>
          </cell>
          <cell r="D2461" t="str">
            <v>N</v>
          </cell>
          <cell r="E2461" t="str">
            <v>A</v>
          </cell>
          <cell r="F2461" t="str">
            <v>01/15/1998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Sch A-1"/>
      <sheetName val="Sch A-2"/>
      <sheetName val="Sch A-2.1"/>
      <sheetName val="Sch A-3"/>
      <sheetName val="Sch A-4"/>
      <sheetName val="Sch A-5 RB"/>
      <sheetName val="Sch A-5 Exp"/>
      <sheetName val="WPA-5"/>
      <sheetName val="WPA-5.2"/>
      <sheetName val="Sch B-1"/>
      <sheetName val="Sch B-2"/>
      <sheetName val="Sch B-2.1"/>
      <sheetName val="Sch B-2.2"/>
      <sheetName val="WPB-2.2a"/>
      <sheetName val="WPB-2.2b"/>
      <sheetName val="Sch B-2.3"/>
      <sheetName val="WPB-2.3"/>
      <sheetName val="Sch B-2.4"/>
      <sheetName val="WPB-2.4"/>
      <sheetName val="Sch B-2.5"/>
      <sheetName val="WPB-2.5a"/>
      <sheetName val="Sch B-2.6"/>
      <sheetName val="WPB-2.6"/>
      <sheetName val="Sch B-3"/>
      <sheetName val="Sch B-4"/>
      <sheetName val="Sch B-5"/>
      <sheetName val="WPB-5"/>
      <sheetName val="Sch B-5.1"/>
      <sheetName val="Sch B-6"/>
      <sheetName val="Sch B-7.2"/>
      <sheetName val="Sch B-7.2a"/>
      <sheetName val="Sch B-8"/>
      <sheetName val="Sch B-8.1"/>
      <sheetName val="WPB-8.1a"/>
      <sheetName val="Sch B-9"/>
      <sheetName val="WPB-9"/>
      <sheetName val="WPB-9a"/>
      <sheetName val="WPB-9b"/>
      <sheetName val="Sch B-9.1"/>
      <sheetName val="Sch B-13"/>
      <sheetName val="WPB-13a"/>
      <sheetName val="Sch B-14"/>
      <sheetName val="Sch C-1"/>
      <sheetName val="Sch C-2"/>
      <sheetName val="Sch C-2.1"/>
      <sheetName val="WPC-2.1"/>
      <sheetName val="Sch C-2.2"/>
      <sheetName val="WPC-2.2"/>
      <sheetName val="Sch C-2.3"/>
      <sheetName val="WPC-2.3"/>
      <sheetName val="WPC-2.3.3 Annualized Detail"/>
      <sheetName val="Sch C-2.4"/>
      <sheetName val="Sch C-2.5"/>
      <sheetName val="WPC-2.5"/>
      <sheetName val="Sch C-2.6"/>
      <sheetName val="WPC-2.6"/>
      <sheetName val="Sch C-2.7"/>
      <sheetName val="Sch C-2.8"/>
      <sheetName val="Sch C-2.9"/>
      <sheetName val="Sch C-2.10"/>
      <sheetName val="WPC-2.10"/>
      <sheetName val="Sch C-2.11"/>
      <sheetName val="WPC-2.11"/>
      <sheetName val="Sch C-2.12"/>
      <sheetName val="WPC-2.12"/>
      <sheetName val="Sch C-2.13"/>
      <sheetName val="WPC-2.13"/>
      <sheetName val="Sch C-2.14"/>
      <sheetName val="WPC-2.14"/>
      <sheetName val="WPC-2.14a"/>
      <sheetName val="Sch C-2.15"/>
      <sheetName val="Sch C-2.16"/>
      <sheetName val="Sch C-2.17"/>
      <sheetName val="Sch C-2.18"/>
      <sheetName val="Sch C-2.19"/>
      <sheetName val="WPC-2.19"/>
      <sheetName val="Sch C-2.20"/>
      <sheetName val="WPC-2.20"/>
      <sheetName val="Sch C-2.21"/>
      <sheetName val="WPC-2.21"/>
      <sheetName val="Sch C-2.22"/>
      <sheetName val="Sch C-2.23"/>
      <sheetName val="WPC-2.23"/>
      <sheetName val="Sch C-2.24"/>
      <sheetName val="Sch C-3"/>
      <sheetName val="Sch C-4"/>
      <sheetName val="Sch C-5a"/>
      <sheetName val="Sch C-5b"/>
      <sheetName val="Sch C-5.1"/>
      <sheetName val="Sch C-5.2"/>
      <sheetName val="Sch C-5.3"/>
      <sheetName val="Sch C-5.4"/>
      <sheetName val="WPC-5.4"/>
      <sheetName val="Sch C-6"/>
      <sheetName val="Sch C-6.1"/>
      <sheetName val="Sch C-6.2"/>
      <sheetName val="Sch C-7"/>
      <sheetName val="Schedule C-7"/>
      <sheetName val="Sch C-8"/>
      <sheetName val="Sch C-9"/>
      <sheetName val="Sch C-10"/>
      <sheetName val="WPC-10"/>
      <sheetName val="Sch C-10.1"/>
      <sheetName val="Sch C-11.1"/>
      <sheetName val="WPC-11.1"/>
      <sheetName val="Sch C-11.2a"/>
      <sheetName val="Sch C-11.2b"/>
      <sheetName val="Sch C-11.2c"/>
      <sheetName val="Sch C-11.2d"/>
      <sheetName val="Sch C-11.2e"/>
      <sheetName val="Sch C-11.2f"/>
      <sheetName val="Sch C-11.2g"/>
      <sheetName val="Sch C-11.2h"/>
      <sheetName val="Sch C-11.3"/>
      <sheetName val="WPC-11.3"/>
      <sheetName val="WPC-11.3a"/>
      <sheetName val="WPC-11.3b"/>
      <sheetName val="WPC-11.3c"/>
      <sheetName val="Sch C-12"/>
      <sheetName val="WPC-12"/>
      <sheetName val="Sch C-13"/>
      <sheetName val="Sch C-14"/>
      <sheetName val="WPC-14"/>
      <sheetName val="Sch C-16 OLD-Replaced 12.12.05"/>
      <sheetName val="WPC-16a"/>
      <sheetName val="Sch C-16"/>
      <sheetName val="Sch C-17 2004"/>
      <sheetName val="Sch C-17 2004 to Sept"/>
      <sheetName val="Sch C-17 2003"/>
      <sheetName val="Sch C-17 2002"/>
      <sheetName val="Sch C-17 2001"/>
      <sheetName val="Sch C-18"/>
      <sheetName val="WPC-18a"/>
      <sheetName val="WPC-18b"/>
      <sheetName val="WPC-18c"/>
      <sheetName val="Sch C-19"/>
      <sheetName val="Sch C-21"/>
      <sheetName val="Sch C-22"/>
      <sheetName val="Sch C-23"/>
      <sheetName val="WPC-23"/>
      <sheetName val="Sch C-25"/>
      <sheetName val="Sch C-26"/>
      <sheetName val="Sch C-29"/>
      <sheetName val="Sch C-31"/>
      <sheetName val="Sch C-32"/>
      <sheetName val="WPC-4"/>
      <sheetName val="WPA-5.1.4 Func Factors"/>
      <sheetName val="WPB-1 Cust Adv"/>
      <sheetName val="WPB-2.2.3"/>
      <sheetName val="WPB-2.4.2 Int Plt Gross - AMS"/>
      <sheetName val="WPB-2.4.3 Int Plt Reserve - AMS"/>
      <sheetName val="WPB-2.4.4 Int Plt Net - AMS"/>
      <sheetName val="WPB-2.4.5 Gen Plt Gross -AMS"/>
      <sheetName val="WPB-2.4.6 Gen Plt Reserve - AMS"/>
      <sheetName val="WPB-2.4.7 Gen Plt Net - AMS"/>
      <sheetName val="Sch B-5.2 Merged or Acq Prop"/>
      <sheetName val="Sch B-5.3 Leased Prop"/>
      <sheetName val="Sch B-7 CWIP"/>
      <sheetName val="Sch B-7.1 CWIP % Complete"/>
      <sheetName val="WPB-8.1b"/>
      <sheetName val="Construction"/>
      <sheetName val="GPROD"/>
      <sheetName val="ETRANS"/>
      <sheetName val="GTRANS"/>
      <sheetName val="EDISTR"/>
      <sheetName val="GDISTR"/>
      <sheetName val="DistrMisc"/>
      <sheetName val="Other"/>
      <sheetName val="Sch B-10 Def Charges"/>
      <sheetName val="Sch B-11 PHFFU"/>
      <sheetName val="Sch B-12 Analysis of PHFFU"/>
      <sheetName val="WPC-2.2.2"/>
      <sheetName val="WPC-2.2.3"/>
      <sheetName val="WPC-2.2.4"/>
      <sheetName val="WPC-2.2.5"/>
      <sheetName val="WPC-2.2.6"/>
      <sheetName val="WPC-2.2.7"/>
      <sheetName val="WPC-2.3.4 IP 04-05"/>
      <sheetName val="WPC-2.3.5 IP 05-05"/>
      <sheetName val="WPC-2.3.6 IP 06-05"/>
      <sheetName val="WPC-2.3.6 IP 07-05"/>
      <sheetName val="WPC-2.8"/>
      <sheetName val="WPC-2.13.3"/>
      <sheetName val="WPC-2.13.4"/>
      <sheetName val="WPC-2.13.5"/>
      <sheetName val="WPC-2.13.6"/>
      <sheetName val="WPC-2.13.7"/>
      <sheetName val="WPC-2.13.8"/>
      <sheetName val="WPC-2.13.9"/>
      <sheetName val="WPC-2.13.10"/>
      <sheetName val="WPC-2.13.11"/>
      <sheetName val="WPC-2.13.12"/>
      <sheetName val="WPC-2.22"/>
      <sheetName val="Sch C-5.5 ITC &amp; Job Dev. Cr"/>
      <sheetName val="WPC-6.1"/>
      <sheetName val="WPC-6.1 2004"/>
      <sheetName val="WPC-6.1 2003"/>
      <sheetName val="WPC-6.1 2002"/>
      <sheetName val="WPC-6.1 2001"/>
      <sheetName val="WPC-6.2"/>
      <sheetName val="Sheet2"/>
      <sheetName val="WPC-7"/>
      <sheetName val="WPC-8"/>
      <sheetName val="WPC-9"/>
      <sheetName val="WPC-11.1a"/>
      <sheetName val="Sch 11.4 Recon Est Ovrhd"/>
      <sheetName val="WPC-13.1 Affl Int Trans"/>
      <sheetName val="WPC-14a"/>
      <sheetName val="WPC-14b"/>
      <sheetName val="WPC-14c"/>
      <sheetName val="WPC-14d"/>
      <sheetName val="WPC-14e"/>
      <sheetName val="Sch C-15 Major Maint Proj"/>
      <sheetName val="WPC-16"/>
      <sheetName val="WPC-18b Accr Prop Tax"/>
      <sheetName val="WPC-18a 2004"/>
      <sheetName val="Sch C-18a Oth Tx 2003"/>
      <sheetName val="WPC-18a 2003"/>
      <sheetName val="Sch C-18a Oth Tx 2002"/>
      <sheetName val="WPC-18a Oth Tx 2002"/>
      <sheetName val="WPC-18a 2001"/>
      <sheetName val="Sch C-20 Local Tx"/>
      <sheetName val="Sch C-24 Legal Exp &amp; Res"/>
      <sheetName val="WPC-25"/>
      <sheetName val="Sch C-27 Fuel Adj Rev &amp; Exp"/>
      <sheetName val="Sch C-28 Fuel Transp Exp"/>
      <sheetName val="Sch C-30 PGA Rev &amp; Exp"/>
      <sheetName val="Sch C-33 Billing Exper"/>
      <sheetName val="Comm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>
        <row r="36">
          <cell r="H36">
            <v>0.67503999999999997</v>
          </cell>
        </row>
        <row r="57">
          <cell r="J57">
            <v>0.87614000000000003</v>
          </cell>
        </row>
        <row r="65">
          <cell r="H65">
            <v>0.66896999999999995</v>
          </cell>
        </row>
        <row r="86">
          <cell r="J86">
            <v>0.87372000000000005</v>
          </cell>
        </row>
        <row r="94">
          <cell r="H94">
            <v>0.66110999999999998</v>
          </cell>
        </row>
        <row r="115">
          <cell r="J115">
            <v>0.85875000000000001</v>
          </cell>
        </row>
        <row r="123">
          <cell r="H123">
            <v>0.66471999999999998</v>
          </cell>
        </row>
      </sheetData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 refreshError="1">
        <row r="6">
          <cell r="B6" t="str">
            <v>As of December 31, 2004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IP - April 23, 2004"/>
      <sheetName val="#REF"/>
    </sheetNames>
    <sheetDataSet>
      <sheetData sheetId="0" refreshError="1"/>
      <sheetData sheetId="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int"/>
      <sheetName val="Sch A-1"/>
      <sheetName val="Sch A-2"/>
      <sheetName val="Sch A-2.1"/>
      <sheetName val="Sch A-3"/>
      <sheetName val="Sch A-4"/>
      <sheetName val="Sch A-5 RB"/>
      <sheetName val="Sch A-5 Exp"/>
      <sheetName val="WPA-5"/>
      <sheetName val="Sch B-1"/>
      <sheetName val="Sch B-2"/>
      <sheetName val="Sch B-2.1"/>
      <sheetName val="Sch B-2.2"/>
      <sheetName val="WPB-2.2a"/>
      <sheetName val="WPB-2.2b"/>
      <sheetName val="Sch B-2.3"/>
      <sheetName val="WPB-2.3"/>
      <sheetName val="Sch B-2.4"/>
      <sheetName val="WPB-2.4"/>
      <sheetName val="Sch B-2.5"/>
      <sheetName val="WPB-2.5a"/>
      <sheetName val="Sch B-2.6"/>
      <sheetName val="WPB-2.6"/>
      <sheetName val="Sch B-3"/>
      <sheetName val="Sch B-4"/>
      <sheetName val="Sch B-5"/>
      <sheetName val="WPB-5"/>
      <sheetName val="Sch B-5.1"/>
      <sheetName val="Sch B-6"/>
      <sheetName val="Sch B-7.2"/>
      <sheetName val="Sch B-7.2a"/>
      <sheetName val="Sch B-8"/>
      <sheetName val="Sch B-8.1"/>
      <sheetName val="WPB-8.1a"/>
      <sheetName val="Sch B-9"/>
      <sheetName val="WPB-9"/>
      <sheetName val="WPB-9a"/>
      <sheetName val="WPB-9b"/>
      <sheetName val="Sch B-9.1"/>
      <sheetName val="Sch B-13"/>
      <sheetName val="WPB-13a"/>
      <sheetName val="Sch B-14"/>
      <sheetName val="Sch C-1"/>
      <sheetName val="Sch C-2"/>
      <sheetName val="Sch C-2.1"/>
      <sheetName val="WPC-2.1"/>
      <sheetName val="Sch C-2.2"/>
      <sheetName val="WPC-2.2"/>
      <sheetName val="Sch C-2.3"/>
      <sheetName val="WPC-2.3"/>
      <sheetName val="WPC-2.3.3 Annualized Detail"/>
      <sheetName val="Sch C-2.4"/>
      <sheetName val="Sch C-2.5"/>
      <sheetName val="WPC-2.5"/>
      <sheetName val="Sch C-2.6"/>
      <sheetName val="WPC-2.6"/>
      <sheetName val="Sch C-2.7"/>
      <sheetName val="Sch C-2.8"/>
      <sheetName val="Sch C-2.9"/>
      <sheetName val="Sch C-2.10"/>
      <sheetName val="WPC-2.10"/>
      <sheetName val="Sch C-2.11"/>
      <sheetName val="WPC-2.11"/>
      <sheetName val="Sch C-2.12"/>
      <sheetName val="WPC-2.12"/>
      <sheetName val="Sch C-2.13"/>
      <sheetName val="WPC-2.13"/>
      <sheetName val="Sch C-2.14"/>
      <sheetName val="WPC-2.14"/>
      <sheetName val="WPC-2.14a"/>
      <sheetName val="Sch C-2.15"/>
      <sheetName val="Sch C-2.16"/>
      <sheetName val="Sch C-2.17"/>
      <sheetName val="Sch C-2.18"/>
      <sheetName val="Sch C-2.19"/>
      <sheetName val="WPC-2.19"/>
      <sheetName val="Sch C-2.20"/>
      <sheetName val="WPC-2.20"/>
      <sheetName val="Sch C-2.21"/>
      <sheetName val="WPC-2.21"/>
      <sheetName val="Sch C-2.22"/>
      <sheetName val="Sch C-2.23"/>
      <sheetName val="WPC-2.23"/>
      <sheetName val="Sch C-2.24"/>
      <sheetName val="Sch C-3"/>
      <sheetName val="Sch C-4"/>
      <sheetName val="Sch C-5a"/>
      <sheetName val="Sch C-5b"/>
      <sheetName val="Sch C-5.1"/>
      <sheetName val="Sch C-5.2"/>
      <sheetName val="Sch C-5.3"/>
      <sheetName val="Sch C-5.4"/>
      <sheetName val="WPC-5.4"/>
      <sheetName val="Sch C-6"/>
      <sheetName val="Sch C-6.1"/>
      <sheetName val="Sch C-6.2"/>
      <sheetName val="Sch C-7"/>
      <sheetName val="Sch C-8"/>
      <sheetName val="Sch C-9"/>
      <sheetName val="Sch C-10"/>
      <sheetName val="WPC-10"/>
      <sheetName val="Sch C-10.1"/>
      <sheetName val="Sch C-11.1"/>
      <sheetName val="WPC-11.1"/>
      <sheetName val="Sch C-11.2a"/>
      <sheetName val="Sch C-11.2b"/>
      <sheetName val="Sch C-11.2c"/>
      <sheetName val="Sch C-11.2d"/>
      <sheetName val="Sch C-11.2e"/>
      <sheetName val="Sch C-11.2f"/>
      <sheetName val="Sch C-11.2g"/>
      <sheetName val="Sch C-11.2h"/>
      <sheetName val="Sch C-11.3"/>
      <sheetName val="WPC-11.3"/>
      <sheetName val="WPC-11.3a"/>
      <sheetName val="WPC-11.3b"/>
      <sheetName val="WPC-11.3c"/>
      <sheetName val="Sch C-12"/>
      <sheetName val="WPC-12"/>
      <sheetName val="Sch C-13"/>
      <sheetName val="Sch C-14"/>
      <sheetName val="WPC-14"/>
      <sheetName val="Sch C-16 OLD-Replaced 12.12.05"/>
      <sheetName val="WPC-16a"/>
      <sheetName val="Sch C-16"/>
      <sheetName val="Sch C-17 2004"/>
      <sheetName val="Sch C-17 2004 to Sept"/>
      <sheetName val="Sch C-17 2003"/>
      <sheetName val="Sch C-17 2002"/>
      <sheetName val="Sch C-17 2001"/>
      <sheetName val="Sch C-18"/>
      <sheetName val="WPC-18a"/>
      <sheetName val="WPC-18b"/>
      <sheetName val="WPC-18c"/>
      <sheetName val="Sch C-19"/>
      <sheetName val="Sch C-21"/>
      <sheetName val="Sch C-22"/>
      <sheetName val="Sch C-23"/>
      <sheetName val="WPC-23"/>
      <sheetName val="Sch C-25"/>
      <sheetName val="Sch C-26"/>
      <sheetName val="Sch C-29"/>
      <sheetName val="Sch C-31"/>
      <sheetName val="Sch C-32"/>
      <sheetName val="WPC-4"/>
      <sheetName val="WPA-5.2"/>
      <sheetName val="WPA-5.1.4 Func Factors"/>
      <sheetName val="WPB-1 Cust Adv"/>
      <sheetName val="WPB-2.2.3"/>
      <sheetName val="WPB-2.4.2 Int Plt Gross - AMS"/>
      <sheetName val="WPB-2.4.3 Int Plt Reserve - AMS"/>
      <sheetName val="WPB-2.4.4 Int Plt Net - AMS"/>
      <sheetName val="WPB-2.4.5 Gen Plt Gross -AMS"/>
      <sheetName val="WPB-2.4.6 Gen Plt Reserve - AMS"/>
      <sheetName val="WPB-2.4.7 Gen Plt Net - AMS"/>
      <sheetName val="Sch B-5.2 Merged or Acq Prop"/>
      <sheetName val="Sch B-5.3 Leased Prop"/>
      <sheetName val="Sch B-7 CWIP"/>
      <sheetName val="Sch B-7.1 CWIP % Complete"/>
      <sheetName val="WPB-8.1b"/>
      <sheetName val="Construction"/>
      <sheetName val="GPROD"/>
      <sheetName val="ETRANS"/>
      <sheetName val="GTRANS"/>
      <sheetName val="EDISTR"/>
      <sheetName val="GDISTR"/>
      <sheetName val="DistrMisc"/>
      <sheetName val="Other"/>
      <sheetName val="Sch B-10 Def Charges"/>
      <sheetName val="Sch B-11 PHFFU"/>
      <sheetName val="Sch B-12 Analysis of PHFFU"/>
      <sheetName val="WPC-2.2.2"/>
      <sheetName val="WPC-2.2.3"/>
      <sheetName val="WPC-2.2.4"/>
      <sheetName val="WPC-2.2.5"/>
      <sheetName val="WPC-2.2.6"/>
      <sheetName val="WPC-2.2.7"/>
      <sheetName val="WPC-2.3.4 IP 04-05"/>
      <sheetName val="WPC-2.3.5 IP 05-05"/>
      <sheetName val="WPC-2.3.6 IP 06-05"/>
      <sheetName val="WPC-2.3.6 IP 07-05"/>
      <sheetName val="WPC-2.8"/>
      <sheetName val="WPC-2.13.3"/>
      <sheetName val="WPC-2.13.4"/>
      <sheetName val="WPC-2.13.5"/>
      <sheetName val="WPC-2.13.6"/>
      <sheetName val="WPC-2.13.7"/>
      <sheetName val="WPC-2.13.8"/>
      <sheetName val="WPC-2.13.9"/>
      <sheetName val="WPC-2.13.10"/>
      <sheetName val="WPC-2.13.11"/>
      <sheetName val="WPC-2.13.12"/>
      <sheetName val="WPC-2.22"/>
      <sheetName val="Sch C-5.5 ITC &amp; Job Dev. Cr"/>
      <sheetName val="WPC-6.1"/>
      <sheetName val="WPC-6.1 2004"/>
      <sheetName val="WPC-6.1 2003"/>
      <sheetName val="WPC-6.1 2002"/>
      <sheetName val="WPC-6.1 2001"/>
      <sheetName val="WPC-6.2"/>
      <sheetName val="WPC-7"/>
      <sheetName val="WPC-8"/>
      <sheetName val="WPC-9"/>
      <sheetName val="WPC-11.1a"/>
      <sheetName val="Sch 11.4 Recon Est Ovrhd"/>
      <sheetName val="WPC-13.1 Affl Int Trans"/>
      <sheetName val="WPC-14a"/>
      <sheetName val="WPC-14b"/>
      <sheetName val="WPC-14c"/>
      <sheetName val="WPC-14d"/>
      <sheetName val="WPC-14e"/>
      <sheetName val="Sch C-15 Major Maint Proj"/>
      <sheetName val="WPC-16"/>
      <sheetName val="WPC-18b Accr Prop Tax"/>
      <sheetName val="WPC-18a 2004"/>
      <sheetName val="Sch C-18a Oth Tx 2003"/>
      <sheetName val="WPC-18a 2003"/>
      <sheetName val="Sch C-18a Oth Tx 2002"/>
      <sheetName val="WPC-18a Oth Tx 2002"/>
      <sheetName val="WPC-18a 2001"/>
      <sheetName val="Sch C-20 Local Tx"/>
      <sheetName val="Sch C-24 Legal Exp &amp; Res"/>
      <sheetName val="WPC-25"/>
      <sheetName val="Sch C-27 Fuel Adj Rev &amp; Exp"/>
      <sheetName val="Sch C-28 Fuel Transp Exp"/>
      <sheetName val="Sch C-30 PGA Rev &amp; Exp"/>
      <sheetName val="Sch C-33 Billing Exper"/>
      <sheetName val="Comm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>
        <row r="26">
          <cell r="J26">
            <v>0.88519099999999995</v>
          </cell>
        </row>
      </sheetData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A - 1"/>
      <sheetName val="A - 2"/>
      <sheetName val="A - 2.1"/>
      <sheetName val="A - 3"/>
      <sheetName val="WPA - 3a"/>
      <sheetName val="WPA - 3b"/>
      <sheetName val="A - 4"/>
      <sheetName val="A - 5a"/>
      <sheetName val="A - 5b"/>
      <sheetName val="WPA - 5"/>
      <sheetName val="DefResp-3a"/>
      <sheetName val="DefResp-3b"/>
      <sheetName val="WPA - 5c"/>
      <sheetName val="B - 1"/>
      <sheetName val="WPB - 1"/>
      <sheetName val="B - 2"/>
      <sheetName val="B - 2.1"/>
      <sheetName val="WPB - 2.1b"/>
      <sheetName val="WPB - 2.1c"/>
      <sheetName val="WPB - 2.1d"/>
      <sheetName val="WPB - 2.1e"/>
      <sheetName val="WPB - 2.1a"/>
      <sheetName val="B - 3a"/>
      <sheetName val="B - 3b"/>
      <sheetName val="B - 4"/>
      <sheetName val="WPB - 4"/>
      <sheetName val="B - 5"/>
      <sheetName val="WPB - 5a"/>
      <sheetName val="WPB - 5b"/>
      <sheetName val="WPB - 5c"/>
      <sheetName val="B - 5.1"/>
      <sheetName val="B - 5.2"/>
      <sheetName val="B - 6"/>
      <sheetName val="WPB - 6a"/>
      <sheetName val="WPB - 6b"/>
      <sheetName val="WPB - 6c"/>
      <sheetName val="B - 7.2a1"/>
      <sheetName val="B - 7.2a2"/>
      <sheetName val="B - 7.2b1"/>
      <sheetName val="WPB - 7.2UEC"/>
      <sheetName val="B - 7.2b2"/>
      <sheetName val="B - 8"/>
      <sheetName val="Workpaper"/>
      <sheetName val="B - 8.1"/>
      <sheetName val="WPB - 8.1a"/>
      <sheetName val="WPB - 8.1b"/>
      <sheetName val="B - 9"/>
      <sheetName val="WPB - 9a"/>
      <sheetName val="WPB - 9b"/>
      <sheetName val="B - 9.1"/>
      <sheetName val="WPB - 9.1a"/>
      <sheetName val="WPB - 9.1b"/>
      <sheetName val="B - 13"/>
      <sheetName val="WPB - 13a"/>
      <sheetName val="WPB - 13b"/>
      <sheetName val="WPB - 13c"/>
      <sheetName val="B - 14"/>
      <sheetName val="WPB - 14"/>
      <sheetName val="C - 1"/>
      <sheetName val="C - 2"/>
      <sheetName val="C - 2.1"/>
      <sheetName val="WPC - 2.1"/>
      <sheetName val="C - 2.2"/>
      <sheetName val="C - 2.3"/>
      <sheetName val="C - 2.4"/>
      <sheetName val="WPC - 2.4a"/>
      <sheetName val="WPC - 2.4b"/>
      <sheetName val="C - 2.5"/>
      <sheetName val="WPC - 2.5"/>
      <sheetName val="C - 2.6"/>
      <sheetName val="WPC - 2.6a"/>
      <sheetName val="C - 2.6 NOT USED"/>
      <sheetName val="WPC - 2.6a NOT USED"/>
      <sheetName val="WPC - 2.6b"/>
      <sheetName val="C - 2.7"/>
      <sheetName val="WPC - 2.7"/>
      <sheetName val="C - 2.7b"/>
      <sheetName val="WPC - 2.7b"/>
      <sheetName val="WPC - 2.7c"/>
      <sheetName val="C - 2.7d"/>
      <sheetName val="C - 2.7e"/>
      <sheetName val="C - 2.7f"/>
      <sheetName val="WPC - 2.7d"/>
      <sheetName val="WPC - 2.7e"/>
      <sheetName val="C - 2.7i"/>
      <sheetName val="C - 2.7j"/>
      <sheetName val="C - 2.8"/>
      <sheetName val="C - 2.9"/>
      <sheetName val="C - 2.10"/>
      <sheetName val="C - 2.11"/>
      <sheetName val="WPC - 2.11"/>
      <sheetName val="C - 2.12"/>
      <sheetName val="WPC - 2.12"/>
      <sheetName val="C - 2.13"/>
      <sheetName val="C - 2.14"/>
      <sheetName val="C - 2.15"/>
      <sheetName val="WPC - 2.15"/>
      <sheetName val="C - 2.16"/>
      <sheetName val="WPC - 2.16a"/>
      <sheetName val="WPC - 2.16b"/>
      <sheetName val="WPC - 2.16c"/>
      <sheetName val="C - 2.17"/>
      <sheetName val="C - 3"/>
      <sheetName val="WPC - 3a"/>
      <sheetName val="WPC - 3b"/>
      <sheetName val="C - 4"/>
      <sheetName val="WPC - 4a"/>
      <sheetName val="WPC - 4b"/>
      <sheetName val="WPC - 4c"/>
      <sheetName val="WPC - 4d"/>
      <sheetName val="C - 5"/>
      <sheetName val="WPC - 5a"/>
      <sheetName val="WPC - 5b"/>
      <sheetName val="C - 5b"/>
      <sheetName val="C - 5.1"/>
      <sheetName val="C - 5.2"/>
      <sheetName val="WPC - 5.2a"/>
      <sheetName val="WPC - 5.2b"/>
      <sheetName val="C - 5.3"/>
      <sheetName val="WPC - 5.3a"/>
      <sheetName val="WPC - 5.3b"/>
      <sheetName val="C - 5.4"/>
      <sheetName val="WPC - 5.4"/>
      <sheetName val="C - 5.5"/>
      <sheetName val="WPC - 5.5a"/>
      <sheetName val="WPC - 5.5b"/>
      <sheetName val="C - 6"/>
      <sheetName val="WPC - 6"/>
      <sheetName val="C - 6.1"/>
      <sheetName val="WPC - 6.1"/>
      <sheetName val="C - 6.2a"/>
      <sheetName val="C - 6.2b"/>
      <sheetName val="C - 7a"/>
      <sheetName val="C - 7b"/>
      <sheetName val="C - 8"/>
      <sheetName val="WPC - 8"/>
      <sheetName val="C - 9"/>
      <sheetName val="WPC - 9"/>
      <sheetName val="C - 10"/>
      <sheetName val="WPC - 10"/>
      <sheetName val="C - 10.1"/>
      <sheetName val="C - 11.1"/>
      <sheetName val="WPC - 11.1a"/>
      <sheetName val="WPC - 11.1b"/>
      <sheetName val="WPC - 11.1c"/>
      <sheetName val="WPC - 11.1d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2i"/>
      <sheetName val="C - 11.2j"/>
      <sheetName val="C - 11.2k"/>
      <sheetName val="C - 11.2l"/>
      <sheetName val="C - 11.2m"/>
      <sheetName val="C - 11.2n"/>
      <sheetName val="C - 11.2o"/>
      <sheetName val="C - 11.2p"/>
      <sheetName val="C - 11.3"/>
      <sheetName val="WPC - 11.3a"/>
      <sheetName val="WPC - 11.3b"/>
      <sheetName val="WPC - 11.3c"/>
      <sheetName val="WPC - 11.3d"/>
      <sheetName val="C - 12"/>
      <sheetName val="WPC - 12a"/>
      <sheetName val="WPC - 12b"/>
      <sheetName val="C - 13"/>
      <sheetName val="C - 14"/>
      <sheetName val="WPC - 14a"/>
      <sheetName val="WPC - 14b"/>
      <sheetName val="C - 16"/>
      <sheetName val="WPC-16a"/>
      <sheetName val="WPC-16b"/>
      <sheetName val="C - 17a"/>
      <sheetName val="C - 17b"/>
      <sheetName val="C - 17c"/>
      <sheetName val="C - 17d"/>
      <sheetName val="C - 18"/>
      <sheetName val="WPC - 18a"/>
      <sheetName val="WPC - 18b"/>
      <sheetName val="WPC - 18c1"/>
      <sheetName val="WPC - 18c"/>
      <sheetName val="C - 19"/>
      <sheetName val="C - 21"/>
      <sheetName val="WPC - 21a"/>
      <sheetName val="WPC - 21b"/>
      <sheetName val="C - 23 (1)"/>
      <sheetName val="C - 23"/>
      <sheetName val="WPC - 23a"/>
      <sheetName val="WPC - 23b"/>
      <sheetName val="WPC - 23c"/>
      <sheetName val="WPC - 23d"/>
      <sheetName val="C - 25"/>
    </sheetNames>
    <sheetDataSet>
      <sheetData sheetId="0" refreshError="1">
        <row r="217">
          <cell r="B217" t="str">
            <v>AmerenCIPS</v>
          </cell>
        </row>
        <row r="218">
          <cell r="B218" t="str">
            <v>AmerenUE Illinois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IP - April 23, 2004"/>
      <sheetName val="#REF"/>
    </sheetNames>
    <sheetDataSet>
      <sheetData sheetId="0" refreshError="1"/>
      <sheetData sheetId="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A - 1"/>
      <sheetName val="A - 2"/>
      <sheetName val="A - 2.1"/>
      <sheetName val="A - 3"/>
      <sheetName val="A - 4"/>
      <sheetName val="A - 5a"/>
      <sheetName val="A - 5b"/>
      <sheetName val="WPA - 5a"/>
      <sheetName val="WPA - 5b"/>
      <sheetName val="B-1"/>
      <sheetName val="WPB - 1.1"/>
      <sheetName val="WPB - 1.2"/>
      <sheetName val="B - 2"/>
      <sheetName val="B - 2.1"/>
      <sheetName val="WPB - 2.1"/>
      <sheetName val="B - 2.2"/>
      <sheetName val="B-3"/>
      <sheetName val="B - 4"/>
      <sheetName val="B-5"/>
      <sheetName val="B - 6a"/>
      <sheetName val="B - 6b"/>
      <sheetName val="B - 8(alt)"/>
      <sheetName val="B - 8"/>
      <sheetName val="B - 8.1"/>
      <sheetName val="WPB - 8.1a"/>
      <sheetName val="WPB - 8.1b"/>
      <sheetName val="B-9"/>
      <sheetName val="WPB - 9a"/>
      <sheetName val="WPB - 9b"/>
      <sheetName val="B - 13"/>
      <sheetName val="WPB - 13a"/>
      <sheetName val="WPB - 13b"/>
      <sheetName val="WPB - 13c"/>
      <sheetName val="B - 14"/>
      <sheetName val="WPB - 14"/>
      <sheetName val="C - 1"/>
      <sheetName val="C - 2"/>
      <sheetName val="C - 2.1"/>
      <sheetName val="C - 2.2"/>
      <sheetName val="C - 2.3"/>
      <sheetName val="y"/>
      <sheetName val="C - 2.4"/>
      <sheetName val="C - 2.5"/>
      <sheetName val="C - 2.6"/>
      <sheetName val="WPC-2.6a"/>
      <sheetName val="WPC-2.6b"/>
      <sheetName val="C-2.7"/>
      <sheetName val="C-2.8"/>
      <sheetName val="WPC-2.8"/>
      <sheetName val="C-2.9"/>
      <sheetName val="WPC-2.9"/>
      <sheetName val="C-2.10"/>
      <sheetName val="WPC-2.10"/>
      <sheetName val="C-2.11"/>
      <sheetName val="C-2.12"/>
      <sheetName val="C-2.13"/>
      <sheetName val="C - 3"/>
      <sheetName val="C-4"/>
      <sheetName val="C-5"/>
      <sheetName val="C - 5b"/>
      <sheetName val="C - 5.1"/>
      <sheetName val="C-5.2 "/>
      <sheetName val="C-5.3"/>
      <sheetName val="C-5.5"/>
      <sheetName val="C - 5.4"/>
      <sheetName val="WPC - 5.4"/>
      <sheetName val="C - 6"/>
      <sheetName val="C - 6.1"/>
      <sheetName val="C - 7"/>
      <sheetName val="C - 8"/>
      <sheetName val="WPC - 8"/>
      <sheetName val="C - 9"/>
      <sheetName val="C - 10"/>
      <sheetName val="WPC - 10"/>
      <sheetName val="C - 10.1"/>
      <sheetName val="C-11.1"/>
      <sheetName val="WPC-11.1"/>
      <sheetName val="C-11.2a"/>
      <sheetName val="C-11.2b"/>
      <sheetName val="C-11.2c"/>
      <sheetName val="C-11.2d"/>
      <sheetName val="C-11.2e"/>
      <sheetName val="C-11.2f"/>
      <sheetName val="C-11.2g"/>
      <sheetName val="C-11.2h"/>
      <sheetName val="C - 11.3"/>
      <sheetName val="Sheet2"/>
      <sheetName val="WPC-11.3a"/>
      <sheetName val="WPC-11.3b"/>
      <sheetName val="WPC-11.3c"/>
      <sheetName val="WPC-11.3d"/>
      <sheetName val="C - 12"/>
      <sheetName val="WPC - 12a"/>
      <sheetName val="WPC - 12b"/>
      <sheetName val="WPC - 12c"/>
      <sheetName val="C - 13a"/>
      <sheetName val="C - 13b"/>
      <sheetName val="C - 14"/>
      <sheetName val="WPC - 14"/>
      <sheetName val="C - 16"/>
      <sheetName val="WPC-16"/>
      <sheetName val="C - 17a"/>
      <sheetName val="C - 17b"/>
      <sheetName val="C - 17c"/>
      <sheetName val="C - 17d"/>
      <sheetName val="C - 18"/>
      <sheetName val="WPC-18a"/>
      <sheetName val="WPC-18b"/>
      <sheetName val="WPC-18b Accr Prop Tax"/>
      <sheetName val="WPC - 18c"/>
      <sheetName val="C - 19"/>
      <sheetName val="C - 21"/>
      <sheetName val="C - 22"/>
      <sheetName val="C - 23"/>
      <sheetName val="C - 25"/>
      <sheetName val="C - 26"/>
      <sheetName val="C - 30"/>
    </sheetNames>
    <sheetDataSet>
      <sheetData sheetId="0">
        <row r="136">
          <cell r="B136" t="str">
            <v>AmerenIP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S Charges by Target"/>
      <sheetName val="PivotByMajMin"/>
      <sheetName val="AMS Charges by RT-All"/>
      <sheetName val="Pivot-CILCO"/>
      <sheetName val="CILCO"/>
      <sheetName val="CIPS"/>
      <sheetName val="IPC"/>
      <sheetName val="Projects 2006"/>
      <sheetName val="RMC-Descrip"/>
      <sheetName val="Resource Types"/>
      <sheetName val="Functions"/>
      <sheetName val="2005-SR-AllocFactors"/>
      <sheetName val="AllocFactors"/>
      <sheetName val="UnknownProj#"/>
      <sheetName val="IndirectAllocFac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A - 1"/>
      <sheetName val="A - 2"/>
      <sheetName val="A - 2.1"/>
      <sheetName val="A - 3"/>
      <sheetName val="A - 4"/>
      <sheetName val="A - 5a"/>
      <sheetName val="A - 5b"/>
      <sheetName val="WPA - 5a"/>
      <sheetName val="WPA - 5b"/>
      <sheetName val="WPA - 5c"/>
      <sheetName val="B - 1"/>
      <sheetName val="WPB - 1"/>
      <sheetName val="B - 2"/>
      <sheetName val="B - 2.1"/>
      <sheetName val="B - 2.2"/>
      <sheetName val="WPB - 2.2"/>
      <sheetName val="B - 2.3"/>
      <sheetName val="B - 3a"/>
      <sheetName val="B - 3b"/>
      <sheetName val="B - 4"/>
      <sheetName val="B - 5"/>
      <sheetName val="WPB - 5a"/>
      <sheetName val="WPB - 5b"/>
      <sheetName val="WPB - 5c"/>
      <sheetName val="B - 5.2"/>
      <sheetName val="B - 6"/>
      <sheetName val="WPB - 6a"/>
      <sheetName val="WPB - 6b"/>
      <sheetName val="B - 7.2a"/>
      <sheetName val="B - 7.2b"/>
      <sheetName val="B - 8"/>
      <sheetName val="B - 8.1"/>
      <sheetName val="WPB - 8.1a"/>
      <sheetName val="WPB - 8.1b"/>
      <sheetName val="B - 9"/>
      <sheetName val="WPB - 9a"/>
      <sheetName val="WPB - 9b"/>
      <sheetName val="B - 9.1"/>
      <sheetName val="B - 13"/>
      <sheetName val="WPB - 13a"/>
      <sheetName val="WPB - 13b"/>
      <sheetName val="WPB - 13c"/>
      <sheetName val="B - 14"/>
      <sheetName val="WPB - 14"/>
      <sheetName val="C - 1"/>
      <sheetName val="C - 2"/>
      <sheetName val="C - 2.1"/>
      <sheetName val="WPC - 2.1"/>
      <sheetName val="C - 2.2"/>
      <sheetName val="C - 2.3"/>
      <sheetName val="WPC - 2.3a"/>
      <sheetName val="WPC - 2.3b"/>
      <sheetName val="C - 2.4"/>
      <sheetName val="WPC - 2.4"/>
      <sheetName val="C - 2.5"/>
      <sheetName val="WPC - 2.5a"/>
      <sheetName val="WPC - 2.5b"/>
      <sheetName val="C - 2.6"/>
      <sheetName val="WPC - 2.6"/>
      <sheetName val="C - 2.7"/>
      <sheetName val="WPC - 2.7"/>
      <sheetName val="C - 2.8"/>
      <sheetName val="WPC - 2.8"/>
      <sheetName val="C - 2.9"/>
      <sheetName val="C - 2.10"/>
      <sheetName val="C - 2.11"/>
      <sheetName val="WPC - 2.11"/>
      <sheetName val="C - 2.12"/>
      <sheetName val="C - 2.14"/>
      <sheetName val="WPC - 2.14"/>
      <sheetName val="C - 2.15"/>
      <sheetName val="WPC - 2.15a"/>
      <sheetName val="WPC - 2.15b"/>
      <sheetName val="C - 2.16"/>
      <sheetName val="C - 2.18"/>
      <sheetName val="WPC - 2.18a"/>
      <sheetName val="WPC - 2.18b"/>
      <sheetName val="C - 2.20"/>
      <sheetName val="C - 3"/>
      <sheetName val="WPC - 3a"/>
      <sheetName val="WPC - 3b"/>
      <sheetName val="C - 4"/>
      <sheetName val="WPC - 4a"/>
      <sheetName val="WPC - 4b"/>
      <sheetName val="WPC - 4c"/>
      <sheetName val="WPC - 4d"/>
      <sheetName val="C - 5"/>
      <sheetName val="C - 5b"/>
      <sheetName val="C - 5.1"/>
      <sheetName val="C - 5.2"/>
      <sheetName val="C - 5.3"/>
      <sheetName val="C - 5.4"/>
      <sheetName val="WPC - 5.4"/>
      <sheetName val="C - 5.5"/>
      <sheetName val="WPC - 5.5"/>
      <sheetName val="C - 6"/>
      <sheetName val="WPC - 6"/>
      <sheetName val="C - 6.1"/>
      <sheetName val="WPC - 6.1"/>
      <sheetName val="C - 6.2"/>
      <sheetName val="C - 7"/>
      <sheetName val="WPC - 7"/>
      <sheetName val="C - 8"/>
      <sheetName val="WPC - 8"/>
      <sheetName val="C - 9"/>
      <sheetName val="WPC - 9"/>
      <sheetName val="C - 10"/>
      <sheetName val="WPC - 10"/>
      <sheetName val="C - 10.1"/>
      <sheetName val="C - 11.1"/>
      <sheetName val="WPC - 11.1a"/>
      <sheetName val="WPC - 11.1b"/>
      <sheetName val="WPC - 11.1c"/>
      <sheetName val="WPC - 11.1d"/>
      <sheetName val="C - 11.2a 2001"/>
      <sheetName val="C - 11.2b 2002"/>
      <sheetName val="C - 11.2a"/>
      <sheetName val="C - 11.2b"/>
      <sheetName val="C - 11.2e 2001"/>
      <sheetName val="C - 11.2f 2002"/>
      <sheetName val="C - 11.2c"/>
      <sheetName val="C - 11.2d"/>
      <sheetName val="C - 11.2e"/>
      <sheetName val="C - 11.2f"/>
      <sheetName val="C - 11.2i 2001"/>
      <sheetName val="C - 11.2j 2002"/>
      <sheetName val="C - 11.2g"/>
      <sheetName val="C - 11.2h"/>
      <sheetName val="C - 11.2m 2001"/>
      <sheetName val="C - 11.2n 2002"/>
      <sheetName val="C - 11.3"/>
      <sheetName val="WPC - 11.3a"/>
      <sheetName val="WPC - 11.3b"/>
      <sheetName val="C - 12"/>
      <sheetName val="WPC - 12a"/>
      <sheetName val="WPC - 12b"/>
      <sheetName val="WPC - 12c"/>
      <sheetName val="C - 13"/>
      <sheetName val="C - 14"/>
      <sheetName val="WPC - 14a"/>
      <sheetName val="WPC - 14b"/>
      <sheetName val="C - 16"/>
      <sheetName val="C - 17a"/>
      <sheetName val="C - 17b"/>
      <sheetName val="C - 17c"/>
      <sheetName val="C - 17d"/>
      <sheetName val="C - 17 - 2002"/>
      <sheetName val="C - 17 - 2001"/>
      <sheetName val="C - 18"/>
      <sheetName val="WPC - 18a"/>
      <sheetName val="WPC - 18b"/>
      <sheetName val="WPC - 18c"/>
      <sheetName val="WPC - 18d"/>
      <sheetName val="WPC - 18e"/>
      <sheetName val="WPC - 18f"/>
      <sheetName val="C - 19"/>
      <sheetName val="C - 21"/>
      <sheetName val="WPC - 21"/>
      <sheetName val="WPC - 21b"/>
      <sheetName val="C - 23"/>
      <sheetName val="WPC - 23a"/>
      <sheetName val="WPC - 23b"/>
      <sheetName val="WPC - 23c"/>
      <sheetName val="C - 25"/>
      <sheetName val="C - 26"/>
    </sheetNames>
    <sheetDataSet>
      <sheetData sheetId="0">
        <row r="187">
          <cell r="C187" t="str">
            <v>AmerenUE Illinois</v>
          </cell>
        </row>
        <row r="194">
          <cell r="C194" t="str">
            <v>For the Twelve Months Ended December 31,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IP - April 23, 2004"/>
      <sheetName val="#REF"/>
    </sheetNames>
    <sheetDataSet>
      <sheetData sheetId="0" refreshError="1"/>
      <sheetData sheetId="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A - 1"/>
      <sheetName val="A - 2"/>
      <sheetName val="A - 2.1"/>
      <sheetName val="A - 4"/>
      <sheetName val="A - 5a"/>
      <sheetName val="A - 5b"/>
      <sheetName val="WPA - 5a"/>
      <sheetName val="WPA - 5b"/>
      <sheetName val="B - 1"/>
      <sheetName val="WPB-1.1"/>
      <sheetName val="WPB-1.2"/>
      <sheetName val="B  - 2"/>
      <sheetName val="B - 2.1"/>
      <sheetName val="B - 2.2"/>
      <sheetName val="B - 3"/>
      <sheetName val="B - 4"/>
      <sheetName val="B - 5"/>
      <sheetName val="B - 6a"/>
      <sheetName val="B - 6b"/>
      <sheetName val="B - 7.2a"/>
      <sheetName val="B - 7.2b"/>
      <sheetName val="B - 8 (alt)"/>
      <sheetName val="B - 8"/>
      <sheetName val="B - 8.1"/>
      <sheetName val="WPB - 8.1"/>
      <sheetName val="B - 9"/>
      <sheetName val="WPB - 9"/>
      <sheetName val="B - 13"/>
      <sheetName val="WPB - 13a"/>
      <sheetName val="WPB - 13b"/>
      <sheetName val="WPB - 13c"/>
      <sheetName val="2003 - B - 13"/>
      <sheetName val="2003 - WPB - 13"/>
      <sheetName val="B - 14"/>
      <sheetName val="WPB - 14"/>
      <sheetName val="C - 1"/>
      <sheetName val="C - 2"/>
      <sheetName val="C - 2.1"/>
      <sheetName val="C - 2.2"/>
      <sheetName val="C - 2.3"/>
      <sheetName val="C - 2.4moot"/>
      <sheetName val="C-2.4"/>
      <sheetName val="C-2.5"/>
      <sheetName val="C-2.6"/>
      <sheetName val="WPC-2.6a"/>
      <sheetName val="WPC-2.6b"/>
      <sheetName val="C-2.7"/>
      <sheetName val="C-2.8"/>
      <sheetName val="WPC-2.8"/>
      <sheetName val="C-2.9"/>
      <sheetName val="WPC-2.9"/>
      <sheetName val="C-2.10"/>
      <sheetName val="WPC-2.10a"/>
      <sheetName val="WPC - 2.10b"/>
      <sheetName val="C-2.11"/>
      <sheetName val="C-2.12"/>
      <sheetName val="WPC-2.12"/>
      <sheetName val="C-2.13"/>
      <sheetName val="C-2.14"/>
      <sheetName val="C - 3"/>
      <sheetName val="C - 4"/>
      <sheetName val="WPC - 4"/>
      <sheetName val="C-5"/>
      <sheetName val="C - 5b"/>
      <sheetName val="C - 5.1"/>
      <sheetName val="C-5.2"/>
      <sheetName val="C - 5.3"/>
      <sheetName val="C - 5.4"/>
      <sheetName val="WPC - 5.4"/>
      <sheetName val="C - 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-10"/>
      <sheetName val="C - 10.1"/>
      <sheetName val="C - 11.1"/>
      <sheetName val="WPC - 11.1"/>
      <sheetName val="C-11.2a"/>
      <sheetName val="WPC-11.2a"/>
      <sheetName val="C-11.2b"/>
      <sheetName val="C-11.2c"/>
      <sheetName val="C-11.2d"/>
      <sheetName val="C-11.2e"/>
      <sheetName val="C-11.2f"/>
      <sheetName val="C-11.2g"/>
      <sheetName val="C-11.2h"/>
      <sheetName val="C - 11.3"/>
      <sheetName val="WPC - 11.3"/>
      <sheetName val="C - 12"/>
      <sheetName val="WPC - 12a"/>
      <sheetName val="WPC - 12b"/>
      <sheetName val="WPC - 12c"/>
      <sheetName val="C-13"/>
      <sheetName val="C - 14"/>
      <sheetName val="WPC - 14"/>
      <sheetName val="C - 16"/>
      <sheetName val="WPC-16"/>
      <sheetName val="C - 17a"/>
      <sheetName val="C - 17b"/>
      <sheetName val="C - 17c"/>
      <sheetName val="C - 17d"/>
      <sheetName val="C-18"/>
      <sheetName val="WPC - 18a"/>
      <sheetName val="WPC - 18b"/>
      <sheetName val="WPC - 18c"/>
      <sheetName val="C - 19"/>
      <sheetName val="C - 21"/>
      <sheetName val="C - 23"/>
      <sheetName val="WPC - 23"/>
      <sheetName val="C - 25"/>
      <sheetName val="C - 26"/>
      <sheetName val="C - 30"/>
    </sheetNames>
    <sheetDataSet>
      <sheetData sheetId="0">
        <row r="109">
          <cell r="C109" t="str">
            <v>AmerenCILCO</v>
          </cell>
        </row>
        <row r="110">
          <cell r="C110" t="str">
            <v>As of December 31, 2006</v>
          </cell>
        </row>
        <row r="111">
          <cell r="C111" t="str">
            <v>As of December 31,</v>
          </cell>
        </row>
        <row r="112">
          <cell r="C112" t="str">
            <v>For the Twelve Months Ended December 31, 2006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int"/>
      <sheetName val="Sch A-1"/>
      <sheetName val="Sch A-2"/>
      <sheetName val="Sch A-2.1"/>
      <sheetName val="Sch A-3"/>
      <sheetName val="Sch A-4"/>
      <sheetName val="Sch A-5 RB"/>
      <sheetName val="Sch A-5 Exp"/>
      <sheetName val="WPA-5"/>
      <sheetName val="Sch B-1"/>
      <sheetName val="Sch B-2"/>
      <sheetName val="Sch B-2.1"/>
      <sheetName val="Sch B-2.2"/>
      <sheetName val="WPB-2.2a"/>
      <sheetName val="WPB-2.2b"/>
      <sheetName val="Sch B-2.3"/>
      <sheetName val="WPB-2.3"/>
      <sheetName val="Sch B-2.4"/>
      <sheetName val="WPB-2.4"/>
      <sheetName val="Sch B-2.5"/>
      <sheetName val="WPB-2.5a"/>
      <sheetName val="Sch B-2.6"/>
      <sheetName val="WPB-2.6"/>
      <sheetName val="Sch B-3"/>
      <sheetName val="Sch B-4"/>
      <sheetName val="Sch B-5"/>
      <sheetName val="WPB-5"/>
      <sheetName val="Sch B-5.1"/>
      <sheetName val="Sch B-6"/>
      <sheetName val="Sch B-7.2"/>
      <sheetName val="Sch B-7.2a"/>
      <sheetName val="Sch B-8"/>
      <sheetName val="Sch B-8.1"/>
      <sheetName val="WPB-8.1a"/>
      <sheetName val="Sch B-9"/>
      <sheetName val="WPB-9"/>
      <sheetName val="WPB-9a"/>
      <sheetName val="WPB-9b"/>
      <sheetName val="Sch B-9.1"/>
      <sheetName val="Sch B-13"/>
      <sheetName val="WPB-13a"/>
      <sheetName val="Sch B-14"/>
      <sheetName val="Sch C-1"/>
      <sheetName val="Sch C-2"/>
      <sheetName val="Sch C-2.1"/>
      <sheetName val="WPC-2.1"/>
      <sheetName val="Sch C-2.2"/>
      <sheetName val="WPC-2.2"/>
      <sheetName val="Sch C-2.3"/>
      <sheetName val="WPC-2.3"/>
      <sheetName val="WPC-2.3.3 Annualized Detail"/>
      <sheetName val="Sch C-2.4"/>
      <sheetName val="Sch C-2.5"/>
      <sheetName val="WPC-2.5"/>
      <sheetName val="Sch C-2.6"/>
      <sheetName val="WPC-2.6"/>
      <sheetName val="Sch C-2.7"/>
      <sheetName val="Sch C-2.8"/>
      <sheetName val="Sch C-2.9"/>
      <sheetName val="Sch C-2.10"/>
      <sheetName val="WPC-2.10"/>
      <sheetName val="Sch C-2.11"/>
      <sheetName val="WPC-2.11"/>
      <sheetName val="Sch C-2.12"/>
      <sheetName val="WPC-2.12"/>
      <sheetName val="Sch C-2.13"/>
      <sheetName val="WPC-2.13"/>
      <sheetName val="Sch C-2.14"/>
      <sheetName val="WPC-2.14"/>
      <sheetName val="WPC-2.14a"/>
      <sheetName val="Sch C-2.15"/>
      <sheetName val="Sch C-2.16"/>
      <sheetName val="Sch C-2.17"/>
      <sheetName val="Sch C-2.18"/>
      <sheetName val="Sch C-2.19"/>
      <sheetName val="WPC-2.19"/>
      <sheetName val="Sch C-2.20"/>
      <sheetName val="WPC-2.20"/>
      <sheetName val="Sch C-2.21"/>
      <sheetName val="WPC-2.21"/>
      <sheetName val="Sch C-2.22"/>
      <sheetName val="Sch C-2.23"/>
      <sheetName val="WPC-2.23"/>
      <sheetName val="Sch C-2.24"/>
      <sheetName val="Sch C-3"/>
      <sheetName val="Sch C-4"/>
      <sheetName val="Sch C-5a"/>
      <sheetName val="Sch C-5b"/>
      <sheetName val="Sch C-5.1"/>
      <sheetName val="Sch C-5.2"/>
      <sheetName val="Sch C-5.3"/>
      <sheetName val="Sch C-5.4"/>
      <sheetName val="WPC-5.4"/>
      <sheetName val="Sch C-6"/>
      <sheetName val="Sch C-6.1"/>
      <sheetName val="Sch C-6.2"/>
      <sheetName val="Sch C-7"/>
      <sheetName val="Sch C-8"/>
      <sheetName val="Sch C-9"/>
      <sheetName val="Sch C-10"/>
      <sheetName val="WPC-10"/>
      <sheetName val="Sch C-10.1"/>
      <sheetName val="Sch C-11.1"/>
      <sheetName val="WPC-11.1"/>
      <sheetName val="Sch C-11.2a"/>
      <sheetName val="Sch C-11.2b"/>
      <sheetName val="Sch C-11.2c"/>
      <sheetName val="Sch C-11.2d"/>
      <sheetName val="Sch C-11.2e"/>
      <sheetName val="Sch C-11.2f"/>
      <sheetName val="Sch C-11.2g"/>
      <sheetName val="Sch C-11.2h"/>
      <sheetName val="Sch C-11.3"/>
      <sheetName val="WPC-11.3"/>
      <sheetName val="WPC-11.3a"/>
      <sheetName val="WPC-11.3b"/>
      <sheetName val="WPC-11.3c"/>
      <sheetName val="Sch C-12"/>
      <sheetName val="WPC-12"/>
      <sheetName val="Sch C-13"/>
      <sheetName val="Sch C-14"/>
      <sheetName val="WPC-14"/>
      <sheetName val="Sch C-16 OLD-Replaced 12.12.05"/>
      <sheetName val="WPC-16a"/>
      <sheetName val="Sch C-16"/>
      <sheetName val="Sch C-17 2004"/>
      <sheetName val="Sch C-17 2004 to Sept"/>
      <sheetName val="Sch C-17 2003"/>
      <sheetName val="Sch C-17 2002"/>
      <sheetName val="Sch C-17 2001"/>
      <sheetName val="Sch C-18"/>
      <sheetName val="WPC-18a"/>
      <sheetName val="WPC-18b"/>
      <sheetName val="WPC-18c"/>
      <sheetName val="Sch C-19"/>
      <sheetName val="Sch C-21"/>
      <sheetName val="Sch C-22"/>
      <sheetName val="Sch C-23"/>
      <sheetName val="WPC-23"/>
      <sheetName val="Sch C-25"/>
      <sheetName val="Sch C-26"/>
      <sheetName val="Sch C-29"/>
      <sheetName val="Sch C-31"/>
      <sheetName val="Sch C-32"/>
      <sheetName val="WPC-4"/>
      <sheetName val="WPA-5.2"/>
      <sheetName val="WPA-5.1.4 Func Factors"/>
      <sheetName val="WPB-1 Cust Adv"/>
      <sheetName val="WPB-2.2.3"/>
      <sheetName val="WPB-2.4.2 Int Plt Gross - AMS"/>
      <sheetName val="WPB-2.4.3 Int Plt Reserve - AMS"/>
      <sheetName val="WPB-2.4.4 Int Plt Net - AMS"/>
      <sheetName val="WPB-2.4.5 Gen Plt Gross -AMS"/>
      <sheetName val="WPB-2.4.6 Gen Plt Reserve - AMS"/>
      <sheetName val="WPB-2.4.7 Gen Plt Net - AMS"/>
      <sheetName val="Sch B-5.2 Merged or Acq Prop"/>
      <sheetName val="Sch B-5.3 Leased Prop"/>
      <sheetName val="Sch B-7 CWIP"/>
      <sheetName val="Sch B-7.1 CWIP % Complete"/>
      <sheetName val="WPB-8.1b"/>
      <sheetName val="Construction"/>
      <sheetName val="GPROD"/>
      <sheetName val="ETRANS"/>
      <sheetName val="GTRANS"/>
      <sheetName val="EDISTR"/>
      <sheetName val="GDISTR"/>
      <sheetName val="DistrMisc"/>
      <sheetName val="Other"/>
      <sheetName val="Sch B-10 Def Charges"/>
      <sheetName val="Sch B-11 PHFFU"/>
      <sheetName val="Sch B-12 Analysis of PHFFU"/>
      <sheetName val="WPC-2.2.2"/>
      <sheetName val="WPC-2.2.3"/>
      <sheetName val="WPC-2.2.4"/>
      <sheetName val="WPC-2.2.5"/>
      <sheetName val="WPC-2.2.6"/>
      <sheetName val="WPC-2.2.7"/>
      <sheetName val="WPC-2.3.4 IP 04-05"/>
      <sheetName val="WPC-2.3.5 IP 05-05"/>
      <sheetName val="WPC-2.3.6 IP 06-05"/>
      <sheetName val="WPC-2.3.6 IP 07-05"/>
      <sheetName val="WPC-2.8"/>
      <sheetName val="WPC-2.13.3"/>
      <sheetName val="WPC-2.13.4"/>
      <sheetName val="WPC-2.13.5"/>
      <sheetName val="WPC-2.13.6"/>
      <sheetName val="WPC-2.13.7"/>
      <sheetName val="WPC-2.13.8"/>
      <sheetName val="WPC-2.13.9"/>
      <sheetName val="WPC-2.13.10"/>
      <sheetName val="WPC-2.13.11"/>
      <sheetName val="WPC-2.13.12"/>
      <sheetName val="WPC-2.22"/>
      <sheetName val="Sch C-5.5 ITC &amp; Job Dev. Cr"/>
      <sheetName val="WPC-6.1"/>
      <sheetName val="WPC-6.1 2004"/>
      <sheetName val="WPC-6.1 2003"/>
      <sheetName val="WPC-6.1 2002"/>
      <sheetName val="WPC-6.1 2001"/>
      <sheetName val="WPC-6.2"/>
      <sheetName val="WPC-7"/>
      <sheetName val="WPC-8"/>
      <sheetName val="WPC-9"/>
      <sheetName val="WPC-11.1a"/>
      <sheetName val="Sch 11.4 Recon Est Ovrhd"/>
      <sheetName val="WPC-13.1 Affl Int Trans"/>
      <sheetName val="WPC-14a"/>
      <sheetName val="WPC-14b"/>
      <sheetName val="WPC-14c"/>
      <sheetName val="WPC-14d"/>
      <sheetName val="WPC-14e"/>
      <sheetName val="Sch C-15 Major Maint Proj"/>
      <sheetName val="WPC-16"/>
      <sheetName val="WPC-18b Accr Prop Tax"/>
      <sheetName val="WPC-18a 2004"/>
      <sheetName val="Sch C-18a Oth Tx 2003"/>
      <sheetName val="WPC-18a 2003"/>
      <sheetName val="Sch C-18a Oth Tx 2002"/>
      <sheetName val="WPC-18a Oth Tx 2002"/>
      <sheetName val="WPC-18a 2001"/>
      <sheetName val="Sch C-20 Local Tx"/>
      <sheetName val="Sch C-24 Legal Exp &amp; Res"/>
      <sheetName val="WPC-25"/>
      <sheetName val="Sch C-27 Fuel Adj Rev &amp; Exp"/>
      <sheetName val="Sch C-28 Fuel Transp Exp"/>
      <sheetName val="Sch C-30 PGA Rev &amp; Exp"/>
      <sheetName val="Sch C-33 Billing Exper"/>
      <sheetName val="Comm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>
        <row r="26">
          <cell r="J26">
            <v>0.88519099999999995</v>
          </cell>
        </row>
      </sheetData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>
        <row r="2">
          <cell r="B2" t="str">
            <v>AmerenIP</v>
          </cell>
        </row>
        <row r="10">
          <cell r="B10" t="str">
            <v>For the Twelve Months Ended December 31, 2004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A - 1"/>
      <sheetName val="A - 2"/>
      <sheetName val="A - 2.1"/>
      <sheetName val="A - 3"/>
      <sheetName val="WPA - 3a"/>
      <sheetName val="WPA - 3b"/>
      <sheetName val="A - 4"/>
      <sheetName val="A - 5a"/>
      <sheetName val="A - 5b"/>
      <sheetName val="WPA - 5"/>
      <sheetName val="DefResp-3a"/>
      <sheetName val="DefResp-3b"/>
      <sheetName val="WPA - 5c"/>
      <sheetName val="B - 1"/>
      <sheetName val="WPB - 1"/>
      <sheetName val="B - 2"/>
      <sheetName val="B - 2.1"/>
      <sheetName val="WPB - 2.1b"/>
      <sheetName val="WPB - 2.1c"/>
      <sheetName val="WPB - 2.1d"/>
      <sheetName val="WPB - 2.1e"/>
      <sheetName val="WPB - 2.1a"/>
      <sheetName val="B - 3a"/>
      <sheetName val="B - 3b"/>
      <sheetName val="B - 4"/>
      <sheetName val="WPB - 4"/>
      <sheetName val="B - 5"/>
      <sheetName val="WPB - 5a"/>
      <sheetName val="WPB - 5b"/>
      <sheetName val="WPB - 5c"/>
      <sheetName val="B - 5.1"/>
      <sheetName val="B - 5.2"/>
      <sheetName val="B - 6"/>
      <sheetName val="WPB - 6a"/>
      <sheetName val="WPB - 6b"/>
      <sheetName val="WPB - 6c"/>
      <sheetName val="B - 7.2a1"/>
      <sheetName val="B - 7.2a2"/>
      <sheetName val="B - 7.2b1"/>
      <sheetName val="WPB - 7.2UEC"/>
      <sheetName val="B - 7.2b2"/>
      <sheetName val="B - 8"/>
      <sheetName val="Workpaper"/>
      <sheetName val="B - 8.1"/>
      <sheetName val="WPB - 8.1a"/>
      <sheetName val="WPB - 8.1b"/>
      <sheetName val="B - 9"/>
      <sheetName val="WPB - 9a"/>
      <sheetName val="WPB - 9b"/>
      <sheetName val="B - 9.1"/>
      <sheetName val="WPB - 9.1a"/>
      <sheetName val="WPB - 9.1b"/>
      <sheetName val="B - 13"/>
      <sheetName val="WPB - 13a"/>
      <sheetName val="WPB - 13b"/>
      <sheetName val="WPB - 13c"/>
      <sheetName val="B - 14"/>
      <sheetName val="WPB - 14"/>
      <sheetName val="C - 1"/>
      <sheetName val="C - 2"/>
      <sheetName val="C - 2.1"/>
      <sheetName val="WPC - 2.1"/>
      <sheetName val="C - 2.2"/>
      <sheetName val="C - 2.3"/>
      <sheetName val="C - 2.4"/>
      <sheetName val="WPC - 2.4a"/>
      <sheetName val="WPC - 2.4b"/>
      <sheetName val="C - 2.5"/>
      <sheetName val="WPC - 2.5"/>
      <sheetName val="C - 2.6"/>
      <sheetName val="WPC - 2.6a"/>
      <sheetName val="C - 2.6 NOT USED"/>
      <sheetName val="WPC - 2.6a NOT USED"/>
      <sheetName val="WPC - 2.6b"/>
      <sheetName val="C - 2.7"/>
      <sheetName val="WPC - 2.7"/>
      <sheetName val="C - 2.7b"/>
      <sheetName val="WPC - 2.7b"/>
      <sheetName val="WPC - 2.7c"/>
      <sheetName val="C - 2.7d"/>
      <sheetName val="C - 2.7e"/>
      <sheetName val="C - 2.7f"/>
      <sheetName val="WPC - 2.7d"/>
      <sheetName val="WPC - 2.7e"/>
      <sheetName val="C - 2.7i"/>
      <sheetName val="C - 2.7j"/>
      <sheetName val="C - 2.8"/>
      <sheetName val="C - 2.9"/>
      <sheetName val="C - 2.10"/>
      <sheetName val="C - 2.11"/>
      <sheetName val="WPC - 2.11"/>
      <sheetName val="C - 2.12"/>
      <sheetName val="WPC - 2.12"/>
      <sheetName val="C - 2.13"/>
      <sheetName val="C - 2.14"/>
      <sheetName val="C - 2.15"/>
      <sheetName val="WPC - 2.15"/>
      <sheetName val="C - 2.16"/>
      <sheetName val="WPC - 2.16a"/>
      <sheetName val="WPC - 2.16b"/>
      <sheetName val="WPC - 2.16c"/>
      <sheetName val="C - 2.17"/>
      <sheetName val="C - 3"/>
      <sheetName val="WPC - 3a"/>
      <sheetName val="WPC - 3b"/>
      <sheetName val="C - 4"/>
      <sheetName val="WPC - 4a"/>
      <sheetName val="WPC - 4b"/>
      <sheetName val="WPC - 4c"/>
      <sheetName val="WPC - 4d"/>
      <sheetName val="C - 5"/>
      <sheetName val="WPC - 5a"/>
      <sheetName val="WPC - 5b"/>
      <sheetName val="C - 5b"/>
      <sheetName val="C - 5.1"/>
      <sheetName val="C - 5.2"/>
      <sheetName val="WPC - 5.2a"/>
      <sheetName val="WPC - 5.2b"/>
      <sheetName val="C - 5.3"/>
      <sheetName val="WPC - 5.3a"/>
      <sheetName val="WPC - 5.3b"/>
      <sheetName val="C - 5.4"/>
      <sheetName val="WPC - 5.4"/>
      <sheetName val="C - 5.5"/>
      <sheetName val="WPC - 5.5a"/>
      <sheetName val="WPC - 5.5b"/>
      <sheetName val="C - 6"/>
      <sheetName val="WPC - 6"/>
      <sheetName val="C - 6.1"/>
      <sheetName val="WPC - 6.1"/>
      <sheetName val="C - 6.2a"/>
      <sheetName val="C - 6.2b"/>
      <sheetName val="C - 7a"/>
      <sheetName val="C - 7b"/>
      <sheetName val="C - 8"/>
      <sheetName val="WPC - 8"/>
      <sheetName val="C - 9"/>
      <sheetName val="WPC - 9"/>
      <sheetName val="C - 10"/>
      <sheetName val="WPC - 10"/>
      <sheetName val="C - 10.1"/>
      <sheetName val="C - 11.1"/>
      <sheetName val="WPC - 11.1a"/>
      <sheetName val="WPC - 11.1b"/>
      <sheetName val="WPC - 11.1c"/>
      <sheetName val="WPC - 11.1d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2i"/>
      <sheetName val="C - 11.2j"/>
      <sheetName val="C - 11.2k"/>
      <sheetName val="C - 11.2l"/>
      <sheetName val="C - 11.2m"/>
      <sheetName val="C - 11.2n"/>
      <sheetName val="C - 11.2o"/>
      <sheetName val="C - 11.2p"/>
      <sheetName val="C - 11.3"/>
      <sheetName val="WPC - 11.3a"/>
      <sheetName val="WPC - 11.3b"/>
      <sheetName val="WPC - 11.3c"/>
      <sheetName val="WPC - 11.3d"/>
      <sheetName val="C - 12"/>
      <sheetName val="WPC - 12a"/>
      <sheetName val="WPC - 12b"/>
      <sheetName val="C - 13"/>
      <sheetName val="C - 14"/>
      <sheetName val="WPC - 14a"/>
      <sheetName val="WPC - 14b"/>
      <sheetName val="C - 16"/>
      <sheetName val="WPC-16a"/>
      <sheetName val="WPC-16b"/>
      <sheetName val="C - 17a"/>
      <sheetName val="C - 17b"/>
      <sheetName val="C - 17c"/>
      <sheetName val="C - 17d"/>
      <sheetName val="C - 18"/>
      <sheetName val="WPC - 18a"/>
      <sheetName val="WPC - 18b"/>
      <sheetName val="WPC - 18c1"/>
      <sheetName val="WPC - 18c"/>
      <sheetName val="C - 19"/>
      <sheetName val="C - 21"/>
      <sheetName val="WPC - 21a"/>
      <sheetName val="WPC - 21b"/>
      <sheetName val="C - 23 (1)"/>
      <sheetName val="C - 23"/>
      <sheetName val="WPC - 23a"/>
      <sheetName val="WPC - 23b"/>
      <sheetName val="WPC - 23c"/>
      <sheetName val="WPC - 23d"/>
      <sheetName val="C - 25"/>
    </sheetNames>
    <sheetDataSet>
      <sheetData sheetId="0" refreshError="1">
        <row r="217">
          <cell r="B217" t="str">
            <v>AmerenCIPS</v>
          </cell>
        </row>
        <row r="218">
          <cell r="B218" t="str">
            <v>AmerenUE Illinois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A - 1"/>
      <sheetName val="A - 2"/>
      <sheetName val="A - 2.1"/>
      <sheetName val="A - 3"/>
      <sheetName val="WPA - 3a"/>
      <sheetName val="WPA - 3b"/>
      <sheetName val="A - 4"/>
      <sheetName val="A - 5a"/>
      <sheetName val="A - 5b"/>
      <sheetName val="WPA - 5"/>
      <sheetName val="DefResp-3a"/>
      <sheetName val="DefResp-3b"/>
      <sheetName val="WPA - 5c"/>
      <sheetName val="B - 1"/>
      <sheetName val="WPB - 1"/>
      <sheetName val="B - 2"/>
      <sheetName val="B - 2.1"/>
      <sheetName val="WPB - 2.1b"/>
      <sheetName val="WPB - 2.1c"/>
      <sheetName val="WPB - 2.1d"/>
      <sheetName val="WPB - 2.1e"/>
      <sheetName val="WPB - 2.1a"/>
      <sheetName val="B - 3a"/>
      <sheetName val="B - 3b"/>
      <sheetName val="B - 4"/>
      <sheetName val="WPB - 4"/>
      <sheetName val="B - 5"/>
      <sheetName val="WPB - 5a"/>
      <sheetName val="WPB - 5b"/>
      <sheetName val="WPB - 5c"/>
      <sheetName val="B - 5.1"/>
      <sheetName val="B - 5.2"/>
      <sheetName val="B - 6"/>
      <sheetName val="WPB - 6a"/>
      <sheetName val="WPB - 6b"/>
      <sheetName val="WPB - 6c"/>
      <sheetName val="B - 7.2a1"/>
      <sheetName val="B - 7.2a2"/>
      <sheetName val="B - 7.2b1"/>
      <sheetName val="WPB - 7.2UEC"/>
      <sheetName val="B - 7.2b2"/>
      <sheetName val="B - 8"/>
      <sheetName val="Workpaper"/>
      <sheetName val="B - 8.1"/>
      <sheetName val="WPB - 8.1a"/>
      <sheetName val="WPB - 8.1b"/>
      <sheetName val="B - 9"/>
      <sheetName val="WPB - 9a"/>
      <sheetName val="WPB - 9b"/>
      <sheetName val="B - 9.1"/>
      <sheetName val="WPB - 9.1a"/>
      <sheetName val="WPB - 9.1b"/>
      <sheetName val="B - 13"/>
      <sheetName val="WPB - 13a"/>
      <sheetName val="WPB - 13b"/>
      <sheetName val="WPB - 13c"/>
      <sheetName val="B - 14"/>
      <sheetName val="WPB - 14"/>
      <sheetName val="C - 1"/>
      <sheetName val="C - 2"/>
      <sheetName val="C - 2.1"/>
      <sheetName val="WPC - 2.1"/>
      <sheetName val="C - 2.2"/>
      <sheetName val="C - 2.3"/>
      <sheetName val="C - 2.4"/>
      <sheetName val="WPC - 2.4a"/>
      <sheetName val="WPC - 2.4b"/>
      <sheetName val="C - 2.5"/>
      <sheetName val="WPC - 2.5"/>
      <sheetName val="C - 2.6"/>
      <sheetName val="WPC - 2.6a"/>
      <sheetName val="C - 2.6 NOT USED"/>
      <sheetName val="WPC - 2.6a NOT USED"/>
      <sheetName val="WPC - 2.6b"/>
      <sheetName val="C - 2.7"/>
      <sheetName val="WPC - 2.7"/>
      <sheetName val="C - 2.7b"/>
      <sheetName val="WPC - 2.7b"/>
      <sheetName val="WPC - 2.7c"/>
      <sheetName val="C - 2.7d"/>
      <sheetName val="C - 2.7e"/>
      <sheetName val="C - 2.7f"/>
      <sheetName val="WPC - 2.7d"/>
      <sheetName val="WPC - 2.7e"/>
      <sheetName val="C - 2.7i"/>
      <sheetName val="C - 2.7j"/>
      <sheetName val="C - 2.8"/>
      <sheetName val="C - 2.9"/>
      <sheetName val="C - 2.10"/>
      <sheetName val="C - 2.11"/>
      <sheetName val="WPC - 2.11"/>
      <sheetName val="C - 2.12"/>
      <sheetName val="WPC - 2.12"/>
      <sheetName val="C - 2.13"/>
      <sheetName val="C - 2.14"/>
      <sheetName val="C - 2.15"/>
      <sheetName val="WPC - 2.15"/>
      <sheetName val="C - 2.16"/>
      <sheetName val="WPC - 2.16a"/>
      <sheetName val="WPC - 2.16b"/>
      <sheetName val="WPC - 2.16c"/>
      <sheetName val="C - 2.17"/>
      <sheetName val="C - 3"/>
      <sheetName val="WPC - 3a"/>
      <sheetName val="WPC - 3b"/>
      <sheetName val="C - 4"/>
      <sheetName val="WPC - 4a"/>
      <sheetName val="WPC - 4b"/>
      <sheetName val="WPC - 4c"/>
      <sheetName val="WPC - 4d"/>
      <sheetName val="C - 5"/>
      <sheetName val="WPC - 5a"/>
      <sheetName val="WPC - 5b"/>
      <sheetName val="C - 5b"/>
      <sheetName val="C - 5.1"/>
      <sheetName val="C - 5.2"/>
      <sheetName val="WPC - 5.2a"/>
      <sheetName val="WPC - 5.2b"/>
      <sheetName val="C - 5.3"/>
      <sheetName val="WPC - 5.3a"/>
      <sheetName val="WPC - 5.3b"/>
      <sheetName val="C - 5.4"/>
      <sheetName val="WPC - 5.4"/>
      <sheetName val="C - 5.5"/>
      <sheetName val="WPC - 5.5a"/>
      <sheetName val="WPC - 5.5b"/>
      <sheetName val="C - 6"/>
      <sheetName val="WPC - 6"/>
      <sheetName val="C - 6.1"/>
      <sheetName val="WPC - 6.1"/>
      <sheetName val="C - 6.2a"/>
      <sheetName val="C - 6.2b"/>
      <sheetName val="C - 7a"/>
      <sheetName val="C - 7b"/>
      <sheetName val="C - 8"/>
      <sheetName val="WPC - 8"/>
      <sheetName val="C - 9"/>
      <sheetName val="WPC - 9"/>
      <sheetName val="C - 10"/>
      <sheetName val="WPC - 10"/>
      <sheetName val="C - 10.1"/>
      <sheetName val="C - 11.1"/>
      <sheetName val="WPC - 11.1a"/>
      <sheetName val="WPC - 11.1b"/>
      <sheetName val="WPC - 11.1c"/>
      <sheetName val="WPC - 11.1d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2i"/>
      <sheetName val="C - 11.2j"/>
      <sheetName val="C - 11.2k"/>
      <sheetName val="C - 11.2l"/>
      <sheetName val="C - 11.2m"/>
      <sheetName val="C - 11.2n"/>
      <sheetName val="C - 11.2o"/>
      <sheetName val="C - 11.2p"/>
      <sheetName val="C - 11.3"/>
      <sheetName val="WPC - 11.3a"/>
      <sheetName val="WPC - 11.3b"/>
      <sheetName val="WPC - 11.3c"/>
      <sheetName val="WPC - 11.3d"/>
      <sheetName val="C - 12"/>
      <sheetName val="WPC - 12a"/>
      <sheetName val="WPC - 12b"/>
      <sheetName val="C - 13"/>
      <sheetName val="C - 14"/>
      <sheetName val="WPC - 14a"/>
      <sheetName val="WPC - 14b"/>
      <sheetName val="C - 16"/>
      <sheetName val="WPC-16a"/>
      <sheetName val="WPC-16b"/>
      <sheetName val="C - 17a"/>
      <sheetName val="C - 17b"/>
      <sheetName val="C - 17c"/>
      <sheetName val="C - 17d"/>
      <sheetName val="C - 18"/>
      <sheetName val="WPC - 18a"/>
      <sheetName val="WPC - 18b"/>
      <sheetName val="WPC - 18c1"/>
      <sheetName val="WPC - 18c"/>
      <sheetName val="C - 19"/>
      <sheetName val="C - 21"/>
      <sheetName val="WPC - 21a"/>
      <sheetName val="WPC - 21b"/>
      <sheetName val="C - 23 (1)"/>
      <sheetName val="C - 23"/>
      <sheetName val="WPC - 23a"/>
      <sheetName val="WPC - 23b"/>
      <sheetName val="WPC - 23c"/>
      <sheetName val="WPC - 23d"/>
      <sheetName val="C - 25"/>
    </sheetNames>
    <sheetDataSet>
      <sheetData sheetId="0" refreshError="1">
        <row r="217">
          <cell r="B217" t="str">
            <v>AmerenCIPS</v>
          </cell>
        </row>
        <row r="218">
          <cell r="B218" t="str">
            <v>AmerenUE Illinois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A - 1"/>
      <sheetName val="A - 2"/>
      <sheetName val="A - 2.1"/>
      <sheetName val="A - 3"/>
      <sheetName val="WPA-3a"/>
      <sheetName val="WPA-3b"/>
      <sheetName val="A-4"/>
      <sheetName val="A - 5a"/>
      <sheetName val="A - 5b"/>
      <sheetName val="WPA - 5"/>
      <sheetName val="WPA - 5a"/>
      <sheetName val="WPA - 5b"/>
      <sheetName val="WPA - 5c"/>
      <sheetName val="B - 1"/>
      <sheetName val="WPB - 1"/>
      <sheetName val="B-2"/>
      <sheetName val="B - 2.1"/>
      <sheetName val="WPB - 2.1a"/>
      <sheetName val="WPB - 2.1b"/>
      <sheetName val="WPB - 2.1c"/>
      <sheetName val="WPB - 2.1d"/>
      <sheetName val="WPB - 2.1e"/>
      <sheetName val="B - 3a"/>
      <sheetName val="B - 3b"/>
      <sheetName val="B - 4"/>
      <sheetName val="WPB - 4"/>
      <sheetName val="B - 5"/>
      <sheetName val="WPB - 5a"/>
      <sheetName val="WPB - 5b"/>
      <sheetName val="WPB - 5c"/>
      <sheetName val="B - 5.1"/>
      <sheetName val="B - 5.2"/>
      <sheetName val="B - 6"/>
      <sheetName val="WPB - 6a"/>
      <sheetName val="WPB - 6b"/>
      <sheetName val="WPB - 6c"/>
      <sheetName val="B - 7.2a"/>
      <sheetName val="B - 7.2b"/>
      <sheetName val="WPB - 7.2UEC"/>
      <sheetName val="B - 8"/>
      <sheetName val="Workpaper"/>
      <sheetName val="B - 8.1"/>
      <sheetName val="WPB - 8.1a"/>
      <sheetName val="WPB - 8.1b"/>
      <sheetName val="B - 9"/>
      <sheetName val="WPB - 9a"/>
      <sheetName val="WPB - 9b"/>
      <sheetName val="B - 9.1"/>
      <sheetName val="WPB - 9.1a"/>
      <sheetName val="WPB - 9.1b"/>
      <sheetName val="B - 13"/>
      <sheetName val="WPB-13a"/>
      <sheetName val="WPB -13b"/>
      <sheetName val="WPB - 13c"/>
      <sheetName val="B - 14"/>
      <sheetName val="WPB - 14"/>
      <sheetName val="C-1"/>
      <sheetName val="C - 2"/>
      <sheetName val="C - 2.1"/>
      <sheetName val="WPC-2.1"/>
      <sheetName val="C - 2.2"/>
      <sheetName val="C - 2.3"/>
      <sheetName val="C - 2.4"/>
      <sheetName val="WPC - 2.4a"/>
      <sheetName val="WPC - 2.4b"/>
      <sheetName val="C - 2.5"/>
      <sheetName val="WPC - 2.5"/>
      <sheetName val="C - 2.6"/>
      <sheetName val="WPC - 2.6a"/>
      <sheetName val="WPC - 2.6b"/>
      <sheetName val="C - 2.7"/>
      <sheetName val="WPC - 2.7a"/>
      <sheetName val="C - 2.7b"/>
      <sheetName val="WPC - 2.7b"/>
      <sheetName val="WPC - 2.7c"/>
      <sheetName val="C - 2.7d"/>
      <sheetName val="C - 2.7e"/>
      <sheetName val="C - 2.7f"/>
      <sheetName val="WPC - 2.7d"/>
      <sheetName val="WPC - 2.7e"/>
      <sheetName val="C - 2.7i"/>
      <sheetName val="C - 2.7j"/>
      <sheetName val="C - 2.8"/>
      <sheetName val="C - 2.9"/>
      <sheetName val="C - 2.10"/>
      <sheetName val="C - 2.11"/>
      <sheetName val="WPC - 2.11"/>
      <sheetName val="C - 2.12"/>
      <sheetName val="WPC - 2.12"/>
      <sheetName val="C - 2.13"/>
      <sheetName val="WPC - 2.13"/>
      <sheetName val="C - 2.14"/>
      <sheetName val="WPC - 2.14"/>
      <sheetName val="C - 2.15"/>
      <sheetName val="C - 3"/>
      <sheetName val="WPC - 3a"/>
      <sheetName val="WPC - 3b"/>
      <sheetName val="C-4"/>
      <sheetName val="WPC - 4a"/>
      <sheetName val="WPC - 4b"/>
      <sheetName val="WPC - 4c"/>
      <sheetName val="WPC - 4d"/>
      <sheetName val="WPC-4e"/>
      <sheetName val="C - 5"/>
      <sheetName val="WPC - 5a"/>
      <sheetName val="WPC - 5b"/>
      <sheetName val="C - 5.1"/>
      <sheetName val="C - 5.2"/>
      <sheetName val="WPC - 5.2a"/>
      <sheetName val="WPC - 5.2b"/>
      <sheetName val="C - 5.3"/>
      <sheetName val="WPC - 5.3a"/>
      <sheetName val="WPC - 5.3b"/>
      <sheetName val="C - 5.4"/>
      <sheetName val="WPC - 5.4"/>
      <sheetName val="C - 5.5"/>
      <sheetName val="WPC - 5.5a"/>
      <sheetName val="WPC - 5.5b"/>
      <sheetName val="C - 6"/>
      <sheetName val="WPC - 6"/>
      <sheetName val="C - 6.1"/>
      <sheetName val="WPC-6.1"/>
      <sheetName val="C - 6.2a"/>
      <sheetName val="C - 6.2b"/>
      <sheetName val="C - 7a"/>
      <sheetName val="C - 7b"/>
      <sheetName val="C - 8"/>
      <sheetName val="WPC - 8"/>
      <sheetName val="C - 9"/>
      <sheetName val="WPC-9"/>
      <sheetName val="C - 10"/>
      <sheetName val="WPC - 10"/>
      <sheetName val="C - 10.1"/>
      <sheetName val="C - 11.1"/>
      <sheetName val="WPC - 11.1a"/>
      <sheetName val="WPC - 11.1b"/>
      <sheetName val="WPC - 11.1c"/>
      <sheetName val="WPC-11.1d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2i"/>
      <sheetName val="C - 11.2j"/>
      <sheetName val="C - 11.2k"/>
      <sheetName val="C - 11.2l"/>
      <sheetName val="C - 11.2m"/>
      <sheetName val="C - 11.2n"/>
      <sheetName val="C - 11.2o"/>
      <sheetName val="C - 11.2p"/>
      <sheetName val="C - 11.3"/>
      <sheetName val="WPC - 11.3a"/>
      <sheetName val="WPC - 11.3b"/>
      <sheetName val="WPC-11.3c"/>
      <sheetName val="WPC-11.3d"/>
      <sheetName val="C - 12"/>
      <sheetName val="WPC - 12a"/>
      <sheetName val="WPC - 12b"/>
      <sheetName val="C - 13"/>
      <sheetName val="C - 14"/>
      <sheetName val="WPC - 14a"/>
      <sheetName val="WPC - 14b"/>
      <sheetName val="C - 16"/>
      <sheetName val="WPC-16a"/>
      <sheetName val="WPC-16b"/>
      <sheetName val="C - 17a"/>
      <sheetName val="C - 17b"/>
      <sheetName val="C - 17c"/>
      <sheetName val="C - 17d"/>
      <sheetName val="C - 18"/>
      <sheetName val="WPC - 18a"/>
      <sheetName val="WPC - 18b"/>
      <sheetName val="WPC - 18c"/>
      <sheetName val="WPC - 18d"/>
      <sheetName val="C - 19"/>
      <sheetName val="C-21"/>
      <sheetName val="WPC-21a"/>
      <sheetName val="WPC - 21b"/>
      <sheetName val="C - 23"/>
      <sheetName val="WPC - 23a"/>
      <sheetName val="WPC - 23b"/>
      <sheetName val="WPC - 23c"/>
      <sheetName val="WPC - 23d"/>
      <sheetName val="C - 25"/>
    </sheetNames>
    <sheetDataSet>
      <sheetData sheetId="0" refreshError="1">
        <row r="209">
          <cell r="B209" t="str">
            <v>AmerenCIPS (Including AmerenUE Illinois)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A - 1"/>
      <sheetName val="A - 2"/>
      <sheetName val="A - 2.1"/>
      <sheetName val="A - 4"/>
      <sheetName val="A - 5a"/>
      <sheetName val="A - 5b"/>
      <sheetName val="WPA - 5a"/>
      <sheetName val="WPA - 5b"/>
      <sheetName val="WPA - 5c"/>
      <sheetName val="B - 1"/>
      <sheetName val="WPB - 1a"/>
      <sheetName val="WPB - 1b"/>
      <sheetName val="B - 2"/>
      <sheetName val="B - 2.1"/>
      <sheetName val="B - 2.2"/>
      <sheetName val="WPB - 2.2"/>
      <sheetName val="B - 2.3"/>
      <sheetName val="B - 2.4"/>
      <sheetName val="B-2.5"/>
      <sheetName val="WPB-2.5"/>
      <sheetName val="B - 3a"/>
      <sheetName val="B - 3b"/>
      <sheetName val="B - 4"/>
      <sheetName val="B - 5"/>
      <sheetName val="WPB - 5a"/>
      <sheetName val="WPB - 5b"/>
      <sheetName val="WPB - 5c"/>
      <sheetName val="B - 5.2"/>
      <sheetName val="B - 6a"/>
      <sheetName val="WPB - 6a"/>
      <sheetName val="B - 6b"/>
      <sheetName val="B - 7.2a"/>
      <sheetName val="B - 7.2b"/>
      <sheetName val="B - 8(alt)"/>
      <sheetName val="B - 8"/>
      <sheetName val="B - 8.1"/>
      <sheetName val="WPB - 8.1"/>
      <sheetName val="B-9"/>
      <sheetName val="WPB - 9"/>
      <sheetName val="B - 9.1"/>
      <sheetName val="B - 13"/>
      <sheetName val="WPB - 13a"/>
      <sheetName val="WPB - 13b"/>
      <sheetName val="WPB - 13c"/>
      <sheetName val="B-14"/>
      <sheetName val="WPB - 14"/>
      <sheetName val="C - 1"/>
      <sheetName val="C - 2"/>
      <sheetName val="C - 2.1"/>
      <sheetName val="C - 2.2"/>
      <sheetName val="C - 2.3"/>
      <sheetName val="C - 2.4"/>
      <sheetName val="C-2.4"/>
      <sheetName val="C-2.5"/>
      <sheetName val="C-2.6"/>
      <sheetName val="WPC-2.6a"/>
      <sheetName val="WPC-2.6b"/>
      <sheetName val="C-2.7"/>
      <sheetName val="C-2.8"/>
      <sheetName val="WPC-2.8"/>
      <sheetName val="C-2.9"/>
      <sheetName val="WPC-2.9"/>
      <sheetName val="C-2.10"/>
      <sheetName val="WPC-2.10"/>
      <sheetName val="C-2.11"/>
      <sheetName val="C-2.12"/>
      <sheetName val="C-2.13"/>
      <sheetName val="C-2.14"/>
      <sheetName val="WPC-2.14"/>
      <sheetName val="C - 3"/>
      <sheetName val="WPC - 3a"/>
      <sheetName val="WPC - 3b"/>
      <sheetName val="C - 4"/>
      <sheetName val="WPC - 4a"/>
      <sheetName val="WPC - 4b"/>
      <sheetName val="WPC - 4c"/>
      <sheetName val="C-5"/>
      <sheetName val="C - 5b"/>
      <sheetName val="C - 5.1"/>
      <sheetName val="C-5.2"/>
      <sheetName val="C-5.3"/>
      <sheetName val="C - 5.4"/>
      <sheetName val="WPC - 5.4"/>
      <sheetName val="C-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 - 10"/>
      <sheetName val="C - 10.1"/>
      <sheetName val="C - 11.1"/>
      <sheetName val="WPC - 11.1a"/>
      <sheetName val="WPC - 11.1b"/>
      <sheetName val="WPC - 11.1c"/>
      <sheetName val="WPC - 11.1d"/>
      <sheetName val="C-11.2a"/>
      <sheetName val="C-11.2b"/>
      <sheetName val="C-11.2c"/>
      <sheetName val="C-11.2d"/>
      <sheetName val="C-11.2e"/>
      <sheetName val="C-11.2f"/>
      <sheetName val="C-11.2g"/>
      <sheetName val="C-11.2h"/>
      <sheetName val="C - 11.3"/>
      <sheetName val="WPC - 11.3a"/>
      <sheetName val="WPC - 11.3b"/>
      <sheetName val="C - 12"/>
      <sheetName val="WPC - 12a"/>
      <sheetName val="WPC - 12b"/>
      <sheetName val="WPC-12c"/>
      <sheetName val="WPC - 12d"/>
      <sheetName val="C - 13"/>
      <sheetName val="C - 14"/>
      <sheetName val="WPC-14a"/>
      <sheetName val="WPC-14b"/>
      <sheetName val="C - 16"/>
      <sheetName val="C - 17a"/>
      <sheetName val="C - 17b"/>
      <sheetName val="C - 17c"/>
      <sheetName val="C - 17d"/>
      <sheetName val="C - 18"/>
      <sheetName val="WPC - 18a"/>
      <sheetName val="WPC - 18b"/>
      <sheetName val="WPC - 18c"/>
      <sheetName val="C - 19"/>
      <sheetName val="C - 21"/>
      <sheetName val="WPC - 21a"/>
      <sheetName val="WPC - 21b"/>
      <sheetName val="C - 23"/>
      <sheetName val="WPC - 23a"/>
      <sheetName val="WPC - 23b"/>
      <sheetName val="WPC - 23c"/>
      <sheetName val="WPC - 23d"/>
      <sheetName val="C - 25"/>
      <sheetName val="C - 26"/>
      <sheetName val="C - 30"/>
    </sheetNames>
    <sheetDataSet>
      <sheetData sheetId="0" refreshError="1">
        <row r="154">
          <cell r="B154" t="str">
            <v>AmerenCIPS</v>
          </cell>
        </row>
        <row r="159">
          <cell r="B159" t="str">
            <v>For the Twelve Months Ended December 31,</v>
          </cell>
        </row>
        <row r="160">
          <cell r="B160" t="str">
            <v>(000s)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IP - April 23, 2004"/>
      <sheetName val="#REF"/>
    </sheetNames>
    <sheetDataSet>
      <sheetData sheetId="0" refreshError="1"/>
      <sheetData sheetId="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A - 1"/>
      <sheetName val="A - 2"/>
      <sheetName val="A - 2.1"/>
      <sheetName val="A - 4"/>
      <sheetName val="A - 5a"/>
      <sheetName val="A - 5b"/>
      <sheetName val="WPA - 5a"/>
      <sheetName val="WPA - 5b"/>
      <sheetName val="B - 1"/>
      <sheetName val="WPB-1.1"/>
      <sheetName val="WPB-1.2"/>
      <sheetName val="B  - 2"/>
      <sheetName val="B - 2.1"/>
      <sheetName val="B - 2.2"/>
      <sheetName val="B - 3"/>
      <sheetName val="B - 4"/>
      <sheetName val="B - 5"/>
      <sheetName val="B - 6a"/>
      <sheetName val="B - 6b"/>
      <sheetName val="B - 7.2a"/>
      <sheetName val="B - 7.2b"/>
      <sheetName val="B - 8 (alt)"/>
      <sheetName val="B - 8"/>
      <sheetName val="B - 8.1"/>
      <sheetName val="WPB - 8.1"/>
      <sheetName val="B - 9"/>
      <sheetName val="WPB - 9"/>
      <sheetName val="B - 13"/>
      <sheetName val="WPB - 13a"/>
      <sheetName val="WPB - 13b"/>
      <sheetName val="WPB - 13c"/>
      <sheetName val="2003 - B - 13"/>
      <sheetName val="2003 - WPB - 13"/>
      <sheetName val="B - 14"/>
      <sheetName val="WPB - 14"/>
      <sheetName val="C - 1"/>
      <sheetName val="C - 2"/>
      <sheetName val="C - 2.1"/>
      <sheetName val="C - 2.2"/>
      <sheetName val="C - 2.3"/>
      <sheetName val="C - 2.4moot"/>
      <sheetName val="C-2.4"/>
      <sheetName val="C-2.5"/>
      <sheetName val="C-2.6"/>
      <sheetName val="WPC-2.6a"/>
      <sheetName val="WPC-2.6b"/>
      <sheetName val="C-2.7"/>
      <sheetName val="C-2.8"/>
      <sheetName val="WPC-2.8"/>
      <sheetName val="C-2.9"/>
      <sheetName val="WPC-2.9"/>
      <sheetName val="C-2.10"/>
      <sheetName val="WPC-2.10a"/>
      <sheetName val="WPC - 2.10b"/>
      <sheetName val="C-2.11"/>
      <sheetName val="C-2.12"/>
      <sheetName val="WPC-2.12"/>
      <sheetName val="C-2.13"/>
      <sheetName val="C-2.14"/>
      <sheetName val="C - 3"/>
      <sheetName val="C - 4"/>
      <sheetName val="WPC - 4"/>
      <sheetName val="C-5"/>
      <sheetName val="C - 5b"/>
      <sheetName val="C - 5.1"/>
      <sheetName val="C-5.2"/>
      <sheetName val="C - 5.3"/>
      <sheetName val="C - 5.4"/>
      <sheetName val="WPC - 5.4"/>
      <sheetName val="C - 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-10"/>
      <sheetName val="C - 10.1"/>
      <sheetName val="C - 11.1"/>
      <sheetName val="WPC - 11.1"/>
      <sheetName val="C-11.2a"/>
      <sheetName val="WPC-11.2a"/>
      <sheetName val="C-11.2b"/>
      <sheetName val="C-11.2c"/>
      <sheetName val="C-11.2d"/>
      <sheetName val="C-11.2e"/>
      <sheetName val="C-11.2f"/>
      <sheetName val="C-11.2g"/>
      <sheetName val="C-11.2h"/>
      <sheetName val="C - 11.3"/>
      <sheetName val="WPC - 11.3"/>
      <sheetName val="C - 12"/>
      <sheetName val="WPC - 12a"/>
      <sheetName val="WPC - 12b"/>
      <sheetName val="WPC - 12c"/>
      <sheetName val="C-13"/>
      <sheetName val="C - 14"/>
      <sheetName val="WPC - 14"/>
      <sheetName val="C - 16"/>
      <sheetName val="WPC-16"/>
      <sheetName val="C - 17a"/>
      <sheetName val="C - 17b"/>
      <sheetName val="C - 17c"/>
      <sheetName val="C - 17d"/>
      <sheetName val="C-18"/>
      <sheetName val="WPC - 18a"/>
      <sheetName val="WPC - 18b"/>
      <sheetName val="WPC - 18c"/>
      <sheetName val="C - 19"/>
      <sheetName val="C - 21"/>
      <sheetName val="C - 23"/>
      <sheetName val="WPC - 23"/>
      <sheetName val="C - 25"/>
      <sheetName val="C - 26"/>
      <sheetName val="C - 30"/>
    </sheetNames>
    <sheetDataSet>
      <sheetData sheetId="0" refreshError="1">
        <row r="109">
          <cell r="C109" t="str">
            <v>AmerenCILCO</v>
          </cell>
        </row>
        <row r="110">
          <cell r="C110" t="str">
            <v>As of December 31, 2006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S Charges by Target"/>
      <sheetName val="PivotByMajMin"/>
      <sheetName val="AMS Charges by RT-All"/>
      <sheetName val="Pivot-CILCO"/>
      <sheetName val="CILCO"/>
      <sheetName val="CIPS"/>
      <sheetName val="IPC"/>
      <sheetName val="Projects 2006"/>
      <sheetName val="RMC-Descrip"/>
      <sheetName val="Resource Types"/>
      <sheetName val="Functions"/>
      <sheetName val="2005-SR-AllocFactors"/>
      <sheetName val="AllocFactors"/>
      <sheetName val="UnknownProj#"/>
      <sheetName val="IndirectAllocFac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Sch A-1"/>
      <sheetName val="Sch A-2"/>
      <sheetName val="Sch A-2.1"/>
      <sheetName val="Sch A-3"/>
      <sheetName val="Sch A-4"/>
      <sheetName val="Sch A-5 RB"/>
      <sheetName val="Sch A-5 Exp"/>
      <sheetName val="WPA-5"/>
      <sheetName val="WPA-5.2"/>
      <sheetName val="Sch B-1"/>
      <sheetName val="Sch B-2"/>
      <sheetName val="Sch B-2.1"/>
      <sheetName val="Sch B-2.2"/>
      <sheetName val="WPB-2.2a"/>
      <sheetName val="WPB-2.2b"/>
      <sheetName val="Sch B-2.3"/>
      <sheetName val="WPB-2.3"/>
      <sheetName val="Sch B-2.4"/>
      <sheetName val="WPB-2.4"/>
      <sheetName val="Sch B-2.5"/>
      <sheetName val="WPB-2.5a"/>
      <sheetName val="Sch B-2.6"/>
      <sheetName val="WPB-2.6"/>
      <sheetName val="Sch B-3"/>
      <sheetName val="Sch B-4"/>
      <sheetName val="Sch B-5"/>
      <sheetName val="WPB-5"/>
      <sheetName val="Sch B-5.1"/>
      <sheetName val="Sch B-6"/>
      <sheetName val="Sch B-7.2"/>
      <sheetName val="Sch B-7.2a"/>
      <sheetName val="Sch B-8"/>
      <sheetName val="Sch B-8.1"/>
      <sheetName val="WPB-8.1a"/>
      <sheetName val="Sch B-9"/>
      <sheetName val="WPB-9"/>
      <sheetName val="WPB-9a"/>
      <sheetName val="WPB-9b"/>
      <sheetName val="Sch B-9.1"/>
      <sheetName val="Sch B-13"/>
      <sheetName val="WPB-13a"/>
      <sheetName val="Sch B-14"/>
      <sheetName val="Sch C-1"/>
      <sheetName val="Sch C-2"/>
      <sheetName val="Sch C-2.1"/>
      <sheetName val="WPC-2.1"/>
      <sheetName val="Sch C-2.2"/>
      <sheetName val="WPC-2.2"/>
      <sheetName val="Sch C-2.3"/>
      <sheetName val="WPC-2.3"/>
      <sheetName val="WPC-2.3.3 Annualized Detail"/>
      <sheetName val="Sch C-2.4"/>
      <sheetName val="Sch C-2.5"/>
      <sheetName val="WPC-2.5"/>
      <sheetName val="Sch C-2.6"/>
      <sheetName val="WPC-2.6"/>
      <sheetName val="Sch C-2.7"/>
      <sheetName val="Sch C-2.8"/>
      <sheetName val="Sch C-2.9"/>
      <sheetName val="Sch C-2.10"/>
      <sheetName val="WPC-2.10"/>
      <sheetName val="Sch C-2.11"/>
      <sheetName val="WPC-2.11"/>
      <sheetName val="Sch C-2.12"/>
      <sheetName val="WPC-2.12"/>
      <sheetName val="Sch C-2.13"/>
      <sheetName val="WPC-2.13"/>
      <sheetName val="Sch C-2.14"/>
      <sheetName val="WPC-2.14"/>
      <sheetName val="WPC-2.14a"/>
      <sheetName val="Sch C-2.15"/>
      <sheetName val="Sch C-2.16"/>
      <sheetName val="Sch C-2.17"/>
      <sheetName val="Sch C-2.18"/>
      <sheetName val="Sch C-2.19"/>
      <sheetName val="WPC-2.19"/>
      <sheetName val="Sch C-2.20"/>
      <sheetName val="WPC-2.20"/>
      <sheetName val="Sch C-2.21"/>
      <sheetName val="WPC-2.21"/>
      <sheetName val="Sch C-2.22"/>
      <sheetName val="Sch C-2.23"/>
      <sheetName val="WPC-2.23"/>
      <sheetName val="Sch C-2.24"/>
      <sheetName val="Sch C-3"/>
      <sheetName val="Sch C-4"/>
      <sheetName val="Sch C-5a"/>
      <sheetName val="Sch C-5b"/>
      <sheetName val="Sch C-5.1"/>
      <sheetName val="Sch C-5.2"/>
      <sheetName val="Sch C-5.3"/>
      <sheetName val="Sch C-5.4"/>
      <sheetName val="WPC-5.4"/>
      <sheetName val="Sch C-6"/>
      <sheetName val="Sch C-6.1"/>
      <sheetName val="Sch C-6.2"/>
      <sheetName val="Sch C-7"/>
      <sheetName val="Schedule C-7"/>
      <sheetName val="Sch C-8"/>
      <sheetName val="Sch C-9"/>
      <sheetName val="Sch C-10"/>
      <sheetName val="WPC-10"/>
      <sheetName val="Sch C-10.1"/>
      <sheetName val="Sch C-11.1"/>
      <sheetName val="WPC-11.1"/>
      <sheetName val="Sch C-11.2a"/>
      <sheetName val="Sch C-11.2b"/>
      <sheetName val="Sch C-11.2c"/>
      <sheetName val="Sch C-11.2d"/>
      <sheetName val="Sch C-11.2e"/>
      <sheetName val="Sch C-11.2f"/>
      <sheetName val="Sch C-11.2g"/>
      <sheetName val="Sch C-11.2h"/>
      <sheetName val="Sch C-11.3"/>
      <sheetName val="WPC-11.3"/>
      <sheetName val="WPC-11.3a"/>
      <sheetName val="WPC-11.3b"/>
      <sheetName val="WPC-11.3c"/>
      <sheetName val="Sch C-12"/>
      <sheetName val="WPC-12"/>
      <sheetName val="Sch C-13"/>
      <sheetName val="Sch C-14"/>
      <sheetName val="WPC-14"/>
      <sheetName val="Sch C-16 OLD-Replaced 12.12.05"/>
      <sheetName val="WPC-16a"/>
      <sheetName val="Sch C-16"/>
      <sheetName val="Sch C-17 2004"/>
      <sheetName val="Sch C-17 2004 to Sept"/>
      <sheetName val="Sch C-17 2003"/>
      <sheetName val="Sch C-17 2002"/>
      <sheetName val="Sch C-17 2001"/>
      <sheetName val="Sch C-18"/>
      <sheetName val="WPC-18a"/>
      <sheetName val="WPC-18b"/>
      <sheetName val="WPC-18c"/>
      <sheetName val="Sch C-19"/>
      <sheetName val="Sch C-21"/>
      <sheetName val="Sch C-22"/>
      <sheetName val="Sch C-23"/>
      <sheetName val="WPC-23"/>
      <sheetName val="Sch C-25"/>
      <sheetName val="Sch C-26"/>
      <sheetName val="Sch C-29"/>
      <sheetName val="Sch C-31"/>
      <sheetName val="Sch C-32"/>
      <sheetName val="WPC-4"/>
      <sheetName val="WPA-5.1.4 Func Factors"/>
      <sheetName val="WPB-1 Cust Adv"/>
      <sheetName val="WPB-2.2.3"/>
      <sheetName val="WPB-2.4.2 Int Plt Gross - AMS"/>
      <sheetName val="WPB-2.4.3 Int Plt Reserve - AMS"/>
      <sheetName val="WPB-2.4.4 Int Plt Net - AMS"/>
      <sheetName val="WPB-2.4.5 Gen Plt Gross -AMS"/>
      <sheetName val="WPB-2.4.6 Gen Plt Reserve - AMS"/>
      <sheetName val="WPB-2.4.7 Gen Plt Net - AMS"/>
      <sheetName val="Sch B-5.2 Merged or Acq Prop"/>
      <sheetName val="Sch B-5.3 Leased Prop"/>
      <sheetName val="Sch B-7 CWIP"/>
      <sheetName val="Sch B-7.1 CWIP % Complete"/>
      <sheetName val="WPB-8.1b"/>
      <sheetName val="Construction"/>
      <sheetName val="GPROD"/>
      <sheetName val="ETRANS"/>
      <sheetName val="GTRANS"/>
      <sheetName val="EDISTR"/>
      <sheetName val="GDISTR"/>
      <sheetName val="DistrMisc"/>
      <sheetName val="Other"/>
      <sheetName val="Sch B-10 Def Charges"/>
      <sheetName val="Sch B-11 PHFFU"/>
      <sheetName val="Sch B-12 Analysis of PHFFU"/>
      <sheetName val="WPC-2.2.2"/>
      <sheetName val="WPC-2.2.3"/>
      <sheetName val="WPC-2.2.4"/>
      <sheetName val="WPC-2.2.5"/>
      <sheetName val="WPC-2.2.6"/>
      <sheetName val="WPC-2.2.7"/>
      <sheetName val="WPC-2.3.4 IP 04-05"/>
      <sheetName val="WPC-2.3.5 IP 05-05"/>
      <sheetName val="WPC-2.3.6 IP 06-05"/>
      <sheetName val="WPC-2.3.6 IP 07-05"/>
      <sheetName val="WPC-2.8"/>
      <sheetName val="WPC-2.13.3"/>
      <sheetName val="WPC-2.13.4"/>
      <sheetName val="WPC-2.13.5"/>
      <sheetName val="WPC-2.13.6"/>
      <sheetName val="WPC-2.13.7"/>
      <sheetName val="WPC-2.13.8"/>
      <sheetName val="WPC-2.13.9"/>
      <sheetName val="WPC-2.13.10"/>
      <sheetName val="WPC-2.13.11"/>
      <sheetName val="WPC-2.13.12"/>
      <sheetName val="WPC-2.22"/>
      <sheetName val="Sch C-5.5 ITC &amp; Job Dev. Cr"/>
      <sheetName val="WPC-6.1"/>
      <sheetName val="WPC-6.1 2004"/>
      <sheetName val="WPC-6.1 2003"/>
      <sheetName val="WPC-6.1 2002"/>
      <sheetName val="WPC-6.1 2001"/>
      <sheetName val="WPC-6.2"/>
      <sheetName val="Sheet2"/>
      <sheetName val="WPC-7"/>
      <sheetName val="WPC-8"/>
      <sheetName val="WPC-9"/>
      <sheetName val="WPC-11.1a"/>
      <sheetName val="Sch 11.4 Recon Est Ovrhd"/>
      <sheetName val="WPC-13.1 Affl Int Trans"/>
      <sheetName val="WPC-14a"/>
      <sheetName val="WPC-14b"/>
      <sheetName val="WPC-14c"/>
      <sheetName val="WPC-14d"/>
      <sheetName val="WPC-14e"/>
      <sheetName val="Sch C-15 Major Maint Proj"/>
      <sheetName val="WPC-16"/>
      <sheetName val="WPC-18b Accr Prop Tax"/>
      <sheetName val="WPC-18a 2004"/>
      <sheetName val="Sch C-18a Oth Tx 2003"/>
      <sheetName val="WPC-18a 2003"/>
      <sheetName val="Sch C-18a Oth Tx 2002"/>
      <sheetName val="WPC-18a Oth Tx 2002"/>
      <sheetName val="WPC-18a 2001"/>
      <sheetName val="Sch C-20 Local Tx"/>
      <sheetName val="Sch C-24 Legal Exp &amp; Res"/>
      <sheetName val="WPC-25"/>
      <sheetName val="Sch C-27 Fuel Adj Rev &amp; Exp"/>
      <sheetName val="Sch C-28 Fuel Transp Exp"/>
      <sheetName val="Sch C-30 PGA Rev &amp; Exp"/>
      <sheetName val="Sch C-33 Billing Exper"/>
      <sheetName val="Comm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>
        <row r="26">
          <cell r="J26">
            <v>0.88519099999999995</v>
          </cell>
        </row>
        <row r="36">
          <cell r="H36">
            <v>0.67503999999999997</v>
          </cell>
        </row>
        <row r="57">
          <cell r="J57">
            <v>0.87614000000000003</v>
          </cell>
        </row>
        <row r="65">
          <cell r="H65">
            <v>0.66896999999999995</v>
          </cell>
        </row>
        <row r="86">
          <cell r="J86">
            <v>0.87372000000000005</v>
          </cell>
        </row>
        <row r="94">
          <cell r="H94">
            <v>0.66110999999999998</v>
          </cell>
        </row>
        <row r="115">
          <cell r="J115">
            <v>0.85875000000000001</v>
          </cell>
        </row>
        <row r="123">
          <cell r="H123">
            <v>0.66471999999999998</v>
          </cell>
        </row>
      </sheetData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int"/>
      <sheetName val="Sch A-1"/>
      <sheetName val="Sch A-2"/>
      <sheetName val="Sch A-2.1"/>
      <sheetName val="Sch A-3"/>
      <sheetName val="Sch A-4"/>
      <sheetName val="Sch A-5 RB"/>
      <sheetName val="Sch A-5 Exp"/>
      <sheetName val="WPA-5"/>
      <sheetName val="Sch B-1"/>
      <sheetName val="Sch B-2"/>
      <sheetName val="Sch B-2.1"/>
      <sheetName val="Sch B-2.2"/>
      <sheetName val="WPB-2.2a"/>
      <sheetName val="WPB-2.2b"/>
      <sheetName val="Sch B-2.3"/>
      <sheetName val="WPB-2.3"/>
      <sheetName val="Sch B-2.4"/>
      <sheetName val="WPB-2.4"/>
      <sheetName val="Sch B-2.5"/>
      <sheetName val="WPB-2.5a"/>
      <sheetName val="Sch B-2.6"/>
      <sheetName val="WPB-2.6"/>
      <sheetName val="Sch B-3"/>
      <sheetName val="Sch B-4"/>
      <sheetName val="Sch B-5"/>
      <sheetName val="WPB-5"/>
      <sheetName val="Sch B-5.1"/>
      <sheetName val="Sch B-6"/>
      <sheetName val="Sch B-7.2"/>
      <sheetName val="Sch B-7.2a"/>
      <sheetName val="Sch B-8"/>
      <sheetName val="Sch B-8.1"/>
      <sheetName val="WPB-8.1a"/>
      <sheetName val="Sch B-9"/>
      <sheetName val="WPB-9"/>
      <sheetName val="WPB-9a"/>
      <sheetName val="WPB-9b"/>
      <sheetName val="Sch B-9.1"/>
      <sheetName val="Sch B-13"/>
      <sheetName val="WPB-13a"/>
      <sheetName val="Sch B-14"/>
      <sheetName val="Sch C-1"/>
      <sheetName val="Sch C-2"/>
      <sheetName val="Sch C-2.1"/>
      <sheetName val="WPC-2.1"/>
      <sheetName val="Sch C-2.2"/>
      <sheetName val="WPC-2.2"/>
      <sheetName val="Sch C-2.3"/>
      <sheetName val="WPC-2.3"/>
      <sheetName val="WPC-2.3.3 Annualized Detail"/>
      <sheetName val="Sch C-2.4"/>
      <sheetName val="Sch C-2.5"/>
      <sheetName val="WPC-2.5"/>
      <sheetName val="Sch C-2.6"/>
      <sheetName val="WPC-2.6"/>
      <sheetName val="Sch C-2.7"/>
      <sheetName val="Sch C-2.8"/>
      <sheetName val="Sch C-2.9"/>
      <sheetName val="Sch C-2.10"/>
      <sheetName val="WPC-2.10"/>
      <sheetName val="Sch C-2.11"/>
      <sheetName val="WPC-2.11"/>
      <sheetName val="Sch C-2.12"/>
      <sheetName val="WPC-2.12"/>
      <sheetName val="Sch C-2.13"/>
      <sheetName val="WPC-2.13"/>
      <sheetName val="Sch C-2.14"/>
      <sheetName val="WPC-2.14"/>
      <sheetName val="WPC-2.14a"/>
      <sheetName val="Sch C-2.15"/>
      <sheetName val="Sch C-2.16"/>
      <sheetName val="Sch C-2.17"/>
      <sheetName val="Sch C-2.18"/>
      <sheetName val="Sch C-2.19"/>
      <sheetName val="WPC-2.19"/>
      <sheetName val="Sch C-2.20"/>
      <sheetName val="WPC-2.20"/>
      <sheetName val="Sch C-2.21"/>
      <sheetName val="WPC-2.21"/>
      <sheetName val="Sch C-2.22"/>
      <sheetName val="Sch C-2.23"/>
      <sheetName val="WPC-2.23"/>
      <sheetName val="Sch C-2.24"/>
      <sheetName val="Sch C-3"/>
      <sheetName val="Sch C-4"/>
      <sheetName val="Sch C-5a"/>
      <sheetName val="Sch C-5b"/>
      <sheetName val="Sch C-5.1"/>
      <sheetName val="Sch C-5.2"/>
      <sheetName val="Sch C-5.3"/>
      <sheetName val="Sch C-5.4"/>
      <sheetName val="WPC-5.4"/>
      <sheetName val="Sch C-6"/>
      <sheetName val="Sch C-6.1"/>
      <sheetName val="Sch C-6.2"/>
      <sheetName val="Sch C-7"/>
      <sheetName val="Sch C-8"/>
      <sheetName val="Sch C-9"/>
      <sheetName val="Sch C-10"/>
      <sheetName val="WPC-10"/>
      <sheetName val="Sch C-10.1"/>
      <sheetName val="Sch C-11.1"/>
      <sheetName val="WPC-11.1"/>
      <sheetName val="Sch C-11.2a"/>
      <sheetName val="Sch C-11.2b"/>
      <sheetName val="Sch C-11.2c"/>
      <sheetName val="Sch C-11.2d"/>
      <sheetName val="Sch C-11.2e"/>
      <sheetName val="Sch C-11.2f"/>
      <sheetName val="Sch C-11.2g"/>
      <sheetName val="Sch C-11.2h"/>
      <sheetName val="Sch C-11.3"/>
      <sheetName val="WPC-11.3"/>
      <sheetName val="WPC-11.3a"/>
      <sheetName val="WPC-11.3b"/>
      <sheetName val="WPC-11.3c"/>
      <sheetName val="Sch C-12"/>
      <sheetName val="WPC-12"/>
      <sheetName val="Sch C-13"/>
      <sheetName val="Sch C-14"/>
      <sheetName val="WPC-14"/>
      <sheetName val="Sch C-16 OLD-Replaced 12.12.05"/>
      <sheetName val="WPC-16a"/>
      <sheetName val="Sch C-16"/>
      <sheetName val="Sch C-17 2004"/>
      <sheetName val="Sch C-17 2004 to Sept"/>
      <sheetName val="Sch C-17 2003"/>
      <sheetName val="Sch C-17 2002"/>
      <sheetName val="Sch C-17 2001"/>
      <sheetName val="Sch C-18"/>
      <sheetName val="WPC-18a"/>
      <sheetName val="WPC-18b"/>
      <sheetName val="WPC-18c"/>
      <sheetName val="Sch C-19"/>
      <sheetName val="Sch C-21"/>
      <sheetName val="Sch C-22"/>
      <sheetName val="Sch C-23"/>
      <sheetName val="WPC-23"/>
      <sheetName val="Sch C-25"/>
      <sheetName val="Sch C-26"/>
      <sheetName val="Sch C-29"/>
      <sheetName val="Sch C-31"/>
      <sheetName val="Sch C-32"/>
      <sheetName val="WPC-4"/>
      <sheetName val="WPA-5.2"/>
      <sheetName val="WPA-5.1.4 Func Factors"/>
      <sheetName val="WPB-1 Cust Adv"/>
      <sheetName val="WPB-2.2.3"/>
      <sheetName val="WPB-2.4.2 Int Plt Gross - AMS"/>
      <sheetName val="WPB-2.4.3 Int Plt Reserve - AMS"/>
      <sheetName val="WPB-2.4.4 Int Plt Net - AMS"/>
      <sheetName val="WPB-2.4.5 Gen Plt Gross -AMS"/>
      <sheetName val="WPB-2.4.6 Gen Plt Reserve - AMS"/>
      <sheetName val="WPB-2.4.7 Gen Plt Net - AMS"/>
      <sheetName val="Sch B-5.2 Merged or Acq Prop"/>
      <sheetName val="Sch B-5.3 Leased Prop"/>
      <sheetName val="Sch B-7 CWIP"/>
      <sheetName val="Sch B-7.1 CWIP % Complete"/>
      <sheetName val="WPB-8.1b"/>
      <sheetName val="Construction"/>
      <sheetName val="GPROD"/>
      <sheetName val="ETRANS"/>
      <sheetName val="GTRANS"/>
      <sheetName val="EDISTR"/>
      <sheetName val="GDISTR"/>
      <sheetName val="DistrMisc"/>
      <sheetName val="Other"/>
      <sheetName val="Sch B-10 Def Charges"/>
      <sheetName val="Sch B-11 PHFFU"/>
      <sheetName val="Sch B-12 Analysis of PHFFU"/>
      <sheetName val="WPC-2.2.2"/>
      <sheetName val="WPC-2.2.3"/>
      <sheetName val="WPC-2.2.4"/>
      <sheetName val="WPC-2.2.5"/>
      <sheetName val="WPC-2.2.6"/>
      <sheetName val="WPC-2.2.7"/>
      <sheetName val="WPC-2.3.4 IP 04-05"/>
      <sheetName val="WPC-2.3.5 IP 05-05"/>
      <sheetName val="WPC-2.3.6 IP 06-05"/>
      <sheetName val="WPC-2.3.6 IP 07-05"/>
      <sheetName val="WPC-2.8"/>
      <sheetName val="WPC-2.13.3"/>
      <sheetName val="WPC-2.13.4"/>
      <sheetName val="WPC-2.13.5"/>
      <sheetName val="WPC-2.13.6"/>
      <sheetName val="WPC-2.13.7"/>
      <sheetName val="WPC-2.13.8"/>
      <sheetName val="WPC-2.13.9"/>
      <sheetName val="WPC-2.13.10"/>
      <sheetName val="WPC-2.13.11"/>
      <sheetName val="WPC-2.13.12"/>
      <sheetName val="WPC-2.22"/>
      <sheetName val="Sch C-5.5 ITC &amp; Job Dev. Cr"/>
      <sheetName val="WPC-6.1"/>
      <sheetName val="WPC-6.1 2004"/>
      <sheetName val="WPC-6.1 2003"/>
      <sheetName val="WPC-6.1 2002"/>
      <sheetName val="WPC-6.1 2001"/>
      <sheetName val="WPC-6.2"/>
      <sheetName val="WPC-7"/>
      <sheetName val="WPC-8"/>
      <sheetName val="WPC-9"/>
      <sheetName val="WPC-11.1a"/>
      <sheetName val="Sch 11.4 Recon Est Ovrhd"/>
      <sheetName val="WPC-13.1 Affl Int Trans"/>
      <sheetName val="WPC-14a"/>
      <sheetName val="WPC-14b"/>
      <sheetName val="WPC-14c"/>
      <sheetName val="WPC-14d"/>
      <sheetName val="WPC-14e"/>
      <sheetName val="Sch C-15 Major Maint Proj"/>
      <sheetName val="WPC-16"/>
      <sheetName val="WPC-18b Accr Prop Tax"/>
      <sheetName val="WPC-18a 2004"/>
      <sheetName val="Sch C-18a Oth Tx 2003"/>
      <sheetName val="WPC-18a 2003"/>
      <sheetName val="Sch C-18a Oth Tx 2002"/>
      <sheetName val="WPC-18a Oth Tx 2002"/>
      <sheetName val="WPC-18a 2001"/>
      <sheetName val="Sch C-20 Local Tx"/>
      <sheetName val="Sch C-24 Legal Exp &amp; Res"/>
      <sheetName val="WPC-25"/>
      <sheetName val="Sch C-27 Fuel Adj Rev &amp; Exp"/>
      <sheetName val="Sch C-28 Fuel Transp Exp"/>
      <sheetName val="Sch C-30 PGA Rev &amp; Exp"/>
      <sheetName val="Sch C-33 Billing Exper"/>
      <sheetName val="Comm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>
        <row r="26">
          <cell r="J26">
            <v>0.88519099999999995</v>
          </cell>
        </row>
      </sheetData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A - 1"/>
      <sheetName val="A - 2"/>
      <sheetName val="A - 2.1"/>
      <sheetName val="A - 3"/>
      <sheetName val="A - 4"/>
      <sheetName val="A - 5a"/>
      <sheetName val="A - 5b"/>
      <sheetName val="WPA - 5a"/>
      <sheetName val="WPA - 5b"/>
      <sheetName val="B - 1"/>
      <sheetName val="WPB-1.1"/>
      <sheetName val="WPB-1.2"/>
      <sheetName val="B  - 2"/>
      <sheetName val="B - 2.1"/>
      <sheetName val="B - 2.2"/>
      <sheetName val="B - 3"/>
      <sheetName val="B - 4"/>
      <sheetName val="B - 5"/>
      <sheetName val="WPB - 5"/>
      <sheetName val="B - 6a"/>
      <sheetName val="B - 6b"/>
      <sheetName val="B - 7.2a"/>
      <sheetName val="B - 7.2b"/>
      <sheetName val="EXH-1"/>
      <sheetName val="B-8"/>
      <sheetName val="B - 8.1"/>
      <sheetName val="WPB - 8.1"/>
      <sheetName val="B - 9"/>
      <sheetName val="WPB - 9"/>
      <sheetName val="B - 9.1"/>
      <sheetName val="B - 13"/>
      <sheetName val="WPB - 13a"/>
      <sheetName val="WPB - 13b"/>
      <sheetName val="WPB - 13c"/>
      <sheetName val="2003 - B - 13"/>
      <sheetName val="2003 - WPB - 13"/>
      <sheetName val="B - 14"/>
      <sheetName val="WPB - 14"/>
      <sheetName val="C - 1"/>
      <sheetName val="C - 2"/>
      <sheetName val="C - 2.1"/>
      <sheetName val="C - 2.2"/>
      <sheetName val="WPC - 2.2"/>
      <sheetName val="C - 2.3"/>
      <sheetName val="C - 2.4"/>
      <sheetName val="C - 2.4moot"/>
      <sheetName val="C - 2.5"/>
      <sheetName val="WPC - 2.5"/>
      <sheetName val="C - 2.6"/>
      <sheetName val="WPC - 2.6"/>
      <sheetName val="C - 2.7"/>
      <sheetName val="WPC - 2.7"/>
      <sheetName val="C - 2.8"/>
      <sheetName val="C - 2.9"/>
      <sheetName val="C - 2.10"/>
      <sheetName val="WPC - 2.10"/>
      <sheetName val="C - 2.11"/>
      <sheetName val="WPC - 2.11a"/>
      <sheetName val="WPC - 2.11b"/>
      <sheetName val="C - 2.12"/>
      <sheetName val="WPC - 2.12a"/>
      <sheetName val="WPC - 2.12b"/>
      <sheetName val="C - 2.13"/>
      <sheetName val="C - 2.14"/>
      <sheetName val="WPC - 2.14a"/>
      <sheetName val="WPC-2.9b"/>
      <sheetName val="WPC - 2.14b"/>
      <sheetName val="C - 3"/>
      <sheetName val="C - 4"/>
      <sheetName val="WPC - 4"/>
      <sheetName val="C-5"/>
      <sheetName val="C - 5b"/>
      <sheetName val="C - 5.1"/>
      <sheetName val="C-5.2"/>
      <sheetName val="C - 5.3"/>
      <sheetName val="C - 5.4"/>
      <sheetName val="WPC - 5.4"/>
      <sheetName val="C - 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-10"/>
      <sheetName val="C - 10.1"/>
      <sheetName val="C - 11.1"/>
      <sheetName val="WPC - 11.1"/>
      <sheetName val="C-11.2a"/>
      <sheetName val="WPC-11.2a"/>
      <sheetName val="C-11.2b"/>
      <sheetName val="C-11.2c"/>
      <sheetName val="C-11.2d"/>
      <sheetName val="C-11.2e"/>
      <sheetName val="C-11.2f"/>
      <sheetName val="C-11.2g"/>
      <sheetName val="C-11.2h"/>
      <sheetName val="C - 11.3"/>
      <sheetName val="WPC - 11.3"/>
      <sheetName val="C - 12"/>
      <sheetName val="WPC - 12a"/>
      <sheetName val="WPC - 12c"/>
      <sheetName val="C-13"/>
      <sheetName val="C - 14"/>
      <sheetName val="WPC - 14"/>
      <sheetName val="C - 16"/>
      <sheetName val="WPC-16"/>
      <sheetName val="C - 17a"/>
      <sheetName val="C - 17b"/>
      <sheetName val="C - 17c"/>
      <sheetName val="C - 17d"/>
      <sheetName val="C-18"/>
      <sheetName val="WPC - 18a"/>
      <sheetName val="WPC - 18b"/>
      <sheetName val="WPC - 18c"/>
      <sheetName val="C - 19"/>
      <sheetName val="C - 21"/>
      <sheetName val="C - 23"/>
      <sheetName val="WPC - 23"/>
      <sheetName val="C - 25"/>
      <sheetName val="C - 26"/>
      <sheetName val="C - 30"/>
    </sheetNames>
    <sheetDataSet>
      <sheetData sheetId="0">
        <row r="135">
          <cell r="C135" t="str">
            <v>AmerenCILCO</v>
          </cell>
        </row>
        <row r="139">
          <cell r="C139" t="str">
            <v>For the Twelve Months Ended December 31,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A - 2"/>
      <sheetName val="A - 1"/>
      <sheetName val="A - 2.1"/>
      <sheetName val="A - 3"/>
      <sheetName val="A - 4"/>
      <sheetName val="A - 5a"/>
      <sheetName val="A - 5b"/>
      <sheetName val="WPA - 5"/>
      <sheetName val="DefResp-3a"/>
      <sheetName val="WPA - 5a"/>
      <sheetName val="DefResp-3b"/>
      <sheetName val="B - 1"/>
      <sheetName val="WPB - 1"/>
      <sheetName val="B - 2"/>
      <sheetName val="B - 2.1"/>
      <sheetName val="WPB - 2.1a"/>
      <sheetName val="WPB - 2.1b"/>
      <sheetName val="WPB - 2.1c"/>
      <sheetName val="WPB - 2.1d"/>
      <sheetName val="WPB - 2.1e"/>
      <sheetName val="B - 3"/>
      <sheetName val="B - 4"/>
      <sheetName val="WPB - 4"/>
      <sheetName val="B - 5"/>
      <sheetName val="WPB - 5"/>
      <sheetName val="B - 6a"/>
      <sheetName val="B - 6b"/>
      <sheetName val="B - 7.2a"/>
      <sheetName val="B - 7.2b"/>
      <sheetName val="B - 8"/>
      <sheetName val="CWC"/>
      <sheetName val="B - 8.1"/>
      <sheetName val="WPB-8.1asub"/>
      <sheetName val="WPB - 8.1a"/>
      <sheetName val="WPB - 8.1b"/>
      <sheetName val="WPB - 8.1c"/>
      <sheetName val="B-9sub"/>
      <sheetName val="B-9"/>
      <sheetName val="B-9 Sub"/>
      <sheetName val="WPB - 9a"/>
      <sheetName val="WPB - 9b"/>
      <sheetName val="B - 9.1"/>
      <sheetName val="B - 13"/>
      <sheetName val="WPB - 13a"/>
      <sheetName val="WPB - 13b"/>
      <sheetName val="WPB - 13c"/>
      <sheetName val="B - 14"/>
      <sheetName val="WPB - 14"/>
      <sheetName val="C - 1"/>
      <sheetName val="C - 2"/>
      <sheetName val="C - 2 sub"/>
      <sheetName val="C - 2.1"/>
      <sheetName val="WPC - 2.1"/>
      <sheetName val="C - 2.2"/>
      <sheetName val="C - 2.3"/>
      <sheetName val="WPC - 2.3a"/>
      <sheetName val="WPC - 2.3b"/>
      <sheetName val="C - 2.4"/>
      <sheetName val="WPC - 2.4"/>
      <sheetName val="C - 2.5"/>
      <sheetName val="WPC - 2.5"/>
      <sheetName val="C - 2.6"/>
      <sheetName val="WPC - 2.6a"/>
      <sheetName val="C - 2.6 NOT USED"/>
      <sheetName val="WPC - 2.6a NOT USED"/>
      <sheetName val="WPC - 2.6b"/>
      <sheetName val="C - 2.7"/>
      <sheetName val="WPC - 2.7"/>
      <sheetName val="WPC - 2.7a"/>
      <sheetName val="WPC - 2.7b"/>
      <sheetName val="WPC - 2.7c"/>
      <sheetName val="WPC - 2.7d"/>
      <sheetName val="WPC - 2.7e"/>
      <sheetName val="C - 2.8"/>
      <sheetName val="C - 2.9"/>
      <sheetName val="C - 2.10"/>
      <sheetName val="C - 2.11"/>
      <sheetName val="WPC - 2.11"/>
      <sheetName val="C - 2.12"/>
      <sheetName val="WPC - 2.12"/>
      <sheetName val="C - 2.13"/>
      <sheetName val="C - 2.14"/>
      <sheetName val="WPC - 2.14"/>
      <sheetName val="C - 2.15"/>
      <sheetName val="WPC - 2.15a"/>
      <sheetName val="WPC - 2.15b"/>
      <sheetName val="C - 2.16"/>
      <sheetName val="C - 3"/>
      <sheetName val="C - 4"/>
      <sheetName val="WPC - 4"/>
      <sheetName val="WPC - 4dup"/>
      <sheetName val="C - 5"/>
      <sheetName val="C - 5b"/>
      <sheetName val="C - 5.1"/>
      <sheetName val="C - 5.2"/>
      <sheetName val="C - 5.3"/>
      <sheetName val="C - 5.4"/>
      <sheetName val="WPC - 5.4"/>
      <sheetName val="C - 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 - 10"/>
      <sheetName val="C - 10.1"/>
      <sheetName val="C - 11.1"/>
      <sheetName val="WPC - 11.1"/>
      <sheetName val="C - 11.2a"/>
      <sheetName val="C - 11.2b"/>
      <sheetName val="C - 11.2e"/>
      <sheetName val="C - 11.2f"/>
      <sheetName val="C - 11.3"/>
      <sheetName val="WPC - 11.3a"/>
      <sheetName val="WPC - 11.3b"/>
      <sheetName val="WPC - 11.3c"/>
      <sheetName val="WPC - 11.3d"/>
      <sheetName val="C-11.2a"/>
      <sheetName val="WPC-11.2a"/>
      <sheetName val="C-11.2b"/>
      <sheetName val="C-11.2c"/>
      <sheetName val="C-11.2d"/>
      <sheetName val="C-11.2e"/>
      <sheetName val="C-11.2f"/>
      <sheetName val="C-11.2g"/>
      <sheetName val="C-11.2h"/>
      <sheetName val="C - 12"/>
      <sheetName val="WPC - 12"/>
      <sheetName val="C - 13a"/>
      <sheetName val="C - 13b"/>
      <sheetName val="C - 14"/>
      <sheetName val="WPC - 14"/>
      <sheetName val="C - 16"/>
      <sheetName val="WPC - 16"/>
      <sheetName val="C - 17a"/>
      <sheetName val="C - 17b"/>
      <sheetName val="C - 17c"/>
      <sheetName val="C - 17d"/>
      <sheetName val="C - 18"/>
      <sheetName val="WPC-18a"/>
      <sheetName val="WPC-18b"/>
      <sheetName val="WPC - 18b"/>
      <sheetName val="C - 19"/>
      <sheetName val="C - 21"/>
      <sheetName val="C - 23"/>
      <sheetName val="WPC - 23"/>
      <sheetName val="C - 25"/>
      <sheetName val="Schedule C-30"/>
      <sheetName val="WPC-30a"/>
      <sheetName val="WPC-30b"/>
      <sheetName val="WPC-30c"/>
      <sheetName val="WPC-30d"/>
      <sheetName val="WPC-30e"/>
      <sheetName val="C - 31"/>
      <sheetName val="B - 9"/>
      <sheetName val="WPB - 13"/>
      <sheetName val="C - 11.2c"/>
      <sheetName val="C - 11.2d"/>
      <sheetName val="C - 11.2g"/>
      <sheetName val="C - 11.2h"/>
    </sheetNames>
    <sheetDataSet>
      <sheetData sheetId="0" refreshError="1">
        <row r="154">
          <cell r="C154" t="str">
            <v>AmerenCILCO</v>
          </cell>
        </row>
        <row r="156">
          <cell r="C156" t="str">
            <v>As of December 31,</v>
          </cell>
        </row>
        <row r="158">
          <cell r="C158" t="str">
            <v>For the Twelve Months Ended December 31,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A - 1"/>
      <sheetName val="A - 2"/>
      <sheetName val="A - 2.1"/>
      <sheetName val="A - 4"/>
      <sheetName val="A - 5a"/>
      <sheetName val="A - 5b"/>
      <sheetName val="WPA-5"/>
      <sheetName val="WPA - 5a"/>
      <sheetName val="WPA - 5b"/>
      <sheetName val="B - 1"/>
      <sheetName val="B - 2"/>
      <sheetName val="B - 2.1"/>
      <sheetName val="WPB-2.1.1"/>
      <sheetName val="WPB - 2.1a"/>
      <sheetName val="WPB - 2.1b"/>
      <sheetName val="WPB - 2.1c"/>
      <sheetName val="WPB - 2.1d"/>
      <sheetName val="B - 3"/>
      <sheetName val="B - 4"/>
      <sheetName val="WPB - 4"/>
      <sheetName val="B - 5"/>
      <sheetName val="WPB - 5"/>
      <sheetName val="B - 6a"/>
      <sheetName val="B - 6b"/>
      <sheetName val="B - 7.2"/>
      <sheetName val="B - 8"/>
      <sheetName val="B - 8.1"/>
      <sheetName val="WPB - 8.1a1"/>
      <sheetName val="WPB - 8.1a2"/>
      <sheetName val="WPB - 8.1b"/>
      <sheetName val="B - 9"/>
      <sheetName val="WPB - 9a"/>
      <sheetName val="WPB - 9b"/>
      <sheetName val="B - 9.1"/>
      <sheetName val="B - 13"/>
      <sheetName val="WPB - 13.1"/>
      <sheetName val="WPB - 13b"/>
      <sheetName val="B - 14"/>
      <sheetName val="WPB - 14"/>
      <sheetName val="C - 1"/>
      <sheetName val="C - 2"/>
      <sheetName val="C - 2.1"/>
      <sheetName val="WPC - 2.1"/>
      <sheetName val="C - 2.2"/>
      <sheetName val="C - 2.3"/>
      <sheetName val="WPC - 2.3.1"/>
      <sheetName val="WPC - 2.3.2"/>
      <sheetName val="C - 2.4"/>
      <sheetName val="C - 2.5"/>
      <sheetName val="WPC - 2.5"/>
      <sheetName val="C - 2.6"/>
      <sheetName val="WPC - 2.6"/>
      <sheetName val="C - 2.7"/>
      <sheetName val="WPC - 2.7.1"/>
      <sheetName val="WPC - 2.7a"/>
      <sheetName val="WPC - 2.7.2"/>
      <sheetName val="WPC - 2.7.3"/>
      <sheetName val="WPC - 2.7d"/>
      <sheetName val="WPC - 2.7e"/>
      <sheetName val="C-2.8"/>
      <sheetName val="C - 2.9"/>
      <sheetName val="C - 2.10"/>
      <sheetName val="C - 2.11"/>
      <sheetName val="WPC - 2.11"/>
      <sheetName val="C - 2.12"/>
      <sheetName val="WPC - 2.12"/>
      <sheetName val="C - 2.13"/>
      <sheetName val="WPC - 2.13"/>
      <sheetName val="C - 3"/>
      <sheetName val="C - 4"/>
      <sheetName val="WPC - 4"/>
      <sheetName val="C - 5"/>
      <sheetName val="C - 5.1"/>
      <sheetName val="C - 5.2"/>
      <sheetName val="C - 5.3"/>
      <sheetName val="C - 5.4"/>
      <sheetName val="WPC - 5.4"/>
      <sheetName val="C - 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 - 10"/>
      <sheetName val="C - 10.1"/>
      <sheetName val="C - 11.1"/>
      <sheetName val="WPC - 11.1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3"/>
      <sheetName val="WPC - 11.3.1"/>
      <sheetName val="WPC - 11.3.2"/>
      <sheetName val="WPC - 11.3.3"/>
      <sheetName val="WPC - 11.3.4"/>
      <sheetName val="C - 12"/>
      <sheetName val="C - 13"/>
      <sheetName val="C - 14"/>
      <sheetName val="WPC - 14"/>
      <sheetName val="C - 16"/>
      <sheetName val="WPC - 16"/>
      <sheetName val="C - 17a"/>
      <sheetName val="C - 17b"/>
      <sheetName val="C - 17c"/>
      <sheetName val="C - 17d"/>
      <sheetName val="C - 18"/>
      <sheetName val="WPC-18a"/>
      <sheetName val="WPC-18b"/>
      <sheetName val="WPC-18c"/>
      <sheetName val="C - 19"/>
      <sheetName val="C-21"/>
      <sheetName val="C - 23"/>
      <sheetName val="WPC - 23"/>
      <sheetName val="C - 25"/>
      <sheetName val="C - 31"/>
    </sheetNames>
    <sheetDataSet>
      <sheetData sheetId="0" refreshError="1">
        <row r="89">
          <cell r="C89" t="str">
            <v>AmerenCILCO</v>
          </cell>
        </row>
        <row r="96">
          <cell r="C96" t="str">
            <v>For the Twelve Months Ended December 31, 2004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A - 1"/>
      <sheetName val="A - 2"/>
      <sheetName val="A - 2.1"/>
      <sheetName val="A - 3"/>
      <sheetName val="WPA-3a"/>
      <sheetName val="WPA-3b"/>
      <sheetName val="A-4"/>
      <sheetName val="A - 5a"/>
      <sheetName val="A - 5b"/>
      <sheetName val="WPA - 5"/>
      <sheetName val="WPA - 5a"/>
      <sheetName val="WPA - 5b"/>
      <sheetName val="WPA - 5c"/>
      <sheetName val="B - 1"/>
      <sheetName val="WPB - 1"/>
      <sheetName val="B-2"/>
      <sheetName val="B - 2.1"/>
      <sheetName val="WPB - 2.1a"/>
      <sheetName val="WPB - 2.1b"/>
      <sheetName val="WPB - 2.1c"/>
      <sheetName val="WPB - 2.1d"/>
      <sheetName val="WPB - 2.1e"/>
      <sheetName val="B - 3a"/>
      <sheetName val="B - 3b"/>
      <sheetName val="B - 4"/>
      <sheetName val="WPB - 4"/>
      <sheetName val="B - 5"/>
      <sheetName val="WPB - 5a"/>
      <sheetName val="WPB - 5b"/>
      <sheetName val="WPB - 5c"/>
      <sheetName val="B - 5.1"/>
      <sheetName val="B - 5.2"/>
      <sheetName val="B - 6"/>
      <sheetName val="WPB - 6a"/>
      <sheetName val="WPB - 6b"/>
      <sheetName val="WPB - 6c"/>
      <sheetName val="B - 7.2a"/>
      <sheetName val="B - 7.2b"/>
      <sheetName val="WPB - 7.2UEC"/>
      <sheetName val="B - 8"/>
      <sheetName val="Workpaper"/>
      <sheetName val="B - 8.1"/>
      <sheetName val="WPB - 8.1a"/>
      <sheetName val="WPB - 8.1b"/>
      <sheetName val="B - 9"/>
      <sheetName val="WPB - 9a"/>
      <sheetName val="WPB - 9b"/>
      <sheetName val="B - 9.1"/>
      <sheetName val="WPB - 9.1a"/>
      <sheetName val="WPB - 9.1b"/>
      <sheetName val="B - 13"/>
      <sheetName val="WPB-13a"/>
      <sheetName val="WPB -13b"/>
      <sheetName val="WPB - 13c"/>
      <sheetName val="B - 14"/>
      <sheetName val="WPB - 14"/>
      <sheetName val="C-1"/>
      <sheetName val="C - 2"/>
      <sheetName val="C - 2.1"/>
      <sheetName val="WPC-2.1"/>
      <sheetName val="C - 2.2"/>
      <sheetName val="C - 2.3"/>
      <sheetName val="C - 2.4"/>
      <sheetName val="WPC - 2.4a"/>
      <sheetName val="WPC - 2.4b"/>
      <sheetName val="C - 2.5"/>
      <sheetName val="WPC - 2.5"/>
      <sheetName val="C - 2.6"/>
      <sheetName val="WPC - 2.6a"/>
      <sheetName val="WPC - 2.6b"/>
      <sheetName val="C - 2.7"/>
      <sheetName val="WPC - 2.7a"/>
      <sheetName val="C - 2.7b"/>
      <sheetName val="WPC - 2.7b"/>
      <sheetName val="WPC - 2.7c"/>
      <sheetName val="C - 2.7d"/>
      <sheetName val="C - 2.7e"/>
      <sheetName val="C - 2.7f"/>
      <sheetName val="WPC - 2.7d"/>
      <sheetName val="WPC - 2.7e"/>
      <sheetName val="C - 2.7i"/>
      <sheetName val="C - 2.7j"/>
      <sheetName val="C - 2.8"/>
      <sheetName val="C - 2.9"/>
      <sheetName val="C - 2.10"/>
      <sheetName val="C - 2.11"/>
      <sheetName val="WPC - 2.11"/>
      <sheetName val="C - 2.12"/>
      <sheetName val="WPC - 2.12"/>
      <sheetName val="C - 2.13"/>
      <sheetName val="WPC - 2.13"/>
      <sheetName val="C - 2.14"/>
      <sheetName val="WPC - 2.14"/>
      <sheetName val="C - 2.15"/>
      <sheetName val="C - 3"/>
      <sheetName val="WPC - 3a"/>
      <sheetName val="WPC - 3b"/>
      <sheetName val="C-4"/>
      <sheetName val="WPC - 4a"/>
      <sheetName val="WPC - 4b"/>
      <sheetName val="WPC - 4c"/>
      <sheetName val="WPC - 4d"/>
      <sheetName val="WPC-4e"/>
      <sheetName val="C - 5"/>
      <sheetName val="WPC - 5a"/>
      <sheetName val="WPC - 5b"/>
      <sheetName val="C - 5.1"/>
      <sheetName val="C - 5.2"/>
      <sheetName val="WPC - 5.2a"/>
      <sheetName val="WPC - 5.2b"/>
      <sheetName val="C - 5.3"/>
      <sheetName val="WPC - 5.3a"/>
      <sheetName val="WPC - 5.3b"/>
      <sheetName val="C - 5.4"/>
      <sheetName val="WPC - 5.4"/>
      <sheetName val="C - 5.5"/>
      <sheetName val="WPC - 5.5a"/>
      <sheetName val="WPC - 5.5b"/>
      <sheetName val="C - 6"/>
      <sheetName val="WPC - 6"/>
      <sheetName val="C - 6.1"/>
      <sheetName val="WPC-6.1"/>
      <sheetName val="C - 6.2a"/>
      <sheetName val="C - 6.2b"/>
      <sheetName val="C - 7a"/>
      <sheetName val="C - 7b"/>
      <sheetName val="C - 8"/>
      <sheetName val="WPC - 8"/>
      <sheetName val="C - 9"/>
      <sheetName val="WPC-9"/>
      <sheetName val="C - 10"/>
      <sheetName val="WPC - 10"/>
      <sheetName val="C - 10.1"/>
      <sheetName val="C - 11.1"/>
      <sheetName val="WPC - 11.1a"/>
      <sheetName val="WPC - 11.1b"/>
      <sheetName val="WPC - 11.1c"/>
      <sheetName val="WPC-11.1d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2i"/>
      <sheetName val="C - 11.2j"/>
      <sheetName val="C - 11.2k"/>
      <sheetName val="C - 11.2l"/>
      <sheetName val="C - 11.2m"/>
      <sheetName val="C - 11.2n"/>
      <sheetName val="C - 11.2o"/>
      <sheetName val="C - 11.2p"/>
      <sheetName val="C - 11.3"/>
      <sheetName val="WPC - 11.3a"/>
      <sheetName val="WPC - 11.3b"/>
      <sheetName val="WPC-11.3c"/>
      <sheetName val="WPC-11.3d"/>
      <sheetName val="C - 12"/>
      <sheetName val="WPC - 12a"/>
      <sheetName val="WPC - 12b"/>
      <sheetName val="C - 13"/>
      <sheetName val="C - 14"/>
      <sheetName val="WPC - 14a"/>
      <sheetName val="WPC - 14b"/>
      <sheetName val="C - 16"/>
      <sheetName val="WPC-16a"/>
      <sheetName val="WPC-16b"/>
      <sheetName val="C - 17a"/>
      <sheetName val="C - 17b"/>
      <sheetName val="C - 17c"/>
      <sheetName val="C - 17d"/>
      <sheetName val="C - 18"/>
      <sheetName val="WPC - 18a"/>
      <sheetName val="WPC - 18b"/>
      <sheetName val="WPC - 18c"/>
      <sheetName val="WPC - 18d"/>
      <sheetName val="C - 19"/>
      <sheetName val="C-21"/>
      <sheetName val="WPC-21a"/>
      <sheetName val="WPC - 21b"/>
      <sheetName val="C - 23"/>
      <sheetName val="WPC - 23a"/>
      <sheetName val="WPC - 23b"/>
      <sheetName val="WPC - 23c"/>
      <sheetName val="WPC - 23d"/>
      <sheetName val="C - 25"/>
    </sheetNames>
    <sheetDataSet>
      <sheetData sheetId="0" refreshError="1">
        <row r="209">
          <cell r="B209" t="str">
            <v>AmerenCIPS (Including AmerenUE Illinois)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A - 1"/>
      <sheetName val="A - 2"/>
      <sheetName val="A - 2.1"/>
      <sheetName val="A - 3"/>
      <sheetName val="A - 4"/>
      <sheetName val="A - 5a"/>
      <sheetName val="A - 5b"/>
      <sheetName val="WPA - 5"/>
      <sheetName val="DefResp-3a"/>
      <sheetName val="WPA - 5a"/>
      <sheetName val="DefResp-3b"/>
      <sheetName val="B - 1"/>
      <sheetName val="WPB - 1"/>
      <sheetName val="B - 2"/>
      <sheetName val="B - 2.1"/>
      <sheetName val="WPB - 2.1a"/>
      <sheetName val="WPB - 2.1b"/>
      <sheetName val="WPB - 2.1c"/>
      <sheetName val="WPB - 2.1d"/>
      <sheetName val="WPB - 2.1e"/>
      <sheetName val="B - 3"/>
      <sheetName val="B - 4"/>
      <sheetName val="WPB - 4"/>
      <sheetName val="B - 5"/>
      <sheetName val="WPB - 5"/>
      <sheetName val="B - 6a"/>
      <sheetName val="B - 6b"/>
      <sheetName val="B - 7.2a"/>
      <sheetName val="B - 7.2b"/>
      <sheetName val="B - 8"/>
      <sheetName val="CWC"/>
      <sheetName val="B - 8.1"/>
      <sheetName val="WPB-8.1asub"/>
      <sheetName val="WPB - 8.1a"/>
      <sheetName val="WPB - 8.1b"/>
      <sheetName val="WPB - 8.1c"/>
      <sheetName val="B - 9"/>
      <sheetName val="B-9sub"/>
      <sheetName val="WPB - 9a"/>
      <sheetName val="WPB - 9b"/>
      <sheetName val="B - 9.1"/>
      <sheetName val="B - 13"/>
      <sheetName val="WPB - 13"/>
      <sheetName val="B - 14"/>
      <sheetName val="WPB - 14"/>
      <sheetName val="C - 1"/>
      <sheetName val="C - 2"/>
      <sheetName val="C - 2 sub"/>
      <sheetName val="C - 2.1"/>
      <sheetName val="WPC - 2.1"/>
      <sheetName val="C - 2.2"/>
      <sheetName val="C - 2.3"/>
      <sheetName val="WPC - 2.3a"/>
      <sheetName val="WPC - 2.3b"/>
      <sheetName val="C - 2.4"/>
      <sheetName val="WPC - 2.4"/>
      <sheetName val="C - 2.5"/>
      <sheetName val="WPC - 2.5"/>
      <sheetName val="C - 2.6"/>
      <sheetName val="WPC - 2.6a"/>
      <sheetName val="C - 2.6 NOT USED"/>
      <sheetName val="WPC - 2.6a NOT USED"/>
      <sheetName val="WPC - 2.6b"/>
      <sheetName val="C - 2.7"/>
      <sheetName val="WPC - 2.7"/>
      <sheetName val="WPC - 2.7a"/>
      <sheetName val="WPC - 2.7b"/>
      <sheetName val="WPC - 2.7c"/>
      <sheetName val="WPC - 2.7d"/>
      <sheetName val="WPC - 2.7e"/>
      <sheetName val="C - 2.8"/>
      <sheetName val="C - 2.9"/>
      <sheetName val="C - 2.10"/>
      <sheetName val="C - 2.11"/>
      <sheetName val="WPC - 2.11"/>
      <sheetName val="C - 2.12"/>
      <sheetName val="WPC - 2.12"/>
      <sheetName val="C - 2.13"/>
      <sheetName val="C - 2.14"/>
      <sheetName val="WPC - 2.14"/>
      <sheetName val="C - 2.15"/>
      <sheetName val="WPC - 2.15a"/>
      <sheetName val="WPC - 2.15b"/>
      <sheetName val="C - 2.16"/>
      <sheetName val="C - 3"/>
      <sheetName val="C - 4"/>
      <sheetName val="WPC - 4"/>
      <sheetName val="WPC - 4dup"/>
      <sheetName val="C - 5"/>
      <sheetName val="C - 5b"/>
      <sheetName val="C - 5.1"/>
      <sheetName val="C - 5.2"/>
      <sheetName val="C - 5.3"/>
      <sheetName val="C - 5.4"/>
      <sheetName val="WPC - 5.4"/>
      <sheetName val="C - 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 - 10"/>
      <sheetName val="C - 10.1"/>
      <sheetName val="C - 11.1"/>
      <sheetName val="WPC - 11.1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3"/>
      <sheetName val="WPC - 11.3a"/>
      <sheetName val="WPC - 11.3b"/>
      <sheetName val="WPC - 11.3c"/>
      <sheetName val="WPC - 11.3d"/>
      <sheetName val="C - 12"/>
      <sheetName val="WPC - 12"/>
      <sheetName val="C - 13a"/>
      <sheetName val="C - 13b"/>
      <sheetName val="C - 14"/>
      <sheetName val="WPC - 14"/>
      <sheetName val="C - 16"/>
      <sheetName val="WPC - 16"/>
      <sheetName val="C - 17a"/>
      <sheetName val="C - 17b"/>
      <sheetName val="C - 17c"/>
      <sheetName val="C - 17d"/>
      <sheetName val="C - 18"/>
      <sheetName val="WPC - 18a p1"/>
      <sheetName val="WPC - 18a p2"/>
      <sheetName val="WPC - 18b"/>
      <sheetName val="C - 19"/>
      <sheetName val="C - 21"/>
      <sheetName val="C - 23"/>
      <sheetName val="WPC - 23"/>
      <sheetName val="C - 25"/>
      <sheetName val="C - 31"/>
    </sheetNames>
    <sheetDataSet>
      <sheetData sheetId="0">
        <row r="154">
          <cell r="C154" t="str">
            <v>AmerenCILCO</v>
          </cell>
        </row>
        <row r="157">
          <cell r="C157" t="str">
            <v>As Of December 31, 2004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er Guide"/>
      <sheetName val="Menu"/>
      <sheetName val="Macro Tables"/>
      <sheetName val="Print"/>
      <sheetName val="Exec Summ Grph"/>
      <sheetName val="Model"/>
      <sheetName val="AIRC"/>
      <sheetName val="Gross_Rec"/>
      <sheetName val="Total CA QREs"/>
      <sheetName val="CA Wages"/>
      <sheetName val="QRE's"/>
      <sheetName val="QRE Charts"/>
      <sheetName val="Comparison"/>
      <sheetName val="Sens_Model"/>
      <sheetName val="Sens_G_R"/>
      <sheetName val="Sen_GR_Factor"/>
      <sheetName val="Sens_QRE's"/>
      <sheetName val="Sens_QRE_Factor"/>
      <sheetName val="ORIGINAL CLAIM"/>
      <sheetName val="PHASE II"/>
      <sheetName val="B_U_3"/>
      <sheetName val="B_U_4"/>
      <sheetName val="B_U_5"/>
      <sheetName val="B_U_6"/>
      <sheetName val="B_U_7"/>
      <sheetName val="B_U_8"/>
      <sheetName val="B_U_9"/>
      <sheetName val="B_U_10"/>
      <sheetName val="B_U_11"/>
      <sheetName val="B_U_12"/>
      <sheetName val="B_U_13"/>
      <sheetName val="B_U_14"/>
      <sheetName val="B_U_15"/>
      <sheetName val="B_U_16"/>
      <sheetName val="B_U_17"/>
      <sheetName val="B_U_18"/>
      <sheetName val="B_U_19"/>
      <sheetName val="B_U_20"/>
      <sheetName val="B_U_21"/>
      <sheetName val="B_U_22"/>
      <sheetName val="B_U_23"/>
      <sheetName val="Gas by major 2018-21"/>
    </sheetNames>
    <sheetDataSet>
      <sheetData sheetId="0"/>
      <sheetData sheetId="1" refreshError="1">
        <row r="11">
          <cell r="I11" t="str">
            <v>Agouron Pharmaceuticals, Inc.</v>
          </cell>
        </row>
      </sheetData>
      <sheetData sheetId="2" refreshError="1">
        <row r="5">
          <cell r="B5" t="str">
            <v>&amp;Model</v>
          </cell>
          <cell r="E5" t="str">
            <v>&amp;QRE's</v>
          </cell>
          <cell r="I5" t="str">
            <v>&amp;Wages by B/U by Year</v>
          </cell>
          <cell r="N5" t="str">
            <v>&amp;SBU Worksheet Help</v>
          </cell>
        </row>
        <row r="6">
          <cell r="B6" t="str">
            <v>&amp;QRE's</v>
          </cell>
          <cell r="E6" t="str">
            <v>&amp;Model</v>
          </cell>
          <cell r="I6" t="str">
            <v>&amp;Supplies by B/U by Year</v>
          </cell>
          <cell r="N6" t="str">
            <v>&amp;QRE Help</v>
          </cell>
        </row>
        <row r="7">
          <cell r="B7" t="str">
            <v>&amp;Gross Receipts</v>
          </cell>
          <cell r="E7" t="str">
            <v>&amp;Gross Receipts</v>
          </cell>
          <cell r="I7" t="str">
            <v>&amp;Contracts by B/U by Year</v>
          </cell>
          <cell r="N7" t="str">
            <v>&amp;Phase I vs Phase II Mode Help</v>
          </cell>
        </row>
        <row r="8">
          <cell r="B8" t="str">
            <v>&amp;Comparison</v>
          </cell>
          <cell r="E8" t="str">
            <v>&amp;Sensitivity QRE's</v>
          </cell>
          <cell r="I8" t="str">
            <v>&amp;QRE's by Type</v>
          </cell>
          <cell r="N8" t="str">
            <v>Help Topic 4</v>
          </cell>
        </row>
        <row r="9">
          <cell r="B9" t="str">
            <v>Report 5</v>
          </cell>
          <cell r="E9" t="str">
            <v>S&amp;ensitivity Model</v>
          </cell>
          <cell r="I9" t="str">
            <v>&amp;Total QRE's by Company</v>
          </cell>
          <cell r="N9" t="str">
            <v>Help Topic 5</v>
          </cell>
        </row>
        <row r="10">
          <cell r="B10" t="str">
            <v>Report 6</v>
          </cell>
          <cell r="E10" t="str">
            <v>Se&amp;nsitivity Gross Receipts</v>
          </cell>
          <cell r="I10" t="str">
            <v>Tax Credit by &amp;Year</v>
          </cell>
          <cell r="N10" t="str">
            <v>Help Topic 6</v>
          </cell>
        </row>
        <row r="11">
          <cell r="B11" t="str">
            <v>Report 7</v>
          </cell>
          <cell r="E11" t="str">
            <v>Sensitivity QRE &amp;Factor</v>
          </cell>
          <cell r="I11" t="str">
            <v>Sensitivity &amp;Analysis</v>
          </cell>
          <cell r="N11" t="str">
            <v>Help Topic 7</v>
          </cell>
        </row>
        <row r="12">
          <cell r="B12" t="str">
            <v>Report 8</v>
          </cell>
          <cell r="E12" t="str">
            <v>Sens Gross Rec. F&amp;actor</v>
          </cell>
          <cell r="I12" t="str">
            <v>Sensitivity Wa&amp;ges</v>
          </cell>
          <cell r="N12" t="str">
            <v>Help Topic 8</v>
          </cell>
        </row>
        <row r="13">
          <cell r="B13" t="str">
            <v>Report 9</v>
          </cell>
          <cell r="E13" t="str">
            <v>Worksheet 9</v>
          </cell>
          <cell r="I13" t="str">
            <v>Chart 9</v>
          </cell>
          <cell r="N13" t="str">
            <v>Help Topic 9</v>
          </cell>
        </row>
        <row r="14">
          <cell r="B14" t="str">
            <v>Report 10</v>
          </cell>
          <cell r="E14" t="str">
            <v>Worksheet 10</v>
          </cell>
          <cell r="I14" t="str">
            <v>Chart 10</v>
          </cell>
          <cell r="N14" t="str">
            <v>Help Topic 10</v>
          </cell>
        </row>
        <row r="15">
          <cell r="B15" t="str">
            <v>Report 11</v>
          </cell>
          <cell r="E15" t="str">
            <v>Worksheet 11</v>
          </cell>
          <cell r="I15" t="str">
            <v>Chart 11</v>
          </cell>
          <cell r="N15" t="str">
            <v>Help Topic 11</v>
          </cell>
        </row>
        <row r="16">
          <cell r="B16" t="str">
            <v>Report 12</v>
          </cell>
          <cell r="E16" t="str">
            <v>Worksheet 12</v>
          </cell>
          <cell r="I16" t="str">
            <v>Chart 12</v>
          </cell>
          <cell r="N16" t="str">
            <v>Help Topic 12</v>
          </cell>
        </row>
        <row r="21">
          <cell r="C21">
            <v>1</v>
          </cell>
          <cell r="F21">
            <v>2</v>
          </cell>
        </row>
        <row r="22">
          <cell r="C22" t="str">
            <v>FACTOR_.75</v>
          </cell>
        </row>
        <row r="23">
          <cell r="C23" t="str">
            <v>0.75</v>
          </cell>
        </row>
        <row r="27">
          <cell r="B27" t="str">
            <v>FACTOR_.75</v>
          </cell>
          <cell r="C27">
            <v>0.75</v>
          </cell>
        </row>
        <row r="28">
          <cell r="B28" t="str">
            <v>FACTOR_.80</v>
          </cell>
          <cell r="C28">
            <v>0.8</v>
          </cell>
        </row>
        <row r="29">
          <cell r="B29" t="str">
            <v>FACTOR_.85</v>
          </cell>
          <cell r="C29">
            <v>0.85</v>
          </cell>
        </row>
        <row r="30">
          <cell r="B30" t="str">
            <v>FACTOR_.90</v>
          </cell>
          <cell r="C30">
            <v>0.9</v>
          </cell>
        </row>
        <row r="31">
          <cell r="B31" t="str">
            <v>FACTOR_.95</v>
          </cell>
          <cell r="C31">
            <v>0.95</v>
          </cell>
        </row>
        <row r="32">
          <cell r="B32" t="str">
            <v>FACTOR_1</v>
          </cell>
          <cell r="C32">
            <v>1</v>
          </cell>
        </row>
        <row r="33">
          <cell r="B33" t="str">
            <v>FACTOR_1.05</v>
          </cell>
          <cell r="C33">
            <v>1.05</v>
          </cell>
        </row>
        <row r="34">
          <cell r="B34" t="str">
            <v>FACTOR_1.1</v>
          </cell>
          <cell r="C34">
            <v>1.1000000000000001</v>
          </cell>
        </row>
        <row r="35">
          <cell r="B35" t="str">
            <v>FACTOR_1.15</v>
          </cell>
          <cell r="C35">
            <v>1.1499999999999999</v>
          </cell>
        </row>
        <row r="36">
          <cell r="B36" t="str">
            <v>FACTOR_1.2</v>
          </cell>
          <cell r="C36">
            <v>1.2</v>
          </cell>
        </row>
        <row r="37">
          <cell r="B37" t="str">
            <v>FACTOR_1.25</v>
          </cell>
          <cell r="C37">
            <v>1.25</v>
          </cell>
        </row>
      </sheetData>
      <sheetData sheetId="3" refreshError="1">
        <row r="8">
          <cell r="A8">
            <v>1998</v>
          </cell>
          <cell r="C8">
            <v>10504391</v>
          </cell>
          <cell r="E8">
            <v>0</v>
          </cell>
          <cell r="G8">
            <v>3547208.5504999999</v>
          </cell>
        </row>
        <row r="18">
          <cell r="I18">
            <v>0.11</v>
          </cell>
        </row>
        <row r="20">
          <cell r="I20">
            <v>772837.97527749999</v>
          </cell>
        </row>
        <row r="22">
          <cell r="G22" t="str">
            <v>280C Reduced CA R&amp;D Credit (at 91.16%)</v>
          </cell>
          <cell r="I22">
            <v>704519.09826296894</v>
          </cell>
        </row>
        <row r="31">
          <cell r="C31">
            <v>1994</v>
          </cell>
          <cell r="E31">
            <v>1995</v>
          </cell>
          <cell r="G31">
            <v>1996</v>
          </cell>
          <cell r="I31">
            <v>1997</v>
          </cell>
        </row>
        <row r="32">
          <cell r="C32">
            <v>81903401</v>
          </cell>
          <cell r="E32">
            <v>68045552</v>
          </cell>
          <cell r="G32">
            <v>76597856.979284361</v>
          </cell>
          <cell r="I32">
            <v>73305142</v>
          </cell>
        </row>
        <row r="41">
          <cell r="C41">
            <v>1655205</v>
          </cell>
          <cell r="E41">
            <v>547263</v>
          </cell>
          <cell r="G41">
            <v>915000</v>
          </cell>
          <cell r="I41">
            <v>915000</v>
          </cell>
          <cell r="K41">
            <v>1798000</v>
          </cell>
        </row>
        <row r="48">
          <cell r="C48">
            <v>41166843</v>
          </cell>
          <cell r="E48">
            <v>52148995</v>
          </cell>
          <cell r="G48">
            <v>54699776</v>
          </cell>
          <cell r="I48">
            <v>64438385</v>
          </cell>
          <cell r="K48">
            <v>67069226</v>
          </cell>
        </row>
      </sheetData>
      <sheetData sheetId="4"/>
      <sheetData sheetId="5" refreshError="1">
        <row r="1">
          <cell r="P1">
            <v>36599.437053703703</v>
          </cell>
          <cell r="Q1">
            <v>36599.437053703703</v>
          </cell>
        </row>
        <row r="2">
          <cell r="A2" t="str">
            <v>Agouron Pharmaceuticals, Inc.</v>
          </cell>
        </row>
        <row r="3">
          <cell r="A3" t="str">
            <v>1990-98 CA R&amp;D Credit Calculation</v>
          </cell>
        </row>
        <row r="4">
          <cell r="A4" t="str">
            <v>Calculation of Gross Receipts (GR) by Year</v>
          </cell>
        </row>
        <row r="6">
          <cell r="A6" t="str">
            <v>GROSS RECEIPTS (GR)</v>
          </cell>
          <cell r="B6" t="str">
            <v>W/P Ref</v>
          </cell>
          <cell r="C6" t="str">
            <v>1984</v>
          </cell>
          <cell r="D6" t="str">
            <v>1985</v>
          </cell>
          <cell r="E6" t="str">
            <v>1986</v>
          </cell>
          <cell r="F6" t="str">
            <v>1987</v>
          </cell>
          <cell r="G6" t="str">
            <v>1988</v>
          </cell>
          <cell r="H6" t="str">
            <v>1989</v>
          </cell>
          <cell r="I6" t="str">
            <v>1990</v>
          </cell>
          <cell r="J6" t="str">
            <v>1991</v>
          </cell>
          <cell r="K6" t="str">
            <v>1992</v>
          </cell>
          <cell r="L6" t="str">
            <v>1993</v>
          </cell>
          <cell r="M6" t="str">
            <v>1994</v>
          </cell>
          <cell r="N6" t="str">
            <v>1995</v>
          </cell>
          <cell r="O6" t="str">
            <v>1996</v>
          </cell>
          <cell r="P6" t="str">
            <v>1997</v>
          </cell>
          <cell r="Q6" t="str">
            <v>1998</v>
          </cell>
        </row>
        <row r="7">
          <cell r="A7" t="str">
            <v>Per Supporting Schedule</v>
          </cell>
          <cell r="B7" t="str">
            <v>GR1</v>
          </cell>
          <cell r="C7">
            <v>90000</v>
          </cell>
          <cell r="D7">
            <v>318000</v>
          </cell>
          <cell r="E7">
            <v>442000</v>
          </cell>
          <cell r="F7">
            <v>1116901</v>
          </cell>
          <cell r="G7">
            <v>2552332</v>
          </cell>
          <cell r="H7">
            <v>2546075</v>
          </cell>
          <cell r="I7">
            <v>4736970</v>
          </cell>
          <cell r="J7">
            <v>5908119</v>
          </cell>
          <cell r="K7">
            <v>8087866</v>
          </cell>
          <cell r="L7">
            <v>20292732</v>
          </cell>
          <cell r="M7">
            <v>25649583</v>
          </cell>
          <cell r="N7">
            <v>61615795</v>
          </cell>
          <cell r="O7">
            <v>18804582</v>
          </cell>
          <cell r="P7">
            <v>62236360</v>
          </cell>
          <cell r="Q7">
            <v>0</v>
          </cell>
        </row>
        <row r="8">
          <cell r="A8" t="str">
            <v xml:space="preserve">  Adjustments:</v>
          </cell>
        </row>
        <row r="11">
          <cell r="A11" t="str">
            <v>Total before Year by Year Adj</v>
          </cell>
          <cell r="C11">
            <v>90000</v>
          </cell>
          <cell r="D11">
            <v>318000</v>
          </cell>
          <cell r="E11">
            <v>442000</v>
          </cell>
          <cell r="F11">
            <v>1116901</v>
          </cell>
          <cell r="G11">
            <v>2552332</v>
          </cell>
          <cell r="H11">
            <v>2546075</v>
          </cell>
          <cell r="I11">
            <v>4736970</v>
          </cell>
          <cell r="J11">
            <v>5908119</v>
          </cell>
          <cell r="K11">
            <v>8087866</v>
          </cell>
          <cell r="L11">
            <v>20292732</v>
          </cell>
          <cell r="M11">
            <v>25649583</v>
          </cell>
          <cell r="N11">
            <v>61615795</v>
          </cell>
          <cell r="O11">
            <v>18804582</v>
          </cell>
          <cell r="P11">
            <v>62236360</v>
          </cell>
          <cell r="Q11">
            <v>0</v>
          </cell>
        </row>
        <row r="12">
          <cell r="A12" t="str">
            <v xml:space="preserve">  Adjustments:</v>
          </cell>
        </row>
        <row r="15">
          <cell r="A15" t="str">
            <v>Total for 1990 Calculation</v>
          </cell>
          <cell r="C15">
            <v>90000</v>
          </cell>
          <cell r="D15">
            <v>318000</v>
          </cell>
          <cell r="E15">
            <v>442000</v>
          </cell>
          <cell r="F15">
            <v>1116901</v>
          </cell>
          <cell r="G15">
            <v>2552332</v>
          </cell>
          <cell r="H15">
            <v>2546075</v>
          </cell>
          <cell r="I15">
            <v>4736970</v>
          </cell>
          <cell r="J15">
            <v>5908119</v>
          </cell>
          <cell r="K15">
            <v>8087866</v>
          </cell>
          <cell r="L15">
            <v>20292732</v>
          </cell>
          <cell r="M15">
            <v>25649583</v>
          </cell>
          <cell r="N15">
            <v>61615795</v>
          </cell>
          <cell r="O15">
            <v>18804582</v>
          </cell>
          <cell r="P15">
            <v>62236360</v>
          </cell>
          <cell r="Q15">
            <v>0</v>
          </cell>
        </row>
        <row r="16">
          <cell r="A16" t="str">
            <v xml:space="preserve">  Adjustments:</v>
          </cell>
        </row>
        <row r="19">
          <cell r="A19" t="str">
            <v>Total For 1991</v>
          </cell>
          <cell r="C19">
            <v>90000</v>
          </cell>
          <cell r="D19">
            <v>318000</v>
          </cell>
          <cell r="E19">
            <v>442000</v>
          </cell>
          <cell r="F19">
            <v>1116901</v>
          </cell>
          <cell r="G19">
            <v>2552332</v>
          </cell>
          <cell r="H19">
            <v>2546075</v>
          </cell>
          <cell r="I19">
            <v>4736970</v>
          </cell>
          <cell r="J19">
            <v>5908119</v>
          </cell>
          <cell r="K19">
            <v>8087866</v>
          </cell>
          <cell r="L19">
            <v>20292732</v>
          </cell>
          <cell r="M19">
            <v>25649583</v>
          </cell>
          <cell r="N19">
            <v>61615795</v>
          </cell>
          <cell r="O19">
            <v>18804582</v>
          </cell>
          <cell r="P19">
            <v>62236360</v>
          </cell>
          <cell r="Q19">
            <v>0</v>
          </cell>
        </row>
        <row r="20">
          <cell r="A20" t="str">
            <v xml:space="preserve">  Adjustments:</v>
          </cell>
        </row>
        <row r="23">
          <cell r="A23" t="str">
            <v>Total For 1992</v>
          </cell>
          <cell r="C23">
            <v>90000</v>
          </cell>
          <cell r="D23">
            <v>318000</v>
          </cell>
          <cell r="E23">
            <v>442000</v>
          </cell>
          <cell r="F23">
            <v>1116901</v>
          </cell>
          <cell r="G23">
            <v>2552332</v>
          </cell>
          <cell r="H23">
            <v>2546075</v>
          </cell>
          <cell r="I23">
            <v>4736970</v>
          </cell>
          <cell r="J23">
            <v>5908119</v>
          </cell>
          <cell r="K23">
            <v>8087866</v>
          </cell>
          <cell r="L23">
            <v>20292732</v>
          </cell>
          <cell r="M23">
            <v>25649583</v>
          </cell>
          <cell r="N23">
            <v>61615795</v>
          </cell>
          <cell r="O23">
            <v>18804582</v>
          </cell>
          <cell r="P23">
            <v>62236360</v>
          </cell>
          <cell r="Q23">
            <v>0</v>
          </cell>
        </row>
        <row r="24">
          <cell r="A24" t="str">
            <v xml:space="preserve">  Adjustments:</v>
          </cell>
        </row>
        <row r="26">
          <cell r="A26" t="str">
            <v>Total For 1993</v>
          </cell>
          <cell r="C26">
            <v>90000</v>
          </cell>
          <cell r="D26">
            <v>318000</v>
          </cell>
          <cell r="E26">
            <v>442000</v>
          </cell>
          <cell r="F26">
            <v>1116901</v>
          </cell>
          <cell r="G26">
            <v>2552332</v>
          </cell>
          <cell r="H26">
            <v>2546075</v>
          </cell>
          <cell r="I26">
            <v>4736970</v>
          </cell>
          <cell r="J26">
            <v>5908119</v>
          </cell>
          <cell r="K26">
            <v>8087866</v>
          </cell>
          <cell r="L26">
            <v>20292732</v>
          </cell>
          <cell r="M26">
            <v>25649583</v>
          </cell>
          <cell r="N26">
            <v>61615795</v>
          </cell>
          <cell r="O26">
            <v>18804582</v>
          </cell>
          <cell r="P26">
            <v>62236360</v>
          </cell>
          <cell r="Q26">
            <v>0</v>
          </cell>
        </row>
        <row r="27">
          <cell r="A27" t="str">
            <v xml:space="preserve">  Adjustments:</v>
          </cell>
        </row>
        <row r="30">
          <cell r="A30" t="str">
            <v>Total For 1994</v>
          </cell>
          <cell r="C30">
            <v>90000</v>
          </cell>
          <cell r="D30">
            <v>318000</v>
          </cell>
          <cell r="E30">
            <v>442000</v>
          </cell>
          <cell r="F30">
            <v>1116901</v>
          </cell>
          <cell r="G30">
            <v>2552332</v>
          </cell>
          <cell r="H30">
            <v>2546075</v>
          </cell>
          <cell r="I30">
            <v>4736970</v>
          </cell>
          <cell r="J30">
            <v>5908119</v>
          </cell>
          <cell r="K30">
            <v>8087866</v>
          </cell>
          <cell r="L30">
            <v>20292732</v>
          </cell>
          <cell r="M30">
            <v>25649583</v>
          </cell>
          <cell r="N30">
            <v>61615795</v>
          </cell>
          <cell r="O30">
            <v>18804582</v>
          </cell>
          <cell r="P30">
            <v>62236360</v>
          </cell>
          <cell r="Q30">
            <v>0</v>
          </cell>
        </row>
        <row r="31">
          <cell r="A31" t="str">
            <v xml:space="preserve">  Adjustments:</v>
          </cell>
        </row>
        <row r="34">
          <cell r="A34" t="str">
            <v>Total For 1995</v>
          </cell>
          <cell r="C34">
            <v>90000</v>
          </cell>
          <cell r="D34">
            <v>318000</v>
          </cell>
          <cell r="E34">
            <v>442000</v>
          </cell>
          <cell r="F34">
            <v>1116901</v>
          </cell>
          <cell r="G34">
            <v>2552332</v>
          </cell>
          <cell r="H34">
            <v>2546075</v>
          </cell>
          <cell r="I34">
            <v>4736970</v>
          </cell>
          <cell r="J34">
            <v>5908119</v>
          </cell>
          <cell r="K34">
            <v>8087866</v>
          </cell>
          <cell r="L34">
            <v>20292732</v>
          </cell>
          <cell r="M34">
            <v>25649583</v>
          </cell>
          <cell r="N34">
            <v>61615795</v>
          </cell>
          <cell r="O34">
            <v>18804582</v>
          </cell>
          <cell r="P34">
            <v>62236360</v>
          </cell>
          <cell r="Q34">
            <v>0</v>
          </cell>
        </row>
        <row r="35">
          <cell r="A35" t="str">
            <v xml:space="preserve">  Adjustments:</v>
          </cell>
        </row>
        <row r="36">
          <cell r="A36" t="str">
            <v xml:space="preserve"> 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8">
          <cell r="A38" t="str">
            <v>Total For 1996</v>
          </cell>
          <cell r="C38">
            <v>90000</v>
          </cell>
          <cell r="D38">
            <v>318000</v>
          </cell>
          <cell r="E38">
            <v>442000</v>
          </cell>
          <cell r="F38">
            <v>1116901</v>
          </cell>
          <cell r="G38">
            <v>2552332</v>
          </cell>
          <cell r="H38">
            <v>2546075</v>
          </cell>
          <cell r="I38">
            <v>4736970</v>
          </cell>
          <cell r="J38">
            <v>5908119</v>
          </cell>
          <cell r="K38">
            <v>8087866</v>
          </cell>
          <cell r="L38">
            <v>20292732</v>
          </cell>
          <cell r="M38">
            <v>25649583</v>
          </cell>
          <cell r="N38">
            <v>61615795</v>
          </cell>
          <cell r="O38">
            <v>18804582</v>
          </cell>
          <cell r="P38">
            <v>62236360</v>
          </cell>
          <cell r="Q38">
            <v>0</v>
          </cell>
        </row>
        <row r="39">
          <cell r="A39" t="str">
            <v xml:space="preserve">  Adjustments: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 t="str">
            <v xml:space="preserve"> 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4">
          <cell r="A44" t="str">
            <v>Total For 1997</v>
          </cell>
          <cell r="C44">
            <v>90000</v>
          </cell>
          <cell r="D44">
            <v>318000</v>
          </cell>
          <cell r="E44">
            <v>442000</v>
          </cell>
          <cell r="F44">
            <v>1116901</v>
          </cell>
          <cell r="G44">
            <v>2552332</v>
          </cell>
          <cell r="H44">
            <v>2546075</v>
          </cell>
          <cell r="I44">
            <v>4736970</v>
          </cell>
          <cell r="J44">
            <v>5908119</v>
          </cell>
          <cell r="K44">
            <v>8087866</v>
          </cell>
          <cell r="L44">
            <v>20292732</v>
          </cell>
          <cell r="M44">
            <v>25649583</v>
          </cell>
          <cell r="N44">
            <v>61615795</v>
          </cell>
          <cell r="O44">
            <v>18804582</v>
          </cell>
          <cell r="P44">
            <v>62236360</v>
          </cell>
          <cell r="Q44">
            <v>0</v>
          </cell>
        </row>
        <row r="45">
          <cell r="A45" t="str">
            <v xml:space="preserve">  Adjustments:</v>
          </cell>
        </row>
        <row r="46">
          <cell r="B46" t="str">
            <v xml:space="preserve"> </v>
          </cell>
        </row>
        <row r="47">
          <cell r="A47" t="str">
            <v>Total For 1998</v>
          </cell>
          <cell r="C47">
            <v>90000</v>
          </cell>
          <cell r="D47">
            <v>318000</v>
          </cell>
          <cell r="E47">
            <v>442000</v>
          </cell>
          <cell r="F47">
            <v>1116901</v>
          </cell>
          <cell r="G47">
            <v>2552332</v>
          </cell>
          <cell r="H47">
            <v>2546075</v>
          </cell>
          <cell r="I47">
            <v>4736970</v>
          </cell>
          <cell r="J47">
            <v>5908119</v>
          </cell>
          <cell r="K47">
            <v>8087866</v>
          </cell>
          <cell r="L47">
            <v>20292732</v>
          </cell>
          <cell r="M47">
            <v>25649583</v>
          </cell>
          <cell r="N47">
            <v>61615795</v>
          </cell>
          <cell r="O47">
            <v>18804582</v>
          </cell>
          <cell r="P47">
            <v>62236360</v>
          </cell>
          <cell r="Q47">
            <v>0</v>
          </cell>
        </row>
        <row r="49">
          <cell r="A49" t="str">
            <v>Base Period Gross Receipts:</v>
          </cell>
          <cell r="I49" t="str">
            <v>1990</v>
          </cell>
          <cell r="J49" t="str">
            <v>1991</v>
          </cell>
          <cell r="K49" t="str">
            <v>1992</v>
          </cell>
          <cell r="L49" t="str">
            <v>1993</v>
          </cell>
          <cell r="M49" t="str">
            <v>1994</v>
          </cell>
          <cell r="N49" t="str">
            <v>1995</v>
          </cell>
          <cell r="O49" t="str">
            <v>1996</v>
          </cell>
          <cell r="P49" t="str">
            <v>1997</v>
          </cell>
          <cell r="Q49" t="str">
            <v>1998</v>
          </cell>
        </row>
        <row r="50">
          <cell r="A50" t="str">
            <v>1984</v>
          </cell>
          <cell r="B50" t="str">
            <v>Above</v>
          </cell>
          <cell r="I50">
            <v>90000</v>
          </cell>
          <cell r="J50">
            <v>90000</v>
          </cell>
          <cell r="K50">
            <v>90000</v>
          </cell>
          <cell r="L50">
            <v>90000</v>
          </cell>
          <cell r="M50">
            <v>90000</v>
          </cell>
          <cell r="N50">
            <v>90000</v>
          </cell>
          <cell r="O50">
            <v>90000</v>
          </cell>
          <cell r="P50">
            <v>90000</v>
          </cell>
          <cell r="Q50">
            <v>90000</v>
          </cell>
        </row>
        <row r="51">
          <cell r="A51" t="str">
            <v>1985</v>
          </cell>
          <cell r="B51" t="str">
            <v>Above</v>
          </cell>
          <cell r="I51">
            <v>318000</v>
          </cell>
          <cell r="J51">
            <v>318000</v>
          </cell>
          <cell r="K51">
            <v>318000</v>
          </cell>
          <cell r="L51">
            <v>318000</v>
          </cell>
          <cell r="M51">
            <v>318000</v>
          </cell>
          <cell r="N51">
            <v>318000</v>
          </cell>
          <cell r="O51">
            <v>318000</v>
          </cell>
          <cell r="P51">
            <v>318000</v>
          </cell>
          <cell r="Q51">
            <v>318000</v>
          </cell>
        </row>
        <row r="52">
          <cell r="A52" t="str">
            <v>1986</v>
          </cell>
          <cell r="B52" t="str">
            <v>Above</v>
          </cell>
          <cell r="I52">
            <v>442000</v>
          </cell>
          <cell r="J52">
            <v>442000</v>
          </cell>
          <cell r="K52">
            <v>442000</v>
          </cell>
          <cell r="L52">
            <v>442000</v>
          </cell>
          <cell r="M52">
            <v>442000</v>
          </cell>
          <cell r="N52">
            <v>442000</v>
          </cell>
          <cell r="O52">
            <v>442000</v>
          </cell>
          <cell r="P52">
            <v>442000</v>
          </cell>
          <cell r="Q52">
            <v>442000</v>
          </cell>
        </row>
        <row r="53">
          <cell r="A53" t="str">
            <v>1987</v>
          </cell>
          <cell r="B53" t="str">
            <v>Above</v>
          </cell>
          <cell r="I53">
            <v>1116901</v>
          </cell>
          <cell r="J53">
            <v>1116901</v>
          </cell>
          <cell r="K53">
            <v>1116901</v>
          </cell>
          <cell r="L53">
            <v>1116901</v>
          </cell>
          <cell r="M53">
            <v>1116901</v>
          </cell>
          <cell r="N53">
            <v>1116901</v>
          </cell>
          <cell r="O53">
            <v>1116901</v>
          </cell>
          <cell r="P53">
            <v>1116901</v>
          </cell>
          <cell r="Q53">
            <v>1116901</v>
          </cell>
        </row>
        <row r="54">
          <cell r="A54" t="str">
            <v>1988</v>
          </cell>
          <cell r="B54" t="str">
            <v>Above</v>
          </cell>
          <cell r="I54">
            <v>2552332</v>
          </cell>
          <cell r="J54">
            <v>2552332</v>
          </cell>
          <cell r="K54">
            <v>2552332</v>
          </cell>
          <cell r="L54">
            <v>2552332</v>
          </cell>
          <cell r="M54">
            <v>2552332</v>
          </cell>
          <cell r="N54">
            <v>2552332</v>
          </cell>
          <cell r="O54">
            <v>2552332</v>
          </cell>
          <cell r="P54">
            <v>2552332</v>
          </cell>
          <cell r="Q54">
            <v>2552332</v>
          </cell>
        </row>
        <row r="55">
          <cell r="A55" t="str">
            <v xml:space="preserve">     Total</v>
          </cell>
          <cell r="I55">
            <v>4519233</v>
          </cell>
          <cell r="J55">
            <v>4519233</v>
          </cell>
          <cell r="K55">
            <v>4519233</v>
          </cell>
          <cell r="L55">
            <v>4519233</v>
          </cell>
          <cell r="M55">
            <v>4519233</v>
          </cell>
          <cell r="N55">
            <v>4519233</v>
          </cell>
          <cell r="O55">
            <v>4519233</v>
          </cell>
          <cell r="P55">
            <v>4519233</v>
          </cell>
          <cell r="Q55">
            <v>4519233</v>
          </cell>
        </row>
        <row r="57">
          <cell r="A57" t="str">
            <v>Average Gross Receipts:</v>
          </cell>
        </row>
        <row r="58">
          <cell r="A58" t="str">
            <v>1986</v>
          </cell>
          <cell r="B58" t="str">
            <v>Above</v>
          </cell>
          <cell r="I58">
            <v>442000</v>
          </cell>
        </row>
        <row r="59">
          <cell r="A59" t="str">
            <v>1987</v>
          </cell>
          <cell r="B59" t="str">
            <v>Above</v>
          </cell>
          <cell r="I59">
            <v>1116901</v>
          </cell>
          <cell r="J59">
            <v>1116901</v>
          </cell>
        </row>
        <row r="60">
          <cell r="A60" t="str">
            <v>1988</v>
          </cell>
          <cell r="B60" t="str">
            <v>Above</v>
          </cell>
          <cell r="I60">
            <v>2552332</v>
          </cell>
          <cell r="J60">
            <v>2552332</v>
          </cell>
          <cell r="K60">
            <v>2552332</v>
          </cell>
        </row>
        <row r="61">
          <cell r="A61" t="str">
            <v>1989</v>
          </cell>
          <cell r="B61" t="str">
            <v>Above</v>
          </cell>
          <cell r="I61">
            <v>2546075</v>
          </cell>
          <cell r="J61">
            <v>2546075</v>
          </cell>
          <cell r="K61">
            <v>2546075</v>
          </cell>
          <cell r="L61">
            <v>2546075</v>
          </cell>
        </row>
        <row r="62">
          <cell r="A62" t="str">
            <v>1990</v>
          </cell>
          <cell r="B62" t="str">
            <v>Above</v>
          </cell>
          <cell r="J62">
            <v>4736970</v>
          </cell>
          <cell r="K62">
            <v>4736970</v>
          </cell>
          <cell r="L62">
            <v>4736970</v>
          </cell>
          <cell r="M62">
            <v>4736970</v>
          </cell>
        </row>
        <row r="63">
          <cell r="A63" t="str">
            <v>1991</v>
          </cell>
          <cell r="B63" t="str">
            <v>Above</v>
          </cell>
          <cell r="K63">
            <v>5908119</v>
          </cell>
          <cell r="L63">
            <v>5908119</v>
          </cell>
          <cell r="M63">
            <v>5908119</v>
          </cell>
          <cell r="N63">
            <v>5908119</v>
          </cell>
        </row>
        <row r="64">
          <cell r="A64" t="str">
            <v>1992</v>
          </cell>
          <cell r="B64" t="str">
            <v>Above</v>
          </cell>
          <cell r="L64">
            <v>8087866</v>
          </cell>
          <cell r="M64">
            <v>8087866</v>
          </cell>
          <cell r="N64">
            <v>8087866</v>
          </cell>
          <cell r="O64">
            <v>8087866</v>
          </cell>
        </row>
        <row r="65">
          <cell r="A65" t="str">
            <v>1993</v>
          </cell>
          <cell r="B65" t="str">
            <v>Above</v>
          </cell>
          <cell r="M65">
            <v>20292732</v>
          </cell>
          <cell r="N65">
            <v>20292732</v>
          </cell>
          <cell r="O65">
            <v>20292732</v>
          </cell>
          <cell r="P65">
            <v>20292732</v>
          </cell>
        </row>
        <row r="66">
          <cell r="A66" t="str">
            <v>1994</v>
          </cell>
          <cell r="B66" t="str">
            <v>Above</v>
          </cell>
          <cell r="N66">
            <v>25649583</v>
          </cell>
          <cell r="O66">
            <v>25649583</v>
          </cell>
          <cell r="P66">
            <v>25649583</v>
          </cell>
          <cell r="Q66">
            <v>25649583</v>
          </cell>
        </row>
        <row r="67">
          <cell r="A67" t="str">
            <v>1995</v>
          </cell>
          <cell r="B67" t="str">
            <v>Above</v>
          </cell>
          <cell r="O67">
            <v>61615795</v>
          </cell>
          <cell r="P67">
            <v>61615795</v>
          </cell>
          <cell r="Q67">
            <v>61615795</v>
          </cell>
        </row>
        <row r="68">
          <cell r="A68" t="str">
            <v>1996</v>
          </cell>
          <cell r="B68" t="str">
            <v>Above</v>
          </cell>
          <cell r="P68">
            <v>18804582</v>
          </cell>
          <cell r="Q68">
            <v>18804582</v>
          </cell>
        </row>
        <row r="69">
          <cell r="A69" t="str">
            <v>1997</v>
          </cell>
          <cell r="B69" t="str">
            <v>Above</v>
          </cell>
          <cell r="Q69">
            <v>62236360</v>
          </cell>
        </row>
        <row r="70">
          <cell r="A70">
            <v>1998</v>
          </cell>
          <cell r="B70" t="str">
            <v>Above</v>
          </cell>
        </row>
        <row r="71">
          <cell r="A71" t="str">
            <v xml:space="preserve">     Total</v>
          </cell>
          <cell r="I71">
            <v>6657308</v>
          </cell>
          <cell r="J71">
            <v>10952278</v>
          </cell>
          <cell r="K71">
            <v>15743496</v>
          </cell>
          <cell r="L71">
            <v>21279030</v>
          </cell>
          <cell r="M71">
            <v>39025687</v>
          </cell>
          <cell r="N71">
            <v>59938300</v>
          </cell>
          <cell r="O71">
            <v>115645976</v>
          </cell>
          <cell r="P71">
            <v>126362692</v>
          </cell>
          <cell r="Q71">
            <v>168306320</v>
          </cell>
        </row>
        <row r="72">
          <cell r="A72" t="str">
            <v>Average Gross Receipts (/4)</v>
          </cell>
          <cell r="I72">
            <v>1664327</v>
          </cell>
          <cell r="J72">
            <v>2738069.5</v>
          </cell>
          <cell r="K72">
            <v>3935874</v>
          </cell>
          <cell r="L72">
            <v>5319757.5</v>
          </cell>
          <cell r="M72">
            <v>9756421.75</v>
          </cell>
          <cell r="N72">
            <v>14984575</v>
          </cell>
          <cell r="O72">
            <v>28911494</v>
          </cell>
          <cell r="P72">
            <v>31590673</v>
          </cell>
          <cell r="Q72">
            <v>42076580</v>
          </cell>
        </row>
        <row r="74">
          <cell r="A74" t="str">
            <v xml:space="preserve"> </v>
          </cell>
        </row>
        <row r="75">
          <cell r="A75" t="str">
            <v xml:space="preserve"> </v>
          </cell>
        </row>
        <row r="76">
          <cell r="A76" t="str">
            <v>Schedule CC2</v>
          </cell>
          <cell r="P76">
            <v>36599.437053703703</v>
          </cell>
          <cell r="Q76">
            <v>36599.437053703703</v>
          </cell>
        </row>
        <row r="77">
          <cell r="A77" t="str">
            <v>Agouron Pharmaceuticals, Inc.</v>
          </cell>
        </row>
        <row r="78">
          <cell r="A78" t="str">
            <v>1998 CA R&amp;D Credit Calculation</v>
          </cell>
        </row>
        <row r="79">
          <cell r="A79" t="str">
            <v>Calculation of R&amp;D Expenditures (QRE) by Year</v>
          </cell>
        </row>
        <row r="81">
          <cell r="A81" t="str">
            <v>R&amp;D EXPENDITURES (QRE)</v>
          </cell>
          <cell r="B81" t="str">
            <v>W/P Ref</v>
          </cell>
          <cell r="C81" t="str">
            <v>1984</v>
          </cell>
          <cell r="D81" t="str">
            <v>1985</v>
          </cell>
          <cell r="E81" t="str">
            <v>1986</v>
          </cell>
          <cell r="F81" t="str">
            <v>1987</v>
          </cell>
          <cell r="G81" t="str">
            <v>1988</v>
          </cell>
          <cell r="H81" t="str">
            <v>1989</v>
          </cell>
          <cell r="I81" t="str">
            <v>1990</v>
          </cell>
          <cell r="J81" t="str">
            <v>1991</v>
          </cell>
          <cell r="K81" t="str">
            <v>1992</v>
          </cell>
          <cell r="L81" t="str">
            <v>1993</v>
          </cell>
          <cell r="M81" t="str">
            <v>1994</v>
          </cell>
          <cell r="N81" t="str">
            <v>1995</v>
          </cell>
          <cell r="O81" t="str">
            <v>1996</v>
          </cell>
          <cell r="P81" t="str">
            <v>1997</v>
          </cell>
          <cell r="Q81" t="str">
            <v>1998</v>
          </cell>
        </row>
        <row r="82">
          <cell r="A82" t="str">
            <v>Per Supporting Schedule</v>
          </cell>
          <cell r="B82" t="str">
            <v>QRE1</v>
          </cell>
          <cell r="C82">
            <v>20127</v>
          </cell>
          <cell r="D82">
            <v>63138</v>
          </cell>
          <cell r="E82">
            <v>500401</v>
          </cell>
          <cell r="F82">
            <v>1329416</v>
          </cell>
          <cell r="G82">
            <v>3373992</v>
          </cell>
          <cell r="H82">
            <v>3881959</v>
          </cell>
          <cell r="I82">
            <v>3454243.852</v>
          </cell>
          <cell r="J82">
            <v>5569741.7879999997</v>
          </cell>
          <cell r="K82">
            <v>7927846.0099999998</v>
          </cell>
          <cell r="L82">
            <v>11613530.587000001</v>
          </cell>
          <cell r="M82">
            <v>19707135.007000003</v>
          </cell>
          <cell r="N82">
            <v>35935120.957800001</v>
          </cell>
          <cell r="O82">
            <v>25478958.238794774</v>
          </cell>
          <cell r="P82">
            <v>58157347.527499996</v>
          </cell>
          <cell r="Q82">
            <v>56448709.302500002</v>
          </cell>
        </row>
        <row r="83">
          <cell r="A83" t="str">
            <v xml:space="preserve">  Adjustments:</v>
          </cell>
        </row>
        <row r="86">
          <cell r="A86" t="str">
            <v>Total before Yr by Yr Adj</v>
          </cell>
          <cell r="C86">
            <v>20127</v>
          </cell>
          <cell r="D86">
            <v>63138</v>
          </cell>
          <cell r="E86">
            <v>500401</v>
          </cell>
          <cell r="F86">
            <v>1329416</v>
          </cell>
          <cell r="G86">
            <v>3373992</v>
          </cell>
          <cell r="H86">
            <v>3881959</v>
          </cell>
          <cell r="I86">
            <v>3454243.852</v>
          </cell>
          <cell r="J86">
            <v>5569741.7879999997</v>
          </cell>
          <cell r="K86">
            <v>7927846.0099999998</v>
          </cell>
          <cell r="L86">
            <v>11613530.587000001</v>
          </cell>
          <cell r="M86">
            <v>19707135.007000003</v>
          </cell>
          <cell r="N86">
            <v>35935120.957800001</v>
          </cell>
          <cell r="O86">
            <v>25478958.238794774</v>
          </cell>
          <cell r="P86">
            <v>58157347.527499996</v>
          </cell>
          <cell r="Q86">
            <v>56448709.302500002</v>
          </cell>
        </row>
        <row r="87">
          <cell r="A87" t="str">
            <v xml:space="preserve">  Adjustments:</v>
          </cell>
        </row>
        <row r="90">
          <cell r="A90" t="str">
            <v>Total for 1990</v>
          </cell>
          <cell r="C90">
            <v>20127</v>
          </cell>
          <cell r="D90">
            <v>63138</v>
          </cell>
          <cell r="E90">
            <v>500401</v>
          </cell>
          <cell r="F90">
            <v>1329416</v>
          </cell>
          <cell r="G90">
            <v>3373992</v>
          </cell>
          <cell r="H90">
            <v>3881959</v>
          </cell>
          <cell r="I90">
            <v>3454243.852</v>
          </cell>
          <cell r="J90">
            <v>5569741.7879999997</v>
          </cell>
          <cell r="K90">
            <v>7927846.0099999998</v>
          </cell>
          <cell r="L90">
            <v>11613530.587000001</v>
          </cell>
          <cell r="M90">
            <v>19707135.007000003</v>
          </cell>
          <cell r="N90">
            <v>35935120.957800001</v>
          </cell>
          <cell r="O90">
            <v>25478958.238794774</v>
          </cell>
          <cell r="P90">
            <v>58157347.527499996</v>
          </cell>
          <cell r="Q90">
            <v>56448709.302500002</v>
          </cell>
        </row>
        <row r="91">
          <cell r="A91" t="str">
            <v xml:space="preserve">  Adjustments:</v>
          </cell>
        </row>
        <row r="94">
          <cell r="A94" t="str">
            <v>Total For  1991</v>
          </cell>
          <cell r="C94">
            <v>20127</v>
          </cell>
          <cell r="D94">
            <v>63138</v>
          </cell>
          <cell r="E94">
            <v>500401</v>
          </cell>
          <cell r="F94">
            <v>1329416</v>
          </cell>
          <cell r="G94">
            <v>3373992</v>
          </cell>
          <cell r="H94">
            <v>3881959</v>
          </cell>
          <cell r="I94">
            <v>3454243.852</v>
          </cell>
          <cell r="J94">
            <v>5569741.7879999997</v>
          </cell>
          <cell r="K94">
            <v>7927846.0099999998</v>
          </cell>
          <cell r="L94">
            <v>11613530.587000001</v>
          </cell>
          <cell r="M94">
            <v>19707135.007000003</v>
          </cell>
          <cell r="N94">
            <v>35935120.957800001</v>
          </cell>
          <cell r="O94">
            <v>25478958.238794774</v>
          </cell>
          <cell r="P94">
            <v>58157347.527499996</v>
          </cell>
          <cell r="Q94">
            <v>56448709.302500002</v>
          </cell>
        </row>
        <row r="95">
          <cell r="A95" t="str">
            <v xml:space="preserve">  Adjustments:</v>
          </cell>
        </row>
        <row r="98">
          <cell r="A98" t="str">
            <v>Total For 1992</v>
          </cell>
          <cell r="C98">
            <v>20127</v>
          </cell>
          <cell r="D98">
            <v>63138</v>
          </cell>
          <cell r="E98">
            <v>500401</v>
          </cell>
          <cell r="F98">
            <v>1329416</v>
          </cell>
          <cell r="G98">
            <v>3373992</v>
          </cell>
          <cell r="H98">
            <v>3881959</v>
          </cell>
          <cell r="I98">
            <v>3454243.852</v>
          </cell>
          <cell r="J98">
            <v>5569741.7879999997</v>
          </cell>
          <cell r="K98">
            <v>7927846.0099999998</v>
          </cell>
          <cell r="L98">
            <v>11613530.587000001</v>
          </cell>
          <cell r="M98">
            <v>19707135.007000003</v>
          </cell>
          <cell r="N98">
            <v>35935120.957800001</v>
          </cell>
          <cell r="O98">
            <v>25478958.238794774</v>
          </cell>
          <cell r="P98">
            <v>58157347.527499996</v>
          </cell>
          <cell r="Q98">
            <v>56448709.302500002</v>
          </cell>
        </row>
        <row r="99">
          <cell r="A99" t="str">
            <v xml:space="preserve">  Adjustments:</v>
          </cell>
        </row>
        <row r="101">
          <cell r="A101" t="str">
            <v>Total For 1993</v>
          </cell>
          <cell r="C101">
            <v>20127</v>
          </cell>
          <cell r="D101">
            <v>63138</v>
          </cell>
          <cell r="E101">
            <v>500401</v>
          </cell>
          <cell r="F101">
            <v>1329416</v>
          </cell>
          <cell r="G101">
            <v>3373992</v>
          </cell>
          <cell r="H101">
            <v>3881959</v>
          </cell>
          <cell r="I101">
            <v>3454243.852</v>
          </cell>
          <cell r="J101">
            <v>5569741.7879999997</v>
          </cell>
          <cell r="K101">
            <v>7927846.0099999998</v>
          </cell>
          <cell r="L101">
            <v>11613530.587000001</v>
          </cell>
          <cell r="M101">
            <v>19707135.007000003</v>
          </cell>
          <cell r="N101">
            <v>35935120.957800001</v>
          </cell>
          <cell r="O101">
            <v>25478958.238794774</v>
          </cell>
          <cell r="P101">
            <v>58157347.527499996</v>
          </cell>
          <cell r="Q101">
            <v>56448709.302500002</v>
          </cell>
        </row>
        <row r="102">
          <cell r="A102" t="str">
            <v xml:space="preserve">  Adjustments:</v>
          </cell>
        </row>
        <row r="105">
          <cell r="A105" t="str">
            <v>Total For 1994</v>
          </cell>
          <cell r="C105">
            <v>20127</v>
          </cell>
          <cell r="D105">
            <v>63138</v>
          </cell>
          <cell r="E105">
            <v>500401</v>
          </cell>
          <cell r="F105">
            <v>1329416</v>
          </cell>
          <cell r="G105">
            <v>3373992</v>
          </cell>
          <cell r="H105">
            <v>3881959</v>
          </cell>
          <cell r="I105">
            <v>3454243.852</v>
          </cell>
          <cell r="J105">
            <v>5569741.7879999997</v>
          </cell>
          <cell r="K105">
            <v>7927846.0099999998</v>
          </cell>
          <cell r="L105">
            <v>11613530.587000001</v>
          </cell>
          <cell r="M105">
            <v>19707135.007000003</v>
          </cell>
          <cell r="N105">
            <v>35935120.957800001</v>
          </cell>
          <cell r="O105">
            <v>25478958.238794774</v>
          </cell>
          <cell r="P105">
            <v>58157347.527499996</v>
          </cell>
          <cell r="Q105">
            <v>56448709.302500002</v>
          </cell>
        </row>
        <row r="106">
          <cell r="A106" t="str">
            <v xml:space="preserve">  Adjustments:</v>
          </cell>
        </row>
        <row r="109">
          <cell r="A109" t="str">
            <v>Total For 1995</v>
          </cell>
          <cell r="C109">
            <v>20127</v>
          </cell>
          <cell r="D109">
            <v>63138</v>
          </cell>
          <cell r="E109">
            <v>500401</v>
          </cell>
          <cell r="F109">
            <v>1329416</v>
          </cell>
          <cell r="G109">
            <v>3373992</v>
          </cell>
          <cell r="H109">
            <v>3881959</v>
          </cell>
          <cell r="I109">
            <v>3454243.852</v>
          </cell>
          <cell r="J109">
            <v>5569741.7879999997</v>
          </cell>
          <cell r="K109">
            <v>7927846.0099999998</v>
          </cell>
          <cell r="L109">
            <v>11613530.587000001</v>
          </cell>
          <cell r="M109">
            <v>19707135.007000003</v>
          </cell>
          <cell r="N109">
            <v>35935120.957800001</v>
          </cell>
          <cell r="O109">
            <v>25478958.238794774</v>
          </cell>
          <cell r="P109">
            <v>58157347.527499996</v>
          </cell>
          <cell r="Q109">
            <v>56448709.302500002</v>
          </cell>
        </row>
        <row r="110">
          <cell r="A110" t="str">
            <v xml:space="preserve">  Adjustments:</v>
          </cell>
        </row>
        <row r="111">
          <cell r="A111" t="str">
            <v>REIS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</row>
        <row r="113">
          <cell r="A113" t="str">
            <v>Total For 1996</v>
          </cell>
          <cell r="C113">
            <v>20127</v>
          </cell>
          <cell r="D113">
            <v>63138</v>
          </cell>
          <cell r="E113">
            <v>500401</v>
          </cell>
          <cell r="F113">
            <v>1329416</v>
          </cell>
          <cell r="G113">
            <v>3373992</v>
          </cell>
          <cell r="H113">
            <v>3881959</v>
          </cell>
          <cell r="I113">
            <v>3454243.852</v>
          </cell>
          <cell r="J113">
            <v>5569741.7879999997</v>
          </cell>
          <cell r="K113">
            <v>7927846.0099999998</v>
          </cell>
          <cell r="L113">
            <v>11613530.587000001</v>
          </cell>
          <cell r="M113">
            <v>19707135.007000003</v>
          </cell>
          <cell r="N113">
            <v>35935120.957800001</v>
          </cell>
          <cell r="O113">
            <v>25478958.238794774</v>
          </cell>
          <cell r="P113">
            <v>58157347.527499996</v>
          </cell>
          <cell r="Q113">
            <v>56448709.302500002</v>
          </cell>
        </row>
        <row r="114">
          <cell r="A114" t="str">
            <v xml:space="preserve">  Adjustments:</v>
          </cell>
        </row>
        <row r="115">
          <cell r="A115" t="str">
            <v>REIS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</row>
        <row r="116">
          <cell r="A116" t="str">
            <v>DMT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O116">
            <v>0</v>
          </cell>
          <cell r="P116">
            <v>0</v>
          </cell>
          <cell r="Q116">
            <v>0</v>
          </cell>
        </row>
        <row r="117">
          <cell r="A117" t="str">
            <v>BRIGAR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O117">
            <v>0</v>
          </cell>
          <cell r="P117">
            <v>0</v>
          </cell>
          <cell r="Q117">
            <v>0</v>
          </cell>
        </row>
        <row r="119">
          <cell r="A119" t="str">
            <v>Total For 1997</v>
          </cell>
          <cell r="C119">
            <v>20127</v>
          </cell>
          <cell r="D119">
            <v>63138</v>
          </cell>
          <cell r="E119">
            <v>500401</v>
          </cell>
          <cell r="F119">
            <v>1329416</v>
          </cell>
          <cell r="G119">
            <v>3373992</v>
          </cell>
          <cell r="H119">
            <v>3881959</v>
          </cell>
          <cell r="I119">
            <v>3454243.852</v>
          </cell>
          <cell r="J119">
            <v>5569741.7879999997</v>
          </cell>
          <cell r="K119">
            <v>7927846.0099999998</v>
          </cell>
          <cell r="L119">
            <v>11613530.587000001</v>
          </cell>
          <cell r="M119">
            <v>19707135.007000003</v>
          </cell>
          <cell r="N119">
            <v>35935120.957800001</v>
          </cell>
          <cell r="O119">
            <v>25478958.238794774</v>
          </cell>
          <cell r="P119">
            <v>58157347.527499996</v>
          </cell>
          <cell r="Q119">
            <v>56448709.302500002</v>
          </cell>
        </row>
        <row r="120">
          <cell r="A120" t="str">
            <v xml:space="preserve">  Adjustments:</v>
          </cell>
        </row>
        <row r="121">
          <cell r="A121" t="str">
            <v>Metromail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</row>
        <row r="123">
          <cell r="A123" t="str">
            <v>Total For 1998</v>
          </cell>
          <cell r="C123">
            <v>20127</v>
          </cell>
          <cell r="D123">
            <v>63138</v>
          </cell>
          <cell r="E123">
            <v>500401</v>
          </cell>
          <cell r="F123">
            <v>1329416</v>
          </cell>
          <cell r="G123">
            <v>3373992</v>
          </cell>
          <cell r="H123">
            <v>3881959</v>
          </cell>
          <cell r="I123">
            <v>3454243.852</v>
          </cell>
          <cell r="J123">
            <v>5569741.7879999997</v>
          </cell>
          <cell r="K123">
            <v>7927846.0099999998</v>
          </cell>
          <cell r="L123">
            <v>11613530.587000001</v>
          </cell>
          <cell r="M123">
            <v>19707135.007000003</v>
          </cell>
          <cell r="N123">
            <v>35935120.957800001</v>
          </cell>
          <cell r="O123">
            <v>25478958.238794774</v>
          </cell>
          <cell r="P123">
            <v>58157347.527499996</v>
          </cell>
          <cell r="Q123">
            <v>56448709.302500002</v>
          </cell>
        </row>
        <row r="125">
          <cell r="A125" t="str">
            <v>Base Period QRE:</v>
          </cell>
          <cell r="I125" t="str">
            <v>1990</v>
          </cell>
          <cell r="J125" t="str">
            <v>1991</v>
          </cell>
          <cell r="K125" t="str">
            <v>1992</v>
          </cell>
          <cell r="L125" t="str">
            <v>1993</v>
          </cell>
          <cell r="M125" t="str">
            <v>1994</v>
          </cell>
          <cell r="N125" t="str">
            <v>1995</v>
          </cell>
          <cell r="O125" t="str">
            <v>1996</v>
          </cell>
          <cell r="P125" t="str">
            <v>1997</v>
          </cell>
          <cell r="Q125" t="str">
            <v>1998</v>
          </cell>
        </row>
        <row r="126">
          <cell r="A126" t="str">
            <v>1984</v>
          </cell>
          <cell r="B126" t="str">
            <v>Above</v>
          </cell>
          <cell r="I126">
            <v>20127</v>
          </cell>
          <cell r="J126">
            <v>20127</v>
          </cell>
          <cell r="K126">
            <v>20127</v>
          </cell>
          <cell r="L126">
            <v>20127</v>
          </cell>
          <cell r="M126">
            <v>20127</v>
          </cell>
          <cell r="N126">
            <v>20127</v>
          </cell>
          <cell r="O126">
            <v>20127</v>
          </cell>
          <cell r="P126">
            <v>20127</v>
          </cell>
          <cell r="Q126">
            <v>20127</v>
          </cell>
        </row>
        <row r="127">
          <cell r="A127" t="str">
            <v>1985</v>
          </cell>
          <cell r="B127" t="str">
            <v>Above</v>
          </cell>
          <cell r="I127">
            <v>63138</v>
          </cell>
          <cell r="J127">
            <v>63138</v>
          </cell>
          <cell r="K127">
            <v>63138</v>
          </cell>
          <cell r="L127">
            <v>63138</v>
          </cell>
          <cell r="M127">
            <v>63138</v>
          </cell>
          <cell r="N127">
            <v>63138</v>
          </cell>
          <cell r="O127">
            <v>63138</v>
          </cell>
          <cell r="P127">
            <v>63138</v>
          </cell>
          <cell r="Q127">
            <v>63138</v>
          </cell>
        </row>
        <row r="128">
          <cell r="A128" t="str">
            <v>1986</v>
          </cell>
          <cell r="B128" t="str">
            <v>Above</v>
          </cell>
          <cell r="I128">
            <v>500401</v>
          </cell>
          <cell r="J128">
            <v>500401</v>
          </cell>
          <cell r="K128">
            <v>500401</v>
          </cell>
          <cell r="L128">
            <v>500401</v>
          </cell>
          <cell r="M128">
            <v>500401</v>
          </cell>
          <cell r="N128">
            <v>500401</v>
          </cell>
          <cell r="O128">
            <v>500401</v>
          </cell>
          <cell r="P128">
            <v>500401</v>
          </cell>
          <cell r="Q128">
            <v>500401</v>
          </cell>
        </row>
        <row r="129">
          <cell r="A129" t="str">
            <v>1987</v>
          </cell>
          <cell r="B129" t="str">
            <v>Above</v>
          </cell>
          <cell r="I129">
            <v>1329416</v>
          </cell>
          <cell r="J129">
            <v>1329416</v>
          </cell>
          <cell r="K129">
            <v>1329416</v>
          </cell>
          <cell r="L129">
            <v>1329416</v>
          </cell>
          <cell r="M129">
            <v>1329416</v>
          </cell>
          <cell r="N129">
            <v>1329416</v>
          </cell>
          <cell r="O129">
            <v>1329416</v>
          </cell>
          <cell r="P129">
            <v>1329416</v>
          </cell>
          <cell r="Q129">
            <v>1329416</v>
          </cell>
        </row>
        <row r="130">
          <cell r="A130" t="str">
            <v>1988</v>
          </cell>
          <cell r="B130" t="str">
            <v>Above</v>
          </cell>
          <cell r="I130">
            <v>3373992</v>
          </cell>
          <cell r="J130">
            <v>3373992</v>
          </cell>
          <cell r="K130">
            <v>3373992</v>
          </cell>
          <cell r="L130">
            <v>3373992</v>
          </cell>
          <cell r="M130">
            <v>3373992</v>
          </cell>
          <cell r="N130">
            <v>3373992</v>
          </cell>
          <cell r="O130">
            <v>3373992</v>
          </cell>
          <cell r="P130">
            <v>3373992</v>
          </cell>
          <cell r="Q130">
            <v>3373992</v>
          </cell>
        </row>
        <row r="131">
          <cell r="A131" t="str">
            <v xml:space="preserve">     Total</v>
          </cell>
          <cell r="I131">
            <v>5287074</v>
          </cell>
          <cell r="J131">
            <v>5287074</v>
          </cell>
          <cell r="K131">
            <v>5287074</v>
          </cell>
          <cell r="L131">
            <v>5287074</v>
          </cell>
          <cell r="M131">
            <v>5287074</v>
          </cell>
          <cell r="N131">
            <v>5287074</v>
          </cell>
          <cell r="O131">
            <v>5287074</v>
          </cell>
          <cell r="P131">
            <v>5287074</v>
          </cell>
          <cell r="Q131">
            <v>5287074</v>
          </cell>
        </row>
        <row r="134">
          <cell r="A134" t="str">
            <v>Fixed Base Percentage:</v>
          </cell>
        </row>
        <row r="135">
          <cell r="A135" t="str">
            <v xml:space="preserve">  Base Period QRE</v>
          </cell>
          <cell r="B135" t="str">
            <v>Above</v>
          </cell>
          <cell r="I135">
            <v>5287074</v>
          </cell>
          <cell r="J135">
            <v>5287074</v>
          </cell>
          <cell r="K135">
            <v>5287074</v>
          </cell>
          <cell r="L135">
            <v>5287074</v>
          </cell>
          <cell r="M135">
            <v>5287074</v>
          </cell>
          <cell r="N135">
            <v>5287074</v>
          </cell>
          <cell r="O135">
            <v>5287074</v>
          </cell>
          <cell r="P135">
            <v>5287074</v>
          </cell>
          <cell r="Q135">
            <v>5287074</v>
          </cell>
        </row>
        <row r="136">
          <cell r="A136" t="str">
            <v xml:space="preserve">  Base Period Gr Rec</v>
          </cell>
          <cell r="B136" t="str">
            <v>CC1</v>
          </cell>
          <cell r="I136">
            <v>4519233</v>
          </cell>
          <cell r="J136">
            <v>4519233</v>
          </cell>
          <cell r="K136">
            <v>4519233</v>
          </cell>
          <cell r="L136">
            <v>4519233</v>
          </cell>
          <cell r="M136">
            <v>4519233</v>
          </cell>
          <cell r="N136">
            <v>4519233</v>
          </cell>
          <cell r="O136">
            <v>4519233</v>
          </cell>
          <cell r="P136">
            <v>4519233</v>
          </cell>
          <cell r="Q136">
            <v>4519233</v>
          </cell>
        </row>
        <row r="137">
          <cell r="A137" t="str">
            <v xml:space="preserve">     Fixed Base % (QRE/GR)</v>
          </cell>
          <cell r="B137" t="str">
            <v>(A)</v>
          </cell>
          <cell r="C137" t="str">
            <v>(Note:  The FB% is automatically limited to the maximum of 16%.)</v>
          </cell>
          <cell r="I137">
            <v>0.16</v>
          </cell>
          <cell r="J137">
            <v>0.16</v>
          </cell>
          <cell r="K137">
            <v>0.16</v>
          </cell>
          <cell r="L137">
            <v>0.16</v>
          </cell>
          <cell r="M137">
            <v>0.16</v>
          </cell>
          <cell r="N137">
            <v>0.16</v>
          </cell>
          <cell r="O137">
            <v>0.16</v>
          </cell>
          <cell r="P137">
            <v>0.03</v>
          </cell>
          <cell r="Q137">
            <v>0.03</v>
          </cell>
        </row>
        <row r="140">
          <cell r="A140" t="str">
            <v>Fixed Base Amount:</v>
          </cell>
        </row>
        <row r="141">
          <cell r="A141" t="str">
            <v xml:space="preserve">  Avg Gross Receipts</v>
          </cell>
          <cell r="B141" t="str">
            <v>CC1</v>
          </cell>
          <cell r="I141">
            <v>1664327</v>
          </cell>
          <cell r="J141">
            <v>2738069.5</v>
          </cell>
          <cell r="K141">
            <v>3935874</v>
          </cell>
          <cell r="L141">
            <v>5319757.5</v>
          </cell>
          <cell r="M141">
            <v>9756421.75</v>
          </cell>
          <cell r="N141">
            <v>14984575</v>
          </cell>
          <cell r="O141">
            <v>28911494</v>
          </cell>
          <cell r="P141">
            <v>31590673</v>
          </cell>
          <cell r="Q141">
            <v>42076580</v>
          </cell>
        </row>
        <row r="142">
          <cell r="A142" t="str">
            <v xml:space="preserve">  Fixed Base % (above)</v>
          </cell>
          <cell r="B142" t="str">
            <v>(A)</v>
          </cell>
          <cell r="I142">
            <v>0.16</v>
          </cell>
          <cell r="J142">
            <v>0.16</v>
          </cell>
          <cell r="K142">
            <v>0.16</v>
          </cell>
          <cell r="L142">
            <v>0.16</v>
          </cell>
          <cell r="M142">
            <v>0.16</v>
          </cell>
          <cell r="N142">
            <v>0.16</v>
          </cell>
          <cell r="O142">
            <v>0.16</v>
          </cell>
          <cell r="P142">
            <v>0.03</v>
          </cell>
          <cell r="Q142">
            <v>0.03</v>
          </cell>
        </row>
        <row r="143">
          <cell r="A143" t="str">
            <v xml:space="preserve">    Base Amt (AGR*FB%)</v>
          </cell>
          <cell r="I143">
            <v>266292.32</v>
          </cell>
          <cell r="J143">
            <v>438091.12</v>
          </cell>
          <cell r="K143">
            <v>629739.84</v>
          </cell>
          <cell r="L143">
            <v>851161.20000000007</v>
          </cell>
          <cell r="M143">
            <v>1561027.48</v>
          </cell>
          <cell r="N143">
            <v>2397532</v>
          </cell>
          <cell r="O143">
            <v>4625839.04</v>
          </cell>
          <cell r="P143">
            <v>947720.19</v>
          </cell>
          <cell r="Q143">
            <v>1262297.3999999999</v>
          </cell>
        </row>
        <row r="145">
          <cell r="A145" t="str">
            <v xml:space="preserve"> *** C A U T I O N *** :  ALL TOTALS AND SUBTOTALS ARE SENSITIVE TO EXISTING LOCATIONS OF ROWS AND COLUMNS !!!</v>
          </cell>
        </row>
        <row r="146">
          <cell r="A146" t="str">
            <v xml:space="preserve">                                       IF ANY ELEMENTS OF EXISTING FORMATS ARE CHANGED, ALL TOTALS AND SUBTOTALS MUST BE CHECKED !!!</v>
          </cell>
        </row>
        <row r="152">
          <cell r="A152">
            <v>0</v>
          </cell>
          <cell r="P152">
            <v>36599.437053703703</v>
          </cell>
          <cell r="Q152">
            <v>36599.437053703703</v>
          </cell>
        </row>
        <row r="153">
          <cell r="A153" t="str">
            <v>Agouron Pharmaceuticals, Inc.</v>
          </cell>
        </row>
        <row r="154">
          <cell r="A154" t="str">
            <v>R&amp;D Credit Calculation</v>
          </cell>
        </row>
        <row r="155">
          <cell r="A155" t="str">
            <v>Gross/Net Credit</v>
          </cell>
        </row>
        <row r="157">
          <cell r="A157" t="str">
            <v>R&amp;D TAX CREDIT:</v>
          </cell>
          <cell r="B157" t="str">
            <v>W/P Ref</v>
          </cell>
          <cell r="C157" t="str">
            <v>1984</v>
          </cell>
          <cell r="D157" t="str">
            <v>1985</v>
          </cell>
          <cell r="E157" t="str">
            <v>1986</v>
          </cell>
          <cell r="F157" t="str">
            <v>1987</v>
          </cell>
          <cell r="G157" t="str">
            <v>1988</v>
          </cell>
          <cell r="H157" t="str">
            <v>1989</v>
          </cell>
          <cell r="I157" t="str">
            <v>1990</v>
          </cell>
          <cell r="J157" t="str">
            <v>1991</v>
          </cell>
          <cell r="K157" t="str">
            <v>1992</v>
          </cell>
          <cell r="L157" t="str">
            <v>1993</v>
          </cell>
          <cell r="M157" t="str">
            <v>1994</v>
          </cell>
          <cell r="N157" t="str">
            <v>1995</v>
          </cell>
          <cell r="O157" t="str">
            <v>1996</v>
          </cell>
          <cell r="P157" t="str">
            <v>1997</v>
          </cell>
          <cell r="Q157" t="str">
            <v>1998</v>
          </cell>
        </row>
        <row r="158">
          <cell r="A158" t="str">
            <v>Current Yr QRE: (Post 1989)</v>
          </cell>
          <cell r="B158" t="str">
            <v>CC2</v>
          </cell>
          <cell r="I158">
            <v>3454243.852</v>
          </cell>
          <cell r="J158">
            <v>5569741.7879999997</v>
          </cell>
          <cell r="K158">
            <v>7927846.0099999998</v>
          </cell>
          <cell r="L158">
            <v>11613530.587000001</v>
          </cell>
          <cell r="M158">
            <v>19707135.007000003</v>
          </cell>
          <cell r="N158">
            <v>35935120.957800001</v>
          </cell>
          <cell r="O158">
            <v>25478958.238794774</v>
          </cell>
          <cell r="P158">
            <v>58157347.527499996</v>
          </cell>
          <cell r="Q158">
            <v>56448709.302500002</v>
          </cell>
        </row>
        <row r="160">
          <cell r="A160" t="str">
            <v xml:space="preserve">                               (Pre-1990)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 t="str">
            <v xml:space="preserve">Less Base Amount:  </v>
          </cell>
          <cell r="B161" t="str">
            <v>CC2</v>
          </cell>
          <cell r="I161">
            <v>266292.32</v>
          </cell>
          <cell r="J161">
            <v>438091.12</v>
          </cell>
          <cell r="K161">
            <v>629739.84</v>
          </cell>
          <cell r="L161">
            <v>851161.20000000007</v>
          </cell>
          <cell r="M161">
            <v>1561027.48</v>
          </cell>
          <cell r="N161">
            <v>2397532</v>
          </cell>
          <cell r="O161">
            <v>2451947.4692896176</v>
          </cell>
          <cell r="P161">
            <v>947720.19</v>
          </cell>
          <cell r="Q161">
            <v>1262297.3999999999</v>
          </cell>
        </row>
        <row r="162">
          <cell r="A162" t="str">
            <v xml:space="preserve">  1981 QREs</v>
          </cell>
          <cell r="C162">
            <v>0</v>
          </cell>
        </row>
        <row r="163">
          <cell r="A163" t="str">
            <v xml:space="preserve">  1982 QREs</v>
          </cell>
          <cell r="C163">
            <v>0</v>
          </cell>
          <cell r="D163">
            <v>0</v>
          </cell>
        </row>
        <row r="164">
          <cell r="A164" t="str">
            <v xml:space="preserve">  1983 QREs</v>
          </cell>
          <cell r="C164">
            <v>0</v>
          </cell>
          <cell r="D164">
            <v>0</v>
          </cell>
          <cell r="E164">
            <v>0</v>
          </cell>
        </row>
        <row r="165">
          <cell r="A165" t="str">
            <v xml:space="preserve">  1984 QREs</v>
          </cell>
          <cell r="D165">
            <v>0</v>
          </cell>
          <cell r="E165">
            <v>0</v>
          </cell>
          <cell r="F165">
            <v>0</v>
          </cell>
        </row>
        <row r="166">
          <cell r="A166" t="str">
            <v xml:space="preserve">  1985 QREs</v>
          </cell>
          <cell r="E166">
            <v>0</v>
          </cell>
          <cell r="F166">
            <v>0</v>
          </cell>
          <cell r="G166">
            <v>0</v>
          </cell>
        </row>
        <row r="167">
          <cell r="A167" t="str">
            <v xml:space="preserve">  1986 QREs</v>
          </cell>
          <cell r="F167">
            <v>0</v>
          </cell>
          <cell r="G167">
            <v>0</v>
          </cell>
          <cell r="H167">
            <v>0</v>
          </cell>
        </row>
        <row r="168">
          <cell r="A168" t="str">
            <v xml:space="preserve">  1987 QREs</v>
          </cell>
          <cell r="G168">
            <v>0</v>
          </cell>
          <cell r="H168">
            <v>0</v>
          </cell>
        </row>
        <row r="169">
          <cell r="A169" t="str">
            <v xml:space="preserve">  1988 QREs</v>
          </cell>
          <cell r="H169">
            <v>0</v>
          </cell>
        </row>
        <row r="170">
          <cell r="A170" t="str">
            <v xml:space="preserve">     Total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 t="str">
            <v>Base Amount (/ 3 THRU '89)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266292.32</v>
          </cell>
          <cell r="J171">
            <v>438091.12</v>
          </cell>
          <cell r="K171">
            <v>629739.84</v>
          </cell>
          <cell r="L171">
            <v>851161.20000000007</v>
          </cell>
          <cell r="M171">
            <v>1561027.48</v>
          </cell>
          <cell r="N171">
            <v>2397532</v>
          </cell>
          <cell r="O171">
            <v>2451947.4692896176</v>
          </cell>
          <cell r="P171">
            <v>947720.19</v>
          </cell>
          <cell r="Q171">
            <v>1262297.3999999999</v>
          </cell>
        </row>
        <row r="172">
          <cell r="A172" t="str">
            <v>Curr Yr Less Base Amt      (X)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3187951.5320000001</v>
          </cell>
          <cell r="J172">
            <v>5131650.6679999996</v>
          </cell>
          <cell r="K172">
            <v>7298106.1699999999</v>
          </cell>
          <cell r="L172">
            <v>10762369.387000002</v>
          </cell>
          <cell r="M172">
            <v>18146107.527000003</v>
          </cell>
          <cell r="N172">
            <v>33537588.957800001</v>
          </cell>
          <cell r="O172">
            <v>23027010.769505158</v>
          </cell>
          <cell r="P172">
            <v>57209627.337499999</v>
          </cell>
          <cell r="Q172">
            <v>55186411.902500004</v>
          </cell>
        </row>
        <row r="173">
          <cell r="A173" t="str">
            <v>50% of Current Year          (Y)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1727121.926</v>
          </cell>
          <cell r="J173">
            <v>2784870.8939999999</v>
          </cell>
          <cell r="K173">
            <v>3963923.0049999999</v>
          </cell>
          <cell r="L173">
            <v>5806765.2935000006</v>
          </cell>
          <cell r="M173">
            <v>9853567.5035000015</v>
          </cell>
          <cell r="N173">
            <v>17967560.4789</v>
          </cell>
          <cell r="O173">
            <v>12739479.119397387</v>
          </cell>
          <cell r="P173">
            <v>29078673.763749998</v>
          </cell>
          <cell r="Q173">
            <v>28224354.651250001</v>
          </cell>
        </row>
        <row r="174">
          <cell r="A174" t="str">
            <v>Creditable Amt &lt; of (X) or (Y)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1727121.926</v>
          </cell>
          <cell r="J174">
            <v>2784870.8939999999</v>
          </cell>
          <cell r="K174">
            <v>3963923.0049999999</v>
          </cell>
          <cell r="L174">
            <v>5806765.2935000006</v>
          </cell>
          <cell r="M174">
            <v>9853567.5035000015</v>
          </cell>
          <cell r="N174">
            <v>17967560.4789</v>
          </cell>
          <cell r="O174">
            <v>12739479.119397387</v>
          </cell>
          <cell r="P174">
            <v>29078673.763749998</v>
          </cell>
          <cell r="Q174">
            <v>28224354.651250001</v>
          </cell>
        </row>
        <row r="175">
          <cell r="A175" t="str">
            <v>Credit Rate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0.08</v>
          </cell>
          <cell r="J175">
            <v>0.08</v>
          </cell>
          <cell r="K175">
            <v>0.08</v>
          </cell>
          <cell r="L175">
            <v>0.08</v>
          </cell>
          <cell r="M175">
            <v>0.08</v>
          </cell>
          <cell r="N175">
            <v>0.08</v>
          </cell>
          <cell r="O175">
            <v>0.08</v>
          </cell>
          <cell r="P175">
            <v>0.11</v>
          </cell>
          <cell r="Q175">
            <v>0.11</v>
          </cell>
        </row>
        <row r="176">
          <cell r="A176" t="str">
            <v>California R&amp;D Tax Credit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138169.75408000001</v>
          </cell>
          <cell r="J176">
            <v>222789.67152</v>
          </cell>
          <cell r="K176">
            <v>317113.84039999999</v>
          </cell>
          <cell r="L176">
            <v>464541.22348000004</v>
          </cell>
          <cell r="M176">
            <v>788285.40028000018</v>
          </cell>
          <cell r="N176">
            <v>1437404.838312</v>
          </cell>
          <cell r="O176">
            <v>1019158.329551791</v>
          </cell>
          <cell r="P176">
            <v>3198654.1140124998</v>
          </cell>
          <cell r="Q176">
            <v>3104679.0116375</v>
          </cell>
        </row>
        <row r="181">
          <cell r="G181" t="str">
            <v>California</v>
          </cell>
          <cell r="H181" t="str">
            <v xml:space="preserve">Incremental </v>
          </cell>
        </row>
        <row r="182">
          <cell r="A182" t="str">
            <v>TAX CREDIT SUMMARY:</v>
          </cell>
          <cell r="C182" t="str">
            <v>Gross</v>
          </cell>
          <cell r="D182" t="str">
            <v>280C Reduction</v>
          </cell>
          <cell r="E182" t="str">
            <v>280C Reduced Credit</v>
          </cell>
          <cell r="G182" t="str">
            <v>Credit as Filed</v>
          </cell>
          <cell r="H182" t="str">
            <v>Benefit</v>
          </cell>
        </row>
        <row r="184">
          <cell r="A184" t="str">
            <v>1984</v>
          </cell>
          <cell r="B184" t="str">
            <v>Above</v>
          </cell>
          <cell r="C184">
            <v>0</v>
          </cell>
          <cell r="D184" t="str">
            <v>none</v>
          </cell>
          <cell r="E184">
            <v>0</v>
          </cell>
        </row>
        <row r="185">
          <cell r="A185" t="str">
            <v>1985</v>
          </cell>
          <cell r="B185" t="str">
            <v>Above</v>
          </cell>
          <cell r="C185">
            <v>0</v>
          </cell>
          <cell r="D185" t="str">
            <v>none</v>
          </cell>
          <cell r="E185">
            <v>0</v>
          </cell>
        </row>
        <row r="186">
          <cell r="A186" t="str">
            <v>1986</v>
          </cell>
          <cell r="B186" t="str">
            <v>Above</v>
          </cell>
          <cell r="C186">
            <v>0</v>
          </cell>
          <cell r="D186" t="str">
            <v>none</v>
          </cell>
          <cell r="E186">
            <v>0</v>
          </cell>
        </row>
        <row r="187">
          <cell r="A187" t="str">
            <v>1987</v>
          </cell>
          <cell r="B187" t="str">
            <v>Above</v>
          </cell>
          <cell r="C187">
            <v>0</v>
          </cell>
          <cell r="D187" t="str">
            <v>none</v>
          </cell>
          <cell r="E187">
            <v>0</v>
          </cell>
          <cell r="G187" t="str">
            <v xml:space="preserve"> </v>
          </cell>
        </row>
        <row r="188">
          <cell r="A188" t="str">
            <v>1988</v>
          </cell>
          <cell r="B188" t="str">
            <v>Above</v>
          </cell>
          <cell r="C188">
            <v>0</v>
          </cell>
          <cell r="D188" t="str">
            <v>none</v>
          </cell>
          <cell r="E188">
            <v>0</v>
          </cell>
          <cell r="G188" t="str">
            <v xml:space="preserve"> </v>
          </cell>
        </row>
        <row r="189">
          <cell r="A189" t="str">
            <v>1989</v>
          </cell>
          <cell r="B189" t="str">
            <v>Above</v>
          </cell>
          <cell r="C189">
            <v>0</v>
          </cell>
          <cell r="D189" t="str">
            <v>none</v>
          </cell>
          <cell r="E189">
            <v>0</v>
          </cell>
          <cell r="G189" t="str">
            <v xml:space="preserve"> </v>
          </cell>
        </row>
        <row r="190">
          <cell r="A190" t="str">
            <v>1990</v>
          </cell>
          <cell r="B190" t="str">
            <v>Above</v>
          </cell>
          <cell r="C190">
            <v>138169.75408000001</v>
          </cell>
          <cell r="D190" t="str">
            <v>90.7% of full credit</v>
          </cell>
          <cell r="E190">
            <v>125319.96695056002</v>
          </cell>
          <cell r="G190">
            <v>129856</v>
          </cell>
          <cell r="H190">
            <v>-4536.0330494399823</v>
          </cell>
        </row>
        <row r="191">
          <cell r="A191" t="str">
            <v>1991</v>
          </cell>
          <cell r="B191" t="str">
            <v>Above</v>
          </cell>
          <cell r="C191">
            <v>222789.67152</v>
          </cell>
          <cell r="D191" t="str">
            <v>90.7% of full credit</v>
          </cell>
          <cell r="E191">
            <v>202070.23206864001</v>
          </cell>
          <cell r="G191">
            <v>203230</v>
          </cell>
          <cell r="H191">
            <v>-1159.7679313599947</v>
          </cell>
        </row>
        <row r="192">
          <cell r="A192" t="str">
            <v>1992</v>
          </cell>
          <cell r="B192" t="str">
            <v>Above</v>
          </cell>
          <cell r="C192">
            <v>317113.84039999999</v>
          </cell>
          <cell r="D192" t="str">
            <v>90.7% of full credit</v>
          </cell>
          <cell r="E192">
            <v>287622.25324280001</v>
          </cell>
          <cell r="G192">
            <v>175281</v>
          </cell>
          <cell r="H192">
            <v>112341.25324280001</v>
          </cell>
        </row>
        <row r="193">
          <cell r="A193" t="str">
            <v>1993</v>
          </cell>
          <cell r="B193" t="str">
            <v>Above</v>
          </cell>
          <cell r="C193">
            <v>464541.22348000004</v>
          </cell>
          <cell r="D193" t="str">
            <v>90.7% of full credit</v>
          </cell>
          <cell r="E193">
            <v>421338.88969636004</v>
          </cell>
          <cell r="G193">
            <v>294709</v>
          </cell>
          <cell r="H193">
            <v>126629.88969636004</v>
          </cell>
        </row>
        <row r="194">
          <cell r="A194" t="str">
            <v>1994</v>
          </cell>
          <cell r="B194" t="str">
            <v>Above</v>
          </cell>
          <cell r="C194">
            <v>788285.40028000018</v>
          </cell>
          <cell r="D194" t="str">
            <v>90.7% of full credit</v>
          </cell>
          <cell r="E194">
            <v>714974.85805396014</v>
          </cell>
          <cell r="G194">
            <v>340813</v>
          </cell>
          <cell r="H194">
            <v>374161.85805396014</v>
          </cell>
        </row>
        <row r="195">
          <cell r="A195" t="str">
            <v>1995</v>
          </cell>
          <cell r="B195" t="str">
            <v>Above</v>
          </cell>
          <cell r="C195">
            <v>1437404.838312</v>
          </cell>
          <cell r="D195" t="str">
            <v>90.7% of full credit</v>
          </cell>
          <cell r="E195">
            <v>1303726.1883489841</v>
          </cell>
          <cell r="G195">
            <v>582317</v>
          </cell>
          <cell r="H195">
            <v>721409.18834898411</v>
          </cell>
        </row>
        <row r="196">
          <cell r="A196" t="str">
            <v>1996</v>
          </cell>
          <cell r="B196" t="str">
            <v>Above</v>
          </cell>
          <cell r="C196">
            <v>1019158.329551791</v>
          </cell>
          <cell r="D196" t="str">
            <v>90.7% of full credit</v>
          </cell>
          <cell r="E196">
            <v>924376.60490347445</v>
          </cell>
          <cell r="G196">
            <v>926500</v>
          </cell>
          <cell r="H196">
            <v>-2123.3950965255499</v>
          </cell>
        </row>
        <row r="197">
          <cell r="A197" t="str">
            <v>1997</v>
          </cell>
          <cell r="B197" t="str">
            <v>Above</v>
          </cell>
          <cell r="C197">
            <v>3198654.1140124998</v>
          </cell>
          <cell r="D197" t="str">
            <v>91.16% of full credit</v>
          </cell>
          <cell r="E197">
            <v>2915893.0903337947</v>
          </cell>
          <cell r="G197">
            <v>2876621</v>
          </cell>
          <cell r="H197">
            <v>39272.090333794709</v>
          </cell>
        </row>
        <row r="198">
          <cell r="A198" t="str">
            <v>1998</v>
          </cell>
          <cell r="B198" t="str">
            <v>Above</v>
          </cell>
          <cell r="C198">
            <v>3104679.0116375</v>
          </cell>
          <cell r="D198" t="str">
            <v>91.16% of full credit</v>
          </cell>
          <cell r="E198">
            <v>2830225.3870087448</v>
          </cell>
          <cell r="G198">
            <v>3568615</v>
          </cell>
          <cell r="H198">
            <v>-738389.61299125524</v>
          </cell>
        </row>
        <row r="200">
          <cell r="A200" t="str">
            <v xml:space="preserve">     Total</v>
          </cell>
          <cell r="C200">
            <v>10690796.18327379</v>
          </cell>
          <cell r="E200">
            <v>9725547.470607318</v>
          </cell>
          <cell r="G200">
            <v>9097942</v>
          </cell>
          <cell r="H200">
            <v>627605.47060731798</v>
          </cell>
        </row>
        <row r="202">
          <cell r="A202" t="str">
            <v xml:space="preserve">  NOTE 1 : **CAUTION**  For 1984-1989 calculations: </v>
          </cell>
        </row>
        <row r="203">
          <cell r="A203" t="str">
            <v xml:space="preserve">    1. Current and base year expenditures must be entered in the appropriate cells, and</v>
          </cell>
        </row>
        <row r="204">
          <cell r="A204" t="str">
            <v xml:space="preserve">    2. Current and base year amounts must be adjusted for Acq/Disp.</v>
          </cell>
        </row>
        <row r="206">
          <cell r="A206" t="str">
            <v xml:space="preserve"> **C A U T I O N** :  ALL TOTALS AND SUBTOTALS ARE SENSITIVE TO EXISTING LOCATIONS OF ROWS AND COLUMNS !!!</v>
          </cell>
        </row>
        <row r="207">
          <cell r="A207" t="str">
            <v xml:space="preserve">                                  IF ANY ELEMENTS OF EXISTING FORMATS ARE CHANGED, ALL TOTALS AND SUBTOTALS MUST BE CHECKED !!!</v>
          </cell>
        </row>
      </sheetData>
      <sheetData sheetId="6" refreshError="1">
        <row r="15">
          <cell r="B15" t="str">
            <v>Qualifying Research</v>
          </cell>
          <cell r="C15">
            <v>25478958.238794774</v>
          </cell>
        </row>
      </sheetData>
      <sheetData sheetId="7" refreshError="1">
        <row r="2">
          <cell r="B2" t="str">
            <v>Agouron Pharmaceuticals, Inc.</v>
          </cell>
        </row>
        <row r="3">
          <cell r="B3" t="str">
            <v>1998 CA R&amp;D Credit Calculation</v>
          </cell>
        </row>
        <row r="4">
          <cell r="B4" t="str">
            <v>Gross Receipts (GR) Detail</v>
          </cell>
        </row>
        <row r="6">
          <cell r="B6" t="str">
            <v>DESCRIPTION</v>
          </cell>
          <cell r="C6" t="str">
            <v>W/P Ref</v>
          </cell>
          <cell r="D6">
            <v>1984</v>
          </cell>
          <cell r="E6">
            <v>1985</v>
          </cell>
          <cell r="F6">
            <v>1986</v>
          </cell>
          <cell r="G6">
            <v>1987</v>
          </cell>
          <cell r="H6">
            <v>1988</v>
          </cell>
          <cell r="I6">
            <v>1989</v>
          </cell>
          <cell r="J6">
            <v>1990</v>
          </cell>
          <cell r="K6">
            <v>1991</v>
          </cell>
          <cell r="L6">
            <v>1992</v>
          </cell>
          <cell r="M6">
            <v>1993</v>
          </cell>
        </row>
        <row r="7">
          <cell r="C7" t="str">
            <v xml:space="preserve"> </v>
          </cell>
        </row>
        <row r="8">
          <cell r="A8"/>
          <cell r="B8" t="str">
            <v>Agouron Pharmaceuticals, Inc.</v>
          </cell>
          <cell r="D8">
            <v>90000</v>
          </cell>
          <cell r="E8">
            <v>318000</v>
          </cell>
          <cell r="F8">
            <v>442000</v>
          </cell>
          <cell r="G8">
            <v>1116901</v>
          </cell>
          <cell r="H8">
            <v>2552332</v>
          </cell>
          <cell r="I8">
            <v>2546075</v>
          </cell>
          <cell r="J8">
            <v>4736970</v>
          </cell>
          <cell r="K8">
            <v>5908119</v>
          </cell>
          <cell r="L8">
            <v>8087866</v>
          </cell>
          <cell r="M8">
            <v>20292732</v>
          </cell>
          <cell r="N8">
            <v>25649583</v>
          </cell>
          <cell r="O8">
            <v>61615795</v>
          </cell>
          <cell r="P8">
            <v>18804582</v>
          </cell>
          <cell r="Q8">
            <v>62236360</v>
          </cell>
        </row>
        <row r="9">
          <cell r="A9" t="str">
            <v>||</v>
          </cell>
          <cell r="B9" t="str">
            <v xml:space="preserve"> </v>
          </cell>
        </row>
        <row r="10">
          <cell r="A10" t="str">
            <v>||</v>
          </cell>
          <cell r="B10" t="str">
            <v xml:space="preserve"> </v>
          </cell>
        </row>
        <row r="11">
          <cell r="A11" t="str">
            <v>||</v>
          </cell>
          <cell r="B11" t="str">
            <v xml:space="preserve"> </v>
          </cell>
        </row>
        <row r="12">
          <cell r="A12" t="str">
            <v>||</v>
          </cell>
          <cell r="B12" t="str">
            <v xml:space="preserve"> </v>
          </cell>
        </row>
        <row r="13">
          <cell r="A13" t="str">
            <v>||</v>
          </cell>
          <cell r="B13" t="str">
            <v xml:space="preserve"> </v>
          </cell>
        </row>
        <row r="14">
          <cell r="A14" t="str">
            <v>||</v>
          </cell>
          <cell r="B14" t="str">
            <v xml:space="preserve"> </v>
          </cell>
        </row>
        <row r="15">
          <cell r="A15" t="str">
            <v>||</v>
          </cell>
          <cell r="B15" t="str">
            <v>&lt;&lt;&lt;Company N&gt;&gt;&gt;</v>
          </cell>
          <cell r="R15" t="str">
            <v xml:space="preserve"> </v>
          </cell>
        </row>
        <row r="16">
          <cell r="A16" t="str">
            <v>||</v>
          </cell>
          <cell r="B16" t="str">
            <v>&lt;&lt;&lt;Company O&gt;&gt;&gt;</v>
          </cell>
        </row>
        <row r="17">
          <cell r="A17" t="str">
            <v>||</v>
          </cell>
          <cell r="B17" t="str">
            <v>&lt;&lt;&lt;Company P&gt;&gt;&gt;</v>
          </cell>
        </row>
        <row r="18">
          <cell r="A18" t="str">
            <v>||</v>
          </cell>
          <cell r="B18" t="str">
            <v>&lt;&lt;&lt;Company Q&gt;&gt;&gt;</v>
          </cell>
        </row>
        <row r="19">
          <cell r="A19" t="str">
            <v>||</v>
          </cell>
          <cell r="B19" t="str">
            <v>&lt;&lt;&lt;Company R&gt;&gt;&gt;</v>
          </cell>
        </row>
        <row r="20">
          <cell r="A20" t="str">
            <v>||</v>
          </cell>
          <cell r="B20" t="str">
            <v>&lt;&lt;&lt;Company S&gt;&gt;&gt;</v>
          </cell>
        </row>
        <row r="21">
          <cell r="A21" t="str">
            <v>||</v>
          </cell>
          <cell r="B21" t="str">
            <v>&lt;&lt;&lt;Company T&gt;&gt;&gt;</v>
          </cell>
        </row>
        <row r="22">
          <cell r="A22" t="str">
            <v>||</v>
          </cell>
          <cell r="B22" t="str">
            <v>&lt;&lt;&lt;Company U&gt;&gt;&gt;</v>
          </cell>
        </row>
        <row r="23">
          <cell r="A23" t="str">
            <v>||</v>
          </cell>
          <cell r="B23" t="str">
            <v>&lt;&lt;&lt;Company V&gt;&gt;&gt;</v>
          </cell>
        </row>
        <row r="24">
          <cell r="A24" t="str">
            <v>||</v>
          </cell>
          <cell r="B24" t="str">
            <v>&lt;&lt;&lt;Company W&gt;&gt;&gt;</v>
          </cell>
        </row>
        <row r="25">
          <cell r="A25" t="str">
            <v>||</v>
          </cell>
          <cell r="B25" t="str">
            <v>&lt;&lt;&lt;Company X&gt;&gt;&gt;</v>
          </cell>
        </row>
        <row r="26">
          <cell r="B26" t="str">
            <v>&lt;&lt;&lt;Company Y&gt;&gt;&gt;</v>
          </cell>
        </row>
        <row r="27">
          <cell r="B27" t="str">
            <v>&lt;&lt;&lt;Company Z&gt;&gt;&gt;</v>
          </cell>
        </row>
        <row r="28">
          <cell r="B28" t="str">
            <v>Total Gross Receipts Per 1120s</v>
          </cell>
          <cell r="D28">
            <v>90000</v>
          </cell>
          <cell r="E28">
            <v>318000</v>
          </cell>
          <cell r="F28">
            <v>442000</v>
          </cell>
          <cell r="G28">
            <v>1116901</v>
          </cell>
          <cell r="H28">
            <v>2552332</v>
          </cell>
          <cell r="I28">
            <v>2546075</v>
          </cell>
          <cell r="J28">
            <v>4736970</v>
          </cell>
          <cell r="K28">
            <v>5908119</v>
          </cell>
          <cell r="L28">
            <v>8087866</v>
          </cell>
          <cell r="M28">
            <v>20292732</v>
          </cell>
          <cell r="N28">
            <v>25649583</v>
          </cell>
          <cell r="O28">
            <v>61615795</v>
          </cell>
          <cell r="P28">
            <v>18804582</v>
          </cell>
          <cell r="Q28">
            <v>62236360</v>
          </cell>
        </row>
        <row r="30">
          <cell r="B30" t="str">
            <v xml:space="preserve">  Tax Return Adjustments:</v>
          </cell>
        </row>
        <row r="31">
          <cell r="B31" t="str">
            <v xml:space="preserve">    Amendments</v>
          </cell>
        </row>
        <row r="32">
          <cell r="B32" t="str">
            <v xml:space="preserve">    IRS Adjustments</v>
          </cell>
        </row>
        <row r="34">
          <cell r="B34" t="str">
            <v>Total Adjusted Gross Receipts Per 1120s</v>
          </cell>
          <cell r="D34">
            <v>90000</v>
          </cell>
          <cell r="E34">
            <v>318000</v>
          </cell>
          <cell r="F34">
            <v>442000</v>
          </cell>
          <cell r="G34">
            <v>1116901</v>
          </cell>
          <cell r="H34">
            <v>2552332</v>
          </cell>
          <cell r="I34">
            <v>2546075</v>
          </cell>
          <cell r="J34">
            <v>4736970</v>
          </cell>
          <cell r="K34">
            <v>5908119</v>
          </cell>
          <cell r="L34">
            <v>8087866</v>
          </cell>
          <cell r="M34">
            <v>20292732</v>
          </cell>
          <cell r="N34">
            <v>25649583</v>
          </cell>
          <cell r="O34">
            <v>61615795</v>
          </cell>
          <cell r="P34">
            <v>18804582</v>
          </cell>
          <cell r="Q34">
            <v>62236360</v>
          </cell>
          <cell r="R34" t="str">
            <v xml:space="preserve"> </v>
          </cell>
        </row>
        <row r="36">
          <cell r="B36" t="str">
            <v xml:space="preserve">  Other Adjustments:</v>
          </cell>
        </row>
        <row r="37">
          <cell r="A37" t="str">
            <v>||</v>
          </cell>
          <cell r="B37" t="str">
            <v xml:space="preserve">    Tax Exempt Interest</v>
          </cell>
        </row>
        <row r="38">
          <cell r="A38" t="str">
            <v>||</v>
          </cell>
        </row>
        <row r="39">
          <cell r="A39" t="str">
            <v>||</v>
          </cell>
        </row>
        <row r="40">
          <cell r="A40" t="str">
            <v>||</v>
          </cell>
        </row>
        <row r="41">
          <cell r="A41" t="str">
            <v>||</v>
          </cell>
        </row>
        <row r="42">
          <cell r="A42" t="str">
            <v>||</v>
          </cell>
        </row>
        <row r="43">
          <cell r="A43" t="str">
            <v>||</v>
          </cell>
        </row>
        <row r="44">
          <cell r="A44" t="str">
            <v>||</v>
          </cell>
        </row>
        <row r="45">
          <cell r="A45" t="str">
            <v>||</v>
          </cell>
        </row>
        <row r="46">
          <cell r="A46" t="str">
            <v>||</v>
          </cell>
        </row>
        <row r="47">
          <cell r="A47" t="str">
            <v>||</v>
          </cell>
        </row>
        <row r="48">
          <cell r="A48" t="str">
            <v>||</v>
          </cell>
        </row>
        <row r="49">
          <cell r="B49" t="str">
            <v>Adjusted Gross Receipts</v>
          </cell>
          <cell r="D49">
            <v>90000</v>
          </cell>
          <cell r="E49">
            <v>318000</v>
          </cell>
          <cell r="F49">
            <v>442000</v>
          </cell>
          <cell r="G49">
            <v>1116901</v>
          </cell>
          <cell r="H49">
            <v>2552332</v>
          </cell>
          <cell r="I49">
            <v>2546075</v>
          </cell>
          <cell r="J49">
            <v>4736970</v>
          </cell>
          <cell r="K49">
            <v>5908119</v>
          </cell>
          <cell r="L49">
            <v>8087866</v>
          </cell>
          <cell r="M49">
            <v>20292732</v>
          </cell>
          <cell r="N49">
            <v>25649583</v>
          </cell>
          <cell r="O49">
            <v>61615795</v>
          </cell>
          <cell r="P49">
            <v>18804582</v>
          </cell>
          <cell r="Q49">
            <v>62236360</v>
          </cell>
          <cell r="R49">
            <v>0</v>
          </cell>
        </row>
        <row r="51">
          <cell r="B51" t="str">
            <v xml:space="preserve"> </v>
          </cell>
        </row>
        <row r="52">
          <cell r="B52" t="str">
            <v xml:space="preserve"> </v>
          </cell>
        </row>
      </sheetData>
      <sheetData sheetId="8"/>
      <sheetData sheetId="9"/>
      <sheetData sheetId="10" refreshError="1">
        <row r="1">
          <cell r="Q1">
            <v>36599.437053703703</v>
          </cell>
          <cell r="R1">
            <v>36599.437053703703</v>
          </cell>
        </row>
        <row r="6">
          <cell r="D6">
            <v>1984</v>
          </cell>
          <cell r="E6">
            <v>1985</v>
          </cell>
          <cell r="F6">
            <v>1986</v>
          </cell>
          <cell r="G6">
            <v>1987</v>
          </cell>
          <cell r="H6">
            <v>1988</v>
          </cell>
          <cell r="I6">
            <v>1989</v>
          </cell>
          <cell r="J6">
            <v>1990</v>
          </cell>
          <cell r="K6">
            <v>1991</v>
          </cell>
          <cell r="L6">
            <v>1992</v>
          </cell>
          <cell r="M6">
            <v>1993</v>
          </cell>
          <cell r="N6">
            <v>1994</v>
          </cell>
          <cell r="O6">
            <v>1995</v>
          </cell>
          <cell r="P6">
            <v>1996</v>
          </cell>
          <cell r="Q6">
            <v>1997</v>
          </cell>
          <cell r="R6">
            <v>1998</v>
          </cell>
        </row>
        <row r="7">
          <cell r="A7"/>
          <cell r="B7" t="str">
            <v>&lt;&lt;California Phase II QRE Findings&gt;&gt;</v>
          </cell>
          <cell r="C7" t="str">
            <v>'[california Agouron Supermodel@10%.xls]PHASE II'!$B$2</v>
          </cell>
        </row>
        <row r="8">
          <cell r="A8"/>
          <cell r="B8" t="str">
            <v xml:space="preserve">  Qualifying Wages</v>
          </cell>
          <cell r="C8" t="str">
            <v>BU1</v>
          </cell>
          <cell r="D8">
            <v>11087</v>
          </cell>
          <cell r="E8">
            <v>50015</v>
          </cell>
          <cell r="F8">
            <v>323590</v>
          </cell>
          <cell r="G8">
            <v>899647</v>
          </cell>
          <cell r="H8">
            <v>2067727</v>
          </cell>
          <cell r="I8">
            <v>2741619</v>
          </cell>
          <cell r="J8">
            <v>2299558.0019999999</v>
          </cell>
          <cell r="K8">
            <v>3542463.7879999997</v>
          </cell>
          <cell r="L8">
            <v>5126210.5599999996</v>
          </cell>
          <cell r="M8">
            <v>7134127.5369999995</v>
          </cell>
          <cell r="N8">
            <v>9257454.4570000004</v>
          </cell>
          <cell r="O8">
            <v>17917881</v>
          </cell>
          <cell r="P8">
            <v>29938649</v>
          </cell>
          <cell r="Q8">
            <v>50930323</v>
          </cell>
          <cell r="R8">
            <v>49405882</v>
          </cell>
        </row>
        <row r="9">
          <cell r="A9"/>
          <cell r="B9" t="str">
            <v xml:space="preserve">  Qualifying Supplies</v>
          </cell>
          <cell r="C9" t="str">
            <v>BU1</v>
          </cell>
          <cell r="D9">
            <v>5472</v>
          </cell>
          <cell r="E9">
            <v>12863</v>
          </cell>
          <cell r="F9">
            <v>125054</v>
          </cell>
          <cell r="G9">
            <v>256771</v>
          </cell>
          <cell r="H9">
            <v>535563</v>
          </cell>
          <cell r="I9">
            <v>808521</v>
          </cell>
          <cell r="J9">
            <v>710184</v>
          </cell>
          <cell r="K9">
            <v>1384519</v>
          </cell>
          <cell r="L9">
            <v>1667156</v>
          </cell>
          <cell r="M9">
            <v>2705568</v>
          </cell>
          <cell r="N9">
            <v>7703244</v>
          </cell>
          <cell r="O9">
            <v>13677482.189999999</v>
          </cell>
          <cell r="P9">
            <v>2205524.4</v>
          </cell>
          <cell r="Q9">
            <v>6259486.3000000007</v>
          </cell>
          <cell r="R9">
            <v>7163698.8000000007</v>
          </cell>
        </row>
        <row r="10">
          <cell r="A10"/>
          <cell r="B10" t="str">
            <v xml:space="preserve">  Qualifying Contract (@65%)</v>
          </cell>
          <cell r="C10" t="str">
            <v>BU1</v>
          </cell>
          <cell r="D10">
            <v>3568</v>
          </cell>
          <cell r="E10">
            <v>260</v>
          </cell>
          <cell r="F10">
            <v>51757</v>
          </cell>
          <cell r="G10">
            <v>172998</v>
          </cell>
          <cell r="H10">
            <v>770702</v>
          </cell>
          <cell r="I10">
            <v>331819</v>
          </cell>
          <cell r="J10">
            <v>444501.85</v>
          </cell>
          <cell r="K10">
            <v>642759</v>
          </cell>
          <cell r="L10">
            <v>1134479.4500000002</v>
          </cell>
          <cell r="M10">
            <v>1773835.05</v>
          </cell>
          <cell r="N10">
            <v>2746436.55</v>
          </cell>
          <cell r="O10">
            <v>4339757.7677999996</v>
          </cell>
          <cell r="P10">
            <v>-6665215.1612052238</v>
          </cell>
          <cell r="Q10">
            <v>967538.2274999998</v>
          </cell>
          <cell r="R10">
            <v>-120871.49749999781</v>
          </cell>
        </row>
        <row r="11">
          <cell r="A11" t="str">
            <v>||</v>
          </cell>
          <cell r="B11" t="str">
            <v>B_U_3</v>
          </cell>
          <cell r="C11" t="str">
            <v>'[california Agouron Supermodel@10%.xls]B_U_3'!$B$2</v>
          </cell>
        </row>
        <row r="12">
          <cell r="A12" t="str">
            <v>||</v>
          </cell>
          <cell r="B12" t="str">
            <v xml:space="preserve">  Qualifying Wages</v>
          </cell>
          <cell r="C12" t="str">
            <v>BU3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A13" t="str">
            <v>||</v>
          </cell>
          <cell r="B13" t="str">
            <v xml:space="preserve">  Qualifying Supplies</v>
          </cell>
          <cell r="C13" t="str">
            <v>BU3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</row>
        <row r="14">
          <cell r="A14" t="str">
            <v>||</v>
          </cell>
          <cell r="B14" t="str">
            <v xml:space="preserve">  Qualifying Contract (@65%)</v>
          </cell>
          <cell r="C14" t="str">
            <v>BU3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||</v>
          </cell>
          <cell r="B15" t="str">
            <v xml:space="preserve"> </v>
          </cell>
          <cell r="C15" t="str">
            <v>'[california Agouron Supermodel@10%.xls]B_U_4'!$B$2</v>
          </cell>
        </row>
        <row r="16">
          <cell r="A16" t="str">
            <v>||</v>
          </cell>
          <cell r="B16" t="str">
            <v xml:space="preserve">  Qualifying Wages</v>
          </cell>
          <cell r="C16" t="str">
            <v>BU4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A17" t="str">
            <v>||</v>
          </cell>
          <cell r="B17" t="str">
            <v xml:space="preserve">  Qualifying Supplies</v>
          </cell>
          <cell r="C17" t="str">
            <v>BU4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A18" t="str">
            <v>||</v>
          </cell>
          <cell r="B18" t="str">
            <v xml:space="preserve">  Qualifying Contract (@65%)</v>
          </cell>
          <cell r="C18" t="str">
            <v>BU4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A19" t="str">
            <v>||</v>
          </cell>
          <cell r="B19" t="str">
            <v>B_U_5</v>
          </cell>
          <cell r="C19" t="str">
            <v>'[california Agouron Supermodel@10%.xls]B_U_5'!$B$2</v>
          </cell>
        </row>
        <row r="20">
          <cell r="A20" t="str">
            <v>||</v>
          </cell>
          <cell r="B20" t="str">
            <v xml:space="preserve">  Qualifying Wages</v>
          </cell>
          <cell r="C20" t="str">
            <v>BU5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A21" t="str">
            <v>||</v>
          </cell>
          <cell r="B21" t="str">
            <v xml:space="preserve">  Qualifying Supplies</v>
          </cell>
          <cell r="C21" t="str">
            <v>BU5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A22" t="str">
            <v>||</v>
          </cell>
          <cell r="B22" t="str">
            <v xml:space="preserve">  Qualifying Contract (@65%)</v>
          </cell>
          <cell r="C22" t="str">
            <v>BU5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A23" t="str">
            <v>||</v>
          </cell>
          <cell r="B23" t="str">
            <v>B_U_6</v>
          </cell>
          <cell r="C23" t="str">
            <v>'[california Agouron Supermodel@10%.xls]B_U_6'!$B$2</v>
          </cell>
        </row>
        <row r="24">
          <cell r="A24" t="str">
            <v>||</v>
          </cell>
          <cell r="B24" t="str">
            <v xml:space="preserve">  Qualifying Wages</v>
          </cell>
          <cell r="C24" t="str">
            <v>BU6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A25" t="str">
            <v>||</v>
          </cell>
          <cell r="B25" t="str">
            <v xml:space="preserve">  Qualifying Supplies</v>
          </cell>
          <cell r="C25" t="str">
            <v>BU6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A26" t="str">
            <v>||</v>
          </cell>
          <cell r="B26" t="str">
            <v xml:space="preserve">  Qualifying Contract (@65%)</v>
          </cell>
          <cell r="C26" t="str">
            <v>BU6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A27" t="str">
            <v>||</v>
          </cell>
          <cell r="B27" t="str">
            <v xml:space="preserve"> </v>
          </cell>
          <cell r="C27" t="str">
            <v>'[california Agouron Supermodel@10%.xls]B_U_7'!$B$2</v>
          </cell>
        </row>
        <row r="28">
          <cell r="A28" t="str">
            <v>||</v>
          </cell>
          <cell r="B28" t="str">
            <v xml:space="preserve">  Qualifying Wages</v>
          </cell>
          <cell r="C28" t="str">
            <v>BU7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 t="str">
            <v xml:space="preserve"> </v>
          </cell>
          <cell r="Q28">
            <v>0</v>
          </cell>
          <cell r="R28">
            <v>0</v>
          </cell>
        </row>
        <row r="29">
          <cell r="A29" t="str">
            <v>||</v>
          </cell>
          <cell r="B29" t="str">
            <v xml:space="preserve">  Qualifying Supplies</v>
          </cell>
          <cell r="C29" t="str">
            <v>BU7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</row>
        <row r="30">
          <cell r="A30" t="str">
            <v>||</v>
          </cell>
          <cell r="B30" t="str">
            <v xml:space="preserve">  Qualifying Contract (@65%)</v>
          </cell>
          <cell r="C30" t="str">
            <v>BU7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</row>
        <row r="31">
          <cell r="A31" t="str">
            <v>||</v>
          </cell>
          <cell r="B31" t="str">
            <v>B_U_8</v>
          </cell>
          <cell r="C31" t="str">
            <v>'[california Agouron Supermodel@10%.xls]B_U_8'!$B$2</v>
          </cell>
        </row>
        <row r="32">
          <cell r="A32" t="str">
            <v>||</v>
          </cell>
          <cell r="B32" t="str">
            <v xml:space="preserve">  Qualifying Wages</v>
          </cell>
          <cell r="C32" t="str">
            <v>BU8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A33" t="str">
            <v>||</v>
          </cell>
          <cell r="B33" t="str">
            <v xml:space="preserve">  Qualifying Supplies</v>
          </cell>
          <cell r="C33" t="str">
            <v>BU8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A34" t="str">
            <v>||</v>
          </cell>
          <cell r="B34" t="str">
            <v xml:space="preserve">  Qualifying Contract (@65%)</v>
          </cell>
          <cell r="C34" t="str">
            <v>BU8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A35" t="str">
            <v>||</v>
          </cell>
          <cell r="B35" t="str">
            <v>B_U_9</v>
          </cell>
          <cell r="C35" t="str">
            <v>'[california Agouron Supermodel@10%.xls]B_U_9'!$B$2</v>
          </cell>
        </row>
        <row r="36">
          <cell r="A36" t="str">
            <v>||</v>
          </cell>
          <cell r="B36" t="str">
            <v xml:space="preserve">  Qualifying Wages</v>
          </cell>
          <cell r="C36" t="str">
            <v>BU9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7">
          <cell r="A37" t="str">
            <v>||</v>
          </cell>
          <cell r="B37" t="str">
            <v xml:space="preserve">  Qualifying Supplies</v>
          </cell>
          <cell r="C37" t="str">
            <v>BU9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A38" t="str">
            <v>||</v>
          </cell>
          <cell r="B38" t="str">
            <v xml:space="preserve">  Qualifying Contract (@65%)</v>
          </cell>
          <cell r="C38" t="str">
            <v>BU9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39">
          <cell r="A39" t="str">
            <v>||</v>
          </cell>
          <cell r="B39" t="str">
            <v>B_U_10</v>
          </cell>
          <cell r="C39" t="str">
            <v>'[california Agouron Supermodel@10%.xls]B_U_10'!$B$2</v>
          </cell>
        </row>
        <row r="40">
          <cell r="A40" t="str">
            <v>||</v>
          </cell>
          <cell r="B40" t="str">
            <v xml:space="preserve">  Qualifying Wages</v>
          </cell>
          <cell r="C40" t="str">
            <v>BU10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A41" t="str">
            <v>||</v>
          </cell>
          <cell r="B41" t="str">
            <v xml:space="preserve">  Qualifying Supplies</v>
          </cell>
          <cell r="C41" t="str">
            <v>BU10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</row>
        <row r="42">
          <cell r="A42" t="str">
            <v>||</v>
          </cell>
          <cell r="B42" t="str">
            <v xml:space="preserve">  Qualifying Contract (@65%)</v>
          </cell>
          <cell r="C42" t="str">
            <v>BU10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A43" t="str">
            <v>||</v>
          </cell>
          <cell r="B43" t="str">
            <v>B_U_11</v>
          </cell>
          <cell r="C43" t="str">
            <v>'[california Agouron Supermodel@10%.xls]B_U_11'!$B$2</v>
          </cell>
        </row>
        <row r="44">
          <cell r="A44" t="str">
            <v>||</v>
          </cell>
          <cell r="B44" t="str">
            <v xml:space="preserve">  Qualifying Wages</v>
          </cell>
          <cell r="C44" t="str">
            <v>BU11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</row>
        <row r="45">
          <cell r="A45" t="str">
            <v>||</v>
          </cell>
          <cell r="B45" t="str">
            <v xml:space="preserve">  Qualifying Supplies</v>
          </cell>
          <cell r="C45" t="str">
            <v>BU11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A46" t="str">
            <v>||</v>
          </cell>
          <cell r="B46" t="str">
            <v xml:space="preserve">  Qualifying Contract (@65%)</v>
          </cell>
          <cell r="C46" t="str">
            <v>BU11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</row>
        <row r="47">
          <cell r="A47" t="str">
            <v>||</v>
          </cell>
          <cell r="B47" t="str">
            <v>B_U_12</v>
          </cell>
          <cell r="C47" t="str">
            <v>'[california Agouron Supermodel@10%.xls]B_U_12'!$B$2</v>
          </cell>
        </row>
        <row r="48">
          <cell r="A48" t="str">
            <v>||</v>
          </cell>
          <cell r="B48" t="str">
            <v xml:space="preserve">  Qualifying Wages</v>
          </cell>
          <cell r="C48" t="str">
            <v>BU12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A49" t="str">
            <v>||</v>
          </cell>
          <cell r="B49" t="str">
            <v xml:space="preserve">  Qualifying Supplies</v>
          </cell>
          <cell r="C49" t="str">
            <v>BU12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</row>
        <row r="50">
          <cell r="A50" t="str">
            <v>||</v>
          </cell>
          <cell r="B50" t="str">
            <v xml:space="preserve">  Qualifying Contract (@65%)</v>
          </cell>
          <cell r="C50" t="str">
            <v>BU12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</row>
        <row r="51">
          <cell r="A51" t="str">
            <v>||</v>
          </cell>
          <cell r="B51" t="str">
            <v>B_U_13</v>
          </cell>
          <cell r="C51" t="str">
            <v>'[california Agouron Supermodel@10%.xls]B_U_13'!$B$2</v>
          </cell>
        </row>
        <row r="52">
          <cell r="A52" t="str">
            <v>||</v>
          </cell>
          <cell r="B52" t="str">
            <v xml:space="preserve">  Qualifying Wages</v>
          </cell>
          <cell r="C52" t="str">
            <v>BU13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</row>
        <row r="53">
          <cell r="A53" t="str">
            <v>||</v>
          </cell>
          <cell r="B53" t="str">
            <v xml:space="preserve">  Qualifying Supplies</v>
          </cell>
          <cell r="C53" t="str">
            <v>BU13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</row>
        <row r="54">
          <cell r="A54" t="str">
            <v>||</v>
          </cell>
          <cell r="B54" t="str">
            <v xml:space="preserve">  Qualifying Contract (@65%)</v>
          </cell>
          <cell r="C54" t="str">
            <v>BU13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</row>
        <row r="55">
          <cell r="A55" t="str">
            <v>||</v>
          </cell>
          <cell r="B55" t="str">
            <v>B_U_14</v>
          </cell>
          <cell r="C55" t="str">
            <v>'[california Agouron Supermodel@10%.xls]B_U_14'!$B$2</v>
          </cell>
        </row>
        <row r="56">
          <cell r="A56" t="str">
            <v>||</v>
          </cell>
          <cell r="B56" t="str">
            <v xml:space="preserve">  Qualifying Wages</v>
          </cell>
          <cell r="C56" t="str">
            <v>BU14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</row>
        <row r="57">
          <cell r="A57" t="str">
            <v>||</v>
          </cell>
          <cell r="B57" t="str">
            <v xml:space="preserve">  Qualifying Supplies</v>
          </cell>
          <cell r="C57" t="str">
            <v>BU14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</row>
        <row r="58">
          <cell r="A58" t="str">
            <v>||</v>
          </cell>
          <cell r="B58" t="str">
            <v xml:space="preserve">  Qualifying Contract (@65%)</v>
          </cell>
          <cell r="C58" t="str">
            <v>BU14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</row>
        <row r="59">
          <cell r="A59" t="str">
            <v>||</v>
          </cell>
          <cell r="B59" t="str">
            <v>B_U_15</v>
          </cell>
          <cell r="C59" t="str">
            <v>'[california Agouron Supermodel@10%.xls]B_U_15'!$B$2</v>
          </cell>
        </row>
        <row r="60">
          <cell r="A60" t="str">
            <v>||</v>
          </cell>
          <cell r="B60" t="str">
            <v xml:space="preserve">  Qualifying Wages</v>
          </cell>
          <cell r="C60" t="str">
            <v>BU15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</row>
        <row r="61">
          <cell r="A61" t="str">
            <v>||</v>
          </cell>
          <cell r="B61" t="str">
            <v xml:space="preserve">  Qualifying Supplies</v>
          </cell>
          <cell r="C61" t="str">
            <v>BU15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</row>
        <row r="62">
          <cell r="A62" t="str">
            <v>||</v>
          </cell>
          <cell r="B62" t="str">
            <v xml:space="preserve">  Qualifying Contract (@65%)</v>
          </cell>
          <cell r="C62" t="str">
            <v>BU15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</row>
        <row r="63">
          <cell r="A63" t="str">
            <v>||</v>
          </cell>
          <cell r="B63" t="str">
            <v>B_U_16</v>
          </cell>
          <cell r="C63" t="str">
            <v>'[california Agouron Supermodel@10%.xls]B_U_16'!$B$2</v>
          </cell>
        </row>
        <row r="64">
          <cell r="A64" t="str">
            <v>||</v>
          </cell>
          <cell r="B64" t="str">
            <v xml:space="preserve">  Qualifying Wages</v>
          </cell>
          <cell r="C64" t="str">
            <v>BU16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</row>
        <row r="65">
          <cell r="A65" t="str">
            <v>||</v>
          </cell>
          <cell r="B65" t="str">
            <v xml:space="preserve">  Qualifying Supplies</v>
          </cell>
          <cell r="C65" t="str">
            <v>BU16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</row>
        <row r="66">
          <cell r="A66" t="str">
            <v>||</v>
          </cell>
          <cell r="B66" t="str">
            <v xml:space="preserve">  Qualifying Contract (@65%)</v>
          </cell>
          <cell r="C66" t="str">
            <v>BU16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</row>
        <row r="67">
          <cell r="A67" t="str">
            <v>||</v>
          </cell>
          <cell r="B67" t="str">
            <v>B_U_17</v>
          </cell>
          <cell r="C67" t="str">
            <v>'[california Agouron Supermodel@10%.xls]B_U_17'!$B$2</v>
          </cell>
        </row>
        <row r="68">
          <cell r="A68" t="str">
            <v>||</v>
          </cell>
          <cell r="B68" t="str">
            <v xml:space="preserve">  Qualifying Wages</v>
          </cell>
          <cell r="C68" t="str">
            <v>BU17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</row>
        <row r="69">
          <cell r="A69" t="str">
            <v>||</v>
          </cell>
          <cell r="B69" t="str">
            <v xml:space="preserve">  Qualifying Supplies</v>
          </cell>
          <cell r="C69" t="str">
            <v>BU17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</row>
        <row r="70">
          <cell r="A70" t="str">
            <v>||</v>
          </cell>
          <cell r="B70" t="str">
            <v xml:space="preserve">  Qualifying Contract (@65%)</v>
          </cell>
          <cell r="C70" t="str">
            <v>BU17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</row>
        <row r="71">
          <cell r="A71" t="str">
            <v>||</v>
          </cell>
          <cell r="B71" t="str">
            <v>B_U_18</v>
          </cell>
          <cell r="C71" t="str">
            <v>'[california Agouron Supermodel@10%.xls]B_U_18'!$B$2</v>
          </cell>
        </row>
        <row r="72">
          <cell r="A72" t="str">
            <v>||</v>
          </cell>
          <cell r="B72" t="str">
            <v xml:space="preserve">  Qualifying Wages</v>
          </cell>
          <cell r="C72" t="str">
            <v>BU18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</row>
        <row r="73">
          <cell r="A73" t="str">
            <v>||</v>
          </cell>
          <cell r="B73" t="str">
            <v xml:space="preserve">  Qualifying Supplies</v>
          </cell>
          <cell r="C73" t="str">
            <v>BU18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</row>
        <row r="74">
          <cell r="A74" t="str">
            <v>||</v>
          </cell>
          <cell r="B74" t="str">
            <v xml:space="preserve">  Qualifying Contract (@65%)</v>
          </cell>
          <cell r="C74" t="str">
            <v>BU18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</row>
        <row r="75">
          <cell r="A75" t="str">
            <v>||</v>
          </cell>
          <cell r="B75" t="str">
            <v>B_U_19</v>
          </cell>
          <cell r="C75" t="str">
            <v>'[california Agouron Supermodel@10%.xls]B_U_19'!$B$2</v>
          </cell>
        </row>
        <row r="76">
          <cell r="A76" t="str">
            <v>||</v>
          </cell>
          <cell r="B76" t="str">
            <v xml:space="preserve">  Qualifying Wages</v>
          </cell>
          <cell r="C76" t="str">
            <v>BU19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</row>
        <row r="77">
          <cell r="A77" t="str">
            <v>||</v>
          </cell>
          <cell r="B77" t="str">
            <v xml:space="preserve">  Qualifying Supplies</v>
          </cell>
          <cell r="C77" t="str">
            <v>BU19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</row>
        <row r="78">
          <cell r="A78" t="str">
            <v>||</v>
          </cell>
          <cell r="B78" t="str">
            <v xml:space="preserve">  Qualifying Contract (@65%)</v>
          </cell>
          <cell r="C78" t="str">
            <v>BU19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</row>
        <row r="79">
          <cell r="A79" t="str">
            <v>||</v>
          </cell>
          <cell r="B79" t="str">
            <v>B_U_20</v>
          </cell>
          <cell r="C79" t="str">
            <v>'[california Agouron Supermodel@10%.xls]B_U_20'!$B$2</v>
          </cell>
        </row>
        <row r="80">
          <cell r="A80" t="str">
            <v>||</v>
          </cell>
          <cell r="B80" t="str">
            <v xml:space="preserve">  Qualifying Wages</v>
          </cell>
          <cell r="C80" t="str">
            <v>BU20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A81" t="str">
            <v>||</v>
          </cell>
          <cell r="B81" t="str">
            <v xml:space="preserve">  Qualifying Supplies</v>
          </cell>
          <cell r="C81" t="str">
            <v>BU20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A82" t="str">
            <v>||</v>
          </cell>
          <cell r="B82" t="str">
            <v xml:space="preserve">  Qualifying Contract (@65%)</v>
          </cell>
          <cell r="C82" t="str">
            <v>BU20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</row>
        <row r="83">
          <cell r="A83" t="str">
            <v>||</v>
          </cell>
          <cell r="B83" t="str">
            <v>B_U_21</v>
          </cell>
          <cell r="C83" t="str">
            <v>'[california Agouron Supermodel@10%.xls]B_U_21'!$B$2</v>
          </cell>
        </row>
        <row r="84">
          <cell r="A84" t="str">
            <v>||</v>
          </cell>
          <cell r="B84" t="str">
            <v xml:space="preserve">  Qualifying Wages</v>
          </cell>
          <cell r="C84" t="str">
            <v>BU21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A85" t="str">
            <v>||</v>
          </cell>
          <cell r="B85" t="str">
            <v xml:space="preserve">  Qualifying Supplies</v>
          </cell>
          <cell r="C85" t="str">
            <v>BU21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</row>
        <row r="86">
          <cell r="A86" t="str">
            <v>||</v>
          </cell>
          <cell r="B86" t="str">
            <v xml:space="preserve">  Qualifying Contract (@65%)</v>
          </cell>
          <cell r="C86" t="str">
            <v>BU21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</row>
        <row r="87">
          <cell r="A87" t="str">
            <v>||</v>
          </cell>
          <cell r="B87" t="str">
            <v>B_U_22</v>
          </cell>
          <cell r="C87" t="str">
            <v>'[california Agouron Supermodel@10%.xls]B_U_22'!$B$2</v>
          </cell>
        </row>
        <row r="88">
          <cell r="A88" t="str">
            <v>||</v>
          </cell>
          <cell r="B88" t="str">
            <v xml:space="preserve">  Qualifying Wages</v>
          </cell>
          <cell r="C88" t="str">
            <v>BU22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</row>
        <row r="89">
          <cell r="A89" t="str">
            <v>||</v>
          </cell>
          <cell r="B89" t="str">
            <v xml:space="preserve">  Qualifying Supplies</v>
          </cell>
          <cell r="C89" t="str">
            <v>BU22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</row>
        <row r="90">
          <cell r="A90" t="str">
            <v>||</v>
          </cell>
          <cell r="B90" t="str">
            <v xml:space="preserve">  Qualifying Contract (@65%)</v>
          </cell>
          <cell r="C90" t="str">
            <v>BU22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</row>
        <row r="91">
          <cell r="A91" t="str">
            <v>||</v>
          </cell>
          <cell r="B91" t="str">
            <v>B_U_23</v>
          </cell>
          <cell r="C91" t="str">
            <v>'[california Agouron Supermodel@10%.xls]B_U_23'!$B$2</v>
          </cell>
        </row>
        <row r="92">
          <cell r="A92" t="str">
            <v>||</v>
          </cell>
          <cell r="B92" t="str">
            <v xml:space="preserve">  Qualifying Wages</v>
          </cell>
          <cell r="C92" t="str">
            <v>BU23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</row>
        <row r="93">
          <cell r="A93" t="str">
            <v>||</v>
          </cell>
          <cell r="B93" t="str">
            <v xml:space="preserve">  Qualifying Supplies</v>
          </cell>
          <cell r="C93" t="str">
            <v>BU23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</row>
        <row r="94">
          <cell r="A94" t="str">
            <v>||</v>
          </cell>
          <cell r="B94" t="str">
            <v xml:space="preserve">  Qualifying Contract (@65%)</v>
          </cell>
          <cell r="C94" t="str">
            <v>BU23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</row>
        <row r="96">
          <cell r="B96" t="str">
            <v>Totals</v>
          </cell>
          <cell r="D96">
            <v>20127</v>
          </cell>
          <cell r="E96">
            <v>63138</v>
          </cell>
          <cell r="F96">
            <v>500401</v>
          </cell>
          <cell r="G96">
            <v>1329416</v>
          </cell>
          <cell r="H96">
            <v>3373992</v>
          </cell>
          <cell r="I96">
            <v>3881959</v>
          </cell>
          <cell r="J96">
            <v>3454243.852</v>
          </cell>
          <cell r="K96">
            <v>5569741.7879999997</v>
          </cell>
          <cell r="L96">
            <v>7927846.0099999998</v>
          </cell>
          <cell r="M96">
            <v>11613530.587000001</v>
          </cell>
          <cell r="N96">
            <v>19707135.007000003</v>
          </cell>
          <cell r="O96">
            <v>35935120.957800001</v>
          </cell>
          <cell r="P96">
            <v>25478958.238794774</v>
          </cell>
          <cell r="Q96">
            <v>58157347.527499996</v>
          </cell>
          <cell r="R96">
            <v>56448709.302500002</v>
          </cell>
        </row>
        <row r="98">
          <cell r="B98" t="str">
            <v>PHASE II Summary:</v>
          </cell>
        </row>
        <row r="99">
          <cell r="B99" t="str">
            <v>Total Qualifying Wages</v>
          </cell>
          <cell r="D99">
            <v>11087</v>
          </cell>
          <cell r="E99">
            <v>50015</v>
          </cell>
          <cell r="F99">
            <v>323590</v>
          </cell>
          <cell r="G99">
            <v>899647</v>
          </cell>
          <cell r="H99">
            <v>2067727</v>
          </cell>
          <cell r="I99">
            <v>2741619</v>
          </cell>
          <cell r="J99">
            <v>2299558.0019999999</v>
          </cell>
          <cell r="K99">
            <v>3542463.7879999997</v>
          </cell>
          <cell r="L99">
            <v>5126210.5599999996</v>
          </cell>
          <cell r="M99">
            <v>7134127.5369999995</v>
          </cell>
          <cell r="N99">
            <v>9257454.4570000004</v>
          </cell>
          <cell r="O99">
            <v>17917881</v>
          </cell>
          <cell r="P99">
            <v>29938649</v>
          </cell>
          <cell r="Q99">
            <v>50930323</v>
          </cell>
          <cell r="R99">
            <v>49405882</v>
          </cell>
        </row>
        <row r="100">
          <cell r="B100" t="str">
            <v>Total Qualifying Supplies</v>
          </cell>
          <cell r="D100">
            <v>5472</v>
          </cell>
          <cell r="E100">
            <v>12863</v>
          </cell>
          <cell r="F100">
            <v>125054</v>
          </cell>
          <cell r="G100">
            <v>256771</v>
          </cell>
          <cell r="H100">
            <v>535563</v>
          </cell>
          <cell r="I100">
            <v>808521</v>
          </cell>
          <cell r="J100">
            <v>710184</v>
          </cell>
          <cell r="K100">
            <v>1384519</v>
          </cell>
          <cell r="L100">
            <v>1667156</v>
          </cell>
          <cell r="M100">
            <v>2705568</v>
          </cell>
          <cell r="N100">
            <v>7703244</v>
          </cell>
          <cell r="O100">
            <v>13677482.189999999</v>
          </cell>
          <cell r="P100">
            <v>2205524.4</v>
          </cell>
          <cell r="Q100">
            <v>6259486.3000000007</v>
          </cell>
          <cell r="R100">
            <v>7163698.8000000007</v>
          </cell>
        </row>
        <row r="101">
          <cell r="B101" t="str">
            <v>Total Qualifying Contract (@65%)</v>
          </cell>
          <cell r="D101">
            <v>3568</v>
          </cell>
          <cell r="E101">
            <v>260</v>
          </cell>
          <cell r="F101">
            <v>51757</v>
          </cell>
          <cell r="G101">
            <v>172998</v>
          </cell>
          <cell r="H101">
            <v>770702</v>
          </cell>
          <cell r="I101">
            <v>331819</v>
          </cell>
          <cell r="J101">
            <v>444501.85</v>
          </cell>
          <cell r="K101">
            <v>642759</v>
          </cell>
          <cell r="L101">
            <v>1134479.4500000002</v>
          </cell>
          <cell r="M101">
            <v>1773835.05</v>
          </cell>
          <cell r="N101">
            <v>2746436.55</v>
          </cell>
          <cell r="O101">
            <v>4339757.7677999996</v>
          </cell>
          <cell r="P101">
            <v>-6665215.1612052238</v>
          </cell>
          <cell r="Q101">
            <v>967538.2274999998</v>
          </cell>
          <cell r="R101">
            <v>-120871.49749999781</v>
          </cell>
        </row>
        <row r="102">
          <cell r="B102" t="str">
            <v xml:space="preserve">  Total Qualifying Expenses</v>
          </cell>
          <cell r="D102">
            <v>20127</v>
          </cell>
          <cell r="E102">
            <v>63138</v>
          </cell>
          <cell r="F102">
            <v>500401</v>
          </cell>
          <cell r="G102">
            <v>1329416</v>
          </cell>
          <cell r="H102">
            <v>3373992</v>
          </cell>
          <cell r="I102">
            <v>3881959</v>
          </cell>
          <cell r="J102">
            <v>3454243.852</v>
          </cell>
          <cell r="K102">
            <v>5569741.7879999997</v>
          </cell>
          <cell r="L102">
            <v>7927846.0099999998</v>
          </cell>
          <cell r="M102">
            <v>11613530.587000001</v>
          </cell>
          <cell r="N102">
            <v>19707135.007000003</v>
          </cell>
          <cell r="O102">
            <v>35935120.957800001</v>
          </cell>
          <cell r="P102">
            <v>25478958.238794774</v>
          </cell>
          <cell r="Q102">
            <v>58157347.527499996</v>
          </cell>
          <cell r="R102">
            <v>56448709.302500002</v>
          </cell>
        </row>
        <row r="103">
          <cell r="B103" t="str">
            <v xml:space="preserve"> </v>
          </cell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</row>
        <row r="104">
          <cell r="B104" t="str">
            <v xml:space="preserve"> *** C A U T I O N *** :  ALL TOTALS AND SUBTOTALS ARE SENSITIVE TO EXISTING LOCATIONS OF ROWS AND COLUMNS !!!</v>
          </cell>
          <cell r="I104" t="str">
            <v xml:space="preserve"> </v>
          </cell>
          <cell r="J104" t="str">
            <v xml:space="preserve"> </v>
          </cell>
          <cell r="K104" t="str">
            <v xml:space="preserve"> </v>
          </cell>
          <cell r="L104" t="str">
            <v xml:space="preserve"> </v>
          </cell>
          <cell r="M104" t="str">
            <v xml:space="preserve"> </v>
          </cell>
          <cell r="N104" t="str">
            <v xml:space="preserve"> </v>
          </cell>
        </row>
        <row r="105">
          <cell r="B105" t="str">
            <v xml:space="preserve">                                       IF ANY ELEMENTS OF EXISTING FORMATS ARE CHANGED, ALL TOTALS AND SUBTOTALS MUST BE CHECKED !!!</v>
          </cell>
        </row>
        <row r="108">
          <cell r="C108" t="str">
            <v>W/P Ref</v>
          </cell>
          <cell r="D108">
            <v>1984</v>
          </cell>
          <cell r="E108">
            <v>1985</v>
          </cell>
          <cell r="F108">
            <v>1986</v>
          </cell>
          <cell r="G108">
            <v>1987</v>
          </cell>
          <cell r="H108">
            <v>1988</v>
          </cell>
          <cell r="I108">
            <v>1989</v>
          </cell>
          <cell r="J108">
            <v>1990</v>
          </cell>
          <cell r="K108">
            <v>1991</v>
          </cell>
          <cell r="L108">
            <v>1992</v>
          </cell>
          <cell r="M108">
            <v>1993</v>
          </cell>
          <cell r="N108">
            <v>1994</v>
          </cell>
          <cell r="O108">
            <v>1995</v>
          </cell>
          <cell r="P108">
            <v>1996</v>
          </cell>
          <cell r="Q108">
            <v>1997</v>
          </cell>
          <cell r="R108">
            <v>1998</v>
          </cell>
        </row>
        <row r="109">
          <cell r="B109" t="str">
            <v>Total Qualifying Wages</v>
          </cell>
          <cell r="D109">
            <v>11087</v>
          </cell>
          <cell r="E109">
            <v>50015</v>
          </cell>
          <cell r="F109">
            <v>323590</v>
          </cell>
          <cell r="G109">
            <v>899647</v>
          </cell>
          <cell r="H109">
            <v>2067727</v>
          </cell>
          <cell r="I109">
            <v>2741619</v>
          </cell>
          <cell r="J109">
            <v>2299558.0019999999</v>
          </cell>
          <cell r="K109">
            <v>3542463.7879999997</v>
          </cell>
          <cell r="L109">
            <v>5126210.5599999996</v>
          </cell>
          <cell r="M109">
            <v>7134127.5369999995</v>
          </cell>
          <cell r="N109">
            <v>9257454.4570000004</v>
          </cell>
          <cell r="O109">
            <v>17917881</v>
          </cell>
          <cell r="P109">
            <v>29938649</v>
          </cell>
          <cell r="Q109">
            <v>50930323</v>
          </cell>
          <cell r="R109">
            <v>49405882</v>
          </cell>
        </row>
        <row r="110">
          <cell r="B110" t="str">
            <v>Total Qualifying Supplies</v>
          </cell>
          <cell r="D110">
            <v>5472</v>
          </cell>
          <cell r="E110">
            <v>12863</v>
          </cell>
          <cell r="F110">
            <v>125054</v>
          </cell>
          <cell r="G110">
            <v>256771</v>
          </cell>
          <cell r="H110">
            <v>535563</v>
          </cell>
          <cell r="I110">
            <v>808521</v>
          </cell>
          <cell r="J110">
            <v>710184</v>
          </cell>
          <cell r="K110">
            <v>1384519</v>
          </cell>
          <cell r="L110">
            <v>1667156</v>
          </cell>
          <cell r="M110">
            <v>2705568</v>
          </cell>
          <cell r="N110">
            <v>7703244</v>
          </cell>
          <cell r="O110">
            <v>13677482.189999999</v>
          </cell>
          <cell r="P110">
            <v>2205524.4</v>
          </cell>
          <cell r="Q110">
            <v>6259486.3000000007</v>
          </cell>
          <cell r="R110">
            <v>7163698.8000000007</v>
          </cell>
        </row>
        <row r="111">
          <cell r="B111" t="str">
            <v>Total Qualifying Contract (@65%)</v>
          </cell>
          <cell r="D111">
            <v>3568</v>
          </cell>
          <cell r="E111">
            <v>260</v>
          </cell>
          <cell r="F111">
            <v>51757</v>
          </cell>
          <cell r="G111">
            <v>172998</v>
          </cell>
          <cell r="H111">
            <v>770702</v>
          </cell>
          <cell r="I111">
            <v>331819</v>
          </cell>
          <cell r="J111">
            <v>444501.85</v>
          </cell>
          <cell r="K111">
            <v>642759</v>
          </cell>
          <cell r="L111">
            <v>1134479.4500000002</v>
          </cell>
          <cell r="M111">
            <v>1773835.05</v>
          </cell>
          <cell r="N111">
            <v>2746436.55</v>
          </cell>
          <cell r="O111">
            <v>4339757.7677999996</v>
          </cell>
          <cell r="P111">
            <v>-6665215.1612052238</v>
          </cell>
          <cell r="Q111">
            <v>967538.2274999998</v>
          </cell>
          <cell r="R111">
            <v>-120871.49749999781</v>
          </cell>
        </row>
        <row r="112">
          <cell r="B112" t="str">
            <v xml:space="preserve">  Total Qualifying Expenses</v>
          </cell>
          <cell r="D112">
            <v>20127</v>
          </cell>
          <cell r="E112">
            <v>63138</v>
          </cell>
          <cell r="F112">
            <v>500401</v>
          </cell>
          <cell r="G112">
            <v>1329416</v>
          </cell>
          <cell r="H112">
            <v>3373992</v>
          </cell>
          <cell r="I112">
            <v>3881959</v>
          </cell>
          <cell r="J112">
            <v>3454243.852</v>
          </cell>
          <cell r="K112">
            <v>5569741.7879999997</v>
          </cell>
          <cell r="L112">
            <v>7927846.0099999998</v>
          </cell>
          <cell r="M112">
            <v>11613530.587000001</v>
          </cell>
          <cell r="N112">
            <v>19707135.007000003</v>
          </cell>
          <cell r="O112">
            <v>35935120.957800001</v>
          </cell>
          <cell r="P112">
            <v>25478958.238794774</v>
          </cell>
          <cell r="Q112">
            <v>58157347.527499996</v>
          </cell>
          <cell r="R112">
            <v>56448709.302500002</v>
          </cell>
        </row>
        <row r="115">
          <cell r="D115">
            <v>84</v>
          </cell>
          <cell r="E115">
            <v>85</v>
          </cell>
          <cell r="F115">
            <v>86</v>
          </cell>
          <cell r="G115">
            <v>87</v>
          </cell>
          <cell r="H115">
            <v>88</v>
          </cell>
          <cell r="I115">
            <v>89</v>
          </cell>
          <cell r="J115">
            <v>90</v>
          </cell>
          <cell r="K115">
            <v>91</v>
          </cell>
          <cell r="L115">
            <v>92</v>
          </cell>
          <cell r="M115">
            <v>93</v>
          </cell>
          <cell r="N115">
            <v>94</v>
          </cell>
          <cell r="O115">
            <v>95</v>
          </cell>
          <cell r="P115">
            <v>96</v>
          </cell>
          <cell r="Q115">
            <v>97</v>
          </cell>
          <cell r="R115">
            <v>98</v>
          </cell>
        </row>
        <row r="116">
          <cell r="D116">
            <v>20127</v>
          </cell>
          <cell r="E116">
            <v>63138</v>
          </cell>
          <cell r="F116">
            <v>500401</v>
          </cell>
          <cell r="G116">
            <v>1329416</v>
          </cell>
          <cell r="H116">
            <v>3373992</v>
          </cell>
          <cell r="I116">
            <v>3881959</v>
          </cell>
          <cell r="J116">
            <v>3454243.852</v>
          </cell>
          <cell r="K116">
            <v>5569741.7879999997</v>
          </cell>
          <cell r="L116">
            <v>7927846.0099999998</v>
          </cell>
          <cell r="M116">
            <v>11613530.587000001</v>
          </cell>
          <cell r="N116">
            <v>19707135.007000003</v>
          </cell>
          <cell r="O116">
            <v>35935120.957800001</v>
          </cell>
          <cell r="P116">
            <v>25478958.238794774</v>
          </cell>
          <cell r="Q116">
            <v>58157347.527499996</v>
          </cell>
          <cell r="R116">
            <v>56448709.302500002</v>
          </cell>
        </row>
      </sheetData>
      <sheetData sheetId="11" refreshError="1">
        <row r="216">
          <cell r="D216">
            <v>1984</v>
          </cell>
          <cell r="E216">
            <v>1985</v>
          </cell>
          <cell r="F216">
            <v>1986</v>
          </cell>
          <cell r="G216">
            <v>1987</v>
          </cell>
          <cell r="H216">
            <v>1988</v>
          </cell>
          <cell r="I216">
            <v>1989</v>
          </cell>
          <cell r="J216">
            <v>1990</v>
          </cell>
          <cell r="K216">
            <v>1991</v>
          </cell>
          <cell r="L216">
            <v>1992</v>
          </cell>
          <cell r="M216">
            <v>1993</v>
          </cell>
          <cell r="N216">
            <v>1994</v>
          </cell>
          <cell r="O216">
            <v>1995</v>
          </cell>
          <cell r="P216">
            <v>1996</v>
          </cell>
          <cell r="Q216">
            <v>1997</v>
          </cell>
          <cell r="R216">
            <v>1998</v>
          </cell>
        </row>
        <row r="217">
          <cell r="C217" t="str">
            <v>Wages</v>
          </cell>
          <cell r="D217">
            <v>11.087</v>
          </cell>
          <cell r="E217">
            <v>50.015000000000001</v>
          </cell>
          <cell r="F217">
            <v>323.58999999999997</v>
          </cell>
          <cell r="G217">
            <v>899.64700000000005</v>
          </cell>
          <cell r="H217">
            <v>2067.7269999999999</v>
          </cell>
          <cell r="I217">
            <v>2741.6190000000001</v>
          </cell>
          <cell r="J217">
            <v>2299.5580019999998</v>
          </cell>
          <cell r="K217">
            <v>3542.4637879999996</v>
          </cell>
          <cell r="L217">
            <v>5126.2105599999995</v>
          </cell>
          <cell r="M217">
            <v>7134.1275369999994</v>
          </cell>
          <cell r="N217">
            <v>9257.4544569999998</v>
          </cell>
          <cell r="O217">
            <v>17917.881000000001</v>
          </cell>
          <cell r="P217">
            <v>29938.649000000001</v>
          </cell>
          <cell r="Q217">
            <v>50930.322999999997</v>
          </cell>
          <cell r="R217">
            <v>49405.881999999998</v>
          </cell>
        </row>
        <row r="218">
          <cell r="C218" t="str">
            <v>Supplies</v>
          </cell>
          <cell r="D218">
            <v>5.4720000000000004</v>
          </cell>
          <cell r="E218">
            <v>12.863</v>
          </cell>
          <cell r="F218">
            <v>125.054</v>
          </cell>
          <cell r="G218">
            <v>256.77100000000002</v>
          </cell>
          <cell r="H218">
            <v>535.56299999999999</v>
          </cell>
          <cell r="I218">
            <v>808.52099999999996</v>
          </cell>
          <cell r="J218">
            <v>710.18399999999997</v>
          </cell>
          <cell r="K218">
            <v>1384.519</v>
          </cell>
          <cell r="L218">
            <v>1667.1559999999999</v>
          </cell>
          <cell r="M218">
            <v>2705.5680000000002</v>
          </cell>
          <cell r="N218">
            <v>7703.2439999999997</v>
          </cell>
          <cell r="O218">
            <v>13677.482189999999</v>
          </cell>
          <cell r="P218">
            <v>2205.5243999999998</v>
          </cell>
          <cell r="Q218">
            <v>6259.4863000000005</v>
          </cell>
          <cell r="R218">
            <v>7163.698800000001</v>
          </cell>
        </row>
        <row r="219">
          <cell r="C219" t="str">
            <v>Contracts</v>
          </cell>
          <cell r="D219">
            <v>3.5680000000000001</v>
          </cell>
          <cell r="E219">
            <v>0.26</v>
          </cell>
          <cell r="F219">
            <v>51.756999999999998</v>
          </cell>
          <cell r="G219">
            <v>172.99799999999999</v>
          </cell>
          <cell r="H219">
            <v>770.702</v>
          </cell>
          <cell r="I219">
            <v>331.81900000000002</v>
          </cell>
          <cell r="J219">
            <v>444.50184999999999</v>
          </cell>
          <cell r="K219">
            <v>642.75900000000001</v>
          </cell>
          <cell r="L219">
            <v>1134.4794500000003</v>
          </cell>
          <cell r="M219">
            <v>1773.8350500000001</v>
          </cell>
          <cell r="N219">
            <v>2746.4365499999999</v>
          </cell>
          <cell r="O219">
            <v>4339.7577677999998</v>
          </cell>
          <cell r="P219">
            <v>-6665.2151612052239</v>
          </cell>
          <cell r="Q219">
            <v>967.53822749999983</v>
          </cell>
          <cell r="R219">
            <v>-120.87149749999782</v>
          </cell>
        </row>
        <row r="222">
          <cell r="D222">
            <v>1984</v>
          </cell>
          <cell r="E222">
            <v>1985</v>
          </cell>
          <cell r="F222">
            <v>1986</v>
          </cell>
          <cell r="G222">
            <v>1987</v>
          </cell>
          <cell r="H222">
            <v>1988</v>
          </cell>
          <cell r="I222">
            <v>1989</v>
          </cell>
          <cell r="J222">
            <v>1990</v>
          </cell>
          <cell r="K222">
            <v>1991</v>
          </cell>
          <cell r="L222">
            <v>1992</v>
          </cell>
          <cell r="M222">
            <v>1993</v>
          </cell>
          <cell r="N222">
            <v>1994</v>
          </cell>
          <cell r="O222">
            <v>1995</v>
          </cell>
          <cell r="P222">
            <v>1996</v>
          </cell>
          <cell r="Q222">
            <v>1997</v>
          </cell>
          <cell r="R222">
            <v>1998</v>
          </cell>
        </row>
        <row r="223">
          <cell r="C223" t="str">
            <v>Phase II Findings</v>
          </cell>
          <cell r="D223">
            <v>11.087</v>
          </cell>
          <cell r="E223">
            <v>50.015000000000001</v>
          </cell>
          <cell r="F223">
            <v>323.58999999999997</v>
          </cell>
          <cell r="G223">
            <v>899.64700000000005</v>
          </cell>
          <cell r="H223">
            <v>2067.7269999999999</v>
          </cell>
          <cell r="I223">
            <v>2741.6190000000001</v>
          </cell>
          <cell r="J223">
            <v>2299.5580019999998</v>
          </cell>
          <cell r="K223">
            <v>3542.4637879999996</v>
          </cell>
          <cell r="L223">
            <v>5126.2105599999995</v>
          </cell>
          <cell r="M223">
            <v>7134.1275369999994</v>
          </cell>
          <cell r="N223">
            <v>9257.4544569999998</v>
          </cell>
          <cell r="O223">
            <v>17917.881000000001</v>
          </cell>
          <cell r="P223">
            <v>29938.649000000001</v>
          </cell>
          <cell r="Q223">
            <v>50930.322999999997</v>
          </cell>
          <cell r="R223">
            <v>49405.881999999998</v>
          </cell>
        </row>
        <row r="224">
          <cell r="C224" t="str">
            <v xml:space="preserve">As Filed QRE </v>
          </cell>
          <cell r="D224" t="e">
            <v>#REF!</v>
          </cell>
          <cell r="E224" t="e">
            <v>#REF!</v>
          </cell>
          <cell r="F224" t="e">
            <v>#REF!</v>
          </cell>
          <cell r="G224" t="e">
            <v>#REF!</v>
          </cell>
          <cell r="H224" t="e">
            <v>#REF!</v>
          </cell>
          <cell r="I224" t="e">
            <v>#REF!</v>
          </cell>
          <cell r="J224" t="e">
            <v>#REF!</v>
          </cell>
          <cell r="K224" t="e">
            <v>#REF!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 t="e">
            <v>#REF!</v>
          </cell>
          <cell r="Q224" t="e">
            <v>#REF!</v>
          </cell>
          <cell r="R224" t="e">
            <v>#REF!</v>
          </cell>
        </row>
        <row r="225">
          <cell r="C225"/>
          <cell r="D225"/>
          <cell r="E225"/>
          <cell r="F225"/>
          <cell r="G225"/>
          <cell r="H225"/>
          <cell r="I225"/>
          <cell r="J225"/>
          <cell r="K225"/>
          <cell r="L225"/>
          <cell r="M225"/>
          <cell r="N225"/>
          <cell r="O225"/>
          <cell r="P225"/>
          <cell r="Q225"/>
          <cell r="R225"/>
        </row>
        <row r="226">
          <cell r="C226"/>
          <cell r="D226"/>
          <cell r="E226"/>
          <cell r="F226"/>
          <cell r="G226"/>
          <cell r="H226"/>
          <cell r="I226"/>
          <cell r="J226"/>
          <cell r="K226"/>
          <cell r="L226"/>
          <cell r="M226"/>
          <cell r="N226"/>
          <cell r="O226"/>
          <cell r="P226"/>
          <cell r="Q226"/>
          <cell r="R226"/>
        </row>
        <row r="227">
          <cell r="C227"/>
          <cell r="D227"/>
          <cell r="E227"/>
          <cell r="F227"/>
          <cell r="G227"/>
          <cell r="H227"/>
          <cell r="I227"/>
          <cell r="J227"/>
          <cell r="K227"/>
          <cell r="L227"/>
          <cell r="M227"/>
          <cell r="N227"/>
          <cell r="O227"/>
          <cell r="P227"/>
          <cell r="Q227"/>
          <cell r="R227"/>
        </row>
        <row r="228">
          <cell r="C228"/>
          <cell r="D228"/>
          <cell r="E228"/>
          <cell r="F228"/>
          <cell r="G228"/>
          <cell r="H228"/>
          <cell r="I228"/>
          <cell r="J228"/>
          <cell r="K228"/>
          <cell r="L228"/>
          <cell r="M228"/>
          <cell r="N228"/>
          <cell r="O228"/>
          <cell r="P228"/>
          <cell r="Q228"/>
          <cell r="R228"/>
        </row>
        <row r="229">
          <cell r="C229"/>
          <cell r="D229"/>
          <cell r="E229"/>
          <cell r="F229"/>
          <cell r="G229"/>
          <cell r="H229"/>
          <cell r="I229"/>
          <cell r="J229"/>
          <cell r="K229"/>
          <cell r="L229"/>
          <cell r="M229"/>
          <cell r="N229"/>
          <cell r="O229"/>
          <cell r="P229"/>
          <cell r="Q229"/>
          <cell r="R229"/>
        </row>
        <row r="230">
          <cell r="C230"/>
          <cell r="D230"/>
          <cell r="E230"/>
          <cell r="F230"/>
          <cell r="G230"/>
          <cell r="H230"/>
          <cell r="I230"/>
          <cell r="J230"/>
          <cell r="K230"/>
          <cell r="L230"/>
          <cell r="M230"/>
          <cell r="N230"/>
          <cell r="O230"/>
          <cell r="P230"/>
          <cell r="Q230"/>
          <cell r="R230"/>
        </row>
        <row r="231">
          <cell r="C231"/>
          <cell r="D231"/>
          <cell r="E231"/>
          <cell r="F231"/>
          <cell r="G231"/>
          <cell r="H231"/>
          <cell r="I231"/>
          <cell r="J231"/>
          <cell r="K231"/>
          <cell r="L231"/>
          <cell r="M231"/>
          <cell r="N231"/>
          <cell r="O231"/>
          <cell r="P231"/>
          <cell r="Q231"/>
          <cell r="R231"/>
        </row>
        <row r="232">
          <cell r="C232"/>
          <cell r="D232"/>
          <cell r="E232"/>
          <cell r="F232"/>
          <cell r="G232"/>
          <cell r="H232"/>
          <cell r="I232"/>
          <cell r="J232"/>
          <cell r="K232"/>
          <cell r="L232"/>
          <cell r="M232"/>
          <cell r="N232"/>
          <cell r="O232"/>
          <cell r="P232"/>
          <cell r="Q232"/>
          <cell r="R232"/>
        </row>
        <row r="233">
          <cell r="C233"/>
          <cell r="D233"/>
          <cell r="E233"/>
          <cell r="F233"/>
          <cell r="G233"/>
          <cell r="H233"/>
          <cell r="I233"/>
          <cell r="J233"/>
          <cell r="K233"/>
          <cell r="L233"/>
          <cell r="M233"/>
          <cell r="N233"/>
          <cell r="O233"/>
          <cell r="P233"/>
          <cell r="Q233"/>
          <cell r="R233"/>
        </row>
        <row r="234">
          <cell r="C234"/>
          <cell r="D234"/>
          <cell r="E234"/>
          <cell r="F234"/>
          <cell r="G234"/>
          <cell r="H234"/>
          <cell r="I234"/>
          <cell r="J234"/>
          <cell r="K234"/>
          <cell r="L234"/>
          <cell r="M234"/>
          <cell r="N234"/>
          <cell r="O234"/>
          <cell r="P234"/>
          <cell r="Q234"/>
          <cell r="R234"/>
        </row>
        <row r="235">
          <cell r="C235"/>
          <cell r="D235"/>
          <cell r="E235"/>
          <cell r="F235"/>
          <cell r="G235"/>
          <cell r="H235"/>
          <cell r="I235"/>
          <cell r="J235"/>
          <cell r="K235"/>
          <cell r="L235"/>
          <cell r="M235"/>
          <cell r="N235"/>
          <cell r="O235"/>
          <cell r="P235"/>
          <cell r="Q235"/>
          <cell r="R235"/>
        </row>
        <row r="236">
          <cell r="C236"/>
          <cell r="D236"/>
          <cell r="E236"/>
          <cell r="F236"/>
          <cell r="G236"/>
          <cell r="H236"/>
          <cell r="I236"/>
          <cell r="J236"/>
          <cell r="K236"/>
          <cell r="L236"/>
          <cell r="M236"/>
          <cell r="N236"/>
          <cell r="O236"/>
          <cell r="P236"/>
          <cell r="Q236"/>
          <cell r="R236"/>
        </row>
        <row r="237">
          <cell r="C237"/>
          <cell r="D237"/>
          <cell r="E237"/>
          <cell r="F237"/>
          <cell r="G237"/>
          <cell r="H237"/>
          <cell r="I237"/>
          <cell r="J237"/>
          <cell r="K237"/>
          <cell r="L237"/>
          <cell r="M237"/>
          <cell r="N237"/>
          <cell r="O237"/>
          <cell r="P237"/>
          <cell r="Q237"/>
          <cell r="R237"/>
        </row>
        <row r="238">
          <cell r="C238"/>
          <cell r="D238"/>
          <cell r="E238"/>
          <cell r="F238"/>
          <cell r="G238"/>
          <cell r="H238"/>
          <cell r="I238"/>
          <cell r="J238"/>
          <cell r="K238"/>
          <cell r="L238"/>
          <cell r="M238"/>
          <cell r="N238"/>
          <cell r="O238"/>
          <cell r="P238"/>
          <cell r="Q238"/>
          <cell r="R238"/>
        </row>
        <row r="239">
          <cell r="C239"/>
          <cell r="D239"/>
          <cell r="E239"/>
          <cell r="F239"/>
          <cell r="G239"/>
          <cell r="H239"/>
          <cell r="I239"/>
          <cell r="J239"/>
          <cell r="K239"/>
          <cell r="L239"/>
          <cell r="M239"/>
          <cell r="N239"/>
          <cell r="O239"/>
          <cell r="P239"/>
          <cell r="Q239"/>
          <cell r="R239"/>
        </row>
        <row r="240">
          <cell r="C240"/>
          <cell r="D240"/>
          <cell r="E240"/>
          <cell r="F240"/>
          <cell r="G240"/>
          <cell r="H240"/>
          <cell r="I240"/>
          <cell r="J240"/>
          <cell r="K240"/>
          <cell r="L240"/>
          <cell r="M240"/>
          <cell r="N240"/>
          <cell r="O240"/>
          <cell r="P240"/>
          <cell r="Q240"/>
          <cell r="R240"/>
        </row>
        <row r="241"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  <cell r="M241"/>
          <cell r="N241"/>
          <cell r="O241"/>
          <cell r="P241"/>
          <cell r="Q241"/>
          <cell r="R241"/>
        </row>
        <row r="242">
          <cell r="C242"/>
          <cell r="D242"/>
          <cell r="E242"/>
          <cell r="F242"/>
          <cell r="G242"/>
          <cell r="H242"/>
          <cell r="I242"/>
          <cell r="J242"/>
          <cell r="K242"/>
          <cell r="L242"/>
          <cell r="M242"/>
          <cell r="N242"/>
          <cell r="O242"/>
          <cell r="P242"/>
          <cell r="Q242"/>
          <cell r="R242"/>
        </row>
        <row r="243">
          <cell r="C243"/>
          <cell r="D243"/>
          <cell r="E243"/>
          <cell r="F243"/>
          <cell r="G243"/>
          <cell r="H243"/>
          <cell r="I243"/>
          <cell r="J243"/>
          <cell r="K243"/>
          <cell r="L243"/>
          <cell r="M243"/>
          <cell r="N243"/>
          <cell r="O243"/>
          <cell r="P243"/>
          <cell r="Q243"/>
          <cell r="R243"/>
        </row>
        <row r="244">
          <cell r="C244"/>
          <cell r="D244"/>
          <cell r="E244"/>
          <cell r="F244"/>
          <cell r="G244"/>
          <cell r="H244"/>
          <cell r="I244"/>
          <cell r="J244"/>
          <cell r="K244"/>
          <cell r="L244"/>
          <cell r="M244"/>
          <cell r="N244"/>
          <cell r="O244"/>
          <cell r="P244"/>
          <cell r="Q244"/>
          <cell r="R244"/>
        </row>
        <row r="245">
          <cell r="C245"/>
          <cell r="D245"/>
          <cell r="E245"/>
          <cell r="F245"/>
          <cell r="G245"/>
          <cell r="H245"/>
          <cell r="I245"/>
          <cell r="J245"/>
          <cell r="K245"/>
          <cell r="L245"/>
          <cell r="M245"/>
          <cell r="N245"/>
          <cell r="O245"/>
          <cell r="P245"/>
          <cell r="Q245"/>
          <cell r="R245"/>
        </row>
        <row r="248">
          <cell r="D248">
            <v>1984</v>
          </cell>
          <cell r="E248">
            <v>1985</v>
          </cell>
          <cell r="F248">
            <v>1986</v>
          </cell>
          <cell r="G248">
            <v>1987</v>
          </cell>
          <cell r="H248">
            <v>1988</v>
          </cell>
          <cell r="I248">
            <v>1989</v>
          </cell>
          <cell r="J248">
            <v>1990</v>
          </cell>
          <cell r="K248">
            <v>1991</v>
          </cell>
          <cell r="L248">
            <v>1992</v>
          </cell>
          <cell r="M248">
            <v>1993</v>
          </cell>
          <cell r="N248">
            <v>1994</v>
          </cell>
          <cell r="O248">
            <v>1995</v>
          </cell>
          <cell r="P248">
            <v>1996</v>
          </cell>
          <cell r="Q248">
            <v>1997</v>
          </cell>
          <cell r="R248">
            <v>1998</v>
          </cell>
        </row>
        <row r="249">
          <cell r="C249" t="str">
            <v>Phase II Findings</v>
          </cell>
          <cell r="D249">
            <v>5.4720000000000004</v>
          </cell>
          <cell r="E249">
            <v>12.863</v>
          </cell>
          <cell r="F249">
            <v>125.054</v>
          </cell>
          <cell r="G249">
            <v>256.77100000000002</v>
          </cell>
          <cell r="H249">
            <v>535.56299999999999</v>
          </cell>
          <cell r="I249">
            <v>808.52099999999996</v>
          </cell>
          <cell r="J249">
            <v>710.18399999999997</v>
          </cell>
          <cell r="K249">
            <v>1384.519</v>
          </cell>
          <cell r="L249">
            <v>1667.1559999999999</v>
          </cell>
          <cell r="M249">
            <v>2705.5680000000002</v>
          </cell>
          <cell r="N249">
            <v>7703.2439999999997</v>
          </cell>
          <cell r="O249">
            <v>13677.482189999999</v>
          </cell>
          <cell r="P249">
            <v>2205.5243999999998</v>
          </cell>
          <cell r="Q249">
            <v>6259.4863000000005</v>
          </cell>
          <cell r="R249">
            <v>7163.698800000001</v>
          </cell>
        </row>
        <row r="250">
          <cell r="C250" t="str">
            <v xml:space="preserve">As Filed QRE </v>
          </cell>
          <cell r="D250" t="e">
            <v>#REF!</v>
          </cell>
          <cell r="E250" t="e">
            <v>#REF!</v>
          </cell>
          <cell r="F250" t="e">
            <v>#REF!</v>
          </cell>
          <cell r="G250" t="e">
            <v>#REF!</v>
          </cell>
          <cell r="H250" t="e">
            <v>#REF!</v>
          </cell>
          <cell r="I250" t="e">
            <v>#REF!</v>
          </cell>
          <cell r="J250" t="e">
            <v>#REF!</v>
          </cell>
          <cell r="K250" t="e">
            <v>#REF!</v>
          </cell>
          <cell r="L250" t="e">
            <v>#REF!</v>
          </cell>
          <cell r="M250" t="e">
            <v>#REF!</v>
          </cell>
          <cell r="N250" t="e">
            <v>#REF!</v>
          </cell>
          <cell r="O250" t="e">
            <v>#REF!</v>
          </cell>
          <cell r="P250" t="e">
            <v>#REF!</v>
          </cell>
          <cell r="Q250" t="e">
            <v>#REF!</v>
          </cell>
          <cell r="R250" t="e">
            <v>#REF!</v>
          </cell>
        </row>
        <row r="251">
          <cell r="C251"/>
          <cell r="D251"/>
          <cell r="E251"/>
          <cell r="F251"/>
          <cell r="G251"/>
          <cell r="H251"/>
          <cell r="I251"/>
          <cell r="J251"/>
          <cell r="K251"/>
          <cell r="L251"/>
          <cell r="M251"/>
          <cell r="N251"/>
          <cell r="O251"/>
          <cell r="P251"/>
          <cell r="Q251"/>
          <cell r="R251"/>
        </row>
        <row r="252">
          <cell r="C252"/>
          <cell r="D252"/>
          <cell r="E252"/>
          <cell r="F252"/>
          <cell r="G252"/>
          <cell r="H252"/>
          <cell r="I252"/>
          <cell r="J252"/>
          <cell r="K252"/>
          <cell r="L252"/>
          <cell r="M252"/>
          <cell r="N252"/>
          <cell r="O252"/>
          <cell r="P252"/>
          <cell r="Q252"/>
          <cell r="R252"/>
        </row>
        <row r="253">
          <cell r="C253"/>
          <cell r="D253"/>
          <cell r="E253"/>
          <cell r="F253"/>
          <cell r="G253"/>
          <cell r="H253"/>
          <cell r="I253"/>
          <cell r="J253"/>
          <cell r="K253"/>
          <cell r="L253"/>
          <cell r="M253"/>
          <cell r="N253"/>
          <cell r="O253"/>
          <cell r="P253"/>
          <cell r="Q253"/>
          <cell r="R253"/>
        </row>
        <row r="254">
          <cell r="C254"/>
          <cell r="D254"/>
          <cell r="E254"/>
          <cell r="F254"/>
          <cell r="G254"/>
          <cell r="H254"/>
          <cell r="I254"/>
          <cell r="J254"/>
          <cell r="K254"/>
          <cell r="L254"/>
          <cell r="M254"/>
          <cell r="N254"/>
          <cell r="O254"/>
          <cell r="P254"/>
          <cell r="Q254"/>
          <cell r="R254"/>
        </row>
        <row r="255">
          <cell r="C255"/>
          <cell r="D255"/>
          <cell r="E255"/>
          <cell r="F255"/>
          <cell r="G255"/>
          <cell r="H255"/>
          <cell r="I255"/>
          <cell r="J255"/>
          <cell r="K255"/>
          <cell r="L255"/>
          <cell r="M255"/>
          <cell r="N255"/>
          <cell r="O255"/>
          <cell r="P255"/>
          <cell r="Q255"/>
          <cell r="R255"/>
        </row>
        <row r="256">
          <cell r="C256"/>
          <cell r="D256"/>
          <cell r="E256"/>
          <cell r="F256"/>
          <cell r="G256"/>
          <cell r="H256"/>
          <cell r="I256"/>
          <cell r="J256"/>
          <cell r="K256"/>
          <cell r="L256"/>
          <cell r="M256"/>
          <cell r="N256"/>
          <cell r="O256"/>
          <cell r="P256"/>
          <cell r="Q256"/>
          <cell r="R256"/>
        </row>
        <row r="257">
          <cell r="C257"/>
          <cell r="D257"/>
          <cell r="E257"/>
          <cell r="F257"/>
          <cell r="G257"/>
          <cell r="H257"/>
          <cell r="I257"/>
          <cell r="J257"/>
          <cell r="K257"/>
          <cell r="L257"/>
          <cell r="M257"/>
          <cell r="N257"/>
          <cell r="O257"/>
          <cell r="P257"/>
          <cell r="Q257"/>
          <cell r="R257"/>
        </row>
        <row r="258">
          <cell r="C258"/>
          <cell r="D258"/>
          <cell r="E258"/>
          <cell r="F258"/>
          <cell r="G258"/>
          <cell r="H258"/>
          <cell r="I258"/>
          <cell r="J258"/>
          <cell r="K258"/>
          <cell r="L258"/>
          <cell r="M258"/>
          <cell r="N258"/>
          <cell r="O258"/>
          <cell r="P258"/>
          <cell r="Q258"/>
          <cell r="R258"/>
        </row>
        <row r="259">
          <cell r="C259"/>
          <cell r="D259"/>
          <cell r="E259"/>
          <cell r="F259"/>
          <cell r="G259"/>
          <cell r="H259"/>
          <cell r="I259"/>
          <cell r="J259"/>
          <cell r="K259"/>
          <cell r="L259"/>
          <cell r="M259"/>
          <cell r="N259"/>
          <cell r="O259"/>
          <cell r="P259"/>
          <cell r="Q259"/>
          <cell r="R259"/>
        </row>
        <row r="260">
          <cell r="C260"/>
          <cell r="D260"/>
          <cell r="E260"/>
          <cell r="F260"/>
          <cell r="G260"/>
          <cell r="H260"/>
          <cell r="I260"/>
          <cell r="J260"/>
          <cell r="K260"/>
          <cell r="L260"/>
          <cell r="M260"/>
          <cell r="N260"/>
          <cell r="O260"/>
          <cell r="P260"/>
          <cell r="Q260"/>
          <cell r="R260"/>
        </row>
        <row r="261">
          <cell r="C261"/>
          <cell r="D261"/>
          <cell r="E261"/>
          <cell r="F261"/>
          <cell r="G261"/>
          <cell r="H261"/>
          <cell r="I261"/>
          <cell r="J261"/>
          <cell r="K261"/>
          <cell r="L261"/>
          <cell r="M261"/>
          <cell r="N261"/>
          <cell r="O261"/>
          <cell r="P261"/>
          <cell r="Q261"/>
          <cell r="R261"/>
        </row>
        <row r="262">
          <cell r="C262"/>
          <cell r="D262"/>
          <cell r="E262"/>
          <cell r="F262"/>
          <cell r="G262"/>
          <cell r="H262"/>
          <cell r="I262"/>
          <cell r="J262"/>
          <cell r="K262"/>
          <cell r="L262"/>
          <cell r="M262"/>
          <cell r="N262"/>
          <cell r="O262"/>
          <cell r="P262"/>
          <cell r="Q262"/>
          <cell r="R262"/>
        </row>
        <row r="263">
          <cell r="C263"/>
          <cell r="D263"/>
          <cell r="E263"/>
          <cell r="F263"/>
          <cell r="G263"/>
          <cell r="H263"/>
          <cell r="I263"/>
          <cell r="J263"/>
          <cell r="K263"/>
          <cell r="L263"/>
          <cell r="M263"/>
          <cell r="N263"/>
          <cell r="O263"/>
          <cell r="P263"/>
          <cell r="Q263"/>
          <cell r="R263"/>
        </row>
        <row r="264">
          <cell r="C264"/>
          <cell r="D264"/>
          <cell r="E264"/>
          <cell r="F264"/>
          <cell r="G264"/>
          <cell r="H264"/>
          <cell r="I264"/>
          <cell r="J264"/>
          <cell r="K264"/>
          <cell r="L264"/>
          <cell r="M264"/>
          <cell r="N264"/>
          <cell r="O264"/>
          <cell r="P264"/>
          <cell r="Q264"/>
          <cell r="R264"/>
        </row>
        <row r="265">
          <cell r="C265"/>
          <cell r="D265"/>
          <cell r="E265"/>
          <cell r="F265"/>
          <cell r="G265"/>
          <cell r="H265"/>
          <cell r="I265"/>
          <cell r="J265"/>
          <cell r="K265"/>
          <cell r="L265"/>
          <cell r="M265"/>
          <cell r="N265"/>
          <cell r="O265"/>
          <cell r="P265"/>
          <cell r="Q265"/>
          <cell r="R265"/>
        </row>
        <row r="266">
          <cell r="C266"/>
          <cell r="D266"/>
          <cell r="E266"/>
          <cell r="F266"/>
          <cell r="G266"/>
          <cell r="H266"/>
          <cell r="I266"/>
          <cell r="J266"/>
          <cell r="K266"/>
          <cell r="L266"/>
          <cell r="M266"/>
          <cell r="N266"/>
          <cell r="O266"/>
          <cell r="P266"/>
          <cell r="Q266"/>
          <cell r="R266"/>
        </row>
        <row r="267">
          <cell r="C267"/>
          <cell r="D267"/>
          <cell r="E267"/>
          <cell r="F267"/>
          <cell r="G267"/>
          <cell r="H267"/>
          <cell r="I267"/>
          <cell r="J267"/>
          <cell r="K267"/>
          <cell r="L267"/>
          <cell r="M267"/>
          <cell r="N267"/>
          <cell r="O267"/>
          <cell r="P267"/>
          <cell r="Q267"/>
          <cell r="R267"/>
        </row>
        <row r="268">
          <cell r="C268"/>
          <cell r="D268"/>
          <cell r="E268"/>
          <cell r="F268"/>
          <cell r="G268"/>
          <cell r="H268"/>
          <cell r="I268"/>
          <cell r="J268"/>
          <cell r="K268"/>
          <cell r="L268"/>
          <cell r="M268"/>
          <cell r="N268"/>
          <cell r="O268"/>
          <cell r="P268"/>
          <cell r="Q268"/>
          <cell r="R268"/>
        </row>
        <row r="269">
          <cell r="C269"/>
          <cell r="D269"/>
          <cell r="E269"/>
          <cell r="F269"/>
          <cell r="G269"/>
          <cell r="H269"/>
          <cell r="I269"/>
          <cell r="J269"/>
          <cell r="K269"/>
          <cell r="L269"/>
          <cell r="M269"/>
          <cell r="N269"/>
          <cell r="O269"/>
          <cell r="P269"/>
          <cell r="Q269"/>
          <cell r="R269"/>
        </row>
        <row r="270">
          <cell r="C270"/>
          <cell r="D270"/>
          <cell r="E270"/>
          <cell r="F270"/>
          <cell r="G270"/>
          <cell r="H270"/>
          <cell r="I270"/>
          <cell r="J270"/>
          <cell r="K270"/>
          <cell r="L270"/>
          <cell r="M270"/>
          <cell r="N270"/>
          <cell r="O270"/>
          <cell r="P270"/>
          <cell r="Q270"/>
          <cell r="R270"/>
        </row>
        <row r="271">
          <cell r="C271"/>
          <cell r="D271"/>
          <cell r="E271"/>
          <cell r="F271"/>
          <cell r="G271"/>
          <cell r="H271"/>
          <cell r="I271"/>
          <cell r="J271"/>
          <cell r="K271"/>
          <cell r="L271"/>
          <cell r="M271"/>
          <cell r="N271"/>
          <cell r="O271"/>
          <cell r="P271"/>
          <cell r="Q271"/>
          <cell r="R271"/>
        </row>
        <row r="274">
          <cell r="D274">
            <v>1984</v>
          </cell>
          <cell r="E274">
            <v>1985</v>
          </cell>
          <cell r="F274">
            <v>1986</v>
          </cell>
          <cell r="G274">
            <v>1987</v>
          </cell>
          <cell r="H274">
            <v>1988</v>
          </cell>
          <cell r="I274">
            <v>1989</v>
          </cell>
          <cell r="J274">
            <v>1990</v>
          </cell>
          <cell r="K274">
            <v>1991</v>
          </cell>
          <cell r="L274">
            <v>1992</v>
          </cell>
          <cell r="M274">
            <v>1993</v>
          </cell>
          <cell r="N274">
            <v>1994</v>
          </cell>
          <cell r="O274">
            <v>1995</v>
          </cell>
          <cell r="P274">
            <v>1996</v>
          </cell>
          <cell r="Q274">
            <v>1997</v>
          </cell>
          <cell r="R274">
            <v>1998</v>
          </cell>
        </row>
        <row r="275">
          <cell r="C275" t="str">
            <v>Phase II Findings</v>
          </cell>
          <cell r="D275">
            <v>3.5680000000000001</v>
          </cell>
          <cell r="E275">
            <v>0.26</v>
          </cell>
          <cell r="F275">
            <v>51.756999999999998</v>
          </cell>
          <cell r="G275">
            <v>172.99799999999999</v>
          </cell>
          <cell r="H275">
            <v>770.702</v>
          </cell>
          <cell r="I275">
            <v>331.81900000000002</v>
          </cell>
          <cell r="J275">
            <v>444.50184999999999</v>
          </cell>
          <cell r="K275">
            <v>642.75900000000001</v>
          </cell>
          <cell r="L275">
            <v>1134.4794500000003</v>
          </cell>
          <cell r="M275">
            <v>1773.8350500000001</v>
          </cell>
          <cell r="N275">
            <v>2746.4365499999999</v>
          </cell>
          <cell r="O275">
            <v>4339.7577677999998</v>
          </cell>
          <cell r="P275">
            <v>-6665.2151612052239</v>
          </cell>
          <cell r="Q275">
            <v>967.53822749999983</v>
          </cell>
          <cell r="R275">
            <v>-120.87149749999782</v>
          </cell>
        </row>
        <row r="276">
          <cell r="C276" t="str">
            <v xml:space="preserve">As Filed QRE </v>
          </cell>
          <cell r="D276" t="e">
            <v>#REF!</v>
          </cell>
          <cell r="E276" t="e">
            <v>#REF!</v>
          </cell>
          <cell r="F276" t="e">
            <v>#REF!</v>
          </cell>
          <cell r="G276" t="e">
            <v>#REF!</v>
          </cell>
          <cell r="H276" t="e">
            <v>#REF!</v>
          </cell>
          <cell r="I276" t="e">
            <v>#REF!</v>
          </cell>
          <cell r="J276" t="e">
            <v>#REF!</v>
          </cell>
          <cell r="K276" t="e">
            <v>#REF!</v>
          </cell>
          <cell r="L276" t="e">
            <v>#REF!</v>
          </cell>
          <cell r="M276" t="e">
            <v>#REF!</v>
          </cell>
          <cell r="N276" t="e">
            <v>#REF!</v>
          </cell>
          <cell r="O276" t="e">
            <v>#REF!</v>
          </cell>
          <cell r="P276" t="e">
            <v>#REF!</v>
          </cell>
          <cell r="Q276" t="e">
            <v>#REF!</v>
          </cell>
          <cell r="R276" t="e">
            <v>#REF!</v>
          </cell>
        </row>
        <row r="277">
          <cell r="C277"/>
          <cell r="D277"/>
          <cell r="E277"/>
          <cell r="F277"/>
          <cell r="G277"/>
          <cell r="H277"/>
          <cell r="I277"/>
          <cell r="J277"/>
          <cell r="K277"/>
          <cell r="L277"/>
          <cell r="M277"/>
          <cell r="N277"/>
          <cell r="O277"/>
          <cell r="P277"/>
          <cell r="Q277"/>
          <cell r="R277"/>
        </row>
        <row r="278">
          <cell r="C278"/>
          <cell r="D278"/>
          <cell r="E278"/>
          <cell r="F278"/>
          <cell r="G278"/>
          <cell r="H278"/>
          <cell r="I278"/>
          <cell r="J278"/>
          <cell r="K278"/>
          <cell r="L278"/>
          <cell r="M278"/>
          <cell r="N278"/>
          <cell r="O278"/>
          <cell r="P278"/>
          <cell r="Q278"/>
          <cell r="R278"/>
        </row>
        <row r="279">
          <cell r="C279"/>
          <cell r="D279"/>
          <cell r="E279"/>
          <cell r="F279"/>
          <cell r="G279"/>
          <cell r="H279"/>
          <cell r="I279"/>
          <cell r="J279"/>
          <cell r="K279"/>
          <cell r="L279"/>
          <cell r="M279"/>
          <cell r="N279"/>
          <cell r="O279"/>
          <cell r="P279"/>
          <cell r="Q279"/>
          <cell r="R279"/>
        </row>
        <row r="280">
          <cell r="C280"/>
          <cell r="D280"/>
          <cell r="E280"/>
          <cell r="F280"/>
          <cell r="G280"/>
          <cell r="H280"/>
          <cell r="I280"/>
          <cell r="J280"/>
          <cell r="K280"/>
          <cell r="L280"/>
          <cell r="M280"/>
          <cell r="N280"/>
          <cell r="O280"/>
          <cell r="P280"/>
          <cell r="Q280"/>
          <cell r="R280"/>
        </row>
        <row r="281">
          <cell r="C281"/>
          <cell r="D281"/>
          <cell r="E281"/>
          <cell r="F281"/>
          <cell r="G281"/>
          <cell r="H281"/>
          <cell r="I281"/>
          <cell r="J281"/>
          <cell r="K281"/>
          <cell r="L281"/>
          <cell r="M281"/>
          <cell r="N281"/>
          <cell r="O281"/>
          <cell r="P281"/>
          <cell r="Q281"/>
          <cell r="R281"/>
        </row>
        <row r="282">
          <cell r="C282"/>
          <cell r="D282"/>
          <cell r="E282"/>
          <cell r="F282"/>
          <cell r="G282"/>
          <cell r="H282"/>
          <cell r="I282"/>
          <cell r="J282"/>
          <cell r="K282"/>
          <cell r="L282"/>
          <cell r="M282"/>
          <cell r="N282"/>
          <cell r="O282"/>
          <cell r="P282"/>
          <cell r="Q282"/>
          <cell r="R282"/>
        </row>
        <row r="283">
          <cell r="C283"/>
          <cell r="D283"/>
          <cell r="E283"/>
          <cell r="F283"/>
          <cell r="G283"/>
          <cell r="H283"/>
          <cell r="I283"/>
          <cell r="J283"/>
          <cell r="K283"/>
          <cell r="L283"/>
          <cell r="M283"/>
          <cell r="N283"/>
          <cell r="O283"/>
          <cell r="P283"/>
          <cell r="Q283"/>
          <cell r="R283"/>
        </row>
        <row r="284">
          <cell r="C284"/>
          <cell r="D284"/>
          <cell r="E284"/>
          <cell r="F284"/>
          <cell r="G284"/>
          <cell r="H284"/>
          <cell r="I284"/>
          <cell r="J284"/>
          <cell r="K284"/>
          <cell r="L284"/>
          <cell r="M284"/>
          <cell r="N284"/>
          <cell r="O284"/>
          <cell r="P284"/>
          <cell r="Q284"/>
          <cell r="R284"/>
        </row>
        <row r="285">
          <cell r="C285"/>
          <cell r="D285"/>
          <cell r="E285"/>
          <cell r="F285"/>
          <cell r="G285"/>
          <cell r="H285"/>
          <cell r="I285"/>
          <cell r="J285"/>
          <cell r="K285"/>
          <cell r="L285"/>
          <cell r="M285"/>
          <cell r="N285"/>
          <cell r="O285"/>
          <cell r="P285"/>
          <cell r="Q285"/>
          <cell r="R285"/>
        </row>
        <row r="286">
          <cell r="C286"/>
          <cell r="D286"/>
          <cell r="E286"/>
          <cell r="F286"/>
          <cell r="G286"/>
          <cell r="H286"/>
          <cell r="I286"/>
          <cell r="J286"/>
          <cell r="K286"/>
          <cell r="L286"/>
          <cell r="M286"/>
          <cell r="N286"/>
          <cell r="O286"/>
          <cell r="P286"/>
          <cell r="Q286"/>
          <cell r="R286"/>
        </row>
        <row r="287">
          <cell r="C287"/>
          <cell r="D287"/>
          <cell r="E287"/>
          <cell r="F287"/>
          <cell r="G287"/>
          <cell r="H287"/>
          <cell r="I287"/>
          <cell r="J287"/>
          <cell r="K287"/>
          <cell r="L287"/>
          <cell r="M287"/>
          <cell r="N287"/>
          <cell r="O287"/>
          <cell r="P287"/>
          <cell r="Q287"/>
          <cell r="R287"/>
        </row>
        <row r="288">
          <cell r="C288"/>
          <cell r="D288"/>
          <cell r="E288"/>
          <cell r="F288"/>
          <cell r="G288"/>
          <cell r="H288"/>
          <cell r="I288"/>
          <cell r="J288"/>
          <cell r="K288"/>
          <cell r="L288"/>
          <cell r="M288"/>
          <cell r="N288"/>
          <cell r="O288"/>
          <cell r="P288"/>
          <cell r="Q288"/>
          <cell r="R288"/>
        </row>
        <row r="289">
          <cell r="C289"/>
          <cell r="D289"/>
          <cell r="E289"/>
          <cell r="F289"/>
          <cell r="G289"/>
          <cell r="H289"/>
          <cell r="I289"/>
          <cell r="J289"/>
          <cell r="K289"/>
          <cell r="L289"/>
          <cell r="M289"/>
          <cell r="N289"/>
          <cell r="O289"/>
          <cell r="P289"/>
          <cell r="Q289"/>
          <cell r="R289"/>
        </row>
        <row r="290">
          <cell r="C290"/>
          <cell r="D290"/>
          <cell r="E290"/>
          <cell r="F290"/>
          <cell r="G290"/>
          <cell r="H290"/>
          <cell r="I290"/>
          <cell r="J290"/>
          <cell r="K290"/>
          <cell r="L290"/>
          <cell r="M290"/>
          <cell r="N290"/>
          <cell r="O290"/>
          <cell r="P290"/>
          <cell r="Q290"/>
          <cell r="R290"/>
        </row>
        <row r="291">
          <cell r="C291"/>
          <cell r="D291"/>
          <cell r="E291"/>
          <cell r="F291"/>
          <cell r="G291"/>
          <cell r="H291"/>
          <cell r="I291"/>
          <cell r="J291"/>
          <cell r="K291"/>
          <cell r="L291"/>
          <cell r="M291"/>
          <cell r="N291"/>
          <cell r="O291"/>
          <cell r="P291"/>
          <cell r="Q291"/>
          <cell r="R291"/>
        </row>
        <row r="292">
          <cell r="C292"/>
          <cell r="D292"/>
          <cell r="E292"/>
          <cell r="F292"/>
          <cell r="G292"/>
          <cell r="H292"/>
          <cell r="I292"/>
          <cell r="J292"/>
          <cell r="K292"/>
          <cell r="L292"/>
          <cell r="M292"/>
          <cell r="N292"/>
          <cell r="O292"/>
          <cell r="P292"/>
          <cell r="Q292"/>
          <cell r="R292"/>
        </row>
        <row r="293">
          <cell r="C293"/>
          <cell r="D293"/>
          <cell r="E293"/>
          <cell r="F293"/>
          <cell r="G293"/>
          <cell r="H293"/>
          <cell r="I293"/>
          <cell r="J293"/>
          <cell r="K293"/>
          <cell r="L293"/>
          <cell r="M293"/>
          <cell r="N293"/>
          <cell r="O293"/>
          <cell r="P293"/>
          <cell r="Q293"/>
          <cell r="R293"/>
        </row>
        <row r="294">
          <cell r="C294"/>
          <cell r="D294"/>
          <cell r="E294"/>
          <cell r="F294"/>
          <cell r="G294"/>
          <cell r="H294"/>
          <cell r="I294"/>
          <cell r="J294"/>
          <cell r="K294"/>
          <cell r="L294"/>
          <cell r="M294"/>
          <cell r="N294"/>
          <cell r="O294"/>
          <cell r="P294"/>
          <cell r="Q294"/>
          <cell r="R294"/>
        </row>
        <row r="295">
          <cell r="C295"/>
          <cell r="D295"/>
          <cell r="E295"/>
          <cell r="F295"/>
          <cell r="G295"/>
          <cell r="H295"/>
          <cell r="I295"/>
          <cell r="J295"/>
          <cell r="K295"/>
          <cell r="L295"/>
          <cell r="M295"/>
          <cell r="N295"/>
          <cell r="O295"/>
          <cell r="P295"/>
          <cell r="Q295"/>
          <cell r="R295"/>
        </row>
        <row r="296">
          <cell r="C296"/>
          <cell r="D296"/>
          <cell r="E296"/>
          <cell r="F296"/>
          <cell r="G296"/>
          <cell r="H296"/>
          <cell r="I296"/>
          <cell r="J296"/>
          <cell r="K296"/>
          <cell r="L296"/>
          <cell r="M296"/>
          <cell r="N296"/>
          <cell r="O296"/>
          <cell r="P296"/>
          <cell r="Q296"/>
          <cell r="R296"/>
        </row>
        <row r="297">
          <cell r="C297"/>
          <cell r="D297"/>
          <cell r="E297"/>
          <cell r="F297"/>
          <cell r="G297"/>
          <cell r="H297"/>
          <cell r="I297"/>
          <cell r="J297"/>
          <cell r="K297"/>
          <cell r="L297"/>
          <cell r="M297"/>
          <cell r="N297"/>
          <cell r="O297"/>
          <cell r="P297"/>
          <cell r="Q297"/>
          <cell r="R297"/>
        </row>
        <row r="300">
          <cell r="D300">
            <v>1984</v>
          </cell>
          <cell r="E300">
            <v>1985</v>
          </cell>
          <cell r="F300">
            <v>1986</v>
          </cell>
          <cell r="G300">
            <v>1987</v>
          </cell>
          <cell r="H300">
            <v>1988</v>
          </cell>
          <cell r="I300">
            <v>1989</v>
          </cell>
          <cell r="J300">
            <v>1990</v>
          </cell>
          <cell r="K300">
            <v>1991</v>
          </cell>
          <cell r="L300">
            <v>1992</v>
          </cell>
          <cell r="M300">
            <v>1993</v>
          </cell>
          <cell r="N300">
            <v>1994</v>
          </cell>
          <cell r="O300">
            <v>1995</v>
          </cell>
          <cell r="P300">
            <v>1996</v>
          </cell>
          <cell r="Q300">
            <v>1997</v>
          </cell>
          <cell r="R300">
            <v>1998</v>
          </cell>
        </row>
        <row r="301">
          <cell r="C301" t="str">
            <v>Phase II Findings</v>
          </cell>
          <cell r="D301">
            <v>20.127000000000002</v>
          </cell>
          <cell r="E301">
            <v>63.137999999999998</v>
          </cell>
          <cell r="F301">
            <v>500.40100000000001</v>
          </cell>
          <cell r="G301">
            <v>1329.4160000000002</v>
          </cell>
          <cell r="H301">
            <v>3373.9920000000002</v>
          </cell>
          <cell r="I301">
            <v>3881.9590000000003</v>
          </cell>
          <cell r="J301">
            <v>3454.2438520000001</v>
          </cell>
          <cell r="K301">
            <v>5569.7417879999994</v>
          </cell>
          <cell r="L301">
            <v>7927.8460099999993</v>
          </cell>
          <cell r="M301">
            <v>11613.530586999999</v>
          </cell>
          <cell r="N301">
            <v>19707.135006999997</v>
          </cell>
          <cell r="O301">
            <v>35935.120957799998</v>
          </cell>
          <cell r="P301">
            <v>25478.958238794774</v>
          </cell>
          <cell r="Q301">
            <v>58157.347527499995</v>
          </cell>
          <cell r="R301">
            <v>56448.709302499999</v>
          </cell>
        </row>
        <row r="302">
          <cell r="C302" t="str">
            <v xml:space="preserve">As Filed QRE </v>
          </cell>
          <cell r="D302" t="e">
            <v>#REF!</v>
          </cell>
          <cell r="E302" t="e">
            <v>#REF!</v>
          </cell>
          <cell r="F302" t="e">
            <v>#REF!</v>
          </cell>
          <cell r="G302" t="e">
            <v>#REF!</v>
          </cell>
          <cell r="H302" t="e">
            <v>#REF!</v>
          </cell>
          <cell r="I302" t="e">
            <v>#REF!</v>
          </cell>
          <cell r="J302" t="e">
            <v>#REF!</v>
          </cell>
          <cell r="K302" t="e">
            <v>#REF!</v>
          </cell>
          <cell r="L302" t="e">
            <v>#REF!</v>
          </cell>
          <cell r="M302" t="e">
            <v>#REF!</v>
          </cell>
          <cell r="N302" t="e">
            <v>#REF!</v>
          </cell>
          <cell r="O302" t="e">
            <v>#REF!</v>
          </cell>
          <cell r="P302" t="e">
            <v>#REF!</v>
          </cell>
          <cell r="Q302" t="e">
            <v>#REF!</v>
          </cell>
          <cell r="R302" t="e">
            <v>#REF!</v>
          </cell>
        </row>
        <row r="303">
          <cell r="C303"/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</row>
        <row r="304">
          <cell r="C304"/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</row>
        <row r="305">
          <cell r="C305"/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</row>
        <row r="306">
          <cell r="C306"/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</row>
        <row r="307">
          <cell r="C307"/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</row>
        <row r="308">
          <cell r="C308"/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</row>
        <row r="309">
          <cell r="C309"/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</row>
        <row r="310">
          <cell r="C310"/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</row>
        <row r="311">
          <cell r="C311"/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</row>
        <row r="312">
          <cell r="C312"/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</row>
        <row r="313">
          <cell r="C313"/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</row>
        <row r="314">
          <cell r="C314"/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</row>
        <row r="315">
          <cell r="C315"/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</row>
        <row r="316">
          <cell r="C316"/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</row>
        <row r="317">
          <cell r="C317"/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</row>
        <row r="318">
          <cell r="C318"/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</row>
        <row r="319">
          <cell r="C319"/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</row>
        <row r="320">
          <cell r="C320"/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</row>
        <row r="321">
          <cell r="C321"/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</row>
        <row r="322">
          <cell r="C322"/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</row>
        <row r="323">
          <cell r="C323"/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</row>
        <row r="327">
          <cell r="D327" t="str">
            <v>Gross</v>
          </cell>
          <cell r="E327" t="str">
            <v>Reduced</v>
          </cell>
        </row>
        <row r="328">
          <cell r="C328" t="str">
            <v>1987</v>
          </cell>
          <cell r="D328" t="e">
            <v>#REF!</v>
          </cell>
          <cell r="E328" t="e">
            <v>#REF!</v>
          </cell>
        </row>
        <row r="329">
          <cell r="C329" t="str">
            <v>1988</v>
          </cell>
          <cell r="D329" t="e">
            <v>#REF!</v>
          </cell>
          <cell r="E329" t="e">
            <v>#REF!</v>
          </cell>
        </row>
        <row r="330">
          <cell r="C330" t="str">
            <v>1989</v>
          </cell>
          <cell r="D330" t="e">
            <v>#REF!</v>
          </cell>
          <cell r="E330" t="e">
            <v>#REF!</v>
          </cell>
        </row>
        <row r="331">
          <cell r="C331" t="str">
            <v>1990</v>
          </cell>
          <cell r="D331" t="e">
            <v>#REF!</v>
          </cell>
          <cell r="E331" t="e">
            <v>#REF!</v>
          </cell>
        </row>
        <row r="332">
          <cell r="C332" t="str">
            <v>1991</v>
          </cell>
          <cell r="D332">
            <v>222.78967152000001</v>
          </cell>
          <cell r="E332">
            <v>202.07023206864</v>
          </cell>
        </row>
        <row r="333">
          <cell r="C333" t="str">
            <v>1992</v>
          </cell>
          <cell r="D333">
            <v>317.11384039999996</v>
          </cell>
          <cell r="E333">
            <v>287.62225324280001</v>
          </cell>
        </row>
        <row r="334">
          <cell r="C334" t="str">
            <v>1993</v>
          </cell>
          <cell r="D334">
            <v>464.54122348000004</v>
          </cell>
          <cell r="E334">
            <v>421.33888969636007</v>
          </cell>
        </row>
        <row r="335">
          <cell r="C335" t="str">
            <v>1994</v>
          </cell>
          <cell r="D335">
            <v>788.2854002800002</v>
          </cell>
          <cell r="E335">
            <v>714.97485805396013</v>
          </cell>
        </row>
        <row r="336">
          <cell r="C336" t="str">
            <v>1995</v>
          </cell>
          <cell r="D336">
            <v>1437.404838312</v>
          </cell>
          <cell r="E336">
            <v>1303.7261883489841</v>
          </cell>
        </row>
        <row r="337">
          <cell r="C337" t="str">
            <v>1996</v>
          </cell>
          <cell r="D337">
            <v>1019.158329551791</v>
          </cell>
          <cell r="E337">
            <v>924.37660490347446</v>
          </cell>
        </row>
        <row r="338">
          <cell r="C338" t="str">
            <v>1997</v>
          </cell>
          <cell r="D338">
            <v>3198.6541140125</v>
          </cell>
          <cell r="E338">
            <v>2915.8930903337946</v>
          </cell>
        </row>
        <row r="339">
          <cell r="C339" t="str">
            <v>1998</v>
          </cell>
          <cell r="D339">
            <v>3104.6790116375</v>
          </cell>
          <cell r="E339">
            <v>2830.2253870087447</v>
          </cell>
        </row>
        <row r="340">
          <cell r="C340">
            <v>0</v>
          </cell>
          <cell r="D340">
            <v>0</v>
          </cell>
          <cell r="E340">
            <v>0</v>
          </cell>
        </row>
        <row r="341">
          <cell r="C341" t="str">
            <v xml:space="preserve">     Total</v>
          </cell>
          <cell r="D341">
            <v>10690.796183273791</v>
          </cell>
          <cell r="E341">
            <v>9725.5474706073182</v>
          </cell>
        </row>
        <row r="342">
          <cell r="C342">
            <v>0</v>
          </cell>
          <cell r="D342">
            <v>0</v>
          </cell>
          <cell r="E342">
            <v>0</v>
          </cell>
        </row>
        <row r="365">
          <cell r="E365">
            <v>11922041.689999999</v>
          </cell>
          <cell r="F365">
            <v>12694779.039999999</v>
          </cell>
          <cell r="G365">
            <v>13456633.050000001</v>
          </cell>
          <cell r="H365">
            <v>14229370.390000001</v>
          </cell>
          <cell r="I365">
            <v>14996093.039999999</v>
          </cell>
          <cell r="J365">
            <v>15763961.75</v>
          </cell>
          <cell r="K365">
            <v>16653546.26</v>
          </cell>
          <cell r="L365">
            <v>18240241.77</v>
          </cell>
          <cell r="M365">
            <v>19826937.280000001</v>
          </cell>
          <cell r="N365">
            <v>21376616.960000001</v>
          </cell>
          <cell r="O365">
            <v>22870053.800000001</v>
          </cell>
        </row>
        <row r="366">
          <cell r="E366">
            <v>19227246.629999999</v>
          </cell>
          <cell r="F366">
            <v>18774650.579999998</v>
          </cell>
          <cell r="G366">
            <v>18140893.010000002</v>
          </cell>
          <cell r="H366">
            <v>17402761.41</v>
          </cell>
          <cell r="I366">
            <v>16582788.550000001</v>
          </cell>
          <cell r="J366">
            <v>15763961.75</v>
          </cell>
          <cell r="K366">
            <v>15066850.75</v>
          </cell>
          <cell r="L366">
            <v>15066850.75</v>
          </cell>
          <cell r="M366">
            <v>15066850.75</v>
          </cell>
          <cell r="N366">
            <v>15066850.75</v>
          </cell>
          <cell r="O366">
            <v>15066850.75</v>
          </cell>
        </row>
        <row r="367">
          <cell r="E367">
            <v>7727806.9100000001</v>
          </cell>
          <cell r="F367">
            <v>9417179.7200000007</v>
          </cell>
          <cell r="G367">
            <v>11003875.23</v>
          </cell>
          <cell r="H367">
            <v>12590570.74</v>
          </cell>
          <cell r="I367">
            <v>14177266.25</v>
          </cell>
          <cell r="J367">
            <v>15763961.75</v>
          </cell>
          <cell r="K367">
            <v>17350657.260000002</v>
          </cell>
          <cell r="L367">
            <v>18937352.77</v>
          </cell>
          <cell r="M367">
            <v>20478366.350000001</v>
          </cell>
          <cell r="N367">
            <v>21960539.43</v>
          </cell>
          <cell r="O367">
            <v>23371872.800000001</v>
          </cell>
        </row>
        <row r="372">
          <cell r="E372">
            <v>-0.25</v>
          </cell>
          <cell r="F372">
            <v>-0.2</v>
          </cell>
          <cell r="G372">
            <v>-0.15</v>
          </cell>
          <cell r="H372">
            <v>-0.1</v>
          </cell>
          <cell r="I372">
            <v>-0.05</v>
          </cell>
          <cell r="J372">
            <v>0</v>
          </cell>
          <cell r="K372">
            <v>0.05</v>
          </cell>
          <cell r="L372">
            <v>0.1</v>
          </cell>
          <cell r="M372">
            <v>0.15</v>
          </cell>
          <cell r="N372">
            <v>0.2</v>
          </cell>
          <cell r="O372">
            <v>0.25</v>
          </cell>
        </row>
        <row r="373">
          <cell r="D373" t="str">
            <v>All QREs</v>
          </cell>
          <cell r="E373">
            <v>11922.04169</v>
          </cell>
          <cell r="F373">
            <v>12694.779039999999</v>
          </cell>
          <cell r="G373">
            <v>13456.63305</v>
          </cell>
          <cell r="H373">
            <v>14229.37039</v>
          </cell>
          <cell r="I373">
            <v>14996.09304</v>
          </cell>
          <cell r="J373">
            <v>15763.96175</v>
          </cell>
          <cell r="K373">
            <v>16653.546259999999</v>
          </cell>
          <cell r="L373">
            <v>18240.241770000001</v>
          </cell>
          <cell r="M373">
            <v>19826.937280000002</v>
          </cell>
          <cell r="N373">
            <v>21376.616959999999</v>
          </cell>
          <cell r="O373">
            <v>22870.053800000002</v>
          </cell>
        </row>
        <row r="374">
          <cell r="D374" t="str">
            <v>Base Year QREs</v>
          </cell>
          <cell r="E374">
            <v>19227.246629999998</v>
          </cell>
          <cell r="F374">
            <v>18774.650579999998</v>
          </cell>
          <cell r="G374">
            <v>18140.893010000003</v>
          </cell>
          <cell r="H374">
            <v>17402.761409999999</v>
          </cell>
          <cell r="I374">
            <v>16582.788550000001</v>
          </cell>
          <cell r="J374">
            <v>15763.96175</v>
          </cell>
          <cell r="K374">
            <v>15066.85075</v>
          </cell>
          <cell r="L374">
            <v>15066.85075</v>
          </cell>
          <cell r="M374">
            <v>15066.85075</v>
          </cell>
          <cell r="N374">
            <v>15066.85075</v>
          </cell>
          <cell r="O374">
            <v>15066.85075</v>
          </cell>
        </row>
        <row r="375">
          <cell r="D375" t="str">
            <v>Cur. Year QREs</v>
          </cell>
          <cell r="E375">
            <v>7727.8069100000002</v>
          </cell>
          <cell r="F375">
            <v>9417.1797200000001</v>
          </cell>
          <cell r="G375">
            <v>11003.87523</v>
          </cell>
          <cell r="H375">
            <v>12590.570740000001</v>
          </cell>
          <cell r="I375">
            <v>14177.266250000001</v>
          </cell>
          <cell r="J375">
            <v>15763.96175</v>
          </cell>
          <cell r="K375">
            <v>17350.65726</v>
          </cell>
          <cell r="L375">
            <v>18937.352770000001</v>
          </cell>
          <cell r="M375">
            <v>20478.36635</v>
          </cell>
          <cell r="N375">
            <v>21960.539430000001</v>
          </cell>
          <cell r="O375">
            <v>23371.872800000001</v>
          </cell>
        </row>
      </sheetData>
      <sheetData sheetId="12" refreshError="1">
        <row r="8">
          <cell r="B8"/>
        </row>
        <row r="9">
          <cell r="B9"/>
          <cell r="E9">
            <v>11087</v>
          </cell>
          <cell r="F9">
            <v>11087</v>
          </cell>
          <cell r="I9">
            <v>50015</v>
          </cell>
          <cell r="J9">
            <v>50015</v>
          </cell>
          <cell r="M9">
            <v>323590</v>
          </cell>
          <cell r="N9">
            <v>323590</v>
          </cell>
          <cell r="Q9">
            <v>899647</v>
          </cell>
          <cell r="R9">
            <v>899647</v>
          </cell>
          <cell r="U9">
            <v>2067727</v>
          </cell>
          <cell r="V9">
            <v>2067727</v>
          </cell>
          <cell r="W9">
            <v>0</v>
          </cell>
          <cell r="X9">
            <v>0</v>
          </cell>
          <cell r="Y9">
            <v>3352066</v>
          </cell>
          <cell r="Z9">
            <v>3352066</v>
          </cell>
          <cell r="AA9">
            <v>0</v>
          </cell>
          <cell r="AB9">
            <v>1</v>
          </cell>
          <cell r="AD9">
            <v>2741619</v>
          </cell>
          <cell r="AE9">
            <v>2741619</v>
          </cell>
          <cell r="AF9">
            <v>1</v>
          </cell>
          <cell r="AH9">
            <v>2364968.878</v>
          </cell>
          <cell r="AI9">
            <v>2299558.0019999999</v>
          </cell>
          <cell r="AJ9">
            <v>1</v>
          </cell>
          <cell r="AL9">
            <v>3426032.9020000002</v>
          </cell>
          <cell r="AM9">
            <v>3542463.7879999997</v>
          </cell>
          <cell r="AN9">
            <v>1</v>
          </cell>
          <cell r="AP9">
            <v>4621040.9079999998</v>
          </cell>
          <cell r="AQ9">
            <v>5126210.5599999996</v>
          </cell>
          <cell r="AR9">
            <v>1</v>
          </cell>
          <cell r="AT9">
            <v>7353704.7200000007</v>
          </cell>
          <cell r="AU9">
            <v>7134127.5369999995</v>
          </cell>
          <cell r="AV9">
            <v>1</v>
          </cell>
          <cell r="AX9">
            <v>9134388.2870000005</v>
          </cell>
          <cell r="AY9">
            <v>9257454.4570000004</v>
          </cell>
          <cell r="AZ9">
            <v>1</v>
          </cell>
          <cell r="BB9">
            <v>17761685.096699994</v>
          </cell>
          <cell r="BC9">
            <v>17917881</v>
          </cell>
          <cell r="BF9">
            <v>29422280.493699975</v>
          </cell>
          <cell r="BG9">
            <v>29938649</v>
          </cell>
          <cell r="BJ9">
            <v>50557924.736599997</v>
          </cell>
          <cell r="BK9">
            <v>50930323</v>
          </cell>
          <cell r="BN9">
            <v>49233100.005600043</v>
          </cell>
          <cell r="BO9">
            <v>49405882</v>
          </cell>
          <cell r="BP9">
            <v>7</v>
          </cell>
          <cell r="BQ9">
            <v>0</v>
          </cell>
          <cell r="BR9">
            <v>176616745.02760002</v>
          </cell>
          <cell r="BS9">
            <v>178294168.34399998</v>
          </cell>
          <cell r="BT9">
            <v>1677423.3163999617</v>
          </cell>
        </row>
        <row r="10">
          <cell r="B10"/>
          <cell r="E10">
            <v>5472</v>
          </cell>
          <cell r="F10">
            <v>5472</v>
          </cell>
          <cell r="I10">
            <v>12863</v>
          </cell>
          <cell r="J10">
            <v>12863</v>
          </cell>
          <cell r="M10">
            <v>125054</v>
          </cell>
          <cell r="N10">
            <v>125054</v>
          </cell>
          <cell r="Q10">
            <v>256771</v>
          </cell>
          <cell r="R10">
            <v>256771</v>
          </cell>
          <cell r="U10">
            <v>535563</v>
          </cell>
          <cell r="V10">
            <v>535563</v>
          </cell>
          <cell r="W10">
            <v>0</v>
          </cell>
          <cell r="X10">
            <v>0</v>
          </cell>
          <cell r="Y10">
            <v>935723</v>
          </cell>
          <cell r="Z10">
            <v>935723</v>
          </cell>
          <cell r="AA10">
            <v>0</v>
          </cell>
          <cell r="AD10">
            <v>808521</v>
          </cell>
          <cell r="AE10">
            <v>808521</v>
          </cell>
          <cell r="AH10">
            <v>714239</v>
          </cell>
          <cell r="AI10">
            <v>710184</v>
          </cell>
          <cell r="AL10">
            <v>1397172</v>
          </cell>
          <cell r="AM10">
            <v>1384519</v>
          </cell>
          <cell r="AP10">
            <v>1683615</v>
          </cell>
          <cell r="AQ10">
            <v>1667156</v>
          </cell>
          <cell r="AT10">
            <v>2726531</v>
          </cell>
          <cell r="AU10">
            <v>2705568</v>
          </cell>
          <cell r="AX10">
            <v>7723880</v>
          </cell>
          <cell r="AY10">
            <v>7703244</v>
          </cell>
          <cell r="BB10">
            <v>24610983</v>
          </cell>
          <cell r="BC10">
            <v>13677482.189999999</v>
          </cell>
          <cell r="BF10">
            <v>2232470.7999999998</v>
          </cell>
          <cell r="BG10">
            <v>2205524.4</v>
          </cell>
          <cell r="BJ10">
            <v>8856932.6999999993</v>
          </cell>
          <cell r="BK10">
            <v>6259486.3000000007</v>
          </cell>
          <cell r="BN10">
            <v>13919145</v>
          </cell>
          <cell r="BO10">
            <v>7163698.8000000007</v>
          </cell>
          <cell r="BP10">
            <v>0</v>
          </cell>
          <cell r="BQ10">
            <v>0</v>
          </cell>
          <cell r="BR10">
            <v>64673489.5</v>
          </cell>
          <cell r="BS10">
            <v>44285383.689999998</v>
          </cell>
          <cell r="BT10">
            <v>-20388105.810000002</v>
          </cell>
        </row>
        <row r="11">
          <cell r="B11"/>
          <cell r="E11">
            <v>3568</v>
          </cell>
          <cell r="F11">
            <v>3568</v>
          </cell>
          <cell r="I11">
            <v>260</v>
          </cell>
          <cell r="J11">
            <v>260</v>
          </cell>
          <cell r="M11">
            <v>51757</v>
          </cell>
          <cell r="N11">
            <v>51757</v>
          </cell>
          <cell r="Q11">
            <v>172998</v>
          </cell>
          <cell r="R11">
            <v>172998</v>
          </cell>
          <cell r="U11">
            <v>770702</v>
          </cell>
          <cell r="V11">
            <v>770702</v>
          </cell>
          <cell r="W11">
            <v>0</v>
          </cell>
          <cell r="X11">
            <v>0</v>
          </cell>
          <cell r="Y11">
            <v>999285</v>
          </cell>
          <cell r="Z11">
            <v>999285</v>
          </cell>
          <cell r="AA11">
            <v>0</v>
          </cell>
          <cell r="AD11">
            <v>331819</v>
          </cell>
          <cell r="AE11">
            <v>331819</v>
          </cell>
          <cell r="AH11">
            <v>363805.65</v>
          </cell>
          <cell r="AI11">
            <v>444501.85</v>
          </cell>
          <cell r="AL11">
            <v>464111.05</v>
          </cell>
          <cell r="AM11">
            <v>642759</v>
          </cell>
          <cell r="AP11">
            <v>759462.6</v>
          </cell>
          <cell r="AQ11">
            <v>1134479.4500000002</v>
          </cell>
          <cell r="AT11">
            <v>1383510.05</v>
          </cell>
          <cell r="AU11">
            <v>1773835.05</v>
          </cell>
          <cell r="AX11">
            <v>2427295</v>
          </cell>
          <cell r="AY11">
            <v>2746436.55</v>
          </cell>
          <cell r="BB11">
            <v>5976756.6377999987</v>
          </cell>
          <cell r="BC11">
            <v>4339757.7677999996</v>
          </cell>
          <cell r="BF11">
            <v>6597332.0587947778</v>
          </cell>
          <cell r="BG11">
            <v>-6665215.1612052238</v>
          </cell>
          <cell r="BJ11">
            <v>11089853.157499999</v>
          </cell>
          <cell r="BK11">
            <v>967538.2274999998</v>
          </cell>
          <cell r="BN11">
            <v>10010021.612500001</v>
          </cell>
          <cell r="BO11">
            <v>-120871.49749999781</v>
          </cell>
          <cell r="BP11">
            <v>0</v>
          </cell>
          <cell r="BQ11">
            <v>0</v>
          </cell>
          <cell r="BR11">
            <v>39403966.816594779</v>
          </cell>
          <cell r="BS11">
            <v>5595040.2365947785</v>
          </cell>
          <cell r="BT11">
            <v>-33808926.579999998</v>
          </cell>
        </row>
        <row r="12">
          <cell r="B12"/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</row>
        <row r="13">
          <cell r="B13"/>
          <cell r="C13">
            <v>0</v>
          </cell>
          <cell r="D13">
            <v>0</v>
          </cell>
          <cell r="E13">
            <v>20127</v>
          </cell>
          <cell r="F13">
            <v>20127</v>
          </cell>
          <cell r="G13">
            <v>0</v>
          </cell>
          <cell r="H13">
            <v>0</v>
          </cell>
          <cell r="I13">
            <v>63138</v>
          </cell>
          <cell r="J13">
            <v>63138</v>
          </cell>
          <cell r="K13">
            <v>0</v>
          </cell>
          <cell r="L13">
            <v>0</v>
          </cell>
          <cell r="M13">
            <v>500401</v>
          </cell>
          <cell r="N13">
            <v>500401</v>
          </cell>
          <cell r="O13">
            <v>0</v>
          </cell>
          <cell r="P13">
            <v>0</v>
          </cell>
          <cell r="Q13">
            <v>1329416</v>
          </cell>
          <cell r="R13">
            <v>1329416</v>
          </cell>
          <cell r="S13">
            <v>0</v>
          </cell>
          <cell r="T13">
            <v>0</v>
          </cell>
          <cell r="U13">
            <v>3373992</v>
          </cell>
          <cell r="V13">
            <v>3373992</v>
          </cell>
          <cell r="W13">
            <v>0</v>
          </cell>
          <cell r="X13">
            <v>0</v>
          </cell>
          <cell r="Y13">
            <v>5287074</v>
          </cell>
          <cell r="Z13">
            <v>5287074</v>
          </cell>
          <cell r="AA13">
            <v>0</v>
          </cell>
          <cell r="AB13">
            <v>1</v>
          </cell>
          <cell r="AC13">
            <v>0</v>
          </cell>
          <cell r="AD13">
            <v>3881959</v>
          </cell>
          <cell r="AE13">
            <v>3881959</v>
          </cell>
          <cell r="AF13">
            <v>1</v>
          </cell>
          <cell r="AG13">
            <v>0</v>
          </cell>
          <cell r="AH13">
            <v>3443013.5279999999</v>
          </cell>
          <cell r="AI13">
            <v>3454243.852</v>
          </cell>
          <cell r="AJ13">
            <v>1</v>
          </cell>
          <cell r="AK13">
            <v>0</v>
          </cell>
          <cell r="AL13">
            <v>5287315.9520000005</v>
          </cell>
          <cell r="AM13">
            <v>5569741.7879999997</v>
          </cell>
          <cell r="AN13">
            <v>1</v>
          </cell>
          <cell r="AO13">
            <v>0</v>
          </cell>
          <cell r="AP13">
            <v>7064118.5079999994</v>
          </cell>
          <cell r="AQ13">
            <v>7927846.0099999998</v>
          </cell>
          <cell r="AR13">
            <v>1</v>
          </cell>
          <cell r="AS13">
            <v>0</v>
          </cell>
          <cell r="AT13">
            <v>11463745.770000001</v>
          </cell>
          <cell r="AU13">
            <v>11613530.587000001</v>
          </cell>
          <cell r="AV13">
            <v>1</v>
          </cell>
          <cell r="AW13">
            <v>0</v>
          </cell>
          <cell r="AX13">
            <v>19285563.287</v>
          </cell>
          <cell r="AY13">
            <v>19707135.007000003</v>
          </cell>
          <cell r="AZ13">
            <v>1</v>
          </cell>
          <cell r="BA13">
            <v>0</v>
          </cell>
          <cell r="BB13">
            <v>48349424.734499998</v>
          </cell>
          <cell r="BC13">
            <v>35935120.957800001</v>
          </cell>
          <cell r="BD13">
            <v>0</v>
          </cell>
          <cell r="BE13">
            <v>0</v>
          </cell>
          <cell r="BF13">
            <v>38252083.352494754</v>
          </cell>
          <cell r="BG13">
            <v>25478958.238794774</v>
          </cell>
          <cell r="BH13">
            <v>0</v>
          </cell>
          <cell r="BI13">
            <v>0</v>
          </cell>
          <cell r="BJ13">
            <v>70504710.594099998</v>
          </cell>
          <cell r="BK13">
            <v>58157347.527499996</v>
          </cell>
          <cell r="BL13">
            <v>0</v>
          </cell>
          <cell r="BM13">
            <v>0</v>
          </cell>
          <cell r="BN13">
            <v>73162266.618100047</v>
          </cell>
          <cell r="BO13">
            <v>56448709.302500002</v>
          </cell>
          <cell r="BP13">
            <v>7</v>
          </cell>
          <cell r="BQ13">
            <v>0</v>
          </cell>
          <cell r="BR13">
            <v>280694201.34419477</v>
          </cell>
          <cell r="BS13">
            <v>228174592.27059475</v>
          </cell>
          <cell r="BT13">
            <v>-52519609.073600039</v>
          </cell>
        </row>
        <row r="14">
          <cell r="B14"/>
        </row>
        <row r="15">
          <cell r="B15" t="e">
            <v>#REF!</v>
          </cell>
        </row>
        <row r="16">
          <cell r="B16" t="e">
            <v>#REF!</v>
          </cell>
          <cell r="E16">
            <v>11087</v>
          </cell>
          <cell r="F16" t="e">
            <v>#REF!</v>
          </cell>
          <cell r="I16">
            <v>50015</v>
          </cell>
          <cell r="J16" t="e">
            <v>#REF!</v>
          </cell>
          <cell r="M16">
            <v>323590</v>
          </cell>
          <cell r="N16" t="e">
            <v>#REF!</v>
          </cell>
          <cell r="Q16">
            <v>899647</v>
          </cell>
          <cell r="R16" t="e">
            <v>#REF!</v>
          </cell>
          <cell r="U16">
            <v>2067727</v>
          </cell>
          <cell r="V16" t="e">
            <v>#REF!</v>
          </cell>
          <cell r="W16">
            <v>0</v>
          </cell>
          <cell r="X16">
            <v>0</v>
          </cell>
          <cell r="Y16">
            <v>3352066</v>
          </cell>
          <cell r="Z16" t="e">
            <v>#REF!</v>
          </cell>
          <cell r="AA16" t="e">
            <v>#REF!</v>
          </cell>
          <cell r="AD16">
            <v>2741619</v>
          </cell>
          <cell r="AE16" t="e">
            <v>#REF!</v>
          </cell>
          <cell r="AH16">
            <v>2809588</v>
          </cell>
          <cell r="AI16" t="e">
            <v>#REF!</v>
          </cell>
          <cell r="AL16">
            <v>4377397</v>
          </cell>
          <cell r="AM16" t="e">
            <v>#REF!</v>
          </cell>
          <cell r="AP16">
            <v>4698444</v>
          </cell>
          <cell r="AQ16" t="e">
            <v>#REF!</v>
          </cell>
          <cell r="AT16">
            <v>4319648</v>
          </cell>
          <cell r="AU16" t="e">
            <v>#REF!</v>
          </cell>
          <cell r="AX16">
            <v>5302315</v>
          </cell>
          <cell r="AY16" t="e">
            <v>#REF!</v>
          </cell>
          <cell r="BB16">
            <v>9586719</v>
          </cell>
          <cell r="BC16" t="e">
            <v>#REF!</v>
          </cell>
          <cell r="BF16">
            <v>13854048</v>
          </cell>
          <cell r="BG16" t="e">
            <v>#REF!</v>
          </cell>
          <cell r="BJ16">
            <v>33436790</v>
          </cell>
          <cell r="BK16" t="e">
            <v>#REF!</v>
          </cell>
          <cell r="BN16">
            <v>51732983</v>
          </cell>
          <cell r="BO16" t="e">
            <v>#REF!</v>
          </cell>
          <cell r="BP16">
            <v>0</v>
          </cell>
          <cell r="BQ16">
            <v>0</v>
          </cell>
          <cell r="BR16">
            <v>132859551</v>
          </cell>
          <cell r="BS16" t="e">
            <v>#REF!</v>
          </cell>
          <cell r="BT16" t="e">
            <v>#REF!</v>
          </cell>
        </row>
        <row r="17">
          <cell r="B17" t="e">
            <v>#REF!</v>
          </cell>
          <cell r="E17">
            <v>5472</v>
          </cell>
          <cell r="F17" t="e">
            <v>#REF!</v>
          </cell>
          <cell r="I17">
            <v>12863</v>
          </cell>
          <cell r="J17" t="e">
            <v>#REF!</v>
          </cell>
          <cell r="M17">
            <v>125054</v>
          </cell>
          <cell r="N17" t="e">
            <v>#REF!</v>
          </cell>
          <cell r="Q17">
            <v>256771</v>
          </cell>
          <cell r="R17" t="e">
            <v>#REF!</v>
          </cell>
          <cell r="U17">
            <v>535563</v>
          </cell>
          <cell r="V17" t="e">
            <v>#REF!</v>
          </cell>
          <cell r="W17">
            <v>0</v>
          </cell>
          <cell r="X17">
            <v>0</v>
          </cell>
          <cell r="Y17">
            <v>935723</v>
          </cell>
          <cell r="Z17" t="e">
            <v>#REF!</v>
          </cell>
          <cell r="AA17" t="e">
            <v>#REF!</v>
          </cell>
          <cell r="AD17">
            <v>808521</v>
          </cell>
          <cell r="AE17" t="e">
            <v>#REF!</v>
          </cell>
          <cell r="AH17">
            <v>827290</v>
          </cell>
          <cell r="AI17" t="e">
            <v>#REF!</v>
          </cell>
          <cell r="AL17">
            <v>1405466</v>
          </cell>
          <cell r="AM17" t="e">
            <v>#REF!</v>
          </cell>
          <cell r="AP17">
            <v>1631124</v>
          </cell>
          <cell r="AQ17" t="e">
            <v>#REF!</v>
          </cell>
          <cell r="AT17">
            <v>1155473</v>
          </cell>
          <cell r="AU17" t="e">
            <v>#REF!</v>
          </cell>
          <cell r="AX17">
            <v>1311723</v>
          </cell>
          <cell r="AY17" t="e">
            <v>#REF!</v>
          </cell>
          <cell r="BB17">
            <v>1387634</v>
          </cell>
          <cell r="BC17" t="e">
            <v>#REF!</v>
          </cell>
          <cell r="BF17">
            <v>3296508</v>
          </cell>
          <cell r="BG17" t="e">
            <v>#REF!</v>
          </cell>
          <cell r="BJ17">
            <v>6844107</v>
          </cell>
          <cell r="BK17" t="e">
            <v>#REF!</v>
          </cell>
          <cell r="BN17">
            <v>6280173</v>
          </cell>
          <cell r="BO17" t="e">
            <v>#REF!</v>
          </cell>
          <cell r="BP17">
            <v>0</v>
          </cell>
          <cell r="BQ17">
            <v>0</v>
          </cell>
          <cell r="BR17">
            <v>24948019</v>
          </cell>
          <cell r="BS17" t="e">
            <v>#REF!</v>
          </cell>
          <cell r="BT17" t="e">
            <v>#REF!</v>
          </cell>
        </row>
        <row r="18">
          <cell r="B18" t="e">
            <v>#REF!</v>
          </cell>
          <cell r="E18">
            <v>3568</v>
          </cell>
          <cell r="F18" t="e">
            <v>#REF!</v>
          </cell>
          <cell r="I18">
            <v>260</v>
          </cell>
          <cell r="J18" t="e">
            <v>#REF!</v>
          </cell>
          <cell r="M18">
            <v>51757</v>
          </cell>
          <cell r="N18" t="e">
            <v>#REF!</v>
          </cell>
          <cell r="Q18">
            <v>172998</v>
          </cell>
          <cell r="R18" t="e">
            <v>#REF!</v>
          </cell>
          <cell r="U18">
            <v>770702</v>
          </cell>
          <cell r="V18" t="e">
            <v>#REF!</v>
          </cell>
          <cell r="W18">
            <v>0</v>
          </cell>
          <cell r="X18">
            <v>0</v>
          </cell>
          <cell r="Y18">
            <v>999285</v>
          </cell>
          <cell r="Z18" t="e">
            <v>#REF!</v>
          </cell>
          <cell r="AA18" t="e">
            <v>#REF!</v>
          </cell>
          <cell r="AD18">
            <v>331819</v>
          </cell>
          <cell r="AE18" t="e">
            <v>#REF!</v>
          </cell>
          <cell r="AH18">
            <v>380220</v>
          </cell>
          <cell r="AI18" t="e">
            <v>#REF!</v>
          </cell>
          <cell r="AL18">
            <v>566408</v>
          </cell>
          <cell r="AM18" t="e">
            <v>#REF!</v>
          </cell>
          <cell r="AP18">
            <v>835546</v>
          </cell>
          <cell r="AQ18" t="e">
            <v>#REF!</v>
          </cell>
          <cell r="AT18">
            <v>1892597</v>
          </cell>
          <cell r="AU18" t="e">
            <v>#REF!</v>
          </cell>
          <cell r="AX18">
            <v>1906287</v>
          </cell>
          <cell r="AY18" t="e">
            <v>#REF!</v>
          </cell>
          <cell r="BB18">
            <v>3583572</v>
          </cell>
          <cell r="BC18" t="e">
            <v>#REF!</v>
          </cell>
          <cell r="BF18">
            <v>8386911</v>
          </cell>
          <cell r="BG18" t="e">
            <v>#REF!</v>
          </cell>
          <cell r="BJ18">
            <v>12021298</v>
          </cell>
          <cell r="BK18" t="e">
            <v>#REF!</v>
          </cell>
          <cell r="BN18">
            <v>13162696</v>
          </cell>
          <cell r="BO18" t="e">
            <v>#REF!</v>
          </cell>
          <cell r="BP18">
            <v>0</v>
          </cell>
          <cell r="BQ18">
            <v>0</v>
          </cell>
          <cell r="BR18">
            <v>43067354</v>
          </cell>
          <cell r="BS18" t="e">
            <v>#REF!</v>
          </cell>
          <cell r="BT18" t="e">
            <v>#REF!</v>
          </cell>
        </row>
        <row r="19">
          <cell r="B19" t="e">
            <v>#REF!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</row>
        <row r="20">
          <cell r="B20" t="e">
            <v>#REF!</v>
          </cell>
          <cell r="C20">
            <v>0</v>
          </cell>
          <cell r="D20">
            <v>0</v>
          </cell>
          <cell r="E20">
            <v>20127</v>
          </cell>
          <cell r="F20" t="e">
            <v>#REF!</v>
          </cell>
          <cell r="G20">
            <v>0</v>
          </cell>
          <cell r="H20">
            <v>0</v>
          </cell>
          <cell r="I20">
            <v>63138</v>
          </cell>
          <cell r="J20" t="e">
            <v>#REF!</v>
          </cell>
          <cell r="K20">
            <v>0</v>
          </cell>
          <cell r="L20">
            <v>0</v>
          </cell>
          <cell r="M20">
            <v>500401</v>
          </cell>
          <cell r="N20" t="e">
            <v>#REF!</v>
          </cell>
          <cell r="O20">
            <v>0</v>
          </cell>
          <cell r="P20">
            <v>0</v>
          </cell>
          <cell r="Q20">
            <v>1329416</v>
          </cell>
          <cell r="R20" t="e">
            <v>#REF!</v>
          </cell>
          <cell r="S20">
            <v>0</v>
          </cell>
          <cell r="T20">
            <v>0</v>
          </cell>
          <cell r="U20">
            <v>3373992</v>
          </cell>
          <cell r="V20" t="e">
            <v>#REF!</v>
          </cell>
          <cell r="W20">
            <v>0</v>
          </cell>
          <cell r="X20">
            <v>0</v>
          </cell>
          <cell r="Y20">
            <v>5287074</v>
          </cell>
          <cell r="Z20" t="e">
            <v>#REF!</v>
          </cell>
          <cell r="AA20" t="e">
            <v>#REF!</v>
          </cell>
          <cell r="AB20">
            <v>0</v>
          </cell>
          <cell r="AC20">
            <v>0</v>
          </cell>
          <cell r="AD20">
            <v>3881959</v>
          </cell>
          <cell r="AE20" t="e">
            <v>#REF!</v>
          </cell>
          <cell r="AF20">
            <v>0</v>
          </cell>
          <cell r="AG20">
            <v>0</v>
          </cell>
          <cell r="AH20">
            <v>4017098</v>
          </cell>
          <cell r="AI20" t="e">
            <v>#REF!</v>
          </cell>
          <cell r="AJ20">
            <v>0</v>
          </cell>
          <cell r="AK20">
            <v>0</v>
          </cell>
          <cell r="AL20">
            <v>6349271</v>
          </cell>
          <cell r="AM20" t="e">
            <v>#REF!</v>
          </cell>
          <cell r="AN20">
            <v>0</v>
          </cell>
          <cell r="AO20">
            <v>0</v>
          </cell>
          <cell r="AP20">
            <v>7165114</v>
          </cell>
          <cell r="AQ20" t="e">
            <v>#REF!</v>
          </cell>
          <cell r="AR20">
            <v>0</v>
          </cell>
          <cell r="AS20">
            <v>0</v>
          </cell>
          <cell r="AT20">
            <v>7367718</v>
          </cell>
          <cell r="AU20" t="e">
            <v>#REF!</v>
          </cell>
          <cell r="AV20">
            <v>0</v>
          </cell>
          <cell r="AW20">
            <v>0</v>
          </cell>
          <cell r="AX20">
            <v>8520325</v>
          </cell>
          <cell r="AY20" t="e">
            <v>#REF!</v>
          </cell>
          <cell r="AZ20">
            <v>0</v>
          </cell>
          <cell r="BA20">
            <v>0</v>
          </cell>
          <cell r="BB20">
            <v>14557925</v>
          </cell>
          <cell r="BC20" t="e">
            <v>#REF!</v>
          </cell>
          <cell r="BD20">
            <v>0</v>
          </cell>
          <cell r="BE20">
            <v>0</v>
          </cell>
          <cell r="BF20">
            <v>25537467</v>
          </cell>
          <cell r="BG20" t="e">
            <v>#REF!</v>
          </cell>
          <cell r="BH20">
            <v>0</v>
          </cell>
          <cell r="BI20">
            <v>0</v>
          </cell>
          <cell r="BJ20">
            <v>52302195</v>
          </cell>
          <cell r="BK20" t="e">
            <v>#REF!</v>
          </cell>
          <cell r="BL20">
            <v>0</v>
          </cell>
          <cell r="BM20">
            <v>0</v>
          </cell>
          <cell r="BN20">
            <v>71175852</v>
          </cell>
          <cell r="BO20" t="e">
            <v>#REF!</v>
          </cell>
          <cell r="BP20">
            <v>0</v>
          </cell>
          <cell r="BQ20">
            <v>0</v>
          </cell>
          <cell r="BR20">
            <v>200874924</v>
          </cell>
          <cell r="BS20" t="e">
            <v>#REF!</v>
          </cell>
          <cell r="BT20" t="e">
            <v>#REF!</v>
          </cell>
        </row>
        <row r="21">
          <cell r="B21" t="e">
            <v>#REF!</v>
          </cell>
        </row>
        <row r="22">
          <cell r="B22" t="str">
            <v>||</v>
          </cell>
        </row>
        <row r="23">
          <cell r="B23" t="str">
            <v>||</v>
          </cell>
          <cell r="E23">
            <v>0</v>
          </cell>
          <cell r="F23">
            <v>0</v>
          </cell>
          <cell r="I23">
            <v>0</v>
          </cell>
          <cell r="J23">
            <v>0</v>
          </cell>
          <cell r="M23">
            <v>0</v>
          </cell>
          <cell r="N23">
            <v>0</v>
          </cell>
          <cell r="Q23">
            <v>0</v>
          </cell>
          <cell r="R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D23">
            <v>0</v>
          </cell>
          <cell r="AE23">
            <v>0</v>
          </cell>
          <cell r="AH23">
            <v>0</v>
          </cell>
          <cell r="AI23">
            <v>0</v>
          </cell>
          <cell r="AL23">
            <v>0</v>
          </cell>
          <cell r="AM23">
            <v>0</v>
          </cell>
          <cell r="AP23">
            <v>0</v>
          </cell>
          <cell r="AQ23">
            <v>0</v>
          </cell>
          <cell r="AT23">
            <v>0</v>
          </cell>
          <cell r="AU23">
            <v>0</v>
          </cell>
          <cell r="AX23">
            <v>0</v>
          </cell>
          <cell r="AY23">
            <v>0</v>
          </cell>
          <cell r="BB23">
            <v>0</v>
          </cell>
          <cell r="BC23">
            <v>0</v>
          </cell>
          <cell r="BF23">
            <v>0</v>
          </cell>
          <cell r="BG23">
            <v>0</v>
          </cell>
          <cell r="BJ23">
            <v>0</v>
          </cell>
          <cell r="BK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</row>
        <row r="24">
          <cell r="B24" t="str">
            <v>||</v>
          </cell>
          <cell r="E24">
            <v>0</v>
          </cell>
          <cell r="F24">
            <v>0</v>
          </cell>
          <cell r="I24">
            <v>0</v>
          </cell>
          <cell r="J24">
            <v>0</v>
          </cell>
          <cell r="M24">
            <v>0</v>
          </cell>
          <cell r="N24">
            <v>0</v>
          </cell>
          <cell r="Q24">
            <v>0</v>
          </cell>
          <cell r="R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D24">
            <v>0</v>
          </cell>
          <cell r="AE24">
            <v>0</v>
          </cell>
          <cell r="AH24">
            <v>0</v>
          </cell>
          <cell r="AI24">
            <v>0</v>
          </cell>
          <cell r="AL24">
            <v>0</v>
          </cell>
          <cell r="AM24">
            <v>0</v>
          </cell>
          <cell r="AP24">
            <v>0</v>
          </cell>
          <cell r="AQ24">
            <v>0</v>
          </cell>
          <cell r="AT24">
            <v>0</v>
          </cell>
          <cell r="AU24">
            <v>0</v>
          </cell>
          <cell r="AX24">
            <v>0</v>
          </cell>
          <cell r="AY24">
            <v>0</v>
          </cell>
          <cell r="BB24">
            <v>0</v>
          </cell>
          <cell r="BC24">
            <v>0</v>
          </cell>
          <cell r="BF24">
            <v>0</v>
          </cell>
          <cell r="BG24">
            <v>0</v>
          </cell>
          <cell r="BJ24">
            <v>0</v>
          </cell>
          <cell r="BK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</row>
        <row r="25">
          <cell r="B25" t="str">
            <v>||</v>
          </cell>
          <cell r="E25">
            <v>0</v>
          </cell>
          <cell r="F25">
            <v>0</v>
          </cell>
          <cell r="I25">
            <v>0</v>
          </cell>
          <cell r="J25">
            <v>0</v>
          </cell>
          <cell r="M25">
            <v>0</v>
          </cell>
          <cell r="N25">
            <v>0</v>
          </cell>
          <cell r="Q25">
            <v>0</v>
          </cell>
          <cell r="R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D25">
            <v>0</v>
          </cell>
          <cell r="AE25">
            <v>0</v>
          </cell>
          <cell r="AH25">
            <v>0</v>
          </cell>
          <cell r="AI25">
            <v>0</v>
          </cell>
          <cell r="AL25">
            <v>0</v>
          </cell>
          <cell r="AM25">
            <v>0</v>
          </cell>
          <cell r="AP25">
            <v>0</v>
          </cell>
          <cell r="AQ25">
            <v>0</v>
          </cell>
          <cell r="AT25">
            <v>0</v>
          </cell>
          <cell r="AU25">
            <v>0</v>
          </cell>
          <cell r="AX25">
            <v>0</v>
          </cell>
          <cell r="AY25">
            <v>0</v>
          </cell>
          <cell r="BB25">
            <v>0</v>
          </cell>
          <cell r="BC25">
            <v>0</v>
          </cell>
          <cell r="BF25">
            <v>0</v>
          </cell>
          <cell r="BG25">
            <v>0</v>
          </cell>
          <cell r="BJ25">
            <v>0</v>
          </cell>
          <cell r="BK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</row>
        <row r="26">
          <cell r="B26" t="str">
            <v>||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</row>
        <row r="27">
          <cell r="B27" t="str">
            <v>||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</row>
        <row r="28">
          <cell r="B28" t="str">
            <v>||</v>
          </cell>
        </row>
        <row r="29">
          <cell r="B29" t="str">
            <v>||</v>
          </cell>
        </row>
        <row r="30">
          <cell r="B30" t="str">
            <v>||</v>
          </cell>
          <cell r="E30">
            <v>0</v>
          </cell>
          <cell r="F30">
            <v>0</v>
          </cell>
          <cell r="I30">
            <v>0</v>
          </cell>
          <cell r="J30">
            <v>0</v>
          </cell>
          <cell r="M30">
            <v>0</v>
          </cell>
          <cell r="N30">
            <v>0</v>
          </cell>
          <cell r="Q30">
            <v>0</v>
          </cell>
          <cell r="R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D30">
            <v>0</v>
          </cell>
          <cell r="AE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P30">
            <v>0</v>
          </cell>
          <cell r="AQ30">
            <v>0</v>
          </cell>
          <cell r="AT30">
            <v>0</v>
          </cell>
          <cell r="AU30">
            <v>0</v>
          </cell>
          <cell r="AX30">
            <v>0</v>
          </cell>
          <cell r="AY30">
            <v>0</v>
          </cell>
          <cell r="BB30">
            <v>0</v>
          </cell>
          <cell r="BC30">
            <v>0</v>
          </cell>
          <cell r="BF30">
            <v>0</v>
          </cell>
          <cell r="BG30">
            <v>0</v>
          </cell>
          <cell r="BJ30">
            <v>0</v>
          </cell>
          <cell r="BK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</row>
        <row r="31">
          <cell r="B31" t="str">
            <v>||</v>
          </cell>
          <cell r="E31">
            <v>0</v>
          </cell>
          <cell r="F31">
            <v>0</v>
          </cell>
          <cell r="I31">
            <v>0</v>
          </cell>
          <cell r="J31">
            <v>0</v>
          </cell>
          <cell r="M31">
            <v>0</v>
          </cell>
          <cell r="N31">
            <v>0</v>
          </cell>
          <cell r="Q31">
            <v>0</v>
          </cell>
          <cell r="R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D31">
            <v>0</v>
          </cell>
          <cell r="AE31">
            <v>0</v>
          </cell>
          <cell r="AH31">
            <v>0</v>
          </cell>
          <cell r="AI31">
            <v>0</v>
          </cell>
          <cell r="AL31">
            <v>0</v>
          </cell>
          <cell r="AM31">
            <v>0</v>
          </cell>
          <cell r="AP31">
            <v>0</v>
          </cell>
          <cell r="AQ31">
            <v>0</v>
          </cell>
          <cell r="AT31">
            <v>0</v>
          </cell>
          <cell r="AU31">
            <v>0</v>
          </cell>
          <cell r="AX31">
            <v>0</v>
          </cell>
          <cell r="AY31">
            <v>0</v>
          </cell>
          <cell r="BB31">
            <v>0</v>
          </cell>
          <cell r="BC31">
            <v>0</v>
          </cell>
          <cell r="BF31">
            <v>0</v>
          </cell>
          <cell r="BG31">
            <v>0</v>
          </cell>
          <cell r="BJ31">
            <v>0</v>
          </cell>
          <cell r="BK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</row>
        <row r="32">
          <cell r="B32" t="str">
            <v>||</v>
          </cell>
          <cell r="E32">
            <v>0</v>
          </cell>
          <cell r="F32">
            <v>0</v>
          </cell>
          <cell r="I32">
            <v>0</v>
          </cell>
          <cell r="J32">
            <v>0</v>
          </cell>
          <cell r="M32">
            <v>0</v>
          </cell>
          <cell r="N32">
            <v>0</v>
          </cell>
          <cell r="Q32">
            <v>0</v>
          </cell>
          <cell r="R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D32">
            <v>0</v>
          </cell>
          <cell r="AE32">
            <v>0</v>
          </cell>
          <cell r="AH32">
            <v>0</v>
          </cell>
          <cell r="AI32">
            <v>0</v>
          </cell>
          <cell r="AL32">
            <v>0</v>
          </cell>
          <cell r="AM32">
            <v>0</v>
          </cell>
          <cell r="AP32">
            <v>0</v>
          </cell>
          <cell r="AQ32">
            <v>0</v>
          </cell>
          <cell r="AT32">
            <v>0</v>
          </cell>
          <cell r="AU32">
            <v>0</v>
          </cell>
          <cell r="AX32">
            <v>0</v>
          </cell>
          <cell r="AY32">
            <v>0</v>
          </cell>
          <cell r="BB32">
            <v>0</v>
          </cell>
          <cell r="BC32">
            <v>0</v>
          </cell>
          <cell r="BF32">
            <v>0</v>
          </cell>
          <cell r="BG32">
            <v>0</v>
          </cell>
          <cell r="BJ32">
            <v>0</v>
          </cell>
          <cell r="BK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</row>
        <row r="33">
          <cell r="B33" t="str">
            <v>||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</row>
        <row r="34">
          <cell r="B34" t="str">
            <v>||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</row>
        <row r="35">
          <cell r="B35" t="str">
            <v>||</v>
          </cell>
        </row>
        <row r="36">
          <cell r="B36" t="str">
            <v>||</v>
          </cell>
        </row>
        <row r="37">
          <cell r="B37" t="str">
            <v>||</v>
          </cell>
          <cell r="E37">
            <v>0</v>
          </cell>
          <cell r="F37">
            <v>0</v>
          </cell>
          <cell r="I37">
            <v>0</v>
          </cell>
          <cell r="J37">
            <v>0</v>
          </cell>
          <cell r="M37">
            <v>0</v>
          </cell>
          <cell r="N37">
            <v>0</v>
          </cell>
          <cell r="Q37">
            <v>0</v>
          </cell>
          <cell r="R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D37">
            <v>0</v>
          </cell>
          <cell r="AE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P37">
            <v>0</v>
          </cell>
          <cell r="AQ37">
            <v>0</v>
          </cell>
          <cell r="AT37">
            <v>0</v>
          </cell>
          <cell r="AU37">
            <v>0</v>
          </cell>
          <cell r="AX37">
            <v>0</v>
          </cell>
          <cell r="AY37">
            <v>0</v>
          </cell>
          <cell r="BB37">
            <v>0</v>
          </cell>
          <cell r="BC37">
            <v>0</v>
          </cell>
          <cell r="BF37">
            <v>0</v>
          </cell>
          <cell r="BG37">
            <v>0</v>
          </cell>
          <cell r="BJ37">
            <v>0</v>
          </cell>
          <cell r="BK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</row>
        <row r="38">
          <cell r="B38" t="str">
            <v>||</v>
          </cell>
          <cell r="E38">
            <v>0</v>
          </cell>
          <cell r="F38">
            <v>0</v>
          </cell>
          <cell r="I38">
            <v>0</v>
          </cell>
          <cell r="J38">
            <v>0</v>
          </cell>
          <cell r="M38">
            <v>0</v>
          </cell>
          <cell r="N38">
            <v>0</v>
          </cell>
          <cell r="Q38">
            <v>0</v>
          </cell>
          <cell r="R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D38">
            <v>0</v>
          </cell>
          <cell r="AE38">
            <v>0</v>
          </cell>
          <cell r="AH38">
            <v>0</v>
          </cell>
          <cell r="AI38">
            <v>0</v>
          </cell>
          <cell r="AL38">
            <v>0</v>
          </cell>
          <cell r="AM38">
            <v>0</v>
          </cell>
          <cell r="AP38">
            <v>0</v>
          </cell>
          <cell r="AQ38">
            <v>0</v>
          </cell>
          <cell r="AT38">
            <v>0</v>
          </cell>
          <cell r="AU38">
            <v>0</v>
          </cell>
          <cell r="AX38">
            <v>0</v>
          </cell>
          <cell r="AY38">
            <v>0</v>
          </cell>
          <cell r="BB38">
            <v>0</v>
          </cell>
          <cell r="BC38">
            <v>0</v>
          </cell>
          <cell r="BF38">
            <v>0</v>
          </cell>
          <cell r="BG38">
            <v>0</v>
          </cell>
          <cell r="BJ38">
            <v>0</v>
          </cell>
          <cell r="BK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</row>
        <row r="39">
          <cell r="B39" t="str">
            <v>||</v>
          </cell>
          <cell r="E39">
            <v>0</v>
          </cell>
          <cell r="F39">
            <v>0</v>
          </cell>
          <cell r="I39">
            <v>0</v>
          </cell>
          <cell r="J39">
            <v>0</v>
          </cell>
          <cell r="M39">
            <v>0</v>
          </cell>
          <cell r="N39">
            <v>0</v>
          </cell>
          <cell r="Q39">
            <v>0</v>
          </cell>
          <cell r="R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D39">
            <v>0</v>
          </cell>
          <cell r="AE39">
            <v>0</v>
          </cell>
          <cell r="AH39">
            <v>0</v>
          </cell>
          <cell r="AI39">
            <v>0</v>
          </cell>
          <cell r="AL39">
            <v>0</v>
          </cell>
          <cell r="AM39">
            <v>0</v>
          </cell>
          <cell r="AP39">
            <v>0</v>
          </cell>
          <cell r="AQ39">
            <v>0</v>
          </cell>
          <cell r="AT39">
            <v>0</v>
          </cell>
          <cell r="AU39">
            <v>0</v>
          </cell>
          <cell r="AX39">
            <v>0</v>
          </cell>
          <cell r="AY39">
            <v>0</v>
          </cell>
          <cell r="BB39">
            <v>0</v>
          </cell>
          <cell r="BC39">
            <v>0</v>
          </cell>
          <cell r="BF39">
            <v>0</v>
          </cell>
          <cell r="BG39">
            <v>0</v>
          </cell>
          <cell r="BJ39">
            <v>0</v>
          </cell>
          <cell r="BK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</row>
        <row r="40">
          <cell r="B40" t="str">
            <v>||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</row>
        <row r="41">
          <cell r="B41" t="str">
            <v>||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</row>
        <row r="42">
          <cell r="B42" t="str">
            <v>||</v>
          </cell>
        </row>
        <row r="43">
          <cell r="B43" t="str">
            <v>||</v>
          </cell>
        </row>
        <row r="44">
          <cell r="B44" t="str">
            <v>||</v>
          </cell>
          <cell r="E44">
            <v>0</v>
          </cell>
          <cell r="F44">
            <v>0</v>
          </cell>
          <cell r="I44">
            <v>0</v>
          </cell>
          <cell r="J44">
            <v>0</v>
          </cell>
          <cell r="M44">
            <v>0</v>
          </cell>
          <cell r="N44">
            <v>0</v>
          </cell>
          <cell r="Q44">
            <v>0</v>
          </cell>
          <cell r="R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D44">
            <v>0</v>
          </cell>
          <cell r="AE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P44">
            <v>0</v>
          </cell>
          <cell r="AQ44">
            <v>0</v>
          </cell>
          <cell r="AT44">
            <v>0</v>
          </cell>
          <cell r="AU44">
            <v>0</v>
          </cell>
          <cell r="AX44">
            <v>0</v>
          </cell>
          <cell r="AY44">
            <v>0</v>
          </cell>
          <cell r="BB44">
            <v>0</v>
          </cell>
          <cell r="BC44">
            <v>0</v>
          </cell>
          <cell r="BF44">
            <v>0</v>
          </cell>
          <cell r="BG44">
            <v>0</v>
          </cell>
          <cell r="BJ44">
            <v>0</v>
          </cell>
          <cell r="BK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</row>
        <row r="45">
          <cell r="B45" t="str">
            <v>||</v>
          </cell>
          <cell r="E45">
            <v>0</v>
          </cell>
          <cell r="F45">
            <v>0</v>
          </cell>
          <cell r="I45">
            <v>0</v>
          </cell>
          <cell r="J45">
            <v>0</v>
          </cell>
          <cell r="M45">
            <v>0</v>
          </cell>
          <cell r="N45">
            <v>0</v>
          </cell>
          <cell r="Q45">
            <v>0</v>
          </cell>
          <cell r="R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D45">
            <v>0</v>
          </cell>
          <cell r="AE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P45">
            <v>0</v>
          </cell>
          <cell r="AQ45">
            <v>0</v>
          </cell>
          <cell r="AT45">
            <v>0</v>
          </cell>
          <cell r="AU45">
            <v>0</v>
          </cell>
          <cell r="AX45">
            <v>0</v>
          </cell>
          <cell r="AY45">
            <v>0</v>
          </cell>
          <cell r="BB45">
            <v>0</v>
          </cell>
          <cell r="BC45">
            <v>0</v>
          </cell>
          <cell r="BF45">
            <v>0</v>
          </cell>
          <cell r="BG45">
            <v>0</v>
          </cell>
          <cell r="BJ45">
            <v>0</v>
          </cell>
          <cell r="BK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</row>
        <row r="46">
          <cell r="B46" t="str">
            <v>||</v>
          </cell>
          <cell r="E46">
            <v>0</v>
          </cell>
          <cell r="F46">
            <v>0</v>
          </cell>
          <cell r="I46">
            <v>0</v>
          </cell>
          <cell r="J46">
            <v>0</v>
          </cell>
          <cell r="M46">
            <v>0</v>
          </cell>
          <cell r="N46">
            <v>0</v>
          </cell>
          <cell r="Q46">
            <v>0</v>
          </cell>
          <cell r="R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D46">
            <v>0</v>
          </cell>
          <cell r="AE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P46">
            <v>0</v>
          </cell>
          <cell r="AQ46">
            <v>0</v>
          </cell>
          <cell r="AT46">
            <v>0</v>
          </cell>
          <cell r="AU46">
            <v>0</v>
          </cell>
          <cell r="AX46">
            <v>0</v>
          </cell>
          <cell r="AY46">
            <v>0</v>
          </cell>
          <cell r="BB46">
            <v>0</v>
          </cell>
          <cell r="BC46">
            <v>0</v>
          </cell>
          <cell r="BF46">
            <v>0</v>
          </cell>
          <cell r="BG46">
            <v>0</v>
          </cell>
          <cell r="BJ46">
            <v>0</v>
          </cell>
          <cell r="BK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</row>
        <row r="47">
          <cell r="B47" t="str">
            <v>||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</row>
        <row r="48">
          <cell r="B48" t="str">
            <v>||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</row>
        <row r="49">
          <cell r="B49" t="str">
            <v>||</v>
          </cell>
        </row>
        <row r="50">
          <cell r="B50" t="str">
            <v>||</v>
          </cell>
        </row>
        <row r="51">
          <cell r="B51" t="str">
            <v>||</v>
          </cell>
          <cell r="E51">
            <v>0</v>
          </cell>
          <cell r="F51">
            <v>0</v>
          </cell>
          <cell r="I51">
            <v>0</v>
          </cell>
          <cell r="J51">
            <v>0</v>
          </cell>
          <cell r="M51">
            <v>0</v>
          </cell>
          <cell r="N51">
            <v>0</v>
          </cell>
          <cell r="Q51">
            <v>0</v>
          </cell>
          <cell r="R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D51">
            <v>0</v>
          </cell>
          <cell r="AE51">
            <v>0</v>
          </cell>
          <cell r="AH51">
            <v>0</v>
          </cell>
          <cell r="AI51">
            <v>0</v>
          </cell>
          <cell r="AL51">
            <v>0</v>
          </cell>
          <cell r="AM51">
            <v>0</v>
          </cell>
          <cell r="AP51">
            <v>0</v>
          </cell>
          <cell r="AQ51">
            <v>0</v>
          </cell>
          <cell r="AT51">
            <v>0</v>
          </cell>
          <cell r="AU51">
            <v>0</v>
          </cell>
          <cell r="AX51">
            <v>0</v>
          </cell>
          <cell r="AY51">
            <v>0</v>
          </cell>
          <cell r="BB51">
            <v>0</v>
          </cell>
          <cell r="BC51">
            <v>0</v>
          </cell>
          <cell r="BF51" t="str">
            <v xml:space="preserve"> </v>
          </cell>
          <cell r="BG51" t="str">
            <v xml:space="preserve"> </v>
          </cell>
          <cell r="BJ51">
            <v>0</v>
          </cell>
          <cell r="BK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</row>
        <row r="52">
          <cell r="B52" t="str">
            <v>||</v>
          </cell>
          <cell r="E52">
            <v>0</v>
          </cell>
          <cell r="F52">
            <v>0</v>
          </cell>
          <cell r="I52">
            <v>0</v>
          </cell>
          <cell r="J52">
            <v>0</v>
          </cell>
          <cell r="M52">
            <v>0</v>
          </cell>
          <cell r="N52">
            <v>0</v>
          </cell>
          <cell r="Q52">
            <v>0</v>
          </cell>
          <cell r="R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D52">
            <v>0</v>
          </cell>
          <cell r="AE52">
            <v>0</v>
          </cell>
          <cell r="AH52">
            <v>0</v>
          </cell>
          <cell r="AI52">
            <v>0</v>
          </cell>
          <cell r="AL52">
            <v>0</v>
          </cell>
          <cell r="AM52">
            <v>0</v>
          </cell>
          <cell r="AP52">
            <v>0</v>
          </cell>
          <cell r="AQ52">
            <v>0</v>
          </cell>
          <cell r="AT52">
            <v>0</v>
          </cell>
          <cell r="AU52">
            <v>0</v>
          </cell>
          <cell r="AX52">
            <v>0</v>
          </cell>
          <cell r="AY52">
            <v>0</v>
          </cell>
          <cell r="BB52">
            <v>0</v>
          </cell>
          <cell r="BC52">
            <v>0</v>
          </cell>
          <cell r="BF52">
            <v>0</v>
          </cell>
          <cell r="BG52">
            <v>0</v>
          </cell>
          <cell r="BJ52">
            <v>0</v>
          </cell>
          <cell r="BK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</row>
        <row r="53">
          <cell r="B53" t="str">
            <v>||</v>
          </cell>
          <cell r="E53">
            <v>0</v>
          </cell>
          <cell r="F53">
            <v>0</v>
          </cell>
          <cell r="I53">
            <v>0</v>
          </cell>
          <cell r="J53">
            <v>0</v>
          </cell>
          <cell r="M53">
            <v>0</v>
          </cell>
          <cell r="N53">
            <v>0</v>
          </cell>
          <cell r="Q53">
            <v>0</v>
          </cell>
          <cell r="R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D53">
            <v>0</v>
          </cell>
          <cell r="AE53">
            <v>0</v>
          </cell>
          <cell r="AH53">
            <v>0</v>
          </cell>
          <cell r="AI53">
            <v>0</v>
          </cell>
          <cell r="AL53">
            <v>0</v>
          </cell>
          <cell r="AM53">
            <v>0</v>
          </cell>
          <cell r="AP53">
            <v>0</v>
          </cell>
          <cell r="AQ53">
            <v>0</v>
          </cell>
          <cell r="AT53">
            <v>0</v>
          </cell>
          <cell r="AU53">
            <v>0</v>
          </cell>
          <cell r="AX53">
            <v>0</v>
          </cell>
          <cell r="AY53">
            <v>0</v>
          </cell>
          <cell r="BB53">
            <v>0</v>
          </cell>
          <cell r="BC53">
            <v>0</v>
          </cell>
          <cell r="BF53">
            <v>0</v>
          </cell>
          <cell r="BG53">
            <v>0</v>
          </cell>
          <cell r="BJ53">
            <v>0</v>
          </cell>
          <cell r="BK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</row>
        <row r="54">
          <cell r="B54" t="str">
            <v>||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</row>
        <row r="55">
          <cell r="B55" t="str">
            <v>||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</row>
        <row r="56">
          <cell r="B56" t="str">
            <v>||</v>
          </cell>
        </row>
        <row r="57">
          <cell r="B57" t="str">
            <v>||</v>
          </cell>
        </row>
        <row r="58">
          <cell r="B58" t="str">
            <v>||</v>
          </cell>
          <cell r="E58">
            <v>0</v>
          </cell>
          <cell r="F58">
            <v>0</v>
          </cell>
          <cell r="I58">
            <v>0</v>
          </cell>
          <cell r="J58">
            <v>0</v>
          </cell>
          <cell r="M58">
            <v>0</v>
          </cell>
          <cell r="N58">
            <v>0</v>
          </cell>
          <cell r="Q58">
            <v>0</v>
          </cell>
          <cell r="R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D58">
            <v>0</v>
          </cell>
          <cell r="AE58">
            <v>0</v>
          </cell>
          <cell r="AH58">
            <v>0</v>
          </cell>
          <cell r="AI58">
            <v>0</v>
          </cell>
          <cell r="AL58">
            <v>0</v>
          </cell>
          <cell r="AM58">
            <v>0</v>
          </cell>
          <cell r="AP58">
            <v>0</v>
          </cell>
          <cell r="AQ58">
            <v>0</v>
          </cell>
          <cell r="AT58">
            <v>0</v>
          </cell>
          <cell r="AU58">
            <v>0</v>
          </cell>
          <cell r="AX58">
            <v>0</v>
          </cell>
          <cell r="AY58">
            <v>0</v>
          </cell>
          <cell r="BB58">
            <v>0</v>
          </cell>
          <cell r="BC58">
            <v>0</v>
          </cell>
          <cell r="BF58">
            <v>0</v>
          </cell>
          <cell r="BG58">
            <v>0</v>
          </cell>
          <cell r="BJ58">
            <v>0</v>
          </cell>
          <cell r="BK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</row>
        <row r="59">
          <cell r="B59" t="str">
            <v>||</v>
          </cell>
          <cell r="E59">
            <v>0</v>
          </cell>
          <cell r="F59">
            <v>0</v>
          </cell>
          <cell r="I59">
            <v>0</v>
          </cell>
          <cell r="J59">
            <v>0</v>
          </cell>
          <cell r="M59">
            <v>0</v>
          </cell>
          <cell r="N59">
            <v>0</v>
          </cell>
          <cell r="Q59">
            <v>0</v>
          </cell>
          <cell r="R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D59">
            <v>0</v>
          </cell>
          <cell r="AE59">
            <v>0</v>
          </cell>
          <cell r="AH59">
            <v>0</v>
          </cell>
          <cell r="AI59">
            <v>0</v>
          </cell>
          <cell r="AL59">
            <v>0</v>
          </cell>
          <cell r="AM59">
            <v>0</v>
          </cell>
          <cell r="AP59">
            <v>0</v>
          </cell>
          <cell r="AQ59">
            <v>0</v>
          </cell>
          <cell r="AT59">
            <v>0</v>
          </cell>
          <cell r="AU59">
            <v>0</v>
          </cell>
          <cell r="AX59">
            <v>0</v>
          </cell>
          <cell r="AY59">
            <v>0</v>
          </cell>
          <cell r="BB59">
            <v>0</v>
          </cell>
          <cell r="BC59">
            <v>0</v>
          </cell>
          <cell r="BF59">
            <v>0</v>
          </cell>
          <cell r="BG59">
            <v>0</v>
          </cell>
          <cell r="BJ59">
            <v>0</v>
          </cell>
          <cell r="BK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</row>
        <row r="60">
          <cell r="B60" t="str">
            <v>||</v>
          </cell>
          <cell r="E60">
            <v>0</v>
          </cell>
          <cell r="F60">
            <v>0</v>
          </cell>
          <cell r="I60">
            <v>0</v>
          </cell>
          <cell r="J60">
            <v>0</v>
          </cell>
          <cell r="M60">
            <v>0</v>
          </cell>
          <cell r="N60">
            <v>0</v>
          </cell>
          <cell r="Q60">
            <v>0</v>
          </cell>
          <cell r="R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D60">
            <v>0</v>
          </cell>
          <cell r="AE60">
            <v>0</v>
          </cell>
          <cell r="AH60">
            <v>0</v>
          </cell>
          <cell r="AI60">
            <v>0</v>
          </cell>
          <cell r="AL60">
            <v>0</v>
          </cell>
          <cell r="AM60">
            <v>0</v>
          </cell>
          <cell r="AP60">
            <v>0</v>
          </cell>
          <cell r="AQ60">
            <v>0</v>
          </cell>
          <cell r="AT60">
            <v>0</v>
          </cell>
          <cell r="AU60">
            <v>0</v>
          </cell>
          <cell r="AX60">
            <v>0</v>
          </cell>
          <cell r="AY60">
            <v>0</v>
          </cell>
          <cell r="BB60">
            <v>0</v>
          </cell>
          <cell r="BC60">
            <v>0</v>
          </cell>
          <cell r="BF60">
            <v>0</v>
          </cell>
          <cell r="BG60">
            <v>0</v>
          </cell>
          <cell r="BJ60">
            <v>0</v>
          </cell>
          <cell r="BK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</row>
        <row r="61">
          <cell r="B61" t="str">
            <v>||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</row>
        <row r="62">
          <cell r="B62" t="str">
            <v>||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</row>
        <row r="63">
          <cell r="B63" t="str">
            <v>||</v>
          </cell>
        </row>
        <row r="64">
          <cell r="B64" t="str">
            <v>||</v>
          </cell>
        </row>
        <row r="65">
          <cell r="B65" t="str">
            <v>||</v>
          </cell>
          <cell r="E65">
            <v>0</v>
          </cell>
          <cell r="F65">
            <v>0</v>
          </cell>
          <cell r="I65">
            <v>0</v>
          </cell>
          <cell r="J65">
            <v>0</v>
          </cell>
          <cell r="M65">
            <v>0</v>
          </cell>
          <cell r="N65">
            <v>0</v>
          </cell>
          <cell r="Q65">
            <v>0</v>
          </cell>
          <cell r="R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D65">
            <v>0</v>
          </cell>
          <cell r="AE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P65">
            <v>0</v>
          </cell>
          <cell r="AQ65">
            <v>0</v>
          </cell>
          <cell r="AT65">
            <v>0</v>
          </cell>
          <cell r="AU65">
            <v>0</v>
          </cell>
          <cell r="AX65">
            <v>0</v>
          </cell>
          <cell r="AY65">
            <v>0</v>
          </cell>
          <cell r="BB65">
            <v>0</v>
          </cell>
          <cell r="BC65">
            <v>0</v>
          </cell>
          <cell r="BF65">
            <v>0</v>
          </cell>
          <cell r="BG65">
            <v>0</v>
          </cell>
          <cell r="BJ65">
            <v>0</v>
          </cell>
          <cell r="BK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</row>
        <row r="66">
          <cell r="B66" t="str">
            <v>||</v>
          </cell>
          <cell r="E66">
            <v>0</v>
          </cell>
          <cell r="F66">
            <v>0</v>
          </cell>
          <cell r="I66">
            <v>0</v>
          </cell>
          <cell r="J66">
            <v>0</v>
          </cell>
          <cell r="M66">
            <v>0</v>
          </cell>
          <cell r="N66">
            <v>0</v>
          </cell>
          <cell r="Q66">
            <v>0</v>
          </cell>
          <cell r="R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D66">
            <v>0</v>
          </cell>
          <cell r="AE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P66">
            <v>0</v>
          </cell>
          <cell r="AQ66">
            <v>0</v>
          </cell>
          <cell r="AT66">
            <v>0</v>
          </cell>
          <cell r="AU66">
            <v>0</v>
          </cell>
          <cell r="AX66">
            <v>0</v>
          </cell>
          <cell r="AY66">
            <v>0</v>
          </cell>
          <cell r="BB66">
            <v>0</v>
          </cell>
          <cell r="BC66">
            <v>0</v>
          </cell>
          <cell r="BF66">
            <v>0</v>
          </cell>
          <cell r="BG66">
            <v>0</v>
          </cell>
          <cell r="BJ66">
            <v>0</v>
          </cell>
          <cell r="BK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</row>
        <row r="67">
          <cell r="B67" t="str">
            <v>||</v>
          </cell>
          <cell r="E67">
            <v>0</v>
          </cell>
          <cell r="F67">
            <v>0</v>
          </cell>
          <cell r="I67">
            <v>0</v>
          </cell>
          <cell r="J67">
            <v>0</v>
          </cell>
          <cell r="M67">
            <v>0</v>
          </cell>
          <cell r="N67">
            <v>0</v>
          </cell>
          <cell r="Q67">
            <v>0</v>
          </cell>
          <cell r="R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D67">
            <v>0</v>
          </cell>
          <cell r="AE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P67">
            <v>0</v>
          </cell>
          <cell r="AQ67">
            <v>0</v>
          </cell>
          <cell r="AT67">
            <v>0</v>
          </cell>
          <cell r="AU67">
            <v>0</v>
          </cell>
          <cell r="AX67">
            <v>0</v>
          </cell>
          <cell r="AY67">
            <v>0</v>
          </cell>
          <cell r="BB67">
            <v>0</v>
          </cell>
          <cell r="BC67">
            <v>0</v>
          </cell>
          <cell r="BF67">
            <v>0</v>
          </cell>
          <cell r="BG67">
            <v>0</v>
          </cell>
          <cell r="BJ67">
            <v>0</v>
          </cell>
          <cell r="BK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</row>
        <row r="68">
          <cell r="B68" t="str">
            <v>||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</row>
        <row r="69">
          <cell r="B69" t="str">
            <v>||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</row>
        <row r="70">
          <cell r="B70" t="str">
            <v>||</v>
          </cell>
        </row>
        <row r="71">
          <cell r="B71" t="str">
            <v>||</v>
          </cell>
        </row>
        <row r="72">
          <cell r="B72" t="str">
            <v>||</v>
          </cell>
          <cell r="E72">
            <v>0</v>
          </cell>
          <cell r="F72">
            <v>0</v>
          </cell>
          <cell r="I72">
            <v>0</v>
          </cell>
          <cell r="J72">
            <v>0</v>
          </cell>
          <cell r="M72">
            <v>0</v>
          </cell>
          <cell r="N72">
            <v>0</v>
          </cell>
          <cell r="Q72">
            <v>0</v>
          </cell>
          <cell r="R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D72">
            <v>0</v>
          </cell>
          <cell r="AE72">
            <v>0</v>
          </cell>
          <cell r="AH72">
            <v>0</v>
          </cell>
          <cell r="AI72">
            <v>0</v>
          </cell>
          <cell r="AL72">
            <v>0</v>
          </cell>
          <cell r="AM72">
            <v>0</v>
          </cell>
          <cell r="AP72">
            <v>0</v>
          </cell>
          <cell r="AQ72">
            <v>0</v>
          </cell>
          <cell r="AT72">
            <v>0</v>
          </cell>
          <cell r="AU72">
            <v>0</v>
          </cell>
          <cell r="AX72">
            <v>0</v>
          </cell>
          <cell r="AY72">
            <v>0</v>
          </cell>
          <cell r="BB72">
            <v>0</v>
          </cell>
          <cell r="BC72">
            <v>0</v>
          </cell>
          <cell r="BF72">
            <v>0</v>
          </cell>
          <cell r="BG72">
            <v>0</v>
          </cell>
          <cell r="BJ72">
            <v>0</v>
          </cell>
          <cell r="BK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</row>
        <row r="73">
          <cell r="B73" t="str">
            <v>||</v>
          </cell>
          <cell r="E73">
            <v>0</v>
          </cell>
          <cell r="F73">
            <v>0</v>
          </cell>
          <cell r="I73">
            <v>0</v>
          </cell>
          <cell r="J73">
            <v>0</v>
          </cell>
          <cell r="M73">
            <v>0</v>
          </cell>
          <cell r="N73">
            <v>0</v>
          </cell>
          <cell r="Q73">
            <v>0</v>
          </cell>
          <cell r="R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D73">
            <v>0</v>
          </cell>
          <cell r="AE73">
            <v>0</v>
          </cell>
          <cell r="AH73">
            <v>0</v>
          </cell>
          <cell r="AI73">
            <v>0</v>
          </cell>
          <cell r="AL73">
            <v>0</v>
          </cell>
          <cell r="AM73">
            <v>0</v>
          </cell>
          <cell r="AP73">
            <v>0</v>
          </cell>
          <cell r="AQ73">
            <v>0</v>
          </cell>
          <cell r="AT73">
            <v>0</v>
          </cell>
          <cell r="AU73">
            <v>0</v>
          </cell>
          <cell r="AX73">
            <v>0</v>
          </cell>
          <cell r="AY73">
            <v>0</v>
          </cell>
          <cell r="BB73">
            <v>0</v>
          </cell>
          <cell r="BC73">
            <v>0</v>
          </cell>
          <cell r="BF73">
            <v>0</v>
          </cell>
          <cell r="BG73">
            <v>0</v>
          </cell>
          <cell r="BJ73">
            <v>0</v>
          </cell>
          <cell r="BK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</row>
        <row r="74">
          <cell r="B74" t="str">
            <v>||</v>
          </cell>
          <cell r="E74">
            <v>0</v>
          </cell>
          <cell r="F74">
            <v>0</v>
          </cell>
          <cell r="I74">
            <v>0</v>
          </cell>
          <cell r="J74">
            <v>0</v>
          </cell>
          <cell r="M74">
            <v>0</v>
          </cell>
          <cell r="N74">
            <v>0</v>
          </cell>
          <cell r="Q74">
            <v>0</v>
          </cell>
          <cell r="R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D74">
            <v>0</v>
          </cell>
          <cell r="AE74">
            <v>0</v>
          </cell>
          <cell r="AH74">
            <v>0</v>
          </cell>
          <cell r="AI74">
            <v>0</v>
          </cell>
          <cell r="AL74">
            <v>0</v>
          </cell>
          <cell r="AM74">
            <v>0</v>
          </cell>
          <cell r="AP74">
            <v>0</v>
          </cell>
          <cell r="AQ74">
            <v>0</v>
          </cell>
          <cell r="AT74">
            <v>0</v>
          </cell>
          <cell r="AU74">
            <v>0</v>
          </cell>
          <cell r="AX74">
            <v>0</v>
          </cell>
          <cell r="AY74">
            <v>0</v>
          </cell>
          <cell r="BB74">
            <v>0</v>
          </cell>
          <cell r="BC74">
            <v>0</v>
          </cell>
          <cell r="BF74">
            <v>0</v>
          </cell>
          <cell r="BG74">
            <v>0</v>
          </cell>
          <cell r="BJ74">
            <v>0</v>
          </cell>
          <cell r="BK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</row>
        <row r="75">
          <cell r="B75" t="str">
            <v>||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</row>
        <row r="76">
          <cell r="B76" t="str">
            <v>||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</row>
        <row r="77">
          <cell r="B77" t="str">
            <v>||</v>
          </cell>
        </row>
        <row r="78">
          <cell r="B78" t="str">
            <v>||</v>
          </cell>
        </row>
        <row r="79">
          <cell r="B79" t="str">
            <v>||</v>
          </cell>
          <cell r="E79">
            <v>0</v>
          </cell>
          <cell r="F79">
            <v>0</v>
          </cell>
          <cell r="I79">
            <v>0</v>
          </cell>
          <cell r="J79">
            <v>0</v>
          </cell>
          <cell r="M79">
            <v>0</v>
          </cell>
          <cell r="N79">
            <v>0</v>
          </cell>
          <cell r="Q79">
            <v>0</v>
          </cell>
          <cell r="R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D79">
            <v>0</v>
          </cell>
          <cell r="AE79">
            <v>0</v>
          </cell>
          <cell r="AH79">
            <v>0</v>
          </cell>
          <cell r="AI79">
            <v>0</v>
          </cell>
          <cell r="AL79">
            <v>0</v>
          </cell>
          <cell r="AM79">
            <v>0</v>
          </cell>
          <cell r="AP79">
            <v>0</v>
          </cell>
          <cell r="AQ79">
            <v>0</v>
          </cell>
          <cell r="AT79">
            <v>0</v>
          </cell>
          <cell r="AU79">
            <v>0</v>
          </cell>
          <cell r="AX79">
            <v>0</v>
          </cell>
          <cell r="AY79">
            <v>0</v>
          </cell>
          <cell r="BB79">
            <v>0</v>
          </cell>
          <cell r="BC79">
            <v>0</v>
          </cell>
          <cell r="BF79">
            <v>0</v>
          </cell>
          <cell r="BG79">
            <v>0</v>
          </cell>
          <cell r="BJ79">
            <v>0</v>
          </cell>
          <cell r="BK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</row>
        <row r="80">
          <cell r="B80" t="str">
            <v>||</v>
          </cell>
          <cell r="E80">
            <v>0</v>
          </cell>
          <cell r="F80">
            <v>0</v>
          </cell>
          <cell r="I80">
            <v>0</v>
          </cell>
          <cell r="J80">
            <v>0</v>
          </cell>
          <cell r="M80">
            <v>0</v>
          </cell>
          <cell r="N80">
            <v>0</v>
          </cell>
          <cell r="Q80">
            <v>0</v>
          </cell>
          <cell r="R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D80">
            <v>0</v>
          </cell>
          <cell r="AE80">
            <v>0</v>
          </cell>
          <cell r="AH80">
            <v>0</v>
          </cell>
          <cell r="AI80">
            <v>0</v>
          </cell>
          <cell r="AL80">
            <v>0</v>
          </cell>
          <cell r="AM80">
            <v>0</v>
          </cell>
          <cell r="AP80">
            <v>0</v>
          </cell>
          <cell r="AQ80">
            <v>0</v>
          </cell>
          <cell r="AT80">
            <v>0</v>
          </cell>
          <cell r="AU80">
            <v>0</v>
          </cell>
          <cell r="AX80">
            <v>0</v>
          </cell>
          <cell r="AY80">
            <v>0</v>
          </cell>
          <cell r="BB80">
            <v>0</v>
          </cell>
          <cell r="BC80">
            <v>0</v>
          </cell>
          <cell r="BF80">
            <v>0</v>
          </cell>
          <cell r="BG80">
            <v>0</v>
          </cell>
          <cell r="BJ80">
            <v>0</v>
          </cell>
          <cell r="BK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</row>
        <row r="81">
          <cell r="B81" t="str">
            <v>||</v>
          </cell>
          <cell r="E81">
            <v>0</v>
          </cell>
          <cell r="F81">
            <v>0</v>
          </cell>
          <cell r="I81">
            <v>0</v>
          </cell>
          <cell r="J81">
            <v>0</v>
          </cell>
          <cell r="M81">
            <v>0</v>
          </cell>
          <cell r="N81">
            <v>0</v>
          </cell>
          <cell r="Q81">
            <v>0</v>
          </cell>
          <cell r="R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D81">
            <v>0</v>
          </cell>
          <cell r="AE81">
            <v>0</v>
          </cell>
          <cell r="AH81">
            <v>0</v>
          </cell>
          <cell r="AI81">
            <v>0</v>
          </cell>
          <cell r="AL81">
            <v>0</v>
          </cell>
          <cell r="AM81">
            <v>0</v>
          </cell>
          <cell r="AP81">
            <v>0</v>
          </cell>
          <cell r="AQ81">
            <v>0</v>
          </cell>
          <cell r="AT81">
            <v>0</v>
          </cell>
          <cell r="AU81">
            <v>0</v>
          </cell>
          <cell r="AX81">
            <v>0</v>
          </cell>
          <cell r="AY81">
            <v>0</v>
          </cell>
          <cell r="BB81">
            <v>0</v>
          </cell>
          <cell r="BC81">
            <v>0</v>
          </cell>
          <cell r="BF81">
            <v>0</v>
          </cell>
          <cell r="BG81">
            <v>0</v>
          </cell>
          <cell r="BJ81">
            <v>0</v>
          </cell>
          <cell r="BK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</row>
        <row r="82">
          <cell r="B82" t="str">
            <v>||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</row>
        <row r="83">
          <cell r="B83" t="str">
            <v>||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</row>
        <row r="84">
          <cell r="B84" t="str">
            <v>||</v>
          </cell>
        </row>
        <row r="85">
          <cell r="B85" t="str">
            <v>||</v>
          </cell>
        </row>
        <row r="86">
          <cell r="B86" t="str">
            <v>||</v>
          </cell>
          <cell r="E86">
            <v>0</v>
          </cell>
          <cell r="F86">
            <v>0</v>
          </cell>
          <cell r="I86">
            <v>0</v>
          </cell>
          <cell r="J86">
            <v>0</v>
          </cell>
          <cell r="M86">
            <v>0</v>
          </cell>
          <cell r="N86">
            <v>0</v>
          </cell>
          <cell r="Q86">
            <v>0</v>
          </cell>
          <cell r="R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D86">
            <v>0</v>
          </cell>
          <cell r="AE86">
            <v>0</v>
          </cell>
          <cell r="AH86">
            <v>0</v>
          </cell>
          <cell r="AI86">
            <v>0</v>
          </cell>
          <cell r="AL86">
            <v>0</v>
          </cell>
          <cell r="AM86">
            <v>0</v>
          </cell>
          <cell r="AP86">
            <v>0</v>
          </cell>
          <cell r="AQ86">
            <v>0</v>
          </cell>
          <cell r="AT86">
            <v>0</v>
          </cell>
          <cell r="AU86">
            <v>0</v>
          </cell>
          <cell r="AX86">
            <v>0</v>
          </cell>
          <cell r="AY86">
            <v>0</v>
          </cell>
          <cell r="BB86">
            <v>0</v>
          </cell>
          <cell r="BC86">
            <v>0</v>
          </cell>
          <cell r="BF86">
            <v>0</v>
          </cell>
          <cell r="BG86">
            <v>0</v>
          </cell>
          <cell r="BJ86">
            <v>0</v>
          </cell>
          <cell r="BK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</row>
        <row r="87">
          <cell r="B87" t="str">
            <v>||</v>
          </cell>
          <cell r="E87">
            <v>0</v>
          </cell>
          <cell r="F87">
            <v>0</v>
          </cell>
          <cell r="I87">
            <v>0</v>
          </cell>
          <cell r="J87">
            <v>0</v>
          </cell>
          <cell r="M87">
            <v>0</v>
          </cell>
          <cell r="N87">
            <v>0</v>
          </cell>
          <cell r="Q87">
            <v>0</v>
          </cell>
          <cell r="R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D87">
            <v>0</v>
          </cell>
          <cell r="AE87">
            <v>0</v>
          </cell>
          <cell r="AH87">
            <v>0</v>
          </cell>
          <cell r="AI87">
            <v>0</v>
          </cell>
          <cell r="AL87">
            <v>0</v>
          </cell>
          <cell r="AM87">
            <v>0</v>
          </cell>
          <cell r="AP87">
            <v>0</v>
          </cell>
          <cell r="AQ87">
            <v>0</v>
          </cell>
          <cell r="AT87">
            <v>0</v>
          </cell>
          <cell r="AU87">
            <v>0</v>
          </cell>
          <cell r="AX87">
            <v>0</v>
          </cell>
          <cell r="AY87">
            <v>0</v>
          </cell>
          <cell r="BB87">
            <v>0</v>
          </cell>
          <cell r="BC87">
            <v>0</v>
          </cell>
          <cell r="BF87">
            <v>0</v>
          </cell>
          <cell r="BG87">
            <v>0</v>
          </cell>
          <cell r="BJ87">
            <v>0</v>
          </cell>
          <cell r="BK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</row>
        <row r="88">
          <cell r="B88" t="str">
            <v>||</v>
          </cell>
          <cell r="E88">
            <v>0</v>
          </cell>
          <cell r="F88">
            <v>0</v>
          </cell>
          <cell r="I88">
            <v>0</v>
          </cell>
          <cell r="J88">
            <v>0</v>
          </cell>
          <cell r="M88">
            <v>0</v>
          </cell>
          <cell r="N88">
            <v>0</v>
          </cell>
          <cell r="Q88">
            <v>0</v>
          </cell>
          <cell r="R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D88">
            <v>0</v>
          </cell>
          <cell r="AE88">
            <v>0</v>
          </cell>
          <cell r="AH88">
            <v>0</v>
          </cell>
          <cell r="AI88">
            <v>0</v>
          </cell>
          <cell r="AL88">
            <v>0</v>
          </cell>
          <cell r="AM88">
            <v>0</v>
          </cell>
          <cell r="AP88">
            <v>0</v>
          </cell>
          <cell r="AQ88">
            <v>0</v>
          </cell>
          <cell r="AT88">
            <v>0</v>
          </cell>
          <cell r="AU88">
            <v>0</v>
          </cell>
          <cell r="AX88">
            <v>0</v>
          </cell>
          <cell r="AY88">
            <v>0</v>
          </cell>
          <cell r="BB88">
            <v>0</v>
          </cell>
          <cell r="BC88">
            <v>0</v>
          </cell>
          <cell r="BF88">
            <v>0</v>
          </cell>
          <cell r="BG88">
            <v>0</v>
          </cell>
          <cell r="BJ88">
            <v>0</v>
          </cell>
          <cell r="BK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</row>
        <row r="89">
          <cell r="B89" t="str">
            <v>||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</row>
        <row r="90">
          <cell r="B90" t="str">
            <v>||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</row>
        <row r="91">
          <cell r="B91" t="str">
            <v>||</v>
          </cell>
        </row>
        <row r="92">
          <cell r="B92" t="str">
            <v>||</v>
          </cell>
        </row>
        <row r="93">
          <cell r="B93" t="str">
            <v>||</v>
          </cell>
          <cell r="E93">
            <v>0</v>
          </cell>
          <cell r="F93">
            <v>0</v>
          </cell>
          <cell r="I93">
            <v>0</v>
          </cell>
          <cell r="J93">
            <v>0</v>
          </cell>
          <cell r="M93">
            <v>0</v>
          </cell>
          <cell r="N93">
            <v>0</v>
          </cell>
          <cell r="Q93">
            <v>0</v>
          </cell>
          <cell r="R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D93">
            <v>0</v>
          </cell>
          <cell r="AE93">
            <v>0</v>
          </cell>
          <cell r="AH93">
            <v>0</v>
          </cell>
          <cell r="AI93">
            <v>0</v>
          </cell>
          <cell r="AL93">
            <v>0</v>
          </cell>
          <cell r="AM93">
            <v>0</v>
          </cell>
          <cell r="AP93">
            <v>0</v>
          </cell>
          <cell r="AQ93">
            <v>0</v>
          </cell>
          <cell r="AT93">
            <v>0</v>
          </cell>
          <cell r="AU93">
            <v>0</v>
          </cell>
          <cell r="AX93">
            <v>0</v>
          </cell>
          <cell r="AY93">
            <v>0</v>
          </cell>
          <cell r="BB93">
            <v>0</v>
          </cell>
          <cell r="BC93">
            <v>0</v>
          </cell>
          <cell r="BF93">
            <v>0</v>
          </cell>
          <cell r="BG93">
            <v>0</v>
          </cell>
          <cell r="BJ93">
            <v>0</v>
          </cell>
          <cell r="BK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</row>
        <row r="94">
          <cell r="B94" t="str">
            <v>||</v>
          </cell>
          <cell r="E94">
            <v>0</v>
          </cell>
          <cell r="F94">
            <v>0</v>
          </cell>
          <cell r="I94">
            <v>0</v>
          </cell>
          <cell r="J94">
            <v>0</v>
          </cell>
          <cell r="M94">
            <v>0</v>
          </cell>
          <cell r="N94">
            <v>0</v>
          </cell>
          <cell r="Q94">
            <v>0</v>
          </cell>
          <cell r="R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D94">
            <v>0</v>
          </cell>
          <cell r="AE94">
            <v>0</v>
          </cell>
          <cell r="AH94">
            <v>0</v>
          </cell>
          <cell r="AI94">
            <v>0</v>
          </cell>
          <cell r="AL94">
            <v>0</v>
          </cell>
          <cell r="AM94">
            <v>0</v>
          </cell>
          <cell r="AP94">
            <v>0</v>
          </cell>
          <cell r="AQ94">
            <v>0</v>
          </cell>
          <cell r="AT94">
            <v>0</v>
          </cell>
          <cell r="AU94">
            <v>0</v>
          </cell>
          <cell r="AX94">
            <v>0</v>
          </cell>
          <cell r="AY94">
            <v>0</v>
          </cell>
          <cell r="BB94">
            <v>0</v>
          </cell>
          <cell r="BC94">
            <v>0</v>
          </cell>
          <cell r="BF94">
            <v>0</v>
          </cell>
          <cell r="BG94">
            <v>0</v>
          </cell>
          <cell r="BJ94">
            <v>0</v>
          </cell>
          <cell r="BK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</row>
        <row r="95">
          <cell r="B95" t="str">
            <v>||</v>
          </cell>
          <cell r="E95">
            <v>0</v>
          </cell>
          <cell r="F95">
            <v>0</v>
          </cell>
          <cell r="I95">
            <v>0</v>
          </cell>
          <cell r="J95">
            <v>0</v>
          </cell>
          <cell r="M95">
            <v>0</v>
          </cell>
          <cell r="N95">
            <v>0</v>
          </cell>
          <cell r="Q95">
            <v>0</v>
          </cell>
          <cell r="R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D95">
            <v>0</v>
          </cell>
          <cell r="AE95">
            <v>0</v>
          </cell>
          <cell r="AH95">
            <v>0</v>
          </cell>
          <cell r="AI95">
            <v>0</v>
          </cell>
          <cell r="AL95">
            <v>0</v>
          </cell>
          <cell r="AM95">
            <v>0</v>
          </cell>
          <cell r="AP95">
            <v>0</v>
          </cell>
          <cell r="AQ95">
            <v>0</v>
          </cell>
          <cell r="AT95">
            <v>0</v>
          </cell>
          <cell r="AU95">
            <v>0</v>
          </cell>
          <cell r="AX95">
            <v>0</v>
          </cell>
          <cell r="AY95">
            <v>0</v>
          </cell>
          <cell r="BB95">
            <v>0</v>
          </cell>
          <cell r="BC95">
            <v>0</v>
          </cell>
          <cell r="BF95">
            <v>0</v>
          </cell>
          <cell r="BG95">
            <v>0</v>
          </cell>
          <cell r="BJ95">
            <v>0</v>
          </cell>
          <cell r="BK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</row>
        <row r="96">
          <cell r="B96" t="str">
            <v>||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</row>
        <row r="97">
          <cell r="B97" t="str">
            <v>||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</row>
        <row r="98">
          <cell r="B98" t="str">
            <v>||</v>
          </cell>
        </row>
        <row r="99">
          <cell r="B99" t="str">
            <v>||</v>
          </cell>
        </row>
        <row r="100">
          <cell r="B100" t="str">
            <v>||</v>
          </cell>
          <cell r="E100">
            <v>0</v>
          </cell>
          <cell r="F100">
            <v>0</v>
          </cell>
          <cell r="I100">
            <v>0</v>
          </cell>
          <cell r="J100">
            <v>0</v>
          </cell>
          <cell r="M100">
            <v>0</v>
          </cell>
          <cell r="N100">
            <v>0</v>
          </cell>
          <cell r="Q100">
            <v>0</v>
          </cell>
          <cell r="R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D100">
            <v>0</v>
          </cell>
          <cell r="AE100">
            <v>0</v>
          </cell>
          <cell r="AH100">
            <v>0</v>
          </cell>
          <cell r="AI100">
            <v>0</v>
          </cell>
          <cell r="AL100">
            <v>0</v>
          </cell>
          <cell r="AM100">
            <v>0</v>
          </cell>
          <cell r="AP100">
            <v>0</v>
          </cell>
          <cell r="AQ100">
            <v>0</v>
          </cell>
          <cell r="AT100">
            <v>0</v>
          </cell>
          <cell r="AU100">
            <v>0</v>
          </cell>
          <cell r="AX100">
            <v>0</v>
          </cell>
          <cell r="AY100">
            <v>0</v>
          </cell>
          <cell r="BB100">
            <v>0</v>
          </cell>
          <cell r="BC100">
            <v>0</v>
          </cell>
          <cell r="BF100">
            <v>0</v>
          </cell>
          <cell r="BG100">
            <v>0</v>
          </cell>
          <cell r="BJ100">
            <v>0</v>
          </cell>
          <cell r="BK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</row>
        <row r="101">
          <cell r="B101" t="str">
            <v>||</v>
          </cell>
          <cell r="E101">
            <v>0</v>
          </cell>
          <cell r="F101">
            <v>0</v>
          </cell>
          <cell r="I101">
            <v>0</v>
          </cell>
          <cell r="J101">
            <v>0</v>
          </cell>
          <cell r="M101">
            <v>0</v>
          </cell>
          <cell r="N101">
            <v>0</v>
          </cell>
          <cell r="Q101">
            <v>0</v>
          </cell>
          <cell r="R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D101">
            <v>0</v>
          </cell>
          <cell r="AE101">
            <v>0</v>
          </cell>
          <cell r="AH101">
            <v>0</v>
          </cell>
          <cell r="AI101">
            <v>0</v>
          </cell>
          <cell r="AL101">
            <v>0</v>
          </cell>
          <cell r="AM101">
            <v>0</v>
          </cell>
          <cell r="AP101">
            <v>0</v>
          </cell>
          <cell r="AQ101">
            <v>0</v>
          </cell>
          <cell r="AT101">
            <v>0</v>
          </cell>
          <cell r="AU101">
            <v>0</v>
          </cell>
          <cell r="AX101">
            <v>0</v>
          </cell>
          <cell r="AY101">
            <v>0</v>
          </cell>
          <cell r="BB101">
            <v>0</v>
          </cell>
          <cell r="BC101">
            <v>0</v>
          </cell>
          <cell r="BF101">
            <v>0</v>
          </cell>
          <cell r="BG101">
            <v>0</v>
          </cell>
          <cell r="BJ101">
            <v>0</v>
          </cell>
          <cell r="BK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</row>
        <row r="102">
          <cell r="B102" t="str">
            <v>||</v>
          </cell>
          <cell r="E102">
            <v>0</v>
          </cell>
          <cell r="F102">
            <v>0</v>
          </cell>
          <cell r="I102">
            <v>0</v>
          </cell>
          <cell r="J102">
            <v>0</v>
          </cell>
          <cell r="M102">
            <v>0</v>
          </cell>
          <cell r="N102">
            <v>0</v>
          </cell>
          <cell r="Q102">
            <v>0</v>
          </cell>
          <cell r="R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D102">
            <v>0</v>
          </cell>
          <cell r="AE102">
            <v>0</v>
          </cell>
          <cell r="AH102">
            <v>0</v>
          </cell>
          <cell r="AI102">
            <v>0</v>
          </cell>
          <cell r="AL102">
            <v>0</v>
          </cell>
          <cell r="AM102">
            <v>0</v>
          </cell>
          <cell r="AP102">
            <v>0</v>
          </cell>
          <cell r="AQ102">
            <v>0</v>
          </cell>
          <cell r="AT102">
            <v>0</v>
          </cell>
          <cell r="AU102">
            <v>0</v>
          </cell>
          <cell r="AX102">
            <v>0</v>
          </cell>
          <cell r="AY102">
            <v>0</v>
          </cell>
          <cell r="BB102">
            <v>0</v>
          </cell>
          <cell r="BC102">
            <v>0</v>
          </cell>
          <cell r="BF102">
            <v>0</v>
          </cell>
          <cell r="BG102">
            <v>0</v>
          </cell>
          <cell r="BJ102">
            <v>0</v>
          </cell>
          <cell r="BK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</row>
        <row r="103">
          <cell r="B103" t="str">
            <v>||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</row>
        <row r="104">
          <cell r="B104" t="str">
            <v>||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</row>
        <row r="105">
          <cell r="B105" t="str">
            <v>||</v>
          </cell>
        </row>
        <row r="106">
          <cell r="B106" t="str">
            <v>||</v>
          </cell>
        </row>
        <row r="107">
          <cell r="B107" t="str">
            <v>||</v>
          </cell>
          <cell r="E107">
            <v>0</v>
          </cell>
          <cell r="F107">
            <v>0</v>
          </cell>
          <cell r="I107">
            <v>0</v>
          </cell>
          <cell r="J107">
            <v>0</v>
          </cell>
          <cell r="M107">
            <v>0</v>
          </cell>
          <cell r="N107">
            <v>0</v>
          </cell>
          <cell r="Q107">
            <v>0</v>
          </cell>
          <cell r="R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D107">
            <v>0</v>
          </cell>
          <cell r="AE107">
            <v>0</v>
          </cell>
          <cell r="AH107">
            <v>0</v>
          </cell>
          <cell r="AI107">
            <v>0</v>
          </cell>
          <cell r="AL107">
            <v>0</v>
          </cell>
          <cell r="AM107">
            <v>0</v>
          </cell>
          <cell r="AP107">
            <v>0</v>
          </cell>
          <cell r="AQ107">
            <v>0</v>
          </cell>
          <cell r="AT107">
            <v>0</v>
          </cell>
          <cell r="AU107">
            <v>0</v>
          </cell>
          <cell r="AX107">
            <v>0</v>
          </cell>
          <cell r="AY107">
            <v>0</v>
          </cell>
          <cell r="BB107">
            <v>0</v>
          </cell>
          <cell r="BC107">
            <v>0</v>
          </cell>
          <cell r="BF107">
            <v>0</v>
          </cell>
          <cell r="BG107">
            <v>0</v>
          </cell>
          <cell r="BJ107">
            <v>0</v>
          </cell>
          <cell r="BK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</row>
        <row r="108">
          <cell r="B108" t="str">
            <v>||</v>
          </cell>
          <cell r="E108">
            <v>0</v>
          </cell>
          <cell r="F108">
            <v>0</v>
          </cell>
          <cell r="I108">
            <v>0</v>
          </cell>
          <cell r="J108">
            <v>0</v>
          </cell>
          <cell r="M108">
            <v>0</v>
          </cell>
          <cell r="N108">
            <v>0</v>
          </cell>
          <cell r="Q108">
            <v>0</v>
          </cell>
          <cell r="R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D108">
            <v>0</v>
          </cell>
          <cell r="AE108">
            <v>0</v>
          </cell>
          <cell r="AH108">
            <v>0</v>
          </cell>
          <cell r="AI108">
            <v>0</v>
          </cell>
          <cell r="AL108">
            <v>0</v>
          </cell>
          <cell r="AM108">
            <v>0</v>
          </cell>
          <cell r="AP108">
            <v>0</v>
          </cell>
          <cell r="AQ108">
            <v>0</v>
          </cell>
          <cell r="AT108">
            <v>0</v>
          </cell>
          <cell r="AU108">
            <v>0</v>
          </cell>
          <cell r="AX108">
            <v>0</v>
          </cell>
          <cell r="AY108">
            <v>0</v>
          </cell>
          <cell r="BB108">
            <v>0</v>
          </cell>
          <cell r="BC108">
            <v>0</v>
          </cell>
          <cell r="BF108">
            <v>0</v>
          </cell>
          <cell r="BG108">
            <v>0</v>
          </cell>
          <cell r="BJ108">
            <v>0</v>
          </cell>
          <cell r="BK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</row>
        <row r="109">
          <cell r="B109" t="str">
            <v>||</v>
          </cell>
          <cell r="E109">
            <v>0</v>
          </cell>
          <cell r="F109">
            <v>0</v>
          </cell>
          <cell r="I109">
            <v>0</v>
          </cell>
          <cell r="J109">
            <v>0</v>
          </cell>
          <cell r="M109">
            <v>0</v>
          </cell>
          <cell r="N109">
            <v>0</v>
          </cell>
          <cell r="Q109">
            <v>0</v>
          </cell>
          <cell r="R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D109">
            <v>0</v>
          </cell>
          <cell r="AE109">
            <v>0</v>
          </cell>
          <cell r="AH109">
            <v>0</v>
          </cell>
          <cell r="AI109">
            <v>0</v>
          </cell>
          <cell r="AL109">
            <v>0</v>
          </cell>
          <cell r="AM109">
            <v>0</v>
          </cell>
          <cell r="AP109">
            <v>0</v>
          </cell>
          <cell r="AQ109">
            <v>0</v>
          </cell>
          <cell r="AT109">
            <v>0</v>
          </cell>
          <cell r="AU109">
            <v>0</v>
          </cell>
          <cell r="AX109">
            <v>0</v>
          </cell>
          <cell r="AY109">
            <v>0</v>
          </cell>
          <cell r="BB109">
            <v>0</v>
          </cell>
          <cell r="BC109">
            <v>0</v>
          </cell>
          <cell r="BF109">
            <v>0</v>
          </cell>
          <cell r="BG109">
            <v>0</v>
          </cell>
          <cell r="BJ109">
            <v>0</v>
          </cell>
          <cell r="BK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</row>
        <row r="110">
          <cell r="B110" t="str">
            <v>||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</row>
        <row r="111">
          <cell r="B111" t="str">
            <v>||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</row>
        <row r="112">
          <cell r="B112" t="str">
            <v>||</v>
          </cell>
        </row>
        <row r="113">
          <cell r="B113" t="str">
            <v>||</v>
          </cell>
        </row>
        <row r="114">
          <cell r="B114" t="str">
            <v>||</v>
          </cell>
          <cell r="E114">
            <v>0</v>
          </cell>
          <cell r="F114">
            <v>0</v>
          </cell>
          <cell r="I114">
            <v>0</v>
          </cell>
          <cell r="J114">
            <v>0</v>
          </cell>
          <cell r="M114">
            <v>0</v>
          </cell>
          <cell r="N114">
            <v>0</v>
          </cell>
          <cell r="Q114">
            <v>0</v>
          </cell>
          <cell r="R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D114">
            <v>0</v>
          </cell>
          <cell r="AE114">
            <v>0</v>
          </cell>
          <cell r="AH114">
            <v>0</v>
          </cell>
          <cell r="AI114">
            <v>0</v>
          </cell>
          <cell r="AL114">
            <v>0</v>
          </cell>
          <cell r="AM114">
            <v>0</v>
          </cell>
          <cell r="AP114">
            <v>0</v>
          </cell>
          <cell r="AQ114">
            <v>0</v>
          </cell>
          <cell r="AT114">
            <v>0</v>
          </cell>
          <cell r="AU114">
            <v>0</v>
          </cell>
          <cell r="AX114">
            <v>0</v>
          </cell>
          <cell r="AY114">
            <v>0</v>
          </cell>
          <cell r="BB114">
            <v>0</v>
          </cell>
          <cell r="BC114">
            <v>0</v>
          </cell>
          <cell r="BF114">
            <v>0</v>
          </cell>
          <cell r="BG114">
            <v>0</v>
          </cell>
          <cell r="BJ114">
            <v>0</v>
          </cell>
          <cell r="BK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</row>
        <row r="115">
          <cell r="B115" t="str">
            <v>||</v>
          </cell>
          <cell r="E115">
            <v>0</v>
          </cell>
          <cell r="F115">
            <v>0</v>
          </cell>
          <cell r="I115">
            <v>0</v>
          </cell>
          <cell r="J115">
            <v>0</v>
          </cell>
          <cell r="M115">
            <v>0</v>
          </cell>
          <cell r="N115">
            <v>0</v>
          </cell>
          <cell r="Q115">
            <v>0</v>
          </cell>
          <cell r="R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D115">
            <v>0</v>
          </cell>
          <cell r="AE115">
            <v>0</v>
          </cell>
          <cell r="AH115">
            <v>0</v>
          </cell>
          <cell r="AI115">
            <v>0</v>
          </cell>
          <cell r="AL115">
            <v>0</v>
          </cell>
          <cell r="AM115">
            <v>0</v>
          </cell>
          <cell r="AP115">
            <v>0</v>
          </cell>
          <cell r="AQ115">
            <v>0</v>
          </cell>
          <cell r="AT115">
            <v>0</v>
          </cell>
          <cell r="AU115">
            <v>0</v>
          </cell>
          <cell r="AX115">
            <v>0</v>
          </cell>
          <cell r="AY115">
            <v>0</v>
          </cell>
          <cell r="BB115">
            <v>0</v>
          </cell>
          <cell r="BC115">
            <v>0</v>
          </cell>
          <cell r="BF115">
            <v>0</v>
          </cell>
          <cell r="BG115">
            <v>0</v>
          </cell>
          <cell r="BJ115">
            <v>0</v>
          </cell>
          <cell r="BK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</row>
        <row r="116">
          <cell r="B116" t="str">
            <v>||</v>
          </cell>
          <cell r="E116">
            <v>0</v>
          </cell>
          <cell r="F116">
            <v>0</v>
          </cell>
          <cell r="I116">
            <v>0</v>
          </cell>
          <cell r="J116">
            <v>0</v>
          </cell>
          <cell r="M116">
            <v>0</v>
          </cell>
          <cell r="N116">
            <v>0</v>
          </cell>
          <cell r="Q116">
            <v>0</v>
          </cell>
          <cell r="R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D116">
            <v>0</v>
          </cell>
          <cell r="AE116">
            <v>0</v>
          </cell>
          <cell r="AH116">
            <v>0</v>
          </cell>
          <cell r="AI116">
            <v>0</v>
          </cell>
          <cell r="AL116">
            <v>0</v>
          </cell>
          <cell r="AM116">
            <v>0</v>
          </cell>
          <cell r="AP116">
            <v>0</v>
          </cell>
          <cell r="AQ116">
            <v>0</v>
          </cell>
          <cell r="AT116">
            <v>0</v>
          </cell>
          <cell r="AU116">
            <v>0</v>
          </cell>
          <cell r="AX116">
            <v>0</v>
          </cell>
          <cell r="AY116">
            <v>0</v>
          </cell>
          <cell r="BB116">
            <v>0</v>
          </cell>
          <cell r="BC116">
            <v>0</v>
          </cell>
          <cell r="BF116">
            <v>0</v>
          </cell>
          <cell r="BG116">
            <v>0</v>
          </cell>
          <cell r="BJ116">
            <v>0</v>
          </cell>
          <cell r="BK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</row>
        <row r="117">
          <cell r="B117" t="str">
            <v>||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</row>
        <row r="118">
          <cell r="B118" t="str">
            <v>||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</row>
        <row r="119">
          <cell r="B119" t="str">
            <v>||</v>
          </cell>
        </row>
        <row r="120">
          <cell r="B120" t="str">
            <v>||</v>
          </cell>
        </row>
        <row r="121">
          <cell r="B121" t="str">
            <v>||</v>
          </cell>
          <cell r="E121">
            <v>0</v>
          </cell>
          <cell r="F121">
            <v>0</v>
          </cell>
          <cell r="I121">
            <v>0</v>
          </cell>
          <cell r="J121">
            <v>0</v>
          </cell>
          <cell r="M121">
            <v>0</v>
          </cell>
          <cell r="N121">
            <v>0</v>
          </cell>
          <cell r="Q121">
            <v>0</v>
          </cell>
          <cell r="R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D121">
            <v>0</v>
          </cell>
          <cell r="AE121">
            <v>0</v>
          </cell>
          <cell r="AH121">
            <v>0</v>
          </cell>
          <cell r="AI121">
            <v>0</v>
          </cell>
          <cell r="AL121">
            <v>0</v>
          </cell>
          <cell r="AM121">
            <v>0</v>
          </cell>
          <cell r="AP121">
            <v>0</v>
          </cell>
          <cell r="AQ121">
            <v>0</v>
          </cell>
          <cell r="AT121">
            <v>0</v>
          </cell>
          <cell r="AU121">
            <v>0</v>
          </cell>
          <cell r="AX121">
            <v>0</v>
          </cell>
          <cell r="AY121">
            <v>0</v>
          </cell>
          <cell r="BB121">
            <v>0</v>
          </cell>
          <cell r="BC121">
            <v>0</v>
          </cell>
          <cell r="BF121">
            <v>0</v>
          </cell>
          <cell r="BG121">
            <v>0</v>
          </cell>
          <cell r="BJ121">
            <v>0</v>
          </cell>
          <cell r="BK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</row>
        <row r="122">
          <cell r="B122" t="str">
            <v>||</v>
          </cell>
          <cell r="E122">
            <v>0</v>
          </cell>
          <cell r="F122">
            <v>0</v>
          </cell>
          <cell r="I122">
            <v>0</v>
          </cell>
          <cell r="J122">
            <v>0</v>
          </cell>
          <cell r="M122">
            <v>0</v>
          </cell>
          <cell r="N122">
            <v>0</v>
          </cell>
          <cell r="Q122">
            <v>0</v>
          </cell>
          <cell r="R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D122">
            <v>0</v>
          </cell>
          <cell r="AE122">
            <v>0</v>
          </cell>
          <cell r="AH122">
            <v>0</v>
          </cell>
          <cell r="AI122">
            <v>0</v>
          </cell>
          <cell r="AL122">
            <v>0</v>
          </cell>
          <cell r="AM122">
            <v>0</v>
          </cell>
          <cell r="AP122">
            <v>0</v>
          </cell>
          <cell r="AQ122">
            <v>0</v>
          </cell>
          <cell r="AT122">
            <v>0</v>
          </cell>
          <cell r="AU122">
            <v>0</v>
          </cell>
          <cell r="AX122">
            <v>0</v>
          </cell>
          <cell r="AY122">
            <v>0</v>
          </cell>
          <cell r="BB122">
            <v>0</v>
          </cell>
          <cell r="BC122">
            <v>0</v>
          </cell>
          <cell r="BF122">
            <v>0</v>
          </cell>
          <cell r="BG122">
            <v>0</v>
          </cell>
          <cell r="BJ122">
            <v>0</v>
          </cell>
          <cell r="BK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</row>
        <row r="123">
          <cell r="B123" t="str">
            <v>||</v>
          </cell>
          <cell r="E123">
            <v>0</v>
          </cell>
          <cell r="F123">
            <v>0</v>
          </cell>
          <cell r="I123">
            <v>0</v>
          </cell>
          <cell r="J123">
            <v>0</v>
          </cell>
          <cell r="M123">
            <v>0</v>
          </cell>
          <cell r="N123">
            <v>0</v>
          </cell>
          <cell r="Q123">
            <v>0</v>
          </cell>
          <cell r="R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D123">
            <v>0</v>
          </cell>
          <cell r="AE123">
            <v>0</v>
          </cell>
          <cell r="AH123">
            <v>0</v>
          </cell>
          <cell r="AI123">
            <v>0</v>
          </cell>
          <cell r="AL123">
            <v>0</v>
          </cell>
          <cell r="AM123">
            <v>0</v>
          </cell>
          <cell r="AP123">
            <v>0</v>
          </cell>
          <cell r="AQ123">
            <v>0</v>
          </cell>
          <cell r="AT123">
            <v>0</v>
          </cell>
          <cell r="AU123">
            <v>0</v>
          </cell>
          <cell r="AX123">
            <v>0</v>
          </cell>
          <cell r="AY123">
            <v>0</v>
          </cell>
          <cell r="BB123">
            <v>0</v>
          </cell>
          <cell r="BC123">
            <v>0</v>
          </cell>
          <cell r="BF123">
            <v>0</v>
          </cell>
          <cell r="BG123">
            <v>0</v>
          </cell>
          <cell r="BJ123">
            <v>0</v>
          </cell>
          <cell r="BK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</row>
        <row r="124">
          <cell r="B124" t="str">
            <v>||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</row>
        <row r="125">
          <cell r="B125" t="str">
            <v>||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</row>
        <row r="126">
          <cell r="B126" t="str">
            <v>||</v>
          </cell>
        </row>
        <row r="127">
          <cell r="B127" t="str">
            <v>||</v>
          </cell>
        </row>
        <row r="128">
          <cell r="B128" t="str">
            <v>||</v>
          </cell>
          <cell r="E128">
            <v>0</v>
          </cell>
          <cell r="F128">
            <v>0</v>
          </cell>
          <cell r="I128">
            <v>0</v>
          </cell>
          <cell r="J128">
            <v>0</v>
          </cell>
          <cell r="M128">
            <v>0</v>
          </cell>
          <cell r="N128">
            <v>0</v>
          </cell>
          <cell r="Q128">
            <v>0</v>
          </cell>
          <cell r="R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D128">
            <v>0</v>
          </cell>
          <cell r="AE128">
            <v>0</v>
          </cell>
          <cell r="AH128">
            <v>0</v>
          </cell>
          <cell r="AI128">
            <v>0</v>
          </cell>
          <cell r="AL128">
            <v>0</v>
          </cell>
          <cell r="AM128">
            <v>0</v>
          </cell>
          <cell r="AP128">
            <v>0</v>
          </cell>
          <cell r="AQ128">
            <v>0</v>
          </cell>
          <cell r="AT128">
            <v>0</v>
          </cell>
          <cell r="AU128">
            <v>0</v>
          </cell>
          <cell r="AX128">
            <v>0</v>
          </cell>
          <cell r="AY128">
            <v>0</v>
          </cell>
          <cell r="BB128">
            <v>0</v>
          </cell>
          <cell r="BC128">
            <v>0</v>
          </cell>
          <cell r="BF128">
            <v>0</v>
          </cell>
          <cell r="BG128">
            <v>0</v>
          </cell>
          <cell r="BJ128">
            <v>0</v>
          </cell>
          <cell r="BK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</row>
        <row r="129">
          <cell r="B129" t="str">
            <v>||</v>
          </cell>
          <cell r="E129">
            <v>0</v>
          </cell>
          <cell r="F129">
            <v>0</v>
          </cell>
          <cell r="I129">
            <v>0</v>
          </cell>
          <cell r="J129">
            <v>0</v>
          </cell>
          <cell r="M129">
            <v>0</v>
          </cell>
          <cell r="N129">
            <v>0</v>
          </cell>
          <cell r="Q129">
            <v>0</v>
          </cell>
          <cell r="R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D129">
            <v>0</v>
          </cell>
          <cell r="AE129">
            <v>0</v>
          </cell>
          <cell r="AH129">
            <v>0</v>
          </cell>
          <cell r="AI129">
            <v>0</v>
          </cell>
          <cell r="AL129">
            <v>0</v>
          </cell>
          <cell r="AM129">
            <v>0</v>
          </cell>
          <cell r="AP129">
            <v>0</v>
          </cell>
          <cell r="AQ129">
            <v>0</v>
          </cell>
          <cell r="AT129">
            <v>0</v>
          </cell>
          <cell r="AU129">
            <v>0</v>
          </cell>
          <cell r="AX129">
            <v>0</v>
          </cell>
          <cell r="AY129">
            <v>0</v>
          </cell>
          <cell r="BB129">
            <v>0</v>
          </cell>
          <cell r="BC129">
            <v>0</v>
          </cell>
          <cell r="BF129">
            <v>0</v>
          </cell>
          <cell r="BG129">
            <v>0</v>
          </cell>
          <cell r="BJ129">
            <v>0</v>
          </cell>
          <cell r="BK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</row>
        <row r="130">
          <cell r="B130" t="str">
            <v>||</v>
          </cell>
          <cell r="E130">
            <v>0</v>
          </cell>
          <cell r="F130">
            <v>0</v>
          </cell>
          <cell r="I130">
            <v>0</v>
          </cell>
          <cell r="J130">
            <v>0</v>
          </cell>
          <cell r="M130">
            <v>0</v>
          </cell>
          <cell r="N130">
            <v>0</v>
          </cell>
          <cell r="Q130">
            <v>0</v>
          </cell>
          <cell r="R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D130">
            <v>0</v>
          </cell>
          <cell r="AE130">
            <v>0</v>
          </cell>
          <cell r="AH130">
            <v>0</v>
          </cell>
          <cell r="AI130">
            <v>0</v>
          </cell>
          <cell r="AL130">
            <v>0</v>
          </cell>
          <cell r="AM130">
            <v>0</v>
          </cell>
          <cell r="AP130">
            <v>0</v>
          </cell>
          <cell r="AQ130">
            <v>0</v>
          </cell>
          <cell r="AT130">
            <v>0</v>
          </cell>
          <cell r="AU130">
            <v>0</v>
          </cell>
          <cell r="AX130">
            <v>0</v>
          </cell>
          <cell r="AY130">
            <v>0</v>
          </cell>
          <cell r="BB130">
            <v>0</v>
          </cell>
          <cell r="BC130">
            <v>0</v>
          </cell>
          <cell r="BF130">
            <v>0</v>
          </cell>
          <cell r="BG130">
            <v>0</v>
          </cell>
          <cell r="BJ130">
            <v>0</v>
          </cell>
          <cell r="BK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</row>
        <row r="131">
          <cell r="B131" t="str">
            <v>||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</row>
        <row r="132">
          <cell r="B132" t="str">
            <v>||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</row>
        <row r="133">
          <cell r="B133" t="str">
            <v>||</v>
          </cell>
        </row>
        <row r="134">
          <cell r="B134" t="str">
            <v>||</v>
          </cell>
        </row>
        <row r="135">
          <cell r="B135" t="str">
            <v>||</v>
          </cell>
          <cell r="E135">
            <v>0</v>
          </cell>
          <cell r="F135">
            <v>0</v>
          </cell>
          <cell r="I135">
            <v>0</v>
          </cell>
          <cell r="J135">
            <v>0</v>
          </cell>
          <cell r="M135">
            <v>0</v>
          </cell>
          <cell r="N135">
            <v>0</v>
          </cell>
          <cell r="Q135">
            <v>0</v>
          </cell>
          <cell r="R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D135">
            <v>0</v>
          </cell>
          <cell r="AE135">
            <v>0</v>
          </cell>
          <cell r="AH135">
            <v>0</v>
          </cell>
          <cell r="AI135">
            <v>0</v>
          </cell>
          <cell r="AL135">
            <v>0</v>
          </cell>
          <cell r="AM135">
            <v>0</v>
          </cell>
          <cell r="AP135">
            <v>0</v>
          </cell>
          <cell r="AQ135">
            <v>0</v>
          </cell>
          <cell r="AT135">
            <v>0</v>
          </cell>
          <cell r="AU135">
            <v>0</v>
          </cell>
          <cell r="AX135">
            <v>0</v>
          </cell>
          <cell r="AY135">
            <v>0</v>
          </cell>
          <cell r="BB135">
            <v>0</v>
          </cell>
          <cell r="BC135">
            <v>0</v>
          </cell>
          <cell r="BF135">
            <v>0</v>
          </cell>
          <cell r="BG135">
            <v>0</v>
          </cell>
          <cell r="BJ135">
            <v>0</v>
          </cell>
          <cell r="BK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</row>
        <row r="136">
          <cell r="B136" t="str">
            <v>||</v>
          </cell>
          <cell r="E136">
            <v>0</v>
          </cell>
          <cell r="F136">
            <v>0</v>
          </cell>
          <cell r="I136">
            <v>0</v>
          </cell>
          <cell r="J136">
            <v>0</v>
          </cell>
          <cell r="M136">
            <v>0</v>
          </cell>
          <cell r="N136">
            <v>0</v>
          </cell>
          <cell r="Q136">
            <v>0</v>
          </cell>
          <cell r="R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D136">
            <v>0</v>
          </cell>
          <cell r="AE136">
            <v>0</v>
          </cell>
          <cell r="AH136">
            <v>0</v>
          </cell>
          <cell r="AI136">
            <v>0</v>
          </cell>
          <cell r="AL136">
            <v>0</v>
          </cell>
          <cell r="AM136">
            <v>0</v>
          </cell>
          <cell r="AP136">
            <v>0</v>
          </cell>
          <cell r="AQ136">
            <v>0</v>
          </cell>
          <cell r="AT136">
            <v>0</v>
          </cell>
          <cell r="AU136">
            <v>0</v>
          </cell>
          <cell r="AX136">
            <v>0</v>
          </cell>
          <cell r="AY136">
            <v>0</v>
          </cell>
          <cell r="BB136">
            <v>0</v>
          </cell>
          <cell r="BC136">
            <v>0</v>
          </cell>
          <cell r="BF136">
            <v>0</v>
          </cell>
          <cell r="BG136">
            <v>0</v>
          </cell>
          <cell r="BJ136">
            <v>0</v>
          </cell>
          <cell r="BK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</row>
        <row r="137">
          <cell r="B137" t="str">
            <v>||</v>
          </cell>
          <cell r="E137">
            <v>0</v>
          </cell>
          <cell r="F137">
            <v>0</v>
          </cell>
          <cell r="I137">
            <v>0</v>
          </cell>
          <cell r="J137">
            <v>0</v>
          </cell>
          <cell r="M137">
            <v>0</v>
          </cell>
          <cell r="N137">
            <v>0</v>
          </cell>
          <cell r="Q137">
            <v>0</v>
          </cell>
          <cell r="R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D137">
            <v>0</v>
          </cell>
          <cell r="AE137">
            <v>0</v>
          </cell>
          <cell r="AH137">
            <v>0</v>
          </cell>
          <cell r="AI137">
            <v>0</v>
          </cell>
          <cell r="AL137">
            <v>0</v>
          </cell>
          <cell r="AM137">
            <v>0</v>
          </cell>
          <cell r="AP137">
            <v>0</v>
          </cell>
          <cell r="AQ137">
            <v>0</v>
          </cell>
          <cell r="AT137">
            <v>0</v>
          </cell>
          <cell r="AU137">
            <v>0</v>
          </cell>
          <cell r="AX137">
            <v>0</v>
          </cell>
          <cell r="AY137">
            <v>0</v>
          </cell>
          <cell r="BB137">
            <v>0</v>
          </cell>
          <cell r="BC137">
            <v>0</v>
          </cell>
          <cell r="BF137">
            <v>0</v>
          </cell>
          <cell r="BG137">
            <v>0</v>
          </cell>
          <cell r="BJ137">
            <v>0</v>
          </cell>
          <cell r="BK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</row>
        <row r="138">
          <cell r="B138" t="str">
            <v>||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</row>
        <row r="139">
          <cell r="B139" t="str">
            <v>||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</row>
        <row r="140">
          <cell r="B140" t="str">
            <v>||</v>
          </cell>
        </row>
        <row r="141">
          <cell r="B141" t="str">
            <v>||</v>
          </cell>
        </row>
        <row r="142">
          <cell r="B142" t="str">
            <v>||</v>
          </cell>
          <cell r="E142">
            <v>0</v>
          </cell>
          <cell r="F142">
            <v>0</v>
          </cell>
          <cell r="I142">
            <v>0</v>
          </cell>
          <cell r="J142">
            <v>0</v>
          </cell>
          <cell r="M142">
            <v>0</v>
          </cell>
          <cell r="N142">
            <v>0</v>
          </cell>
          <cell r="Q142">
            <v>0</v>
          </cell>
          <cell r="R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D142">
            <v>0</v>
          </cell>
          <cell r="AE142">
            <v>0</v>
          </cell>
          <cell r="AH142">
            <v>0</v>
          </cell>
          <cell r="AI142">
            <v>0</v>
          </cell>
          <cell r="AL142">
            <v>0</v>
          </cell>
          <cell r="AM142">
            <v>0</v>
          </cell>
          <cell r="AP142">
            <v>0</v>
          </cell>
          <cell r="AQ142">
            <v>0</v>
          </cell>
          <cell r="AT142">
            <v>0</v>
          </cell>
          <cell r="AU142">
            <v>0</v>
          </cell>
          <cell r="AX142">
            <v>0</v>
          </cell>
          <cell r="AY142">
            <v>0</v>
          </cell>
          <cell r="BB142">
            <v>0</v>
          </cell>
          <cell r="BC142">
            <v>0</v>
          </cell>
          <cell r="BF142">
            <v>0</v>
          </cell>
          <cell r="BG142">
            <v>0</v>
          </cell>
          <cell r="BJ142">
            <v>0</v>
          </cell>
          <cell r="BK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</row>
        <row r="143">
          <cell r="B143" t="str">
            <v>||</v>
          </cell>
          <cell r="E143">
            <v>0</v>
          </cell>
          <cell r="F143">
            <v>0</v>
          </cell>
          <cell r="I143">
            <v>0</v>
          </cell>
          <cell r="J143">
            <v>0</v>
          </cell>
          <cell r="M143">
            <v>0</v>
          </cell>
          <cell r="N143">
            <v>0</v>
          </cell>
          <cell r="Q143">
            <v>0</v>
          </cell>
          <cell r="R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D143">
            <v>0</v>
          </cell>
          <cell r="AE143">
            <v>0</v>
          </cell>
          <cell r="AH143">
            <v>0</v>
          </cell>
          <cell r="AI143">
            <v>0</v>
          </cell>
          <cell r="AL143">
            <v>0</v>
          </cell>
          <cell r="AM143">
            <v>0</v>
          </cell>
          <cell r="AP143">
            <v>0</v>
          </cell>
          <cell r="AQ143">
            <v>0</v>
          </cell>
          <cell r="AT143">
            <v>0</v>
          </cell>
          <cell r="AU143">
            <v>0</v>
          </cell>
          <cell r="AX143">
            <v>0</v>
          </cell>
          <cell r="AY143">
            <v>0</v>
          </cell>
          <cell r="BB143">
            <v>0</v>
          </cell>
          <cell r="BC143">
            <v>0</v>
          </cell>
          <cell r="BF143">
            <v>0</v>
          </cell>
          <cell r="BG143">
            <v>0</v>
          </cell>
          <cell r="BJ143">
            <v>0</v>
          </cell>
          <cell r="BK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</row>
        <row r="144">
          <cell r="B144" t="str">
            <v>||</v>
          </cell>
          <cell r="E144">
            <v>0</v>
          </cell>
          <cell r="F144">
            <v>0</v>
          </cell>
          <cell r="I144">
            <v>0</v>
          </cell>
          <cell r="J144">
            <v>0</v>
          </cell>
          <cell r="M144">
            <v>0</v>
          </cell>
          <cell r="N144">
            <v>0</v>
          </cell>
          <cell r="Q144">
            <v>0</v>
          </cell>
          <cell r="R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D144">
            <v>0</v>
          </cell>
          <cell r="AE144">
            <v>0</v>
          </cell>
          <cell r="AH144">
            <v>0</v>
          </cell>
          <cell r="AI144">
            <v>0</v>
          </cell>
          <cell r="AL144">
            <v>0</v>
          </cell>
          <cell r="AM144">
            <v>0</v>
          </cell>
          <cell r="AP144">
            <v>0</v>
          </cell>
          <cell r="AQ144">
            <v>0</v>
          </cell>
          <cell r="AT144">
            <v>0</v>
          </cell>
          <cell r="AU144">
            <v>0</v>
          </cell>
          <cell r="AX144">
            <v>0</v>
          </cell>
          <cell r="AY144">
            <v>0</v>
          </cell>
          <cell r="BB144">
            <v>0</v>
          </cell>
          <cell r="BC144">
            <v>0</v>
          </cell>
          <cell r="BF144">
            <v>0</v>
          </cell>
          <cell r="BG144">
            <v>0</v>
          </cell>
          <cell r="BJ144">
            <v>0</v>
          </cell>
          <cell r="BK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</row>
        <row r="145">
          <cell r="B145" t="str">
            <v>||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</row>
        <row r="146">
          <cell r="B146" t="str">
            <v>||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</row>
        <row r="147">
          <cell r="B147" t="str">
            <v>||</v>
          </cell>
        </row>
        <row r="148">
          <cell r="B148" t="str">
            <v>||</v>
          </cell>
        </row>
        <row r="149">
          <cell r="B149" t="str">
            <v>||</v>
          </cell>
          <cell r="E149">
            <v>0</v>
          </cell>
          <cell r="F149">
            <v>0</v>
          </cell>
          <cell r="I149">
            <v>0</v>
          </cell>
          <cell r="J149">
            <v>0</v>
          </cell>
          <cell r="M149">
            <v>0</v>
          </cell>
          <cell r="N149">
            <v>0</v>
          </cell>
          <cell r="Q149">
            <v>0</v>
          </cell>
          <cell r="R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D149">
            <v>0</v>
          </cell>
          <cell r="AE149">
            <v>0</v>
          </cell>
          <cell r="AH149">
            <v>0</v>
          </cell>
          <cell r="AI149">
            <v>0</v>
          </cell>
          <cell r="AL149">
            <v>0</v>
          </cell>
          <cell r="AM149">
            <v>0</v>
          </cell>
          <cell r="AP149">
            <v>0</v>
          </cell>
          <cell r="AQ149">
            <v>0</v>
          </cell>
          <cell r="AT149">
            <v>0</v>
          </cell>
          <cell r="AU149">
            <v>0</v>
          </cell>
          <cell r="AX149">
            <v>0</v>
          </cell>
          <cell r="AY149">
            <v>0</v>
          </cell>
          <cell r="BB149">
            <v>0</v>
          </cell>
          <cell r="BC149">
            <v>0</v>
          </cell>
          <cell r="BF149">
            <v>0</v>
          </cell>
          <cell r="BG149">
            <v>0</v>
          </cell>
          <cell r="BJ149">
            <v>0</v>
          </cell>
          <cell r="BK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</row>
        <row r="150">
          <cell r="B150" t="str">
            <v>||</v>
          </cell>
          <cell r="E150">
            <v>0</v>
          </cell>
          <cell r="F150">
            <v>0</v>
          </cell>
          <cell r="I150">
            <v>0</v>
          </cell>
          <cell r="J150">
            <v>0</v>
          </cell>
          <cell r="M150">
            <v>0</v>
          </cell>
          <cell r="N150">
            <v>0</v>
          </cell>
          <cell r="Q150">
            <v>0</v>
          </cell>
          <cell r="R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D150">
            <v>0</v>
          </cell>
          <cell r="AE150">
            <v>0</v>
          </cell>
          <cell r="AH150">
            <v>0</v>
          </cell>
          <cell r="AI150">
            <v>0</v>
          </cell>
          <cell r="AL150">
            <v>0</v>
          </cell>
          <cell r="AM150">
            <v>0</v>
          </cell>
          <cell r="AP150">
            <v>0</v>
          </cell>
          <cell r="AQ150">
            <v>0</v>
          </cell>
          <cell r="AT150">
            <v>0</v>
          </cell>
          <cell r="AU150">
            <v>0</v>
          </cell>
          <cell r="AX150">
            <v>0</v>
          </cell>
          <cell r="AY150">
            <v>0</v>
          </cell>
          <cell r="BB150">
            <v>0</v>
          </cell>
          <cell r="BC150">
            <v>0</v>
          </cell>
          <cell r="BF150">
            <v>0</v>
          </cell>
          <cell r="BG150">
            <v>0</v>
          </cell>
          <cell r="BJ150">
            <v>0</v>
          </cell>
          <cell r="BK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</row>
        <row r="151">
          <cell r="B151" t="str">
            <v>||</v>
          </cell>
          <cell r="E151">
            <v>0</v>
          </cell>
          <cell r="F151">
            <v>0</v>
          </cell>
          <cell r="I151">
            <v>0</v>
          </cell>
          <cell r="J151">
            <v>0</v>
          </cell>
          <cell r="M151">
            <v>0</v>
          </cell>
          <cell r="N151">
            <v>0</v>
          </cell>
          <cell r="Q151">
            <v>0</v>
          </cell>
          <cell r="R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D151">
            <v>0</v>
          </cell>
          <cell r="AE151">
            <v>0</v>
          </cell>
          <cell r="AH151">
            <v>0</v>
          </cell>
          <cell r="AI151">
            <v>0</v>
          </cell>
          <cell r="AL151">
            <v>0</v>
          </cell>
          <cell r="AM151">
            <v>0</v>
          </cell>
          <cell r="AP151">
            <v>0</v>
          </cell>
          <cell r="AQ151">
            <v>0</v>
          </cell>
          <cell r="AT151">
            <v>0</v>
          </cell>
          <cell r="AU151">
            <v>0</v>
          </cell>
          <cell r="AX151">
            <v>0</v>
          </cell>
          <cell r="AY151">
            <v>0</v>
          </cell>
          <cell r="BB151">
            <v>0</v>
          </cell>
          <cell r="BC151">
            <v>0</v>
          </cell>
          <cell r="BF151">
            <v>0</v>
          </cell>
          <cell r="BG151">
            <v>0</v>
          </cell>
          <cell r="BJ151">
            <v>0</v>
          </cell>
          <cell r="BK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</row>
        <row r="152">
          <cell r="B152" t="str">
            <v>||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</row>
        <row r="153">
          <cell r="B153" t="str">
            <v>||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</row>
        <row r="154">
          <cell r="B154" t="str">
            <v>||</v>
          </cell>
        </row>
        <row r="155">
          <cell r="B155" t="str">
            <v>||</v>
          </cell>
        </row>
        <row r="156">
          <cell r="B156" t="str">
            <v>||</v>
          </cell>
          <cell r="E156">
            <v>0</v>
          </cell>
          <cell r="F156">
            <v>0</v>
          </cell>
          <cell r="I156">
            <v>0</v>
          </cell>
          <cell r="J156">
            <v>0</v>
          </cell>
          <cell r="M156">
            <v>0</v>
          </cell>
          <cell r="N156">
            <v>0</v>
          </cell>
          <cell r="Q156">
            <v>0</v>
          </cell>
          <cell r="R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D156">
            <v>0</v>
          </cell>
          <cell r="AE156">
            <v>0</v>
          </cell>
          <cell r="AH156">
            <v>0</v>
          </cell>
          <cell r="AI156">
            <v>0</v>
          </cell>
          <cell r="AL156">
            <v>0</v>
          </cell>
          <cell r="AM156">
            <v>0</v>
          </cell>
          <cell r="AP156">
            <v>0</v>
          </cell>
          <cell r="AQ156">
            <v>0</v>
          </cell>
          <cell r="AT156">
            <v>0</v>
          </cell>
          <cell r="AU156">
            <v>0</v>
          </cell>
          <cell r="AX156">
            <v>0</v>
          </cell>
          <cell r="AY156">
            <v>0</v>
          </cell>
          <cell r="BB156">
            <v>0</v>
          </cell>
          <cell r="BC156">
            <v>0</v>
          </cell>
          <cell r="BF156">
            <v>0</v>
          </cell>
          <cell r="BG156">
            <v>0</v>
          </cell>
          <cell r="BJ156">
            <v>0</v>
          </cell>
          <cell r="BK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</row>
        <row r="157">
          <cell r="B157" t="str">
            <v>||</v>
          </cell>
          <cell r="E157">
            <v>0</v>
          </cell>
          <cell r="F157">
            <v>0</v>
          </cell>
          <cell r="I157">
            <v>0</v>
          </cell>
          <cell r="J157">
            <v>0</v>
          </cell>
          <cell r="M157">
            <v>0</v>
          </cell>
          <cell r="N157">
            <v>0</v>
          </cell>
          <cell r="Q157">
            <v>0</v>
          </cell>
          <cell r="R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D157">
            <v>0</v>
          </cell>
          <cell r="AE157">
            <v>0</v>
          </cell>
          <cell r="AH157">
            <v>0</v>
          </cell>
          <cell r="AI157">
            <v>0</v>
          </cell>
          <cell r="AL157">
            <v>0</v>
          </cell>
          <cell r="AM157">
            <v>0</v>
          </cell>
          <cell r="AP157">
            <v>0</v>
          </cell>
          <cell r="AQ157">
            <v>0</v>
          </cell>
          <cell r="AT157">
            <v>0</v>
          </cell>
          <cell r="AU157">
            <v>0</v>
          </cell>
          <cell r="AX157">
            <v>0</v>
          </cell>
          <cell r="AY157">
            <v>0</v>
          </cell>
          <cell r="BB157">
            <v>0</v>
          </cell>
          <cell r="BC157">
            <v>0</v>
          </cell>
          <cell r="BF157">
            <v>0</v>
          </cell>
          <cell r="BG157">
            <v>0</v>
          </cell>
          <cell r="BJ157">
            <v>0</v>
          </cell>
          <cell r="BK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</row>
        <row r="158">
          <cell r="B158" t="str">
            <v>||</v>
          </cell>
          <cell r="E158">
            <v>0</v>
          </cell>
          <cell r="F158">
            <v>0</v>
          </cell>
          <cell r="I158">
            <v>0</v>
          </cell>
          <cell r="J158">
            <v>0</v>
          </cell>
          <cell r="M158">
            <v>0</v>
          </cell>
          <cell r="N158">
            <v>0</v>
          </cell>
          <cell r="Q158">
            <v>0</v>
          </cell>
          <cell r="R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D158">
            <v>0</v>
          </cell>
          <cell r="AE158">
            <v>0</v>
          </cell>
          <cell r="AH158">
            <v>0</v>
          </cell>
          <cell r="AI158">
            <v>0</v>
          </cell>
          <cell r="AL158">
            <v>0</v>
          </cell>
          <cell r="AM158">
            <v>0</v>
          </cell>
          <cell r="AP158">
            <v>0</v>
          </cell>
          <cell r="AQ158">
            <v>0</v>
          </cell>
          <cell r="AT158">
            <v>0</v>
          </cell>
          <cell r="AU158">
            <v>0</v>
          </cell>
          <cell r="AX158">
            <v>0</v>
          </cell>
          <cell r="AY158">
            <v>0</v>
          </cell>
          <cell r="BB158">
            <v>0</v>
          </cell>
          <cell r="BC158">
            <v>0</v>
          </cell>
          <cell r="BF158">
            <v>0</v>
          </cell>
          <cell r="BG158">
            <v>0</v>
          </cell>
          <cell r="BJ158">
            <v>0</v>
          </cell>
          <cell r="BK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</row>
        <row r="159">
          <cell r="B159" t="str">
            <v>||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</row>
        <row r="160">
          <cell r="B160" t="str">
            <v>||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</row>
        <row r="161">
          <cell r="B161" t="str">
            <v>||</v>
          </cell>
        </row>
        <row r="162">
          <cell r="B162" t="str">
            <v>||</v>
          </cell>
        </row>
        <row r="163">
          <cell r="B163" t="str">
            <v>||</v>
          </cell>
          <cell r="E163">
            <v>0</v>
          </cell>
          <cell r="F163">
            <v>0</v>
          </cell>
          <cell r="I163">
            <v>0</v>
          </cell>
          <cell r="J163">
            <v>0</v>
          </cell>
          <cell r="M163">
            <v>0</v>
          </cell>
          <cell r="N163">
            <v>0</v>
          </cell>
          <cell r="Q163">
            <v>0</v>
          </cell>
          <cell r="R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D163">
            <v>0</v>
          </cell>
          <cell r="AE163">
            <v>0</v>
          </cell>
          <cell r="AH163">
            <v>0</v>
          </cell>
          <cell r="AI163">
            <v>0</v>
          </cell>
          <cell r="AL163">
            <v>0</v>
          </cell>
          <cell r="AM163">
            <v>0</v>
          </cell>
          <cell r="AP163">
            <v>0</v>
          </cell>
          <cell r="AQ163">
            <v>0</v>
          </cell>
          <cell r="AT163">
            <v>0</v>
          </cell>
          <cell r="AU163">
            <v>0</v>
          </cell>
          <cell r="AX163">
            <v>0</v>
          </cell>
          <cell r="AY163">
            <v>0</v>
          </cell>
          <cell r="BB163">
            <v>0</v>
          </cell>
          <cell r="BC163">
            <v>0</v>
          </cell>
          <cell r="BF163">
            <v>0</v>
          </cell>
          <cell r="BG163">
            <v>0</v>
          </cell>
          <cell r="BJ163">
            <v>0</v>
          </cell>
          <cell r="BK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</row>
        <row r="164">
          <cell r="B164" t="str">
            <v>||</v>
          </cell>
          <cell r="E164">
            <v>0</v>
          </cell>
          <cell r="F164">
            <v>0</v>
          </cell>
          <cell r="I164">
            <v>0</v>
          </cell>
          <cell r="J164">
            <v>0</v>
          </cell>
          <cell r="M164">
            <v>0</v>
          </cell>
          <cell r="N164">
            <v>0</v>
          </cell>
          <cell r="Q164">
            <v>0</v>
          </cell>
          <cell r="R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D164">
            <v>0</v>
          </cell>
          <cell r="AE164">
            <v>0</v>
          </cell>
          <cell r="AH164">
            <v>0</v>
          </cell>
          <cell r="AI164">
            <v>0</v>
          </cell>
          <cell r="AL164">
            <v>0</v>
          </cell>
          <cell r="AM164">
            <v>0</v>
          </cell>
          <cell r="AP164">
            <v>0</v>
          </cell>
          <cell r="AQ164">
            <v>0</v>
          </cell>
          <cell r="AT164">
            <v>0</v>
          </cell>
          <cell r="AU164">
            <v>0</v>
          </cell>
          <cell r="AX164">
            <v>0</v>
          </cell>
          <cell r="AY164">
            <v>0</v>
          </cell>
          <cell r="BB164">
            <v>0</v>
          </cell>
          <cell r="BC164">
            <v>0</v>
          </cell>
          <cell r="BF164">
            <v>0</v>
          </cell>
          <cell r="BG164">
            <v>0</v>
          </cell>
          <cell r="BJ164">
            <v>0</v>
          </cell>
          <cell r="BK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</row>
        <row r="165">
          <cell r="B165" t="str">
            <v>||</v>
          </cell>
          <cell r="E165">
            <v>0</v>
          </cell>
          <cell r="F165">
            <v>0</v>
          </cell>
          <cell r="I165">
            <v>0</v>
          </cell>
          <cell r="J165">
            <v>0</v>
          </cell>
          <cell r="M165">
            <v>0</v>
          </cell>
          <cell r="N165">
            <v>0</v>
          </cell>
          <cell r="Q165">
            <v>0</v>
          </cell>
          <cell r="R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D165">
            <v>0</v>
          </cell>
          <cell r="AE165">
            <v>0</v>
          </cell>
          <cell r="AH165">
            <v>0</v>
          </cell>
          <cell r="AI165">
            <v>0</v>
          </cell>
          <cell r="AL165">
            <v>0</v>
          </cell>
          <cell r="AM165">
            <v>0</v>
          </cell>
          <cell r="AP165">
            <v>0</v>
          </cell>
          <cell r="AQ165">
            <v>0</v>
          </cell>
          <cell r="AT165">
            <v>0</v>
          </cell>
          <cell r="AU165">
            <v>0</v>
          </cell>
          <cell r="AX165">
            <v>0</v>
          </cell>
          <cell r="AY165">
            <v>0</v>
          </cell>
          <cell r="BB165">
            <v>0</v>
          </cell>
          <cell r="BC165">
            <v>0</v>
          </cell>
          <cell r="BF165">
            <v>0</v>
          </cell>
          <cell r="BG165">
            <v>0</v>
          </cell>
          <cell r="BJ165">
            <v>0</v>
          </cell>
          <cell r="BK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</row>
        <row r="166">
          <cell r="B166" t="str">
            <v>||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</row>
        <row r="167">
          <cell r="B167" t="str">
            <v>||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</row>
        <row r="168">
          <cell r="B168" t="str">
            <v>||</v>
          </cell>
        </row>
        <row r="169">
          <cell r="C169">
            <v>0</v>
          </cell>
          <cell r="D169">
            <v>0</v>
          </cell>
          <cell r="E169">
            <v>40254</v>
          </cell>
          <cell r="F169" t="e">
            <v>#REF!</v>
          </cell>
          <cell r="G169">
            <v>0</v>
          </cell>
          <cell r="H169">
            <v>0</v>
          </cell>
          <cell r="I169">
            <v>126276</v>
          </cell>
          <cell r="J169" t="e">
            <v>#REF!</v>
          </cell>
          <cell r="K169">
            <v>0</v>
          </cell>
          <cell r="L169">
            <v>0</v>
          </cell>
          <cell r="M169">
            <v>1000802</v>
          </cell>
          <cell r="N169" t="e">
            <v>#REF!</v>
          </cell>
          <cell r="O169">
            <v>0</v>
          </cell>
          <cell r="P169">
            <v>0</v>
          </cell>
          <cell r="Q169">
            <v>2658832</v>
          </cell>
          <cell r="R169" t="e">
            <v>#REF!</v>
          </cell>
          <cell r="S169">
            <v>0</v>
          </cell>
          <cell r="T169">
            <v>0</v>
          </cell>
          <cell r="U169">
            <v>6747984</v>
          </cell>
          <cell r="V169" t="e">
            <v>#REF!</v>
          </cell>
          <cell r="W169">
            <v>0</v>
          </cell>
          <cell r="X169">
            <v>0</v>
          </cell>
          <cell r="Y169">
            <v>10574148</v>
          </cell>
          <cell r="Z169" t="e">
            <v>#REF!</v>
          </cell>
          <cell r="AA169" t="e">
            <v>#REF!</v>
          </cell>
          <cell r="AB169">
            <v>1</v>
          </cell>
          <cell r="AC169">
            <v>0</v>
          </cell>
          <cell r="AD169">
            <v>7763918</v>
          </cell>
          <cell r="AE169" t="e">
            <v>#REF!</v>
          </cell>
          <cell r="AF169">
            <v>1</v>
          </cell>
          <cell r="AG169">
            <v>0</v>
          </cell>
          <cell r="AH169">
            <v>7460111.5279999999</v>
          </cell>
          <cell r="AI169" t="e">
            <v>#REF!</v>
          </cell>
          <cell r="AJ169">
            <v>1</v>
          </cell>
          <cell r="AK169">
            <v>0</v>
          </cell>
          <cell r="AL169">
            <v>11636586.952</v>
          </cell>
          <cell r="AM169" t="e">
            <v>#REF!</v>
          </cell>
          <cell r="AN169">
            <v>1</v>
          </cell>
          <cell r="AO169">
            <v>0</v>
          </cell>
          <cell r="AP169">
            <v>14229232.507999999</v>
          </cell>
          <cell r="AQ169" t="e">
            <v>#REF!</v>
          </cell>
          <cell r="AR169">
            <v>1</v>
          </cell>
          <cell r="AS169">
            <v>0</v>
          </cell>
          <cell r="AT169">
            <v>18831463.770000003</v>
          </cell>
          <cell r="AU169" t="e">
            <v>#REF!</v>
          </cell>
          <cell r="AV169">
            <v>1</v>
          </cell>
          <cell r="AW169">
            <v>0</v>
          </cell>
          <cell r="AX169">
            <v>27805888.287</v>
          </cell>
          <cell r="AY169" t="e">
            <v>#REF!</v>
          </cell>
          <cell r="AZ169">
            <v>1</v>
          </cell>
          <cell r="BA169">
            <v>0</v>
          </cell>
          <cell r="BB169">
            <v>62907349.734499998</v>
          </cell>
          <cell r="BC169" t="e">
            <v>#REF!</v>
          </cell>
          <cell r="BD169">
            <v>0</v>
          </cell>
          <cell r="BE169">
            <v>0</v>
          </cell>
          <cell r="BF169">
            <v>63789550.352494754</v>
          </cell>
          <cell r="BG169" t="e">
            <v>#REF!</v>
          </cell>
          <cell r="BH169">
            <v>0</v>
          </cell>
          <cell r="BI169">
            <v>0</v>
          </cell>
          <cell r="BJ169">
            <v>122806905.5941</v>
          </cell>
          <cell r="BK169" t="e">
            <v>#REF!</v>
          </cell>
          <cell r="BL169">
            <v>0</v>
          </cell>
          <cell r="BM169">
            <v>0</v>
          </cell>
          <cell r="BN169">
            <v>144338118.61810005</v>
          </cell>
          <cell r="BO169" t="e">
            <v>#REF!</v>
          </cell>
          <cell r="BP169">
            <v>7</v>
          </cell>
          <cell r="BQ169">
            <v>0</v>
          </cell>
          <cell r="BR169">
            <v>481569125.34419477</v>
          </cell>
          <cell r="BS169" t="e">
            <v>#REF!</v>
          </cell>
          <cell r="BT169" t="e">
            <v>#REF!</v>
          </cell>
        </row>
        <row r="170">
          <cell r="C170" t="e">
            <v>#REF!</v>
          </cell>
          <cell r="G170" t="e">
            <v>#REF!</v>
          </cell>
          <cell r="K170" t="e">
            <v>#REF!</v>
          </cell>
          <cell r="O170" t="e">
            <v>#REF!</v>
          </cell>
          <cell r="S170" t="e">
            <v>#REF!</v>
          </cell>
          <cell r="AB170" t="e">
            <v>#REF!</v>
          </cell>
          <cell r="AF170" t="e">
            <v>#REF!</v>
          </cell>
          <cell r="AJ170" t="e">
            <v>#REF!</v>
          </cell>
          <cell r="AN170" t="e">
            <v>#REF!</v>
          </cell>
          <cell r="AR170" t="e">
            <v>#REF!</v>
          </cell>
          <cell r="AV170" t="e">
            <v>#REF!</v>
          </cell>
          <cell r="AZ170" t="e">
            <v>#REF!</v>
          </cell>
        </row>
      </sheetData>
      <sheetData sheetId="13" refreshError="1">
        <row r="193">
          <cell r="E193" t="e">
            <v>#REF!</v>
          </cell>
        </row>
      </sheetData>
      <sheetData sheetId="14"/>
      <sheetData sheetId="15"/>
      <sheetData sheetId="16" refreshError="1">
        <row r="118">
          <cell r="D118">
            <v>1984</v>
          </cell>
          <cell r="E118">
            <v>1985</v>
          </cell>
          <cell r="F118">
            <v>1986</v>
          </cell>
          <cell r="G118">
            <v>1987</v>
          </cell>
          <cell r="H118">
            <v>1988</v>
          </cell>
          <cell r="I118">
            <v>1989</v>
          </cell>
          <cell r="J118">
            <v>1990</v>
          </cell>
          <cell r="K118">
            <v>1991</v>
          </cell>
          <cell r="L118">
            <v>1992</v>
          </cell>
          <cell r="M118">
            <v>1993</v>
          </cell>
          <cell r="N118">
            <v>1994</v>
          </cell>
          <cell r="O118">
            <v>1995</v>
          </cell>
          <cell r="P118">
            <v>1996</v>
          </cell>
          <cell r="Q118">
            <v>1997</v>
          </cell>
          <cell r="R118">
            <v>1998</v>
          </cell>
        </row>
        <row r="119">
          <cell r="C119" t="str">
            <v>&lt;&lt;California Phase II QRE Findings&gt;&gt;</v>
          </cell>
          <cell r="D119">
            <v>11087</v>
          </cell>
          <cell r="E119">
            <v>50015</v>
          </cell>
          <cell r="F119">
            <v>323590</v>
          </cell>
          <cell r="G119">
            <v>899647</v>
          </cell>
          <cell r="H119">
            <v>2067727</v>
          </cell>
          <cell r="I119">
            <v>2741619</v>
          </cell>
          <cell r="J119">
            <v>2299558.0019999999</v>
          </cell>
          <cell r="K119">
            <v>3542463.7879999997</v>
          </cell>
          <cell r="L119">
            <v>5126210.5599999996</v>
          </cell>
          <cell r="M119">
            <v>7134127.5369999995</v>
          </cell>
          <cell r="N119">
            <v>9257454.4570000004</v>
          </cell>
          <cell r="O119">
            <v>17917881</v>
          </cell>
          <cell r="P119">
            <v>29938649</v>
          </cell>
          <cell r="Q119">
            <v>50930323</v>
          </cell>
          <cell r="R119">
            <v>49405882</v>
          </cell>
        </row>
        <row r="120">
          <cell r="C120" t="e">
            <v>#REF!</v>
          </cell>
          <cell r="D120" t="e">
            <v>#REF!</v>
          </cell>
          <cell r="E120" t="e">
            <v>#REF!</v>
          </cell>
          <cell r="F120" t="e">
            <v>#REF!</v>
          </cell>
          <cell r="G120" t="e">
            <v>#REF!</v>
          </cell>
          <cell r="H120" t="e">
            <v>#REF!</v>
          </cell>
          <cell r="I120" t="e">
            <v>#REF!</v>
          </cell>
          <cell r="J120" t="e">
            <v>#REF!</v>
          </cell>
          <cell r="K120" t="e">
            <v>#REF!</v>
          </cell>
          <cell r="L120" t="e">
            <v>#REF!</v>
          </cell>
          <cell r="M120" t="e">
            <v>#REF!</v>
          </cell>
          <cell r="N120" t="e">
            <v>#REF!</v>
          </cell>
          <cell r="O120" t="e">
            <v>#REF!</v>
          </cell>
          <cell r="P120" t="e">
            <v>#REF!</v>
          </cell>
          <cell r="Q120" t="e">
            <v>#REF!</v>
          </cell>
          <cell r="R120" t="e">
            <v>#REF!</v>
          </cell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</row>
        <row r="122">
          <cell r="C122"/>
          <cell r="D122"/>
          <cell r="E122"/>
          <cell r="F122"/>
          <cell r="G122"/>
          <cell r="H122"/>
          <cell r="I122"/>
          <cell r="J122"/>
          <cell r="K122"/>
          <cell r="L122"/>
          <cell r="M122"/>
          <cell r="N122"/>
          <cell r="O122"/>
          <cell r="P122"/>
          <cell r="Q122"/>
          <cell r="R122"/>
        </row>
        <row r="123">
          <cell r="C123"/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</row>
        <row r="124">
          <cell r="C124"/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</row>
        <row r="125">
          <cell r="C125"/>
          <cell r="D125"/>
          <cell r="E125"/>
          <cell r="F125"/>
          <cell r="G125"/>
          <cell r="H125"/>
          <cell r="I125"/>
          <cell r="J125"/>
          <cell r="K125"/>
          <cell r="L125"/>
          <cell r="M125"/>
          <cell r="N125"/>
          <cell r="O125"/>
          <cell r="P125"/>
          <cell r="Q125"/>
          <cell r="R125"/>
        </row>
        <row r="126">
          <cell r="C126"/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</row>
        <row r="127">
          <cell r="C127"/>
          <cell r="D127"/>
          <cell r="E127"/>
          <cell r="F127"/>
          <cell r="G127"/>
          <cell r="H127"/>
          <cell r="I127"/>
          <cell r="J127"/>
          <cell r="K127"/>
          <cell r="L127"/>
          <cell r="M127"/>
          <cell r="N127"/>
          <cell r="O127"/>
          <cell r="P127"/>
          <cell r="Q127"/>
          <cell r="R127"/>
        </row>
        <row r="128">
          <cell r="C128"/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</row>
        <row r="129">
          <cell r="C129"/>
          <cell r="D129"/>
          <cell r="E129"/>
          <cell r="F129"/>
          <cell r="G129"/>
          <cell r="H129"/>
          <cell r="I129"/>
          <cell r="J129"/>
          <cell r="K129"/>
          <cell r="L129"/>
          <cell r="M129"/>
          <cell r="N129"/>
          <cell r="O129"/>
          <cell r="P129"/>
          <cell r="Q129"/>
          <cell r="R129"/>
        </row>
        <row r="130">
          <cell r="C130"/>
          <cell r="D130"/>
          <cell r="E130"/>
          <cell r="F130"/>
          <cell r="G130"/>
          <cell r="H130"/>
          <cell r="I130"/>
          <cell r="J130"/>
          <cell r="K130"/>
          <cell r="L130"/>
          <cell r="M130"/>
          <cell r="N130"/>
          <cell r="O130"/>
          <cell r="P130"/>
          <cell r="Q130"/>
          <cell r="R130"/>
        </row>
        <row r="131">
          <cell r="C131"/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</row>
        <row r="132">
          <cell r="C132"/>
          <cell r="D132"/>
          <cell r="E132"/>
          <cell r="F132"/>
          <cell r="G132"/>
          <cell r="H132"/>
          <cell r="I132"/>
          <cell r="J132"/>
          <cell r="K132"/>
          <cell r="L132"/>
          <cell r="M132"/>
          <cell r="N132"/>
          <cell r="O132"/>
          <cell r="P132"/>
          <cell r="Q132"/>
          <cell r="R132"/>
        </row>
        <row r="133">
          <cell r="C133"/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</row>
        <row r="134">
          <cell r="C134"/>
          <cell r="D134"/>
          <cell r="E134"/>
          <cell r="F134"/>
          <cell r="G134"/>
          <cell r="H134"/>
          <cell r="I134"/>
          <cell r="J134"/>
          <cell r="K134"/>
          <cell r="L134"/>
          <cell r="M134"/>
          <cell r="N134"/>
          <cell r="O134"/>
          <cell r="P134"/>
          <cell r="Q134"/>
          <cell r="R134"/>
        </row>
        <row r="135">
          <cell r="C135"/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</row>
        <row r="136">
          <cell r="C136"/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/>
          <cell r="P136"/>
          <cell r="Q136"/>
          <cell r="R136"/>
        </row>
        <row r="137">
          <cell r="C137"/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</row>
        <row r="138">
          <cell r="C138"/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/>
          <cell r="P138"/>
          <cell r="Q138"/>
          <cell r="R138"/>
        </row>
        <row r="139">
          <cell r="C139"/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/>
          <cell r="P139"/>
          <cell r="Q139"/>
          <cell r="R139"/>
        </row>
        <row r="140">
          <cell r="C140"/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</row>
        <row r="141">
          <cell r="C141"/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/>
          <cell r="P141"/>
          <cell r="Q141"/>
          <cell r="R141"/>
        </row>
      </sheetData>
      <sheetData sheetId="17" refreshError="1">
        <row r="8">
          <cell r="D8">
            <v>1</v>
          </cell>
          <cell r="E8">
            <v>1</v>
          </cell>
          <cell r="F8">
            <v>1</v>
          </cell>
          <cell r="G8">
            <v>1</v>
          </cell>
          <cell r="H8">
            <v>1</v>
          </cell>
          <cell r="I8">
            <v>1</v>
          </cell>
          <cell r="J8">
            <v>1</v>
          </cell>
          <cell r="K8">
            <v>1</v>
          </cell>
          <cell r="L8">
            <v>1</v>
          </cell>
          <cell r="M8">
            <v>1</v>
          </cell>
          <cell r="N8">
            <v>1</v>
          </cell>
          <cell r="O8">
            <v>1</v>
          </cell>
          <cell r="P8">
            <v>1</v>
          </cell>
          <cell r="Q8">
            <v>1</v>
          </cell>
          <cell r="R8">
            <v>1</v>
          </cell>
        </row>
        <row r="9">
          <cell r="D9">
            <v>1</v>
          </cell>
          <cell r="E9">
            <v>1</v>
          </cell>
          <cell r="F9">
            <v>1</v>
          </cell>
          <cell r="G9">
            <v>1</v>
          </cell>
          <cell r="H9">
            <v>1</v>
          </cell>
          <cell r="I9">
            <v>1</v>
          </cell>
          <cell r="J9">
            <v>1</v>
          </cell>
          <cell r="K9">
            <v>1</v>
          </cell>
          <cell r="L9">
            <v>1</v>
          </cell>
          <cell r="M9">
            <v>1</v>
          </cell>
          <cell r="N9">
            <v>1</v>
          </cell>
          <cell r="O9">
            <v>1</v>
          </cell>
          <cell r="P9">
            <v>1</v>
          </cell>
          <cell r="Q9">
            <v>1</v>
          </cell>
          <cell r="R9">
            <v>1</v>
          </cell>
        </row>
        <row r="10">
          <cell r="D10">
            <v>1</v>
          </cell>
          <cell r="E10">
            <v>1</v>
          </cell>
          <cell r="F10">
            <v>1</v>
          </cell>
          <cell r="G10">
            <v>1</v>
          </cell>
          <cell r="H10">
            <v>1</v>
          </cell>
          <cell r="I10">
            <v>1</v>
          </cell>
          <cell r="J10">
            <v>1</v>
          </cell>
          <cell r="K10">
            <v>1</v>
          </cell>
          <cell r="L10">
            <v>1</v>
          </cell>
          <cell r="M10">
            <v>1</v>
          </cell>
          <cell r="N10">
            <v>1</v>
          </cell>
          <cell r="O10">
            <v>1</v>
          </cell>
          <cell r="P10">
            <v>1</v>
          </cell>
          <cell r="Q10">
            <v>1</v>
          </cell>
          <cell r="R10">
            <v>1</v>
          </cell>
        </row>
        <row r="11">
          <cell r="D11">
            <v>1</v>
          </cell>
          <cell r="E11">
            <v>1</v>
          </cell>
          <cell r="F11">
            <v>1</v>
          </cell>
          <cell r="G11">
            <v>1</v>
          </cell>
          <cell r="H11">
            <v>1</v>
          </cell>
          <cell r="I11">
            <v>1</v>
          </cell>
          <cell r="J11">
            <v>1</v>
          </cell>
          <cell r="K11">
            <v>1</v>
          </cell>
          <cell r="L11">
            <v>1</v>
          </cell>
          <cell r="M11">
            <v>1</v>
          </cell>
          <cell r="N11">
            <v>1</v>
          </cell>
          <cell r="O11">
            <v>1</v>
          </cell>
          <cell r="P11">
            <v>1</v>
          </cell>
          <cell r="Q11">
            <v>1</v>
          </cell>
          <cell r="R11">
            <v>1</v>
          </cell>
        </row>
        <row r="12">
          <cell r="D12">
            <v>1</v>
          </cell>
          <cell r="E12">
            <v>1</v>
          </cell>
          <cell r="F12">
            <v>1</v>
          </cell>
          <cell r="G12">
            <v>1</v>
          </cell>
          <cell r="H12">
            <v>1</v>
          </cell>
          <cell r="I12">
            <v>1</v>
          </cell>
          <cell r="J12">
            <v>1</v>
          </cell>
          <cell r="K12">
            <v>1</v>
          </cell>
          <cell r="L12">
            <v>1</v>
          </cell>
          <cell r="M12">
            <v>1</v>
          </cell>
          <cell r="N12">
            <v>1</v>
          </cell>
          <cell r="O12">
            <v>1</v>
          </cell>
          <cell r="P12">
            <v>1</v>
          </cell>
          <cell r="Q12">
            <v>1</v>
          </cell>
          <cell r="R12">
            <v>1</v>
          </cell>
        </row>
        <row r="13">
          <cell r="D13">
            <v>1</v>
          </cell>
          <cell r="E13">
            <v>1</v>
          </cell>
          <cell r="F13">
            <v>1</v>
          </cell>
          <cell r="G13">
            <v>1</v>
          </cell>
          <cell r="H13">
            <v>1</v>
          </cell>
          <cell r="I13">
            <v>1</v>
          </cell>
          <cell r="J13">
            <v>1</v>
          </cell>
          <cell r="K13">
            <v>1</v>
          </cell>
          <cell r="L13">
            <v>1</v>
          </cell>
          <cell r="M13">
            <v>1</v>
          </cell>
          <cell r="N13">
            <v>1</v>
          </cell>
          <cell r="O13">
            <v>1</v>
          </cell>
          <cell r="P13">
            <v>1</v>
          </cell>
          <cell r="Q13">
            <v>1</v>
          </cell>
          <cell r="R13">
            <v>1</v>
          </cell>
        </row>
        <row r="14">
          <cell r="D14">
            <v>1</v>
          </cell>
          <cell r="E14">
            <v>1</v>
          </cell>
          <cell r="F14">
            <v>1</v>
          </cell>
          <cell r="G14">
            <v>1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  <cell r="L14">
            <v>1</v>
          </cell>
          <cell r="M14">
            <v>1</v>
          </cell>
          <cell r="N14">
            <v>1</v>
          </cell>
          <cell r="O14">
            <v>1</v>
          </cell>
          <cell r="P14">
            <v>1</v>
          </cell>
          <cell r="Q14">
            <v>1</v>
          </cell>
          <cell r="R14">
            <v>1</v>
          </cell>
        </row>
        <row r="15">
          <cell r="D15">
            <v>1</v>
          </cell>
          <cell r="E15">
            <v>1</v>
          </cell>
          <cell r="F15">
            <v>1</v>
          </cell>
          <cell r="G15">
            <v>1</v>
          </cell>
          <cell r="H15">
            <v>1</v>
          </cell>
          <cell r="I15">
            <v>1</v>
          </cell>
          <cell r="J15">
            <v>1</v>
          </cell>
          <cell r="K15">
            <v>1</v>
          </cell>
          <cell r="L15">
            <v>1</v>
          </cell>
          <cell r="M15">
            <v>1</v>
          </cell>
          <cell r="N15">
            <v>1</v>
          </cell>
          <cell r="O15">
            <v>1</v>
          </cell>
          <cell r="P15">
            <v>1</v>
          </cell>
          <cell r="Q15">
            <v>1</v>
          </cell>
          <cell r="R15">
            <v>1</v>
          </cell>
        </row>
        <row r="16">
          <cell r="D16">
            <v>1</v>
          </cell>
          <cell r="E16">
            <v>1</v>
          </cell>
          <cell r="F16">
            <v>1</v>
          </cell>
          <cell r="G16">
            <v>1</v>
          </cell>
          <cell r="H16">
            <v>1</v>
          </cell>
          <cell r="I16">
            <v>1</v>
          </cell>
          <cell r="J16">
            <v>1</v>
          </cell>
          <cell r="K16">
            <v>1</v>
          </cell>
          <cell r="L16">
            <v>1</v>
          </cell>
          <cell r="M16">
            <v>1</v>
          </cell>
          <cell r="N16">
            <v>1</v>
          </cell>
          <cell r="O16">
            <v>1</v>
          </cell>
          <cell r="P16">
            <v>1</v>
          </cell>
          <cell r="Q16">
            <v>1</v>
          </cell>
          <cell r="R16">
            <v>1</v>
          </cell>
        </row>
        <row r="17">
          <cell r="D17">
            <v>1</v>
          </cell>
          <cell r="E17">
            <v>1</v>
          </cell>
          <cell r="F17">
            <v>1</v>
          </cell>
          <cell r="G17">
            <v>1</v>
          </cell>
          <cell r="H17">
            <v>1</v>
          </cell>
          <cell r="I17">
            <v>1</v>
          </cell>
          <cell r="J17">
            <v>1</v>
          </cell>
          <cell r="K17">
            <v>1</v>
          </cell>
          <cell r="L17">
            <v>1</v>
          </cell>
          <cell r="M17">
            <v>1</v>
          </cell>
          <cell r="N17">
            <v>1</v>
          </cell>
          <cell r="O17">
            <v>1</v>
          </cell>
          <cell r="P17">
            <v>1</v>
          </cell>
          <cell r="Q17">
            <v>1</v>
          </cell>
          <cell r="R17">
            <v>1</v>
          </cell>
        </row>
        <row r="18">
          <cell r="D18">
            <v>1</v>
          </cell>
          <cell r="E18">
            <v>1</v>
          </cell>
          <cell r="F18">
            <v>1</v>
          </cell>
          <cell r="G18">
            <v>1</v>
          </cell>
          <cell r="H18">
            <v>1</v>
          </cell>
          <cell r="I18">
            <v>1</v>
          </cell>
          <cell r="J18">
            <v>1</v>
          </cell>
          <cell r="K18">
            <v>1</v>
          </cell>
          <cell r="L18">
            <v>1</v>
          </cell>
          <cell r="M18">
            <v>1</v>
          </cell>
          <cell r="N18">
            <v>1</v>
          </cell>
          <cell r="O18">
            <v>1</v>
          </cell>
          <cell r="P18">
            <v>1</v>
          </cell>
          <cell r="Q18">
            <v>1</v>
          </cell>
          <cell r="R18">
            <v>1</v>
          </cell>
        </row>
        <row r="19">
          <cell r="D19">
            <v>1</v>
          </cell>
          <cell r="E19">
            <v>1</v>
          </cell>
          <cell r="F19">
            <v>1</v>
          </cell>
          <cell r="G19">
            <v>1</v>
          </cell>
          <cell r="H19">
            <v>1</v>
          </cell>
          <cell r="I19">
            <v>1</v>
          </cell>
          <cell r="J19">
            <v>1</v>
          </cell>
          <cell r="K19">
            <v>1</v>
          </cell>
          <cell r="L19">
            <v>1</v>
          </cell>
          <cell r="M19">
            <v>1</v>
          </cell>
          <cell r="N19">
            <v>1</v>
          </cell>
          <cell r="O19">
            <v>1</v>
          </cell>
          <cell r="P19">
            <v>1</v>
          </cell>
          <cell r="Q19">
            <v>1</v>
          </cell>
          <cell r="R19">
            <v>1</v>
          </cell>
        </row>
        <row r="20">
          <cell r="D20">
            <v>1</v>
          </cell>
          <cell r="E20">
            <v>1</v>
          </cell>
          <cell r="F20">
            <v>1</v>
          </cell>
          <cell r="G20">
            <v>1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  <cell r="L20">
            <v>1</v>
          </cell>
          <cell r="M20">
            <v>1</v>
          </cell>
          <cell r="N20">
            <v>1</v>
          </cell>
          <cell r="O20">
            <v>1</v>
          </cell>
          <cell r="P20">
            <v>1</v>
          </cell>
          <cell r="Q20">
            <v>1</v>
          </cell>
          <cell r="R20">
            <v>1</v>
          </cell>
        </row>
        <row r="21">
          <cell r="D21">
            <v>1</v>
          </cell>
          <cell r="E21">
            <v>1</v>
          </cell>
          <cell r="F21">
            <v>1</v>
          </cell>
          <cell r="G21">
            <v>1</v>
          </cell>
          <cell r="H21">
            <v>1</v>
          </cell>
          <cell r="I21">
            <v>1</v>
          </cell>
          <cell r="J21">
            <v>1</v>
          </cell>
          <cell r="K21">
            <v>1</v>
          </cell>
          <cell r="L21">
            <v>1</v>
          </cell>
          <cell r="M21">
            <v>1</v>
          </cell>
          <cell r="N21">
            <v>1</v>
          </cell>
          <cell r="O21">
            <v>1</v>
          </cell>
          <cell r="P21">
            <v>1</v>
          </cell>
          <cell r="Q21">
            <v>1</v>
          </cell>
          <cell r="R21">
            <v>1</v>
          </cell>
        </row>
        <row r="22">
          <cell r="D22">
            <v>1</v>
          </cell>
          <cell r="E22">
            <v>1</v>
          </cell>
          <cell r="F22">
            <v>1</v>
          </cell>
          <cell r="G22">
            <v>1</v>
          </cell>
          <cell r="H22">
            <v>1</v>
          </cell>
          <cell r="I22">
            <v>1</v>
          </cell>
          <cell r="J22">
            <v>1</v>
          </cell>
          <cell r="K22">
            <v>1</v>
          </cell>
          <cell r="L22">
            <v>1</v>
          </cell>
          <cell r="M22">
            <v>1</v>
          </cell>
          <cell r="N22">
            <v>1</v>
          </cell>
          <cell r="O22">
            <v>1</v>
          </cell>
          <cell r="P22">
            <v>1</v>
          </cell>
          <cell r="Q22">
            <v>1</v>
          </cell>
          <cell r="R22">
            <v>1</v>
          </cell>
        </row>
        <row r="23">
          <cell r="D23">
            <v>1</v>
          </cell>
          <cell r="E23">
            <v>1</v>
          </cell>
          <cell r="F23">
            <v>1</v>
          </cell>
          <cell r="G23">
            <v>1</v>
          </cell>
          <cell r="H23">
            <v>1</v>
          </cell>
          <cell r="I23">
            <v>1</v>
          </cell>
          <cell r="J23">
            <v>1</v>
          </cell>
          <cell r="K23">
            <v>1</v>
          </cell>
          <cell r="L23">
            <v>1</v>
          </cell>
          <cell r="M23">
            <v>1</v>
          </cell>
          <cell r="N23">
            <v>1</v>
          </cell>
          <cell r="O23">
            <v>1</v>
          </cell>
          <cell r="P23">
            <v>1</v>
          </cell>
          <cell r="Q23">
            <v>1</v>
          </cell>
          <cell r="R23">
            <v>1</v>
          </cell>
        </row>
        <row r="24">
          <cell r="D24">
            <v>1</v>
          </cell>
          <cell r="E24">
            <v>1</v>
          </cell>
          <cell r="F24">
            <v>1</v>
          </cell>
          <cell r="G24">
            <v>1</v>
          </cell>
          <cell r="H24">
            <v>1</v>
          </cell>
          <cell r="I24">
            <v>1</v>
          </cell>
          <cell r="J24">
            <v>1</v>
          </cell>
          <cell r="K24">
            <v>1</v>
          </cell>
          <cell r="L24">
            <v>1</v>
          </cell>
          <cell r="M24">
            <v>1</v>
          </cell>
          <cell r="N24">
            <v>1</v>
          </cell>
          <cell r="O24">
            <v>1</v>
          </cell>
          <cell r="P24">
            <v>1</v>
          </cell>
          <cell r="Q24">
            <v>1</v>
          </cell>
          <cell r="R24">
            <v>1</v>
          </cell>
        </row>
        <row r="25">
          <cell r="D25">
            <v>1</v>
          </cell>
          <cell r="E25">
            <v>1</v>
          </cell>
          <cell r="F25">
            <v>1</v>
          </cell>
          <cell r="G25">
            <v>1</v>
          </cell>
          <cell r="H25">
            <v>1</v>
          </cell>
          <cell r="I25">
            <v>1</v>
          </cell>
          <cell r="J25">
            <v>1</v>
          </cell>
          <cell r="K25">
            <v>1</v>
          </cell>
          <cell r="L25">
            <v>1</v>
          </cell>
          <cell r="M25">
            <v>1</v>
          </cell>
          <cell r="N25">
            <v>1</v>
          </cell>
          <cell r="O25">
            <v>1</v>
          </cell>
          <cell r="P25">
            <v>1</v>
          </cell>
          <cell r="Q25">
            <v>1</v>
          </cell>
          <cell r="R25">
            <v>1</v>
          </cell>
        </row>
        <row r="26">
          <cell r="D26">
            <v>1</v>
          </cell>
          <cell r="E26">
            <v>1</v>
          </cell>
          <cell r="F26">
            <v>1</v>
          </cell>
          <cell r="G26">
            <v>1</v>
          </cell>
          <cell r="H26">
            <v>1</v>
          </cell>
          <cell r="I26">
            <v>1</v>
          </cell>
          <cell r="J26">
            <v>1</v>
          </cell>
          <cell r="K26">
            <v>1</v>
          </cell>
          <cell r="L26">
            <v>1</v>
          </cell>
          <cell r="M26">
            <v>1</v>
          </cell>
          <cell r="N26">
            <v>1</v>
          </cell>
          <cell r="O26">
            <v>1</v>
          </cell>
          <cell r="P26">
            <v>1</v>
          </cell>
          <cell r="Q26">
            <v>1</v>
          </cell>
          <cell r="R26">
            <v>1</v>
          </cell>
        </row>
        <row r="27">
          <cell r="D27">
            <v>1</v>
          </cell>
          <cell r="E27">
            <v>1</v>
          </cell>
          <cell r="F27">
            <v>1</v>
          </cell>
          <cell r="G27">
            <v>1</v>
          </cell>
          <cell r="H27">
            <v>1</v>
          </cell>
          <cell r="I27">
            <v>1</v>
          </cell>
          <cell r="J27">
            <v>1</v>
          </cell>
          <cell r="K27">
            <v>1</v>
          </cell>
          <cell r="L27">
            <v>1</v>
          </cell>
          <cell r="M27">
            <v>1</v>
          </cell>
          <cell r="N27">
            <v>1</v>
          </cell>
          <cell r="O27">
            <v>1</v>
          </cell>
          <cell r="P27">
            <v>1</v>
          </cell>
          <cell r="Q27">
            <v>1</v>
          </cell>
          <cell r="R27">
            <v>1</v>
          </cell>
        </row>
        <row r="28">
          <cell r="D28">
            <v>1</v>
          </cell>
          <cell r="E28">
            <v>1</v>
          </cell>
          <cell r="F28">
            <v>1</v>
          </cell>
          <cell r="G28">
            <v>1</v>
          </cell>
          <cell r="H28">
            <v>1</v>
          </cell>
          <cell r="I28">
            <v>1</v>
          </cell>
          <cell r="J28">
            <v>1</v>
          </cell>
          <cell r="K28">
            <v>1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1</v>
          </cell>
        </row>
        <row r="29">
          <cell r="D29">
            <v>1</v>
          </cell>
          <cell r="E29">
            <v>1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L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>
            <v>1</v>
          </cell>
          <cell r="E30">
            <v>1</v>
          </cell>
          <cell r="F30">
            <v>1</v>
          </cell>
          <cell r="G30">
            <v>1</v>
          </cell>
          <cell r="H30">
            <v>1</v>
          </cell>
          <cell r="I30">
            <v>1</v>
          </cell>
          <cell r="J30">
            <v>1</v>
          </cell>
          <cell r="K30">
            <v>1</v>
          </cell>
          <cell r="L30">
            <v>1</v>
          </cell>
          <cell r="M30">
            <v>1</v>
          </cell>
          <cell r="N30">
            <v>1</v>
          </cell>
          <cell r="O30">
            <v>1</v>
          </cell>
          <cell r="P30">
            <v>1</v>
          </cell>
          <cell r="Q30">
            <v>1</v>
          </cell>
          <cell r="R30">
            <v>1</v>
          </cell>
        </row>
        <row r="31">
          <cell r="D31">
            <v>1</v>
          </cell>
          <cell r="E31">
            <v>1</v>
          </cell>
          <cell r="F31">
            <v>1</v>
          </cell>
          <cell r="G31">
            <v>1</v>
          </cell>
          <cell r="H31">
            <v>1</v>
          </cell>
          <cell r="I31">
            <v>1</v>
          </cell>
          <cell r="J31">
            <v>1</v>
          </cell>
          <cell r="K31">
            <v>1</v>
          </cell>
          <cell r="L31">
            <v>1</v>
          </cell>
          <cell r="M31">
            <v>1</v>
          </cell>
          <cell r="N31">
            <v>1</v>
          </cell>
          <cell r="O31">
            <v>1</v>
          </cell>
          <cell r="P31">
            <v>1</v>
          </cell>
          <cell r="Q31">
            <v>1</v>
          </cell>
          <cell r="R31">
            <v>1</v>
          </cell>
        </row>
        <row r="32">
          <cell r="D32">
            <v>1</v>
          </cell>
          <cell r="E32">
            <v>1</v>
          </cell>
          <cell r="F32">
            <v>1</v>
          </cell>
          <cell r="G32">
            <v>1</v>
          </cell>
          <cell r="H32">
            <v>1</v>
          </cell>
          <cell r="I32">
            <v>1</v>
          </cell>
          <cell r="J32">
            <v>1</v>
          </cell>
          <cell r="K32">
            <v>1</v>
          </cell>
          <cell r="L32">
            <v>1</v>
          </cell>
          <cell r="M32">
            <v>1</v>
          </cell>
          <cell r="N32">
            <v>1</v>
          </cell>
          <cell r="O32">
            <v>1</v>
          </cell>
          <cell r="P32">
            <v>1</v>
          </cell>
          <cell r="Q32">
            <v>1</v>
          </cell>
          <cell r="R32">
            <v>1</v>
          </cell>
        </row>
        <row r="33">
          <cell r="D33">
            <v>1</v>
          </cell>
          <cell r="E33">
            <v>1</v>
          </cell>
          <cell r="F33">
            <v>1</v>
          </cell>
          <cell r="G33">
            <v>1</v>
          </cell>
          <cell r="H33">
            <v>1</v>
          </cell>
          <cell r="I33">
            <v>1</v>
          </cell>
          <cell r="J33">
            <v>1</v>
          </cell>
          <cell r="K33">
            <v>1</v>
          </cell>
          <cell r="L33">
            <v>1</v>
          </cell>
          <cell r="M33">
            <v>1</v>
          </cell>
          <cell r="N33">
            <v>1</v>
          </cell>
          <cell r="O33">
            <v>1</v>
          </cell>
          <cell r="P33">
            <v>1</v>
          </cell>
          <cell r="Q33">
            <v>1</v>
          </cell>
          <cell r="R33">
            <v>1</v>
          </cell>
        </row>
        <row r="34">
          <cell r="D34">
            <v>1</v>
          </cell>
          <cell r="E34">
            <v>1</v>
          </cell>
          <cell r="F34">
            <v>1</v>
          </cell>
          <cell r="G34">
            <v>1</v>
          </cell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  <cell r="N34">
            <v>1</v>
          </cell>
          <cell r="O34">
            <v>1</v>
          </cell>
          <cell r="P34">
            <v>1</v>
          </cell>
          <cell r="Q34">
            <v>1</v>
          </cell>
          <cell r="R34">
            <v>1</v>
          </cell>
        </row>
        <row r="35">
          <cell r="D35">
            <v>1</v>
          </cell>
          <cell r="E35">
            <v>1</v>
          </cell>
          <cell r="F35">
            <v>1</v>
          </cell>
          <cell r="G35">
            <v>1</v>
          </cell>
          <cell r="H35">
            <v>1</v>
          </cell>
          <cell r="I35">
            <v>1</v>
          </cell>
          <cell r="J35">
            <v>1</v>
          </cell>
          <cell r="K35">
            <v>1</v>
          </cell>
          <cell r="L35">
            <v>1</v>
          </cell>
          <cell r="M35">
            <v>1</v>
          </cell>
          <cell r="N35">
            <v>1</v>
          </cell>
          <cell r="O35">
            <v>1</v>
          </cell>
          <cell r="P35">
            <v>1</v>
          </cell>
          <cell r="Q35">
            <v>1</v>
          </cell>
          <cell r="R35">
            <v>1</v>
          </cell>
        </row>
        <row r="36">
          <cell r="D36">
            <v>1</v>
          </cell>
          <cell r="E36">
            <v>1</v>
          </cell>
          <cell r="F36">
            <v>1</v>
          </cell>
          <cell r="G36">
            <v>1</v>
          </cell>
          <cell r="H36">
            <v>1</v>
          </cell>
          <cell r="I36">
            <v>1</v>
          </cell>
          <cell r="J36">
            <v>1</v>
          </cell>
          <cell r="K36">
            <v>1</v>
          </cell>
          <cell r="L36">
            <v>1</v>
          </cell>
          <cell r="M36">
            <v>1</v>
          </cell>
          <cell r="N36">
            <v>1</v>
          </cell>
          <cell r="O36">
            <v>1</v>
          </cell>
          <cell r="P36">
            <v>1</v>
          </cell>
          <cell r="Q36">
            <v>1</v>
          </cell>
          <cell r="R36">
            <v>1</v>
          </cell>
        </row>
        <row r="37">
          <cell r="D37">
            <v>1</v>
          </cell>
          <cell r="E37">
            <v>1</v>
          </cell>
          <cell r="F37">
            <v>1</v>
          </cell>
          <cell r="G37">
            <v>1</v>
          </cell>
          <cell r="H37">
            <v>1</v>
          </cell>
          <cell r="I37">
            <v>1</v>
          </cell>
          <cell r="J37">
            <v>1</v>
          </cell>
          <cell r="K37">
            <v>1</v>
          </cell>
          <cell r="L37">
            <v>1</v>
          </cell>
          <cell r="M37">
            <v>1</v>
          </cell>
          <cell r="N37">
            <v>1</v>
          </cell>
          <cell r="O37">
            <v>1</v>
          </cell>
          <cell r="P37">
            <v>1</v>
          </cell>
          <cell r="Q37">
            <v>1</v>
          </cell>
          <cell r="R37">
            <v>1</v>
          </cell>
        </row>
        <row r="38">
          <cell r="D38">
            <v>1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1</v>
          </cell>
          <cell r="J38">
            <v>1</v>
          </cell>
          <cell r="K38">
            <v>1</v>
          </cell>
          <cell r="L38">
            <v>1</v>
          </cell>
          <cell r="M38">
            <v>1</v>
          </cell>
          <cell r="N38">
            <v>1</v>
          </cell>
          <cell r="O38">
            <v>1</v>
          </cell>
          <cell r="P38">
            <v>1</v>
          </cell>
          <cell r="Q38">
            <v>1</v>
          </cell>
          <cell r="R38">
            <v>1</v>
          </cell>
        </row>
        <row r="39">
          <cell r="D39">
            <v>1</v>
          </cell>
          <cell r="E39">
            <v>1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  <cell r="N39">
            <v>1</v>
          </cell>
          <cell r="O39">
            <v>1</v>
          </cell>
          <cell r="P39">
            <v>1</v>
          </cell>
          <cell r="Q39">
            <v>1</v>
          </cell>
          <cell r="R39">
            <v>1</v>
          </cell>
        </row>
        <row r="40">
          <cell r="D40">
            <v>1</v>
          </cell>
          <cell r="E40">
            <v>1</v>
          </cell>
          <cell r="F40">
            <v>1</v>
          </cell>
          <cell r="G40">
            <v>1</v>
          </cell>
          <cell r="H40">
            <v>1</v>
          </cell>
          <cell r="I40">
            <v>1</v>
          </cell>
          <cell r="J40">
            <v>1</v>
          </cell>
          <cell r="K40">
            <v>1</v>
          </cell>
          <cell r="L40">
            <v>1</v>
          </cell>
          <cell r="M40">
            <v>1</v>
          </cell>
          <cell r="N40">
            <v>1</v>
          </cell>
          <cell r="O40">
            <v>1</v>
          </cell>
          <cell r="P40">
            <v>1</v>
          </cell>
          <cell r="Q40">
            <v>1</v>
          </cell>
          <cell r="R40">
            <v>1</v>
          </cell>
        </row>
        <row r="41">
          <cell r="D41">
            <v>1</v>
          </cell>
          <cell r="E41">
            <v>1</v>
          </cell>
          <cell r="F41">
            <v>1</v>
          </cell>
          <cell r="G41">
            <v>1</v>
          </cell>
          <cell r="H41">
            <v>1</v>
          </cell>
          <cell r="I41">
            <v>1</v>
          </cell>
          <cell r="J41">
            <v>1</v>
          </cell>
          <cell r="K41">
            <v>1</v>
          </cell>
          <cell r="L41">
            <v>1</v>
          </cell>
          <cell r="M41">
            <v>1</v>
          </cell>
          <cell r="N41">
            <v>1</v>
          </cell>
          <cell r="O41">
            <v>1</v>
          </cell>
          <cell r="P41">
            <v>1</v>
          </cell>
          <cell r="Q41">
            <v>1</v>
          </cell>
          <cell r="R41">
            <v>1</v>
          </cell>
        </row>
        <row r="42">
          <cell r="D42">
            <v>1</v>
          </cell>
          <cell r="E42">
            <v>1</v>
          </cell>
          <cell r="F42">
            <v>1</v>
          </cell>
          <cell r="G42">
            <v>1</v>
          </cell>
          <cell r="H42">
            <v>1</v>
          </cell>
          <cell r="I42">
            <v>1</v>
          </cell>
          <cell r="J42">
            <v>1</v>
          </cell>
          <cell r="K42">
            <v>1</v>
          </cell>
          <cell r="L42">
            <v>1</v>
          </cell>
          <cell r="M42">
            <v>1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</row>
        <row r="43">
          <cell r="D43">
            <v>1</v>
          </cell>
          <cell r="E43">
            <v>1</v>
          </cell>
          <cell r="F43">
            <v>1</v>
          </cell>
          <cell r="G43">
            <v>1</v>
          </cell>
          <cell r="H43">
            <v>1</v>
          </cell>
          <cell r="I43">
            <v>1</v>
          </cell>
          <cell r="J43">
            <v>1</v>
          </cell>
          <cell r="K43">
            <v>1</v>
          </cell>
          <cell r="L43">
            <v>1</v>
          </cell>
          <cell r="M43">
            <v>1</v>
          </cell>
          <cell r="N43">
            <v>1</v>
          </cell>
          <cell r="O43">
            <v>1</v>
          </cell>
          <cell r="P43">
            <v>1</v>
          </cell>
          <cell r="Q43">
            <v>1</v>
          </cell>
          <cell r="R43">
            <v>1</v>
          </cell>
        </row>
        <row r="44"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  <cell r="I44">
            <v>1</v>
          </cell>
          <cell r="J44">
            <v>1</v>
          </cell>
          <cell r="K44">
            <v>1</v>
          </cell>
          <cell r="L44">
            <v>1</v>
          </cell>
          <cell r="M44">
            <v>1</v>
          </cell>
          <cell r="N44">
            <v>1</v>
          </cell>
          <cell r="O44">
            <v>1</v>
          </cell>
          <cell r="P44">
            <v>1</v>
          </cell>
          <cell r="Q44">
            <v>1</v>
          </cell>
          <cell r="R44">
            <v>1</v>
          </cell>
        </row>
        <row r="45">
          <cell r="D45">
            <v>1</v>
          </cell>
          <cell r="E45">
            <v>1</v>
          </cell>
          <cell r="F45">
            <v>1</v>
          </cell>
          <cell r="G45">
            <v>1</v>
          </cell>
          <cell r="H45">
            <v>1</v>
          </cell>
          <cell r="I45">
            <v>1</v>
          </cell>
          <cell r="J45">
            <v>1</v>
          </cell>
          <cell r="K45">
            <v>1</v>
          </cell>
          <cell r="L45">
            <v>1</v>
          </cell>
          <cell r="M45">
            <v>1</v>
          </cell>
          <cell r="N45">
            <v>1</v>
          </cell>
          <cell r="O45">
            <v>1</v>
          </cell>
          <cell r="P45">
            <v>1</v>
          </cell>
          <cell r="Q45">
            <v>1</v>
          </cell>
          <cell r="R45">
            <v>1</v>
          </cell>
        </row>
        <row r="46">
          <cell r="D46">
            <v>1</v>
          </cell>
          <cell r="E46">
            <v>1</v>
          </cell>
          <cell r="F46">
            <v>1</v>
          </cell>
          <cell r="G46">
            <v>1</v>
          </cell>
          <cell r="H46">
            <v>1</v>
          </cell>
          <cell r="I46">
            <v>1</v>
          </cell>
          <cell r="J46">
            <v>1</v>
          </cell>
          <cell r="K46">
            <v>1</v>
          </cell>
          <cell r="L46">
            <v>1</v>
          </cell>
          <cell r="M46">
            <v>1</v>
          </cell>
          <cell r="N46">
            <v>1</v>
          </cell>
          <cell r="O46">
            <v>1</v>
          </cell>
          <cell r="P46">
            <v>1</v>
          </cell>
          <cell r="Q46">
            <v>1</v>
          </cell>
          <cell r="R46">
            <v>1</v>
          </cell>
        </row>
        <row r="47">
          <cell r="D47">
            <v>1</v>
          </cell>
          <cell r="E47">
            <v>1</v>
          </cell>
          <cell r="F47">
            <v>1</v>
          </cell>
          <cell r="G47">
            <v>1</v>
          </cell>
          <cell r="H47">
            <v>1</v>
          </cell>
          <cell r="I47">
            <v>1</v>
          </cell>
          <cell r="J47">
            <v>1</v>
          </cell>
          <cell r="K47">
            <v>1</v>
          </cell>
          <cell r="L47">
            <v>1</v>
          </cell>
          <cell r="M47">
            <v>1</v>
          </cell>
          <cell r="N47">
            <v>1</v>
          </cell>
          <cell r="O47">
            <v>1</v>
          </cell>
          <cell r="P47">
            <v>1</v>
          </cell>
          <cell r="Q47">
            <v>1</v>
          </cell>
          <cell r="R47">
            <v>1</v>
          </cell>
        </row>
        <row r="48">
          <cell r="D48">
            <v>1</v>
          </cell>
          <cell r="E48">
            <v>1</v>
          </cell>
          <cell r="F48">
            <v>1</v>
          </cell>
          <cell r="G48">
            <v>1</v>
          </cell>
          <cell r="H48">
            <v>1</v>
          </cell>
          <cell r="I48">
            <v>1</v>
          </cell>
          <cell r="J48">
            <v>1</v>
          </cell>
          <cell r="K48">
            <v>1</v>
          </cell>
          <cell r="L48">
            <v>1</v>
          </cell>
          <cell r="M48">
            <v>1</v>
          </cell>
          <cell r="N48">
            <v>1</v>
          </cell>
          <cell r="O48">
            <v>1</v>
          </cell>
          <cell r="P48">
            <v>1</v>
          </cell>
          <cell r="Q48">
            <v>1</v>
          </cell>
          <cell r="R48">
            <v>1</v>
          </cell>
        </row>
        <row r="49">
          <cell r="D49">
            <v>1</v>
          </cell>
          <cell r="E49">
            <v>1</v>
          </cell>
          <cell r="F49">
            <v>1</v>
          </cell>
          <cell r="G49">
            <v>1</v>
          </cell>
          <cell r="H49">
            <v>1</v>
          </cell>
          <cell r="I49">
            <v>1</v>
          </cell>
          <cell r="J49">
            <v>1</v>
          </cell>
          <cell r="K49">
            <v>1</v>
          </cell>
          <cell r="L49">
            <v>1</v>
          </cell>
          <cell r="M49">
            <v>1</v>
          </cell>
          <cell r="N49">
            <v>1</v>
          </cell>
          <cell r="O49">
            <v>1</v>
          </cell>
          <cell r="P49">
            <v>1</v>
          </cell>
          <cell r="Q49">
            <v>1</v>
          </cell>
          <cell r="R49">
            <v>1</v>
          </cell>
        </row>
        <row r="50">
          <cell r="D50">
            <v>1</v>
          </cell>
          <cell r="E50">
            <v>1</v>
          </cell>
          <cell r="F50">
            <v>1</v>
          </cell>
          <cell r="G50">
            <v>1</v>
          </cell>
          <cell r="H50">
            <v>1</v>
          </cell>
          <cell r="I50">
            <v>1</v>
          </cell>
          <cell r="J50">
            <v>1</v>
          </cell>
          <cell r="K50">
            <v>1</v>
          </cell>
          <cell r="L50">
            <v>1</v>
          </cell>
          <cell r="M50">
            <v>1</v>
          </cell>
          <cell r="N50">
            <v>1</v>
          </cell>
          <cell r="O50">
            <v>1</v>
          </cell>
          <cell r="P50">
            <v>1</v>
          </cell>
          <cell r="Q50">
            <v>1</v>
          </cell>
          <cell r="R50">
            <v>1</v>
          </cell>
        </row>
        <row r="51">
          <cell r="D51">
            <v>1</v>
          </cell>
          <cell r="E51">
            <v>1</v>
          </cell>
          <cell r="F51">
            <v>1</v>
          </cell>
          <cell r="G51">
            <v>1</v>
          </cell>
          <cell r="H51">
            <v>1</v>
          </cell>
          <cell r="I51">
            <v>1</v>
          </cell>
          <cell r="J51">
            <v>1</v>
          </cell>
          <cell r="K51">
            <v>1</v>
          </cell>
          <cell r="L51">
            <v>1</v>
          </cell>
          <cell r="M51">
            <v>1</v>
          </cell>
          <cell r="N51">
            <v>1</v>
          </cell>
          <cell r="O51">
            <v>1</v>
          </cell>
          <cell r="P51">
            <v>1</v>
          </cell>
          <cell r="Q51">
            <v>1</v>
          </cell>
          <cell r="R51">
            <v>1</v>
          </cell>
        </row>
        <row r="52">
          <cell r="D52">
            <v>1</v>
          </cell>
          <cell r="E52">
            <v>1</v>
          </cell>
          <cell r="F52">
            <v>1</v>
          </cell>
          <cell r="G52">
            <v>1</v>
          </cell>
          <cell r="H52">
            <v>1</v>
          </cell>
          <cell r="I52">
            <v>1</v>
          </cell>
          <cell r="J52">
            <v>1</v>
          </cell>
          <cell r="K52">
            <v>1</v>
          </cell>
          <cell r="L52">
            <v>1</v>
          </cell>
          <cell r="M52">
            <v>1</v>
          </cell>
          <cell r="N52">
            <v>1</v>
          </cell>
          <cell r="O52">
            <v>1</v>
          </cell>
          <cell r="P52">
            <v>1</v>
          </cell>
          <cell r="Q52">
            <v>1</v>
          </cell>
          <cell r="R52">
            <v>1</v>
          </cell>
        </row>
        <row r="53">
          <cell r="D53">
            <v>1</v>
          </cell>
          <cell r="E53">
            <v>1</v>
          </cell>
          <cell r="F53">
            <v>1</v>
          </cell>
          <cell r="G53">
            <v>1</v>
          </cell>
          <cell r="H53">
            <v>1</v>
          </cell>
          <cell r="I53">
            <v>1</v>
          </cell>
          <cell r="J53">
            <v>1</v>
          </cell>
          <cell r="K53">
            <v>1</v>
          </cell>
          <cell r="L53">
            <v>1</v>
          </cell>
          <cell r="M53">
            <v>1</v>
          </cell>
          <cell r="N53">
            <v>1</v>
          </cell>
          <cell r="O53">
            <v>1</v>
          </cell>
          <cell r="P53">
            <v>1</v>
          </cell>
          <cell r="Q53">
            <v>1</v>
          </cell>
          <cell r="R53">
            <v>1</v>
          </cell>
        </row>
        <row r="54">
          <cell r="D54">
            <v>1</v>
          </cell>
          <cell r="E54">
            <v>1</v>
          </cell>
          <cell r="F54">
            <v>1</v>
          </cell>
          <cell r="G54">
            <v>1</v>
          </cell>
          <cell r="H54">
            <v>1</v>
          </cell>
          <cell r="I54">
            <v>1</v>
          </cell>
          <cell r="J54">
            <v>1</v>
          </cell>
          <cell r="K54">
            <v>1</v>
          </cell>
          <cell r="L54">
            <v>1</v>
          </cell>
          <cell r="M54">
            <v>1</v>
          </cell>
          <cell r="N54">
            <v>1</v>
          </cell>
          <cell r="O54">
            <v>1</v>
          </cell>
          <cell r="P54">
            <v>1</v>
          </cell>
          <cell r="Q54">
            <v>1</v>
          </cell>
          <cell r="R54">
            <v>1</v>
          </cell>
        </row>
        <row r="55">
          <cell r="D55">
            <v>1</v>
          </cell>
          <cell r="E55">
            <v>1</v>
          </cell>
          <cell r="F55">
            <v>1</v>
          </cell>
          <cell r="G55">
            <v>1</v>
          </cell>
          <cell r="H55">
            <v>1</v>
          </cell>
          <cell r="I55">
            <v>1</v>
          </cell>
          <cell r="J55">
            <v>1</v>
          </cell>
          <cell r="K55">
            <v>1</v>
          </cell>
          <cell r="L55">
            <v>1</v>
          </cell>
          <cell r="M55">
            <v>1</v>
          </cell>
          <cell r="N55">
            <v>1</v>
          </cell>
          <cell r="O55">
            <v>1</v>
          </cell>
          <cell r="P55">
            <v>1</v>
          </cell>
          <cell r="Q55">
            <v>1</v>
          </cell>
          <cell r="R55">
            <v>1</v>
          </cell>
        </row>
        <row r="56">
          <cell r="D56">
            <v>1</v>
          </cell>
          <cell r="E56">
            <v>1</v>
          </cell>
          <cell r="F56">
            <v>1</v>
          </cell>
          <cell r="G56">
            <v>1</v>
          </cell>
          <cell r="H56">
            <v>1</v>
          </cell>
          <cell r="I56">
            <v>1</v>
          </cell>
          <cell r="J56">
            <v>1</v>
          </cell>
          <cell r="K56">
            <v>1</v>
          </cell>
          <cell r="L56">
            <v>1</v>
          </cell>
          <cell r="M56">
            <v>1</v>
          </cell>
          <cell r="N56">
            <v>1</v>
          </cell>
          <cell r="O56">
            <v>1</v>
          </cell>
          <cell r="P56">
            <v>1</v>
          </cell>
          <cell r="Q56">
            <v>1</v>
          </cell>
          <cell r="R56">
            <v>1</v>
          </cell>
        </row>
        <row r="57">
          <cell r="D57">
            <v>1</v>
          </cell>
          <cell r="E57">
            <v>1</v>
          </cell>
          <cell r="F57">
            <v>1</v>
          </cell>
          <cell r="G57">
            <v>1</v>
          </cell>
          <cell r="H57">
            <v>1</v>
          </cell>
          <cell r="I57">
            <v>1</v>
          </cell>
          <cell r="J57">
            <v>1</v>
          </cell>
          <cell r="K57">
            <v>1</v>
          </cell>
          <cell r="L57">
            <v>1</v>
          </cell>
          <cell r="M57">
            <v>1</v>
          </cell>
          <cell r="N57">
            <v>1</v>
          </cell>
          <cell r="O57">
            <v>1</v>
          </cell>
          <cell r="P57">
            <v>1</v>
          </cell>
          <cell r="Q57">
            <v>1</v>
          </cell>
          <cell r="R57">
            <v>1</v>
          </cell>
        </row>
        <row r="58">
          <cell r="D58">
            <v>1</v>
          </cell>
          <cell r="E58">
            <v>1</v>
          </cell>
          <cell r="F58">
            <v>1</v>
          </cell>
          <cell r="G58">
            <v>1</v>
          </cell>
          <cell r="H58">
            <v>1</v>
          </cell>
          <cell r="I58">
            <v>1</v>
          </cell>
          <cell r="J58">
            <v>1</v>
          </cell>
          <cell r="K58">
            <v>1</v>
          </cell>
          <cell r="L58">
            <v>1</v>
          </cell>
          <cell r="M58">
            <v>1</v>
          </cell>
          <cell r="N58">
            <v>1</v>
          </cell>
          <cell r="O58">
            <v>1</v>
          </cell>
          <cell r="P58">
            <v>1</v>
          </cell>
          <cell r="Q58">
            <v>1</v>
          </cell>
          <cell r="R58">
            <v>1</v>
          </cell>
        </row>
        <row r="59">
          <cell r="D59">
            <v>1</v>
          </cell>
          <cell r="E59">
            <v>1</v>
          </cell>
          <cell r="F59">
            <v>1</v>
          </cell>
          <cell r="G59">
            <v>1</v>
          </cell>
          <cell r="H59">
            <v>1</v>
          </cell>
          <cell r="I59">
            <v>1</v>
          </cell>
          <cell r="J59">
            <v>1</v>
          </cell>
          <cell r="K59">
            <v>1</v>
          </cell>
          <cell r="L59">
            <v>1</v>
          </cell>
          <cell r="M59">
            <v>1</v>
          </cell>
          <cell r="N59">
            <v>1</v>
          </cell>
          <cell r="O59">
            <v>1</v>
          </cell>
          <cell r="P59">
            <v>1</v>
          </cell>
          <cell r="Q59">
            <v>1</v>
          </cell>
          <cell r="R59">
            <v>1</v>
          </cell>
        </row>
        <row r="60">
          <cell r="D60">
            <v>1</v>
          </cell>
          <cell r="E60">
            <v>1</v>
          </cell>
          <cell r="F60">
            <v>1</v>
          </cell>
          <cell r="G60">
            <v>1</v>
          </cell>
          <cell r="H60">
            <v>1</v>
          </cell>
          <cell r="I60">
            <v>1</v>
          </cell>
          <cell r="J60">
            <v>1</v>
          </cell>
          <cell r="K60">
            <v>1</v>
          </cell>
          <cell r="L60">
            <v>1</v>
          </cell>
          <cell r="M60">
            <v>1</v>
          </cell>
          <cell r="N60">
            <v>1</v>
          </cell>
          <cell r="O60">
            <v>1</v>
          </cell>
          <cell r="P60">
            <v>1</v>
          </cell>
          <cell r="Q60">
            <v>1</v>
          </cell>
          <cell r="R60">
            <v>1</v>
          </cell>
        </row>
        <row r="61">
          <cell r="D61">
            <v>1</v>
          </cell>
          <cell r="E61">
            <v>1</v>
          </cell>
          <cell r="F61">
            <v>1</v>
          </cell>
          <cell r="G61">
            <v>1</v>
          </cell>
          <cell r="H61">
            <v>1</v>
          </cell>
          <cell r="I61">
            <v>1</v>
          </cell>
          <cell r="J61">
            <v>1</v>
          </cell>
          <cell r="K61">
            <v>1</v>
          </cell>
          <cell r="L61">
            <v>1</v>
          </cell>
          <cell r="M61">
            <v>1</v>
          </cell>
          <cell r="N61">
            <v>1</v>
          </cell>
          <cell r="O61">
            <v>1</v>
          </cell>
          <cell r="P61">
            <v>1</v>
          </cell>
          <cell r="Q61">
            <v>1</v>
          </cell>
          <cell r="R61">
            <v>1</v>
          </cell>
        </row>
        <row r="62">
          <cell r="D62">
            <v>1</v>
          </cell>
          <cell r="E62">
            <v>1</v>
          </cell>
          <cell r="F62">
            <v>1</v>
          </cell>
          <cell r="G62">
            <v>1</v>
          </cell>
          <cell r="H62">
            <v>1</v>
          </cell>
          <cell r="I62">
            <v>1</v>
          </cell>
          <cell r="J62">
            <v>1</v>
          </cell>
          <cell r="K62">
            <v>1</v>
          </cell>
          <cell r="L62">
            <v>1</v>
          </cell>
          <cell r="M62">
            <v>1</v>
          </cell>
          <cell r="N62">
            <v>1</v>
          </cell>
          <cell r="O62">
            <v>1</v>
          </cell>
          <cell r="P62">
            <v>1</v>
          </cell>
          <cell r="Q62">
            <v>1</v>
          </cell>
          <cell r="R62">
            <v>1</v>
          </cell>
        </row>
        <row r="63">
          <cell r="D63">
            <v>1</v>
          </cell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</row>
        <row r="64">
          <cell r="D64">
            <v>1</v>
          </cell>
          <cell r="E64">
            <v>1</v>
          </cell>
          <cell r="F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1</v>
          </cell>
        </row>
        <row r="65">
          <cell r="D65">
            <v>1</v>
          </cell>
          <cell r="E65">
            <v>1</v>
          </cell>
          <cell r="F65">
            <v>1</v>
          </cell>
          <cell r="G65">
            <v>1</v>
          </cell>
          <cell r="H65">
            <v>1</v>
          </cell>
          <cell r="I65">
            <v>1</v>
          </cell>
          <cell r="J65">
            <v>1</v>
          </cell>
          <cell r="K65">
            <v>1</v>
          </cell>
          <cell r="L65">
            <v>1</v>
          </cell>
          <cell r="M65">
            <v>1</v>
          </cell>
          <cell r="N65">
            <v>1</v>
          </cell>
          <cell r="O65">
            <v>1</v>
          </cell>
          <cell r="P65">
            <v>1</v>
          </cell>
          <cell r="Q65">
            <v>1</v>
          </cell>
          <cell r="R65">
            <v>1</v>
          </cell>
        </row>
        <row r="66">
          <cell r="D66">
            <v>1</v>
          </cell>
          <cell r="E66">
            <v>1</v>
          </cell>
          <cell r="F66">
            <v>1</v>
          </cell>
          <cell r="G66">
            <v>1</v>
          </cell>
          <cell r="H66">
            <v>1</v>
          </cell>
          <cell r="I66">
            <v>1</v>
          </cell>
          <cell r="J66">
            <v>1</v>
          </cell>
          <cell r="K66">
            <v>1</v>
          </cell>
          <cell r="L66">
            <v>1</v>
          </cell>
          <cell r="M66">
            <v>1</v>
          </cell>
          <cell r="N66">
            <v>1</v>
          </cell>
          <cell r="O66">
            <v>1</v>
          </cell>
          <cell r="P66">
            <v>1</v>
          </cell>
          <cell r="Q66">
            <v>1</v>
          </cell>
          <cell r="R66">
            <v>1</v>
          </cell>
        </row>
        <row r="67">
          <cell r="D67">
            <v>1</v>
          </cell>
          <cell r="E67">
            <v>1</v>
          </cell>
          <cell r="F67">
            <v>1</v>
          </cell>
          <cell r="G67">
            <v>1</v>
          </cell>
          <cell r="H67">
            <v>1</v>
          </cell>
          <cell r="I67">
            <v>1</v>
          </cell>
          <cell r="J67">
            <v>1</v>
          </cell>
          <cell r="K67">
            <v>1</v>
          </cell>
          <cell r="L67">
            <v>1</v>
          </cell>
          <cell r="M67">
            <v>1</v>
          </cell>
          <cell r="N67">
            <v>1</v>
          </cell>
          <cell r="O67">
            <v>1</v>
          </cell>
          <cell r="P67">
            <v>1</v>
          </cell>
          <cell r="Q67">
            <v>1</v>
          </cell>
          <cell r="R67">
            <v>1</v>
          </cell>
        </row>
        <row r="68">
          <cell r="D68">
            <v>1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1</v>
          </cell>
          <cell r="J68">
            <v>1</v>
          </cell>
          <cell r="K68">
            <v>1</v>
          </cell>
          <cell r="L68">
            <v>1</v>
          </cell>
          <cell r="M68">
            <v>1</v>
          </cell>
          <cell r="N68">
            <v>1</v>
          </cell>
          <cell r="O68">
            <v>1</v>
          </cell>
          <cell r="P68">
            <v>1</v>
          </cell>
          <cell r="Q68">
            <v>1</v>
          </cell>
          <cell r="R68">
            <v>1</v>
          </cell>
        </row>
        <row r="69">
          <cell r="D69">
            <v>1</v>
          </cell>
          <cell r="E69">
            <v>1</v>
          </cell>
          <cell r="F69">
            <v>1</v>
          </cell>
          <cell r="G69">
            <v>1</v>
          </cell>
          <cell r="H69">
            <v>1</v>
          </cell>
          <cell r="I69">
            <v>1</v>
          </cell>
          <cell r="J69">
            <v>1</v>
          </cell>
          <cell r="K69">
            <v>1</v>
          </cell>
          <cell r="L69">
            <v>1</v>
          </cell>
          <cell r="M69">
            <v>1</v>
          </cell>
          <cell r="N69">
            <v>1</v>
          </cell>
          <cell r="O69">
            <v>1</v>
          </cell>
          <cell r="P69">
            <v>1</v>
          </cell>
          <cell r="Q69">
            <v>1</v>
          </cell>
          <cell r="R69">
            <v>1</v>
          </cell>
        </row>
        <row r="70">
          <cell r="D70">
            <v>1</v>
          </cell>
          <cell r="E70">
            <v>1</v>
          </cell>
          <cell r="F70">
            <v>1</v>
          </cell>
          <cell r="G70">
            <v>1</v>
          </cell>
          <cell r="H70">
            <v>1</v>
          </cell>
          <cell r="I70">
            <v>1</v>
          </cell>
          <cell r="J70">
            <v>1</v>
          </cell>
          <cell r="K70">
            <v>1</v>
          </cell>
          <cell r="L70">
            <v>1</v>
          </cell>
          <cell r="M70">
            <v>1</v>
          </cell>
          <cell r="N70">
            <v>1</v>
          </cell>
          <cell r="O70">
            <v>1</v>
          </cell>
          <cell r="P70">
            <v>1</v>
          </cell>
          <cell r="Q70">
            <v>1</v>
          </cell>
          <cell r="R70">
            <v>1</v>
          </cell>
        </row>
        <row r="71">
          <cell r="D71">
            <v>1</v>
          </cell>
          <cell r="E71">
            <v>1</v>
          </cell>
          <cell r="F71">
            <v>1</v>
          </cell>
          <cell r="G71">
            <v>1</v>
          </cell>
          <cell r="H71">
            <v>1</v>
          </cell>
          <cell r="I71">
            <v>1</v>
          </cell>
          <cell r="J71">
            <v>1</v>
          </cell>
          <cell r="K71">
            <v>1</v>
          </cell>
          <cell r="L71">
            <v>1</v>
          </cell>
          <cell r="M71">
            <v>1</v>
          </cell>
          <cell r="N71">
            <v>1</v>
          </cell>
          <cell r="O71">
            <v>1</v>
          </cell>
          <cell r="P71">
            <v>1</v>
          </cell>
          <cell r="Q71">
            <v>1</v>
          </cell>
          <cell r="R71">
            <v>1</v>
          </cell>
        </row>
        <row r="72">
          <cell r="D72">
            <v>1</v>
          </cell>
          <cell r="E72">
            <v>1</v>
          </cell>
          <cell r="F72">
            <v>1</v>
          </cell>
          <cell r="G72">
            <v>1</v>
          </cell>
          <cell r="H72">
            <v>1</v>
          </cell>
          <cell r="I72">
            <v>1</v>
          </cell>
          <cell r="J72">
            <v>1</v>
          </cell>
          <cell r="K72">
            <v>1</v>
          </cell>
          <cell r="L72">
            <v>1</v>
          </cell>
          <cell r="M72">
            <v>1</v>
          </cell>
          <cell r="N72">
            <v>1</v>
          </cell>
          <cell r="O72">
            <v>1</v>
          </cell>
          <cell r="P72">
            <v>1</v>
          </cell>
          <cell r="Q72">
            <v>1</v>
          </cell>
          <cell r="R72">
            <v>1</v>
          </cell>
        </row>
        <row r="73">
          <cell r="D73">
            <v>1</v>
          </cell>
          <cell r="E73">
            <v>1</v>
          </cell>
          <cell r="F73">
            <v>1</v>
          </cell>
          <cell r="G73">
            <v>1</v>
          </cell>
          <cell r="H73">
            <v>1</v>
          </cell>
          <cell r="I73">
            <v>1</v>
          </cell>
          <cell r="J73">
            <v>1</v>
          </cell>
          <cell r="K73">
            <v>1</v>
          </cell>
          <cell r="L73">
            <v>1</v>
          </cell>
          <cell r="M73">
            <v>1</v>
          </cell>
          <cell r="N73">
            <v>1</v>
          </cell>
          <cell r="O73">
            <v>1</v>
          </cell>
          <cell r="P73">
            <v>1</v>
          </cell>
          <cell r="Q73">
            <v>1</v>
          </cell>
          <cell r="R73">
            <v>1</v>
          </cell>
        </row>
        <row r="74">
          <cell r="D74">
            <v>1</v>
          </cell>
          <cell r="E74">
            <v>1</v>
          </cell>
          <cell r="F74">
            <v>1</v>
          </cell>
          <cell r="G74">
            <v>1</v>
          </cell>
          <cell r="H74">
            <v>1</v>
          </cell>
          <cell r="I74">
            <v>1</v>
          </cell>
          <cell r="J74">
            <v>1</v>
          </cell>
          <cell r="K74">
            <v>1</v>
          </cell>
          <cell r="L74">
            <v>1</v>
          </cell>
          <cell r="M74">
            <v>1</v>
          </cell>
          <cell r="N74">
            <v>1</v>
          </cell>
          <cell r="O74">
            <v>1</v>
          </cell>
          <cell r="P74">
            <v>1</v>
          </cell>
          <cell r="Q74">
            <v>1</v>
          </cell>
          <cell r="R74">
            <v>1</v>
          </cell>
        </row>
        <row r="75">
          <cell r="D75">
            <v>1</v>
          </cell>
          <cell r="E75">
            <v>1</v>
          </cell>
          <cell r="F75">
            <v>1</v>
          </cell>
          <cell r="G75">
            <v>1</v>
          </cell>
          <cell r="H75">
            <v>1</v>
          </cell>
          <cell r="I75">
            <v>1</v>
          </cell>
          <cell r="J75">
            <v>1</v>
          </cell>
          <cell r="K75">
            <v>1</v>
          </cell>
          <cell r="L75">
            <v>1</v>
          </cell>
          <cell r="M75">
            <v>1</v>
          </cell>
          <cell r="N75">
            <v>1</v>
          </cell>
          <cell r="O75">
            <v>1</v>
          </cell>
          <cell r="P75">
            <v>1</v>
          </cell>
          <cell r="Q75">
            <v>1</v>
          </cell>
          <cell r="R75">
            <v>1</v>
          </cell>
        </row>
        <row r="76">
          <cell r="D76">
            <v>1</v>
          </cell>
          <cell r="E76">
            <v>1</v>
          </cell>
          <cell r="F76">
            <v>1</v>
          </cell>
          <cell r="G76">
            <v>1</v>
          </cell>
          <cell r="H76">
            <v>1</v>
          </cell>
          <cell r="I76">
            <v>1</v>
          </cell>
          <cell r="J76">
            <v>1</v>
          </cell>
          <cell r="K76">
            <v>1</v>
          </cell>
          <cell r="L76">
            <v>1</v>
          </cell>
          <cell r="M76">
            <v>1</v>
          </cell>
          <cell r="N76">
            <v>1</v>
          </cell>
          <cell r="O76">
            <v>1</v>
          </cell>
          <cell r="P76">
            <v>1</v>
          </cell>
          <cell r="Q76">
            <v>1</v>
          </cell>
          <cell r="R76">
            <v>1</v>
          </cell>
        </row>
        <row r="77">
          <cell r="D77">
            <v>1</v>
          </cell>
          <cell r="E77">
            <v>1</v>
          </cell>
          <cell r="F77">
            <v>1</v>
          </cell>
          <cell r="G77">
            <v>1</v>
          </cell>
          <cell r="H77">
            <v>1</v>
          </cell>
          <cell r="I77">
            <v>1</v>
          </cell>
          <cell r="J77">
            <v>1</v>
          </cell>
          <cell r="K77">
            <v>1</v>
          </cell>
          <cell r="L77">
            <v>1</v>
          </cell>
          <cell r="M77">
            <v>1</v>
          </cell>
          <cell r="N77">
            <v>1</v>
          </cell>
          <cell r="O77">
            <v>1</v>
          </cell>
          <cell r="P77">
            <v>1</v>
          </cell>
          <cell r="Q77">
            <v>1</v>
          </cell>
          <cell r="R77">
            <v>1</v>
          </cell>
        </row>
        <row r="78">
          <cell r="D78">
            <v>1</v>
          </cell>
          <cell r="E78">
            <v>1</v>
          </cell>
          <cell r="F78">
            <v>1</v>
          </cell>
          <cell r="G78">
            <v>1</v>
          </cell>
          <cell r="H78">
            <v>1</v>
          </cell>
          <cell r="I78">
            <v>1</v>
          </cell>
          <cell r="J78">
            <v>1</v>
          </cell>
          <cell r="K78">
            <v>1</v>
          </cell>
          <cell r="L78">
            <v>1</v>
          </cell>
          <cell r="M78">
            <v>1</v>
          </cell>
          <cell r="N78">
            <v>1</v>
          </cell>
          <cell r="O78">
            <v>1</v>
          </cell>
          <cell r="P78">
            <v>1</v>
          </cell>
          <cell r="Q78">
            <v>1</v>
          </cell>
          <cell r="R78">
            <v>1</v>
          </cell>
        </row>
        <row r="79">
          <cell r="D79">
            <v>1</v>
          </cell>
          <cell r="E79">
            <v>1</v>
          </cell>
          <cell r="F79">
            <v>1</v>
          </cell>
          <cell r="G79">
            <v>1</v>
          </cell>
          <cell r="H79">
            <v>1</v>
          </cell>
          <cell r="I79">
            <v>1</v>
          </cell>
          <cell r="J79">
            <v>1</v>
          </cell>
          <cell r="K79">
            <v>1</v>
          </cell>
          <cell r="L79">
            <v>1</v>
          </cell>
          <cell r="M79">
            <v>1</v>
          </cell>
          <cell r="N79">
            <v>1</v>
          </cell>
          <cell r="O79">
            <v>1</v>
          </cell>
          <cell r="P79">
            <v>1</v>
          </cell>
          <cell r="Q79">
            <v>1</v>
          </cell>
          <cell r="R79">
            <v>1</v>
          </cell>
        </row>
        <row r="80">
          <cell r="D80">
            <v>1</v>
          </cell>
          <cell r="E80">
            <v>1</v>
          </cell>
          <cell r="F80">
            <v>1</v>
          </cell>
          <cell r="G80">
            <v>1</v>
          </cell>
          <cell r="H80">
            <v>1</v>
          </cell>
          <cell r="I80">
            <v>1</v>
          </cell>
          <cell r="J80">
            <v>1</v>
          </cell>
          <cell r="K80">
            <v>1</v>
          </cell>
          <cell r="L80">
            <v>1</v>
          </cell>
          <cell r="M80">
            <v>1</v>
          </cell>
          <cell r="N80">
            <v>1</v>
          </cell>
          <cell r="O80">
            <v>1</v>
          </cell>
          <cell r="P80">
            <v>1</v>
          </cell>
          <cell r="Q80">
            <v>1</v>
          </cell>
          <cell r="R80">
            <v>1</v>
          </cell>
        </row>
        <row r="81">
          <cell r="D81">
            <v>1</v>
          </cell>
          <cell r="E81">
            <v>1</v>
          </cell>
          <cell r="F81">
            <v>1</v>
          </cell>
          <cell r="G81">
            <v>1</v>
          </cell>
          <cell r="H81">
            <v>1</v>
          </cell>
          <cell r="I81">
            <v>1</v>
          </cell>
          <cell r="J81">
            <v>1</v>
          </cell>
          <cell r="K81">
            <v>1</v>
          </cell>
          <cell r="L81">
            <v>1</v>
          </cell>
          <cell r="M81">
            <v>1</v>
          </cell>
          <cell r="N81">
            <v>1</v>
          </cell>
          <cell r="O81">
            <v>1</v>
          </cell>
          <cell r="P81">
            <v>1</v>
          </cell>
          <cell r="Q81">
            <v>1</v>
          </cell>
          <cell r="R81">
            <v>1</v>
          </cell>
        </row>
        <row r="82">
          <cell r="D82">
            <v>1</v>
          </cell>
          <cell r="E82">
            <v>1</v>
          </cell>
          <cell r="F82">
            <v>1</v>
          </cell>
          <cell r="G82">
            <v>1</v>
          </cell>
          <cell r="H82">
            <v>1</v>
          </cell>
          <cell r="I82">
            <v>1</v>
          </cell>
          <cell r="J82">
            <v>1</v>
          </cell>
          <cell r="K82">
            <v>1</v>
          </cell>
          <cell r="L82">
            <v>1</v>
          </cell>
          <cell r="M82">
            <v>1</v>
          </cell>
          <cell r="N82">
            <v>1</v>
          </cell>
          <cell r="O82">
            <v>1</v>
          </cell>
          <cell r="P82">
            <v>1</v>
          </cell>
          <cell r="Q82">
            <v>1</v>
          </cell>
          <cell r="R82">
            <v>1</v>
          </cell>
        </row>
        <row r="83">
          <cell r="D83">
            <v>1</v>
          </cell>
          <cell r="E83">
            <v>1</v>
          </cell>
          <cell r="F83">
            <v>1</v>
          </cell>
          <cell r="G83">
            <v>1</v>
          </cell>
          <cell r="H83">
            <v>1</v>
          </cell>
          <cell r="I83">
            <v>1</v>
          </cell>
          <cell r="J83">
            <v>1</v>
          </cell>
          <cell r="K83">
            <v>1</v>
          </cell>
          <cell r="L83">
            <v>1</v>
          </cell>
          <cell r="M83">
            <v>1</v>
          </cell>
          <cell r="N83">
            <v>1</v>
          </cell>
          <cell r="O83">
            <v>1</v>
          </cell>
          <cell r="P83">
            <v>1</v>
          </cell>
          <cell r="Q83">
            <v>1</v>
          </cell>
          <cell r="R83">
            <v>1</v>
          </cell>
        </row>
        <row r="84">
          <cell r="D84">
            <v>1</v>
          </cell>
          <cell r="E84">
            <v>1</v>
          </cell>
          <cell r="F84">
            <v>1</v>
          </cell>
          <cell r="G84">
            <v>1</v>
          </cell>
          <cell r="H84">
            <v>1</v>
          </cell>
          <cell r="I84">
            <v>1</v>
          </cell>
          <cell r="J84">
            <v>1</v>
          </cell>
          <cell r="K84">
            <v>1</v>
          </cell>
          <cell r="L84">
            <v>1</v>
          </cell>
          <cell r="M84">
            <v>1</v>
          </cell>
          <cell r="N84">
            <v>1</v>
          </cell>
          <cell r="O84">
            <v>1</v>
          </cell>
          <cell r="P84">
            <v>1</v>
          </cell>
          <cell r="Q84">
            <v>1</v>
          </cell>
          <cell r="R84">
            <v>1</v>
          </cell>
        </row>
        <row r="85">
          <cell r="D85">
            <v>1</v>
          </cell>
          <cell r="E85">
            <v>1</v>
          </cell>
          <cell r="F85">
            <v>1</v>
          </cell>
          <cell r="G85">
            <v>1</v>
          </cell>
          <cell r="H85">
            <v>1</v>
          </cell>
          <cell r="I85">
            <v>1</v>
          </cell>
          <cell r="J85">
            <v>1</v>
          </cell>
          <cell r="K85">
            <v>1</v>
          </cell>
          <cell r="L85">
            <v>1</v>
          </cell>
          <cell r="M85">
            <v>1</v>
          </cell>
          <cell r="N85">
            <v>1</v>
          </cell>
          <cell r="O85">
            <v>1</v>
          </cell>
          <cell r="P85">
            <v>1</v>
          </cell>
          <cell r="Q85">
            <v>1</v>
          </cell>
          <cell r="R85">
            <v>1</v>
          </cell>
        </row>
        <row r="86">
          <cell r="D86">
            <v>1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1</v>
          </cell>
          <cell r="J86">
            <v>1</v>
          </cell>
          <cell r="K86">
            <v>1</v>
          </cell>
          <cell r="L86">
            <v>1</v>
          </cell>
          <cell r="M86">
            <v>1</v>
          </cell>
          <cell r="N86">
            <v>1</v>
          </cell>
          <cell r="O86">
            <v>1</v>
          </cell>
          <cell r="P86">
            <v>1</v>
          </cell>
          <cell r="Q86">
            <v>1</v>
          </cell>
          <cell r="R86">
            <v>1</v>
          </cell>
        </row>
        <row r="87">
          <cell r="D87">
            <v>1</v>
          </cell>
          <cell r="E87">
            <v>1</v>
          </cell>
          <cell r="F87">
            <v>1</v>
          </cell>
          <cell r="G87">
            <v>1</v>
          </cell>
          <cell r="H87">
            <v>1</v>
          </cell>
          <cell r="I87">
            <v>1</v>
          </cell>
          <cell r="J87">
            <v>1</v>
          </cell>
          <cell r="K87">
            <v>1</v>
          </cell>
          <cell r="L87">
            <v>1</v>
          </cell>
          <cell r="M87">
            <v>1</v>
          </cell>
          <cell r="N87">
            <v>1</v>
          </cell>
          <cell r="O87">
            <v>1</v>
          </cell>
          <cell r="P87">
            <v>1</v>
          </cell>
          <cell r="Q87">
            <v>1</v>
          </cell>
          <cell r="R87">
            <v>1</v>
          </cell>
        </row>
        <row r="88">
          <cell r="D88">
            <v>1</v>
          </cell>
          <cell r="E88">
            <v>1</v>
          </cell>
          <cell r="F88">
            <v>1</v>
          </cell>
          <cell r="G88">
            <v>1</v>
          </cell>
          <cell r="H88">
            <v>1</v>
          </cell>
          <cell r="I88">
            <v>1</v>
          </cell>
          <cell r="J88">
            <v>1</v>
          </cell>
          <cell r="K88">
            <v>1</v>
          </cell>
          <cell r="L88">
            <v>1</v>
          </cell>
          <cell r="M88">
            <v>1</v>
          </cell>
          <cell r="N88">
            <v>1</v>
          </cell>
          <cell r="O88">
            <v>1</v>
          </cell>
          <cell r="P88">
            <v>1</v>
          </cell>
          <cell r="Q88">
            <v>1</v>
          </cell>
          <cell r="R88">
            <v>1</v>
          </cell>
        </row>
        <row r="89">
          <cell r="D89">
            <v>1</v>
          </cell>
          <cell r="E89">
            <v>1</v>
          </cell>
          <cell r="F89">
            <v>1</v>
          </cell>
          <cell r="G89">
            <v>1</v>
          </cell>
          <cell r="H89">
            <v>1</v>
          </cell>
          <cell r="I89">
            <v>1</v>
          </cell>
          <cell r="J89">
            <v>1</v>
          </cell>
          <cell r="K89">
            <v>1</v>
          </cell>
          <cell r="L89">
            <v>1</v>
          </cell>
          <cell r="M89">
            <v>1</v>
          </cell>
          <cell r="N89">
            <v>1</v>
          </cell>
          <cell r="O89">
            <v>1</v>
          </cell>
          <cell r="P89">
            <v>1</v>
          </cell>
          <cell r="Q89">
            <v>1</v>
          </cell>
          <cell r="R89">
            <v>1</v>
          </cell>
        </row>
        <row r="90">
          <cell r="D90">
            <v>1</v>
          </cell>
          <cell r="E90">
            <v>1</v>
          </cell>
          <cell r="F90">
            <v>1</v>
          </cell>
          <cell r="G90">
            <v>1</v>
          </cell>
          <cell r="H90">
            <v>1</v>
          </cell>
          <cell r="I90">
            <v>1</v>
          </cell>
          <cell r="J90">
            <v>1</v>
          </cell>
          <cell r="K90">
            <v>1</v>
          </cell>
          <cell r="L90">
            <v>1</v>
          </cell>
          <cell r="M90">
            <v>1</v>
          </cell>
          <cell r="N90">
            <v>1</v>
          </cell>
          <cell r="O90">
            <v>1</v>
          </cell>
          <cell r="P90">
            <v>1</v>
          </cell>
          <cell r="Q90">
            <v>1</v>
          </cell>
          <cell r="R90">
            <v>1</v>
          </cell>
        </row>
        <row r="91">
          <cell r="D91">
            <v>1</v>
          </cell>
          <cell r="E91">
            <v>1</v>
          </cell>
          <cell r="F91">
            <v>1</v>
          </cell>
          <cell r="G91">
            <v>1</v>
          </cell>
          <cell r="H91">
            <v>1</v>
          </cell>
          <cell r="I91">
            <v>1</v>
          </cell>
          <cell r="J91">
            <v>1</v>
          </cell>
          <cell r="K91">
            <v>1</v>
          </cell>
          <cell r="L91">
            <v>1</v>
          </cell>
          <cell r="M91">
            <v>1</v>
          </cell>
          <cell r="N91">
            <v>1</v>
          </cell>
          <cell r="O91">
            <v>1</v>
          </cell>
          <cell r="P91">
            <v>1</v>
          </cell>
          <cell r="Q91">
            <v>1</v>
          </cell>
          <cell r="R91">
            <v>1</v>
          </cell>
        </row>
        <row r="92">
          <cell r="D92">
            <v>1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1</v>
          </cell>
          <cell r="J92">
            <v>1</v>
          </cell>
          <cell r="K92">
            <v>1</v>
          </cell>
          <cell r="L92">
            <v>1</v>
          </cell>
          <cell r="M92">
            <v>1</v>
          </cell>
          <cell r="N92">
            <v>1</v>
          </cell>
          <cell r="O92">
            <v>1</v>
          </cell>
          <cell r="P92">
            <v>1</v>
          </cell>
          <cell r="Q92">
            <v>1</v>
          </cell>
          <cell r="R92">
            <v>1</v>
          </cell>
        </row>
        <row r="93">
          <cell r="D93">
            <v>1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1</v>
          </cell>
          <cell r="J93">
            <v>1</v>
          </cell>
          <cell r="K93">
            <v>1</v>
          </cell>
          <cell r="L93">
            <v>1</v>
          </cell>
          <cell r="M93">
            <v>1</v>
          </cell>
          <cell r="N93">
            <v>1</v>
          </cell>
          <cell r="O93">
            <v>1</v>
          </cell>
          <cell r="P93">
            <v>1</v>
          </cell>
          <cell r="Q93">
            <v>1</v>
          </cell>
          <cell r="R93">
            <v>1</v>
          </cell>
        </row>
        <row r="94">
          <cell r="D94">
            <v>1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1</v>
          </cell>
          <cell r="J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  <cell r="O94">
            <v>1</v>
          </cell>
          <cell r="P94">
            <v>1</v>
          </cell>
          <cell r="Q94">
            <v>1</v>
          </cell>
          <cell r="R94">
            <v>1</v>
          </cell>
        </row>
        <row r="95">
          <cell r="D95">
            <v>1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1</v>
          </cell>
          <cell r="J95">
            <v>1</v>
          </cell>
          <cell r="K95">
            <v>1</v>
          </cell>
          <cell r="L95">
            <v>1</v>
          </cell>
          <cell r="M95">
            <v>1</v>
          </cell>
          <cell r="N95">
            <v>1</v>
          </cell>
          <cell r="O95">
            <v>1</v>
          </cell>
          <cell r="P95">
            <v>1</v>
          </cell>
          <cell r="Q95">
            <v>1</v>
          </cell>
          <cell r="R95">
            <v>1</v>
          </cell>
        </row>
        <row r="96">
          <cell r="D96">
            <v>1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1</v>
          </cell>
          <cell r="J96">
            <v>1</v>
          </cell>
          <cell r="K96">
            <v>1</v>
          </cell>
          <cell r="L96">
            <v>1</v>
          </cell>
          <cell r="M96">
            <v>1</v>
          </cell>
          <cell r="N96">
            <v>1</v>
          </cell>
          <cell r="O96">
            <v>1</v>
          </cell>
          <cell r="P96">
            <v>1</v>
          </cell>
          <cell r="Q96">
            <v>1</v>
          </cell>
          <cell r="R96">
            <v>1</v>
          </cell>
        </row>
        <row r="97">
          <cell r="D97">
            <v>1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1</v>
          </cell>
          <cell r="J97">
            <v>1</v>
          </cell>
          <cell r="K97">
            <v>1</v>
          </cell>
          <cell r="L97">
            <v>1</v>
          </cell>
          <cell r="M97">
            <v>1</v>
          </cell>
          <cell r="N97">
            <v>1</v>
          </cell>
          <cell r="O97">
            <v>1</v>
          </cell>
          <cell r="P97">
            <v>1</v>
          </cell>
          <cell r="Q97">
            <v>1</v>
          </cell>
          <cell r="R97">
            <v>1</v>
          </cell>
        </row>
        <row r="98">
          <cell r="D98">
            <v>1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1</v>
          </cell>
          <cell r="J98">
            <v>1</v>
          </cell>
          <cell r="K98">
            <v>1</v>
          </cell>
          <cell r="L98">
            <v>1</v>
          </cell>
          <cell r="M98">
            <v>1</v>
          </cell>
          <cell r="N98">
            <v>1</v>
          </cell>
          <cell r="O98">
            <v>1</v>
          </cell>
          <cell r="P98">
            <v>1</v>
          </cell>
          <cell r="Q98">
            <v>1</v>
          </cell>
          <cell r="R98">
            <v>1</v>
          </cell>
        </row>
      </sheetData>
      <sheetData sheetId="18" refreshError="1"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</row>
        <row r="103">
          <cell r="C103">
            <v>20127</v>
          </cell>
          <cell r="D103">
            <v>63138</v>
          </cell>
          <cell r="E103">
            <v>500401</v>
          </cell>
          <cell r="F103">
            <v>1329416</v>
          </cell>
          <cell r="G103">
            <v>3373992</v>
          </cell>
          <cell r="H103">
            <v>3881959</v>
          </cell>
          <cell r="I103">
            <v>4017098</v>
          </cell>
          <cell r="J103">
            <v>6349271</v>
          </cell>
          <cell r="K103">
            <v>7165114</v>
          </cell>
          <cell r="L103">
            <v>7367718</v>
          </cell>
          <cell r="M103">
            <v>8520325</v>
          </cell>
          <cell r="N103">
            <v>14557925</v>
          </cell>
          <cell r="O103">
            <v>25537467</v>
          </cell>
          <cell r="P103">
            <v>52302195</v>
          </cell>
          <cell r="Q103">
            <v>71175852</v>
          </cell>
        </row>
      </sheetData>
      <sheetData sheetId="19" refreshError="1"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8071031.0039999997</v>
          </cell>
          <cell r="K95">
            <v>12820545.575999999</v>
          </cell>
          <cell r="M95">
            <v>18822792.119999997</v>
          </cell>
          <cell r="O95">
            <v>27866322.074000001</v>
          </cell>
          <cell r="Q95">
            <v>46597257.914000005</v>
          </cell>
          <cell r="S95">
            <v>83220377.615999997</v>
          </cell>
          <cell r="T95">
            <v>33525815.286745109</v>
          </cell>
          <cell r="U95">
            <v>118845179.64999999</v>
          </cell>
          <cell r="W95">
            <v>112581293.15000001</v>
          </cell>
        </row>
        <row r="103">
          <cell r="C103">
            <v>20127</v>
          </cell>
          <cell r="D103">
            <v>63138</v>
          </cell>
          <cell r="E103">
            <v>500401</v>
          </cell>
          <cell r="F103">
            <v>1329416</v>
          </cell>
          <cell r="G103">
            <v>3373992</v>
          </cell>
          <cell r="H103">
            <v>3881959</v>
          </cell>
          <cell r="I103">
            <v>3454243.852</v>
          </cell>
          <cell r="K103">
            <v>5569741.7879999997</v>
          </cell>
          <cell r="M103">
            <v>7927846.0099999998</v>
          </cell>
          <cell r="O103">
            <v>11613530.587000001</v>
          </cell>
          <cell r="Q103">
            <v>19707135.007000003</v>
          </cell>
          <cell r="S103">
            <v>35935120.957800001</v>
          </cell>
          <cell r="T103">
            <v>25478958.238794774</v>
          </cell>
          <cell r="U103">
            <v>58157347.527499996</v>
          </cell>
          <cell r="W103">
            <v>56448709.302500002</v>
          </cell>
        </row>
      </sheetData>
      <sheetData sheetId="20" refreshError="1"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21" refreshError="1">
        <row r="95">
          <cell r="O95">
            <v>0</v>
          </cell>
          <cell r="P95">
            <v>0</v>
          </cell>
          <cell r="Q95">
            <v>0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22" refreshError="1">
        <row r="95">
          <cell r="O95">
            <v>0</v>
          </cell>
          <cell r="P95">
            <v>0</v>
          </cell>
          <cell r="Q95">
            <v>0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23" refreshError="1">
        <row r="94">
          <cell r="P94">
            <v>0</v>
          </cell>
          <cell r="Q94">
            <v>0</v>
          </cell>
        </row>
      </sheetData>
      <sheetData sheetId="24" refreshError="1">
        <row r="95">
          <cell r="O95">
            <v>0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25" refreshError="1">
        <row r="94"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</row>
      </sheetData>
      <sheetData sheetId="26" refreshError="1">
        <row r="95">
          <cell r="P95">
            <v>0</v>
          </cell>
          <cell r="Q95">
            <v>0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27" refreshError="1"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28" refreshError="1"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29" refreshError="1"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30" refreshError="1"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31" refreshError="1"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32" refreshError="1"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33" refreshError="1"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34" refreshError="1"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35" refreshError="1"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36" refreshError="1"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37" refreshError="1"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38" refreshError="1"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39" refreshError="1"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40" refreshError="1"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</sheetData>
      <sheetData sheetId="4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data"/>
      <sheetName val="PECO Capital Pivot DO NOT TOUCH"/>
      <sheetName val="PECO O&amp;M Pivot - DO NOT Touch"/>
      <sheetName val="2014 IS Actual"/>
      <sheetName val="Sheet1"/>
      <sheetName val="ChileanGaap"/>
      <sheetName val="Gastos"/>
      <sheetName val="Inversiones en Activo"/>
      <sheetName val="Inversiones en Empresas"/>
      <sheetName val="Otros_Prestamos"/>
      <sheetName val="Gastos_Personal"/>
      <sheetName val="Ingresos_Servicios"/>
      <sheetName val="USGaap_$"/>
      <sheetName val="USGaap_US$"/>
      <sheetName val="Venta"/>
      <sheetName val="Instructions"/>
      <sheetName val="Data Flow"/>
      <sheetName val="PECO Weather Normalization"/>
      <sheetName val="Annual"/>
      <sheetName val="Graph"/>
      <sheetName val="Cha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&amp;m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lon IT SFAs"/>
      <sheetName val="Sheet2"/>
      <sheetName val="Programs &amp; Projects"/>
      <sheetName val="Others"/>
    </sheetNames>
    <sheetDataSet>
      <sheetData sheetId="0"/>
      <sheetData sheetId="1">
        <row r="1">
          <cell r="O1" t="str">
            <v>Clewett</v>
          </cell>
          <cell r="P1" t="str">
            <v>Process</v>
          </cell>
          <cell r="Q1" t="str">
            <v>in-Flight</v>
          </cell>
          <cell r="AE1" t="str">
            <v>Calabrese</v>
          </cell>
          <cell r="AF1" t="str">
            <v>Program</v>
          </cell>
        </row>
        <row r="2">
          <cell r="O2" t="str">
            <v>Hill</v>
          </cell>
          <cell r="P2" t="str">
            <v>Renewal</v>
          </cell>
          <cell r="Q2" t="str">
            <v>2005/Q1</v>
          </cell>
          <cell r="AE2" t="str">
            <v>Chang</v>
          </cell>
          <cell r="AF2" t="str">
            <v>Project</v>
          </cell>
        </row>
        <row r="3">
          <cell r="O3" t="str">
            <v>Lasky</v>
          </cell>
          <cell r="P3" t="str">
            <v>Innovate</v>
          </cell>
          <cell r="Q3" t="str">
            <v>2005/Q2</v>
          </cell>
          <cell r="AE3" t="str">
            <v>Clewett</v>
          </cell>
          <cell r="AF3" t="str">
            <v>Pgm/Prj</v>
          </cell>
        </row>
        <row r="4">
          <cell r="O4" t="str">
            <v>Peery</v>
          </cell>
          <cell r="P4" t="str">
            <v>Transform</v>
          </cell>
          <cell r="Q4" t="str">
            <v>2005/Q3</v>
          </cell>
          <cell r="AE4" t="str">
            <v>Doemland</v>
          </cell>
        </row>
        <row r="5">
          <cell r="O5" t="str">
            <v>Walters</v>
          </cell>
          <cell r="Q5" t="str">
            <v>2005/Q4</v>
          </cell>
          <cell r="AE5" t="str">
            <v>Farrington</v>
          </cell>
        </row>
        <row r="6">
          <cell r="Q6" t="str">
            <v>2006/Q1</v>
          </cell>
          <cell r="AE6" t="str">
            <v>Feeley</v>
          </cell>
        </row>
        <row r="7">
          <cell r="Q7" t="str">
            <v>2006/Q2</v>
          </cell>
          <cell r="AE7" t="str">
            <v>Gromos</v>
          </cell>
        </row>
        <row r="8">
          <cell r="Q8" t="str">
            <v>2006/Q3</v>
          </cell>
          <cell r="AE8" t="str">
            <v>Hanson</v>
          </cell>
        </row>
        <row r="9">
          <cell r="Q9" t="str">
            <v>2006/Q4</v>
          </cell>
          <cell r="AE9" t="str">
            <v>Horvatich</v>
          </cell>
        </row>
        <row r="10">
          <cell r="Q10">
            <v>2007</v>
          </cell>
          <cell r="AE10" t="str">
            <v>Hunt</v>
          </cell>
        </row>
        <row r="11">
          <cell r="Q11">
            <v>2008</v>
          </cell>
          <cell r="AE11" t="str">
            <v>Lasky</v>
          </cell>
        </row>
        <row r="12">
          <cell r="Q12">
            <v>2009</v>
          </cell>
          <cell r="AE12" t="str">
            <v>Lindsey</v>
          </cell>
        </row>
        <row r="13">
          <cell r="Q13">
            <v>2010</v>
          </cell>
          <cell r="AE13" t="str">
            <v>Martin</v>
          </cell>
        </row>
        <row r="14">
          <cell r="Q14">
            <v>2011</v>
          </cell>
          <cell r="AE14" t="str">
            <v>Meehan</v>
          </cell>
        </row>
        <row r="15">
          <cell r="Q15">
            <v>2012</v>
          </cell>
          <cell r="AE15" t="str">
            <v>Miller</v>
          </cell>
        </row>
        <row r="16">
          <cell r="Q16">
            <v>2013</v>
          </cell>
          <cell r="AE16" t="str">
            <v>Muehlbauer</v>
          </cell>
        </row>
        <row r="17">
          <cell r="Q17">
            <v>2014</v>
          </cell>
          <cell r="AE17" t="str">
            <v>Ortiz</v>
          </cell>
        </row>
        <row r="18">
          <cell r="AE18" t="str">
            <v>Poggensee</v>
          </cell>
        </row>
        <row r="19">
          <cell r="AE19" t="str">
            <v>Reyes</v>
          </cell>
        </row>
        <row r="20">
          <cell r="AE20" t="str">
            <v>Salmon</v>
          </cell>
        </row>
        <row r="21">
          <cell r="AE21" t="str">
            <v>Schneider</v>
          </cell>
        </row>
        <row r="22">
          <cell r="AE22" t="str">
            <v>Tate</v>
          </cell>
        </row>
        <row r="23">
          <cell r="AE23" t="str">
            <v>Terman</v>
          </cell>
        </row>
        <row r="24">
          <cell r="AE24" t="str">
            <v>Tryfonopoulos</v>
          </cell>
        </row>
      </sheetData>
      <sheetData sheetId="2"/>
      <sheetData sheetId="3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TOC v2"/>
      <sheetName val="Roadmap"/>
      <sheetName val="A - 1"/>
      <sheetName val="A - 2"/>
      <sheetName val="A - 2.1"/>
      <sheetName val="A - 3"/>
      <sheetName val="A - 4"/>
      <sheetName val="A - 5a"/>
      <sheetName val="A - 5b"/>
      <sheetName val="WPA - 5a"/>
      <sheetName val="WPA - 5b"/>
      <sheetName val="B - 1"/>
      <sheetName val="WPB-1.1"/>
      <sheetName val="WPB-1.2"/>
      <sheetName val="B  - 2"/>
      <sheetName val="B - 2.1"/>
      <sheetName val="B - 2.2"/>
      <sheetName val="B - 3"/>
      <sheetName val="B - 4"/>
      <sheetName val="B - 5"/>
      <sheetName val="WPB - 5"/>
      <sheetName val="B - 6a"/>
      <sheetName val="B - 6b"/>
      <sheetName val="B - 7.2a"/>
      <sheetName val="B - 7.2b"/>
      <sheetName val="B-8"/>
      <sheetName val="B - 8.1"/>
      <sheetName val="WPB - 8.1"/>
      <sheetName val="B - 9"/>
      <sheetName val="WPB - 9"/>
      <sheetName val="B - 9.1"/>
      <sheetName val="B - 13"/>
      <sheetName val="WPB - 13a"/>
      <sheetName val="WPB - 13b"/>
      <sheetName val="WPB - 13c"/>
      <sheetName val="2003 - B - 13"/>
      <sheetName val="2003 - WPB - 13"/>
      <sheetName val="B - 14"/>
      <sheetName val="WPB - 14"/>
      <sheetName val="C - 1"/>
      <sheetName val="C - 2"/>
      <sheetName val="C - 2.1"/>
      <sheetName val="C - 2.2"/>
      <sheetName val="WPC - 2.2"/>
      <sheetName val="C - 2.3"/>
      <sheetName val="C - 2.4"/>
      <sheetName val="C - 2.5"/>
      <sheetName val="WPC - 2.5"/>
      <sheetName val="C - 2.6"/>
      <sheetName val="WPC - 2.6"/>
      <sheetName val="C - 2.7"/>
      <sheetName val="WPC - 2.7"/>
      <sheetName val="C - 2.8"/>
      <sheetName val="C - 2.9"/>
      <sheetName val="C - 2.10"/>
      <sheetName val="WPC - 2.10"/>
      <sheetName val="C - 2.11"/>
      <sheetName val="WPC - 2.11a"/>
      <sheetName val="WPC - 2.11b"/>
      <sheetName val="C - 2.12"/>
      <sheetName val="WPC - 2.12a"/>
      <sheetName val="WPC - 2.12b"/>
      <sheetName val="C - 2.13"/>
      <sheetName val="C - 2.14"/>
      <sheetName val="WPC - 2.14a"/>
      <sheetName val="WPC - 2.14b"/>
      <sheetName val="C - 3"/>
      <sheetName val="WPC - 4"/>
      <sheetName val="C - 4"/>
      <sheetName val="C-5"/>
      <sheetName val="C - 5b"/>
      <sheetName val="C - 5.1"/>
      <sheetName val="C-5.2"/>
      <sheetName val="C - 5.3"/>
      <sheetName val="C - 5.4"/>
      <sheetName val="WPC - 5.4"/>
      <sheetName val="C - 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-10"/>
      <sheetName val="C - 10.1"/>
      <sheetName val="C - 11.1"/>
      <sheetName val="WPC - 11.1"/>
      <sheetName val="C-11.2a"/>
      <sheetName val="WPC-11.2a"/>
      <sheetName val="C-11.2b"/>
      <sheetName val="C-11.2c"/>
      <sheetName val="C-11.2d"/>
      <sheetName val="C-11.2e"/>
      <sheetName val="C-11.2f"/>
      <sheetName val="C-11.2g"/>
      <sheetName val="C-11.2h"/>
      <sheetName val="C - 11.3"/>
      <sheetName val="WPC - 11.3"/>
      <sheetName val="C - 12"/>
      <sheetName val="WPC - 12a"/>
      <sheetName val="WPC - 12c"/>
      <sheetName val="C-13"/>
      <sheetName val="C - 14"/>
      <sheetName val="WPC - 14"/>
      <sheetName val="C - 16"/>
      <sheetName val="WPC-16"/>
      <sheetName val="C - 17a"/>
      <sheetName val="C - 17b"/>
      <sheetName val="C - 17c"/>
      <sheetName val="C - 17d"/>
      <sheetName val="C-18"/>
      <sheetName val="WPC - 18a"/>
      <sheetName val="WPC - 18b"/>
      <sheetName val="WPC - 18c"/>
      <sheetName val="C - 19"/>
      <sheetName val="C - 21"/>
      <sheetName val="C - 23"/>
      <sheetName val="C - 25"/>
      <sheetName val="C - 26"/>
      <sheetName val="C - 30"/>
    </sheetNames>
    <sheetDataSet>
      <sheetData sheetId="0" refreshError="1"/>
      <sheetData sheetId="1" refreshError="1"/>
      <sheetData sheetId="2" refreshError="1">
        <row r="136">
          <cell r="B136" t="str">
            <v>As of June 30, 2007</v>
          </cell>
        </row>
        <row r="137">
          <cell r="B137" t="str">
            <v xml:space="preserve">As of June 30, </v>
          </cell>
        </row>
        <row r="138">
          <cell r="B138" t="str">
            <v>For the Twelve Months Ended June 30, 2007</v>
          </cell>
        </row>
        <row r="139">
          <cell r="B139" t="str">
            <v>For the Twelve Months Ended June 30,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TACHMENT E"/>
      <sheetName val="ATTACHMENT D"/>
      <sheetName val="ATTACHMENT C"/>
      <sheetName val="ATTACHMENT B"/>
      <sheetName val="ATTACHMENT A"/>
      <sheetName val="SUM BY GROUP BY SITE BY YEAR"/>
      <sheetName val="CRC SCENARIO 1"/>
      <sheetName val="CRC SCENARIO 1 (BY SITE)"/>
      <sheetName val="CRC SCENARIO 2"/>
      <sheetName val="CRC SCENARIO 2 (BY SITE)"/>
      <sheetName val="IDR 15"/>
      <sheetName val="SAMPLE WORKSHEET"/>
      <sheetName val="REVISED 1998 SUM BY GROUP"/>
      <sheetName val="LEGACY SUM BY GROUP BY LOCATION"/>
      <sheetName val="CBMS SUM BY GROUP BY LOCATION"/>
      <sheetName val="Sample"/>
      <sheetName val="REVIS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A1" t="str">
            <v>GROUP</v>
          </cell>
          <cell r="B1" t="str">
            <v>PROJECT GROUP NAME</v>
          </cell>
          <cell r="C1" t="str">
            <v>PRE-CBMS IRC 41 QREs</v>
          </cell>
          <cell r="D1" t="str">
            <v>CBMS CAPX QREs</v>
          </cell>
          <cell r="E1" t="str">
            <v>CBMS O&amp;M QREs</v>
          </cell>
          <cell r="F1" t="str">
            <v>prelim 300 AND 302</v>
          </cell>
          <cell r="G1" t="str">
            <v>IRC 41 QREs FROM 300 AND 302</v>
          </cell>
          <cell r="H1" t="str">
            <v>TOTAL QREs</v>
          </cell>
        </row>
        <row r="2">
          <cell r="A2">
            <v>0</v>
          </cell>
          <cell r="B2" t="str">
            <v>Improve Reliability of the Digital Rod Position Indication (DRPI) System</v>
          </cell>
          <cell r="C2">
            <v>0</v>
          </cell>
          <cell r="D2">
            <v>0</v>
          </cell>
          <cell r="E2">
            <v>0</v>
          </cell>
          <cell r="F2">
            <v>469225.70474999992</v>
          </cell>
          <cell r="G2">
            <v>469225.70474999992</v>
          </cell>
          <cell r="H2">
            <v>469225.70474999992</v>
          </cell>
        </row>
        <row r="3">
          <cell r="A3">
            <v>1</v>
          </cell>
          <cell r="B3" t="str">
            <v>Wastewater Treatment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</row>
        <row r="4">
          <cell r="A4">
            <v>2</v>
          </cell>
          <cell r="B4" t="str">
            <v>Rod Cluster Control Assembly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</row>
        <row r="5">
          <cell r="A5">
            <v>3</v>
          </cell>
          <cell r="B5" t="str">
            <v>Station Battery Capability Upgrade</v>
          </cell>
          <cell r="C5">
            <v>3360903.7711475077</v>
          </cell>
          <cell r="D5">
            <v>17890.14499999999</v>
          </cell>
          <cell r="E5">
            <v>463.30500000000001</v>
          </cell>
          <cell r="F5">
            <v>0</v>
          </cell>
          <cell r="G5">
            <v>0</v>
          </cell>
          <cell r="H5">
            <v>3379257.2211475079</v>
          </cell>
        </row>
        <row r="6">
          <cell r="A6">
            <v>4</v>
          </cell>
          <cell r="B6" t="str">
            <v>Chemical Treatment of Cooling Water</v>
          </cell>
          <cell r="C6">
            <v>834502.35657199821</v>
          </cell>
          <cell r="D6">
            <v>0</v>
          </cell>
          <cell r="E6">
            <v>0</v>
          </cell>
          <cell r="F6">
            <v>9677.2200525000007</v>
          </cell>
          <cell r="G6">
            <v>9677.2200525000007</v>
          </cell>
          <cell r="H6">
            <v>844179.57662449824</v>
          </cell>
        </row>
        <row r="7">
          <cell r="A7">
            <v>5</v>
          </cell>
          <cell r="B7" t="str">
            <v>Moisture Separator Reheater Upgrade</v>
          </cell>
          <cell r="C7">
            <v>475777.60129650001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475777.60129650001</v>
          </cell>
        </row>
        <row r="8">
          <cell r="A8">
            <v>6</v>
          </cell>
          <cell r="B8" t="str">
            <v>Roof Improvements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</row>
        <row r="9">
          <cell r="A9">
            <v>7</v>
          </cell>
          <cell r="B9" t="str">
            <v>Reactor Cooling Pump Vibration Monitoring</v>
          </cell>
          <cell r="C9">
            <v>277472.73547499999</v>
          </cell>
          <cell r="D9">
            <v>178061.17750000031</v>
          </cell>
          <cell r="E9">
            <v>0</v>
          </cell>
          <cell r="F9">
            <v>0</v>
          </cell>
          <cell r="G9">
            <v>0</v>
          </cell>
          <cell r="H9">
            <v>455533.91297500033</v>
          </cell>
        </row>
        <row r="10">
          <cell r="A10">
            <v>8</v>
          </cell>
          <cell r="B10" t="str">
            <v>Main Condenser Bellows Improvements</v>
          </cell>
          <cell r="C10">
            <v>522.52200000000005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522.52200000000005</v>
          </cell>
        </row>
        <row r="11">
          <cell r="A11">
            <v>9</v>
          </cell>
          <cell r="B11" t="str">
            <v>Improvements to Butterfly Valves</v>
          </cell>
          <cell r="C11">
            <v>170344.74020000003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170344.74020000003</v>
          </cell>
        </row>
        <row r="12">
          <cell r="A12">
            <v>10</v>
          </cell>
          <cell r="B12" t="str">
            <v>Steam Generator Improvements Initiatives</v>
          </cell>
          <cell r="C12">
            <v>24395807.685359348</v>
          </cell>
          <cell r="D12">
            <v>-11.885200000000001</v>
          </cell>
          <cell r="E12">
            <v>219.69700000000006</v>
          </cell>
          <cell r="F12">
            <v>0</v>
          </cell>
          <cell r="G12">
            <v>0</v>
          </cell>
          <cell r="H12">
            <v>24396015.497159347</v>
          </cell>
        </row>
        <row r="13">
          <cell r="A13">
            <v>11</v>
          </cell>
          <cell r="B13" t="str">
            <v>Increase Capacity of Steam Generator System</v>
          </cell>
          <cell r="C13">
            <v>1431971.0863485013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1431971.0863485013</v>
          </cell>
        </row>
        <row r="14">
          <cell r="A14">
            <v>12</v>
          </cell>
          <cell r="B14" t="str">
            <v>Intermediate Radwaste Storage Facilities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A15">
            <v>13</v>
          </cell>
          <cell r="B15" t="str">
            <v>Low Level Radwaste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</row>
        <row r="16">
          <cell r="A16">
            <v>14</v>
          </cell>
          <cell r="B16" t="str">
            <v>Improvements to Plant Security Barriers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</row>
        <row r="17">
          <cell r="A17">
            <v>15</v>
          </cell>
          <cell r="B17" t="str">
            <v>Main Power Transformer Replacement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8">
          <cell r="A18">
            <v>16</v>
          </cell>
          <cell r="B18" t="str">
            <v>Replacement of Plant Security Computers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</row>
        <row r="19">
          <cell r="A19">
            <v>17</v>
          </cell>
          <cell r="B19" t="str">
            <v>Land or Right-of-Way Acquisition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</row>
        <row r="20">
          <cell r="A20">
            <v>18</v>
          </cell>
          <cell r="B20" t="str">
            <v>Transmission Lines and Substation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A21">
            <v>19</v>
          </cell>
          <cell r="B21" t="str">
            <v>Radioactive Gas Effluent Monitoring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</row>
        <row r="22">
          <cell r="A22">
            <v>20</v>
          </cell>
          <cell r="B22" t="str">
            <v>High Density Spent Fuel Storage</v>
          </cell>
          <cell r="C22">
            <v>12781500.192131486</v>
          </cell>
          <cell r="D22">
            <v>30293.232999999997</v>
          </cell>
          <cell r="E22">
            <v>0</v>
          </cell>
          <cell r="F22">
            <v>0</v>
          </cell>
          <cell r="G22">
            <v>0</v>
          </cell>
          <cell r="H22">
            <v>12811793.425131485</v>
          </cell>
        </row>
        <row r="23">
          <cell r="A23">
            <v>21</v>
          </cell>
          <cell r="B23" t="str">
            <v>ATWS (Alternative Transient Without SCRAM) - Turbine Modification</v>
          </cell>
          <cell r="C23">
            <v>1550.2695000000001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1550.2695000000001</v>
          </cell>
        </row>
        <row r="24">
          <cell r="A24">
            <v>22</v>
          </cell>
          <cell r="B24" t="str">
            <v>ATWS (Alternative Transient Without SCRAM) - Modification for BWRs</v>
          </cell>
          <cell r="C24">
            <v>27326.500479999999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27326.500479999999</v>
          </cell>
        </row>
        <row r="25">
          <cell r="A25">
            <v>23</v>
          </cell>
          <cell r="B25" t="str">
            <v>Resistance Temperature Detectors</v>
          </cell>
          <cell r="C25">
            <v>2780508.612500486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2780508.612500486</v>
          </cell>
        </row>
        <row r="26">
          <cell r="A26">
            <v>24</v>
          </cell>
          <cell r="B26" t="str">
            <v>Process Computer Upgrades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  <row r="27">
          <cell r="A27">
            <v>25</v>
          </cell>
          <cell r="B27" t="str">
            <v>Resolution of Human Engineering Discrepancy</v>
          </cell>
          <cell r="C27">
            <v>24137874.168085158</v>
          </cell>
          <cell r="D27">
            <v>0</v>
          </cell>
          <cell r="E27">
            <v>0</v>
          </cell>
          <cell r="F27">
            <v>15973.404466</v>
          </cell>
          <cell r="G27">
            <v>15973.404466</v>
          </cell>
          <cell r="H27">
            <v>24153847.572551157</v>
          </cell>
        </row>
        <row r="28">
          <cell r="A28">
            <v>26</v>
          </cell>
          <cell r="B28" t="str">
            <v>Snubber Reduction Program</v>
          </cell>
          <cell r="C28">
            <v>13127568.183722457</v>
          </cell>
          <cell r="D28">
            <v>0</v>
          </cell>
          <cell r="E28">
            <v>-7686.3409999999994</v>
          </cell>
          <cell r="F28">
            <v>0</v>
          </cell>
          <cell r="G28">
            <v>0</v>
          </cell>
          <cell r="H28">
            <v>13119881.842722457</v>
          </cell>
        </row>
        <row r="29">
          <cell r="A29">
            <v>27</v>
          </cell>
          <cell r="B29" t="str">
            <v>Safety-Related Valves</v>
          </cell>
          <cell r="C29">
            <v>18425084.325985558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18425084.325985558</v>
          </cell>
        </row>
        <row r="30">
          <cell r="A30">
            <v>28</v>
          </cell>
          <cell r="B30" t="str">
            <v>Events Recorder System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</row>
        <row r="31">
          <cell r="A31">
            <v>29</v>
          </cell>
          <cell r="B31" t="str">
            <v>Metal Diaphragm Valves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2">
          <cell r="A32">
            <v>30</v>
          </cell>
          <cell r="B32" t="str">
            <v>Installation of Safe Shutdown Cables/ Appendix R</v>
          </cell>
          <cell r="C32">
            <v>3762243.059191498</v>
          </cell>
          <cell r="D32">
            <v>0</v>
          </cell>
          <cell r="E32">
            <v>5006763.6900000004</v>
          </cell>
          <cell r="F32">
            <v>1025408.2609840003</v>
          </cell>
          <cell r="G32">
            <v>1025408.2609840003</v>
          </cell>
          <cell r="H32">
            <v>9794415.0101754963</v>
          </cell>
        </row>
        <row r="33">
          <cell r="A33">
            <v>31</v>
          </cell>
          <cell r="B33" t="str">
            <v>Steam Generator Level Instrumentation</v>
          </cell>
          <cell r="C33">
            <v>434393.14029049978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434393.14029049978</v>
          </cell>
        </row>
        <row r="34">
          <cell r="A34">
            <v>32</v>
          </cell>
          <cell r="B34" t="str">
            <v>Radioactive Chemical Laboratory Expansion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A35">
            <v>33</v>
          </cell>
          <cell r="B35" t="str">
            <v>Replacement of Generator Retaining Rings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</row>
        <row r="36">
          <cell r="A36">
            <v>34</v>
          </cell>
          <cell r="B36" t="str">
            <v>Extraction Steam Piping</v>
          </cell>
          <cell r="C36">
            <v>50585.731599999999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50585.731599999999</v>
          </cell>
        </row>
        <row r="37">
          <cell r="A37">
            <v>35</v>
          </cell>
          <cell r="B37" t="str">
            <v>Dynamic Rod Worth Measurement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</row>
        <row r="38">
          <cell r="A38">
            <v>36</v>
          </cell>
          <cell r="B38" t="str">
            <v>Reactor Core Monitor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</row>
        <row r="39">
          <cell r="A39">
            <v>37</v>
          </cell>
          <cell r="B39" t="str">
            <v>Design and Installation of Clamps to Mitigate Cracking due to IGSCC in Reactor Internals of Exelon’s BWR Stations</v>
          </cell>
          <cell r="C39">
            <v>5780734.6282879934</v>
          </cell>
          <cell r="D39">
            <v>142000</v>
          </cell>
          <cell r="E39">
            <v>267930</v>
          </cell>
          <cell r="F39">
            <v>87945.965479000035</v>
          </cell>
          <cell r="G39">
            <v>87945.965479000035</v>
          </cell>
          <cell r="H39">
            <v>6278610.5937669938</v>
          </cell>
        </row>
        <row r="40">
          <cell r="A40">
            <v>38</v>
          </cell>
          <cell r="B40" t="str">
            <v>Natural Draft Cooling Tower Conversion</v>
          </cell>
          <cell r="C40">
            <v>1248943.3491729998</v>
          </cell>
          <cell r="D40">
            <v>210102.15850000002</v>
          </cell>
          <cell r="E40">
            <v>0</v>
          </cell>
          <cell r="F40">
            <v>0</v>
          </cell>
          <cell r="G40">
            <v>0</v>
          </cell>
          <cell r="H40">
            <v>1459045.507673</v>
          </cell>
        </row>
        <row r="41">
          <cell r="A41">
            <v>39</v>
          </cell>
          <cell r="B41" t="str">
            <v>Service Water Cooling Pipe Material Re-Evaluation</v>
          </cell>
          <cell r="C41">
            <v>342111.6126680001</v>
          </cell>
          <cell r="D41">
            <v>17705.734200000028</v>
          </cell>
          <cell r="E41">
            <v>1930.2850000000001</v>
          </cell>
          <cell r="F41">
            <v>223.90114999999935</v>
          </cell>
          <cell r="G41">
            <v>223.90114999999935</v>
          </cell>
          <cell r="H41">
            <v>361971.53301800007</v>
          </cell>
        </row>
        <row r="42">
          <cell r="A42">
            <v>40</v>
          </cell>
          <cell r="B42" t="str">
            <v>River Silt Control System</v>
          </cell>
          <cell r="C42">
            <v>219439.13403399996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219439.13403399996</v>
          </cell>
        </row>
        <row r="43">
          <cell r="A43">
            <v>41</v>
          </cell>
          <cell r="B43" t="str">
            <v>Pressurized Water Reactor Simulator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A44">
            <v>42</v>
          </cell>
          <cell r="B44" t="str">
            <v>Joint Public Information Center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A45">
            <v>43</v>
          </cell>
          <cell r="B45" t="str">
            <v>Low Pressure Turbine Rotor</v>
          </cell>
          <cell r="C45">
            <v>8286018.9971264862</v>
          </cell>
          <cell r="D45">
            <v>39995.110999999983</v>
          </cell>
          <cell r="E45">
            <v>0</v>
          </cell>
          <cell r="F45">
            <v>0</v>
          </cell>
          <cell r="G45">
            <v>0</v>
          </cell>
          <cell r="H45">
            <v>8326014.1081264857</v>
          </cell>
        </row>
        <row r="46">
          <cell r="A46">
            <v>44</v>
          </cell>
          <cell r="B46" t="str">
            <v>Replace Asbestos Insulation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</row>
        <row r="47">
          <cell r="A47">
            <v>45</v>
          </cell>
          <cell r="B47" t="str">
            <v>Piping Susceptible to Intergranular Stress Corrosion Cracking</v>
          </cell>
          <cell r="C47">
            <v>7622676.0753580006</v>
          </cell>
          <cell r="D47">
            <v>0</v>
          </cell>
          <cell r="E47">
            <v>78279.864000000001</v>
          </cell>
          <cell r="F47">
            <v>-424.06976600000002</v>
          </cell>
          <cell r="G47">
            <v>-424.06976600000002</v>
          </cell>
          <cell r="H47">
            <v>7700531.8695920007</v>
          </cell>
        </row>
        <row r="48">
          <cell r="A48">
            <v>46</v>
          </cell>
          <cell r="B48" t="str">
            <v>24 Month Operating Cycle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A49">
            <v>47</v>
          </cell>
          <cell r="B49" t="str">
            <v>GENERIC LETTER 96-01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A50">
            <v>48</v>
          </cell>
          <cell r="B50" t="str">
            <v>Reactor Building Cooling</v>
          </cell>
          <cell r="C50">
            <v>0</v>
          </cell>
          <cell r="D50">
            <v>0</v>
          </cell>
          <cell r="E50">
            <v>0</v>
          </cell>
          <cell r="F50">
            <v>2625168.6260374971</v>
          </cell>
          <cell r="G50">
            <v>2625168.6260374971</v>
          </cell>
          <cell r="H50">
            <v>2625168.6260374971</v>
          </cell>
        </row>
        <row r="51">
          <cell r="A51">
            <v>49</v>
          </cell>
          <cell r="B51" t="str">
            <v>Upgrade Standby Gas Treatment</v>
          </cell>
          <cell r="C51">
            <v>16183.827659999999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16183.827659999999</v>
          </cell>
        </row>
        <row r="52">
          <cell r="A52">
            <v>50</v>
          </cell>
          <cell r="B52" t="str">
            <v>Pipe Ventilation System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</row>
        <row r="53">
          <cell r="A53">
            <v>51</v>
          </cell>
          <cell r="B53" t="str">
            <v>Control Rod Shield</v>
          </cell>
          <cell r="C53">
            <v>94.988615500002652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94.988615500002652</v>
          </cell>
        </row>
        <row r="54">
          <cell r="A54">
            <v>52</v>
          </cell>
          <cell r="B54" t="str">
            <v>Feedwater System Revision</v>
          </cell>
          <cell r="C54">
            <v>2470602.9960524933</v>
          </cell>
          <cell r="D54">
            <v>0</v>
          </cell>
          <cell r="E54">
            <v>124902.74849999996</v>
          </cell>
          <cell r="F54">
            <v>71071.540150000015</v>
          </cell>
          <cell r="G54">
            <v>71071.540150000015</v>
          </cell>
          <cell r="H54">
            <v>2666577.2847024929</v>
          </cell>
        </row>
        <row r="55">
          <cell r="A55">
            <v>53</v>
          </cell>
          <cell r="B55" t="str">
            <v>Off-Gas Hydrogen Combustion Design Basis Accident</v>
          </cell>
          <cell r="C55">
            <v>293810.51034050016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293810.51034050016</v>
          </cell>
        </row>
        <row r="56">
          <cell r="A56">
            <v>54</v>
          </cell>
          <cell r="B56" t="str">
            <v>Dry Tube Assembly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</row>
        <row r="57">
          <cell r="A57">
            <v>55</v>
          </cell>
          <cell r="B57" t="str">
            <v>Batteries &amp; Chargers</v>
          </cell>
          <cell r="C57">
            <v>35899.804804500047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35899.804804500047</v>
          </cell>
        </row>
        <row r="58">
          <cell r="A58">
            <v>56</v>
          </cell>
          <cell r="B58" t="str">
            <v>Technical Support Facility &amp; Emergency Offsite Facility</v>
          </cell>
          <cell r="C58">
            <v>3328731.3317375039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3328731.3317375039</v>
          </cell>
        </row>
        <row r="59">
          <cell r="A59">
            <v>57</v>
          </cell>
          <cell r="B59" t="str">
            <v>TMI Accident Review Modifications</v>
          </cell>
          <cell r="C59">
            <v>2435227.3810010017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2435227.3810010017</v>
          </cell>
        </row>
        <row r="60">
          <cell r="A60">
            <v>58</v>
          </cell>
          <cell r="B60" t="str">
            <v>Canal Cooling Bank Improvements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</row>
        <row r="61">
          <cell r="A61">
            <v>59</v>
          </cell>
          <cell r="B61" t="str">
            <v>Corner Room Modifications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</row>
        <row r="62">
          <cell r="A62">
            <v>60</v>
          </cell>
          <cell r="B62" t="str">
            <v>Lubricating System Diesel Generator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</row>
        <row r="63">
          <cell r="A63">
            <v>61</v>
          </cell>
          <cell r="B63" t="str">
            <v>Reactor Protection Indication System Cables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</row>
        <row r="64">
          <cell r="A64">
            <v>62</v>
          </cell>
          <cell r="B64" t="str">
            <v>Physical Support of Safety Related Piping</v>
          </cell>
          <cell r="C64">
            <v>16559147.049991027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16559147.049991027</v>
          </cell>
        </row>
        <row r="65">
          <cell r="A65">
            <v>63</v>
          </cell>
          <cell r="B65" t="str">
            <v>Zion Safety Improvements: Service Water</v>
          </cell>
          <cell r="C65">
            <v>12321386.974367017</v>
          </cell>
          <cell r="D65">
            <v>0</v>
          </cell>
          <cell r="E65">
            <v>42250</v>
          </cell>
          <cell r="F65">
            <v>0</v>
          </cell>
          <cell r="G65">
            <v>0</v>
          </cell>
          <cell r="H65">
            <v>12363636.974367017</v>
          </cell>
        </row>
        <row r="66">
          <cell r="A66">
            <v>64</v>
          </cell>
          <cell r="B66" t="str">
            <v>Liquid Radwaste System Improvement</v>
          </cell>
          <cell r="C66">
            <v>5535100.5601999518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5535100.5601999518</v>
          </cell>
        </row>
        <row r="67">
          <cell r="A67">
            <v>65</v>
          </cell>
          <cell r="B67" t="str">
            <v>Installation of Nitrogen Containment Air Dilution (NCAD) System</v>
          </cell>
          <cell r="C67">
            <v>35957.199778500006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35957.199778500006</v>
          </cell>
        </row>
        <row r="68">
          <cell r="A68">
            <v>66</v>
          </cell>
          <cell r="B68" t="str">
            <v>Initial Coatings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67</v>
          </cell>
          <cell r="B69" t="str">
            <v>Reactor Head Removal Tool Replacement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68</v>
          </cell>
          <cell r="B70" t="str">
            <v>Refueling Bridges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69</v>
          </cell>
          <cell r="B71" t="str">
            <v>Long Term SCRAM Reduction Modifications</v>
          </cell>
          <cell r="C71">
            <v>1424704.0773214989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1424704.0773214989</v>
          </cell>
        </row>
        <row r="72">
          <cell r="A72">
            <v>70</v>
          </cell>
          <cell r="B72" t="str">
            <v>Containment Penetration Bellows</v>
          </cell>
          <cell r="C72">
            <v>3100391.3995104958</v>
          </cell>
          <cell r="D72">
            <v>0</v>
          </cell>
          <cell r="E72">
            <v>0</v>
          </cell>
          <cell r="F72">
            <v>14080.054377999999</v>
          </cell>
          <cell r="G72">
            <v>14080.054377999999</v>
          </cell>
          <cell r="H72">
            <v>3114471.4538884959</v>
          </cell>
        </row>
        <row r="73">
          <cell r="A73">
            <v>71</v>
          </cell>
          <cell r="B73" t="str">
            <v>Hydrogen Water Chemistry</v>
          </cell>
          <cell r="C73">
            <v>6456934.386208945</v>
          </cell>
          <cell r="D73">
            <v>492271.18150000024</v>
          </cell>
          <cell r="E73">
            <v>24319.434500000003</v>
          </cell>
          <cell r="F73">
            <v>0</v>
          </cell>
          <cell r="G73">
            <v>0</v>
          </cell>
          <cell r="H73">
            <v>6973525.0022089453</v>
          </cell>
        </row>
        <row r="74">
          <cell r="A74">
            <v>72</v>
          </cell>
          <cell r="B74" t="str">
            <v>Water Chemistry Improvement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73</v>
          </cell>
          <cell r="B75" t="str">
            <v>Upgrade of 4kV Auxiliary Power Distribution</v>
          </cell>
          <cell r="C75">
            <v>5410273.2812494943</v>
          </cell>
          <cell r="D75">
            <v>3370.44</v>
          </cell>
          <cell r="E75">
            <v>0</v>
          </cell>
          <cell r="F75">
            <v>275809.88305100007</v>
          </cell>
          <cell r="G75">
            <v>275809.88305100007</v>
          </cell>
          <cell r="H75">
            <v>5689453.6043004952</v>
          </cell>
        </row>
        <row r="76">
          <cell r="A76">
            <v>74</v>
          </cell>
          <cell r="B76" t="str">
            <v>Environmental Qualification</v>
          </cell>
          <cell r="C76">
            <v>6172933.5758940028</v>
          </cell>
          <cell r="D76">
            <v>0</v>
          </cell>
          <cell r="E76">
            <v>0</v>
          </cell>
          <cell r="F76">
            <v>1448869.0340864984</v>
          </cell>
          <cell r="G76">
            <v>1448869.0340864984</v>
          </cell>
          <cell r="H76">
            <v>7621802.6099805012</v>
          </cell>
        </row>
        <row r="77">
          <cell r="A77">
            <v>75</v>
          </cell>
          <cell r="B77" t="str">
            <v>Water Level Measurement and Instrumentation Design Flaw Correction</v>
          </cell>
          <cell r="C77">
            <v>7338772.0479360241</v>
          </cell>
          <cell r="D77">
            <v>0</v>
          </cell>
          <cell r="E77">
            <v>0</v>
          </cell>
          <cell r="F77">
            <v>909147.52974650043</v>
          </cell>
          <cell r="G77">
            <v>909147.52974650043</v>
          </cell>
          <cell r="H77">
            <v>8247919.5776825249</v>
          </cell>
        </row>
        <row r="78">
          <cell r="A78">
            <v>76</v>
          </cell>
          <cell r="B78" t="str">
            <v>Replace Main Generator Voltage Regulator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77</v>
          </cell>
          <cell r="B79" t="str">
            <v>Masonry Block Wall Study and Upgrades</v>
          </cell>
          <cell r="C79">
            <v>137678.07331450004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137678.07331450004</v>
          </cell>
        </row>
        <row r="80">
          <cell r="A80">
            <v>78</v>
          </cell>
          <cell r="B80" t="str">
            <v>Zinc Injection System</v>
          </cell>
          <cell r="C80">
            <v>669467.16093000013</v>
          </cell>
          <cell r="D80">
            <v>94926.161999999982</v>
          </cell>
          <cell r="E80">
            <v>0</v>
          </cell>
          <cell r="F80">
            <v>243441.9640025002</v>
          </cell>
          <cell r="G80">
            <v>243441.9640025002</v>
          </cell>
          <cell r="H80">
            <v>1007835.2869325003</v>
          </cell>
        </row>
        <row r="81">
          <cell r="A81">
            <v>79</v>
          </cell>
          <cell r="B81" t="str">
            <v>Disposal of Reactor Core Components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80</v>
          </cell>
          <cell r="B82" t="str">
            <v>Rotating Assemblies and Monitoring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81</v>
          </cell>
          <cell r="B83" t="str">
            <v>Reactor Water Level Trip System</v>
          </cell>
          <cell r="C83">
            <v>1917055.5237000026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1917055.5237000026</v>
          </cell>
        </row>
        <row r="84">
          <cell r="A84">
            <v>82</v>
          </cell>
          <cell r="B84" t="str">
            <v>Isolation Condenser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83</v>
          </cell>
          <cell r="B85" t="str">
            <v>Auxiliary Building Ventilation Fan Motor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84</v>
          </cell>
          <cell r="B86" t="str">
            <v>High Pressure Turbine Blades</v>
          </cell>
          <cell r="C86">
            <v>142787.30346300008</v>
          </cell>
          <cell r="D86">
            <v>190482.72399999999</v>
          </cell>
          <cell r="E86">
            <v>21164.72050000001</v>
          </cell>
          <cell r="F86">
            <v>0</v>
          </cell>
          <cell r="G86">
            <v>0</v>
          </cell>
          <cell r="H86">
            <v>354434.74796300003</v>
          </cell>
        </row>
        <row r="87">
          <cell r="A87">
            <v>85</v>
          </cell>
          <cell r="B87" t="str">
            <v>Public Notification System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86</v>
          </cell>
          <cell r="B88" t="str">
            <v>Replace Masonelian Control Valves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87</v>
          </cell>
          <cell r="B89" t="str">
            <v>Installation of PWR Core Monitoring System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88</v>
          </cell>
          <cell r="B90" t="str">
            <v>Fuel Sipping Equipment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89</v>
          </cell>
          <cell r="B91" t="str">
            <v>Systematic Evaluation Program</v>
          </cell>
          <cell r="C91">
            <v>35920.537986999989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35920.537986999989</v>
          </cell>
        </row>
        <row r="92">
          <cell r="A92">
            <v>90</v>
          </cell>
          <cell r="B92" t="str">
            <v>Decommissioning</v>
          </cell>
          <cell r="C92">
            <v>16211313.825114895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16211313.825114895</v>
          </cell>
        </row>
        <row r="93">
          <cell r="A93">
            <v>91</v>
          </cell>
          <cell r="B93" t="str">
            <v>Traveling In Core Probe System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92</v>
          </cell>
          <cell r="B94" t="str">
            <v>Reactor Recirculation Pump Routine Replacement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93</v>
          </cell>
          <cell r="B95" t="str">
            <v>Replace Recirculation Pump Element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94</v>
          </cell>
          <cell r="B96" t="str">
            <v>Station Blackout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95</v>
          </cell>
          <cell r="B97" t="str">
            <v>Mark 1 Containment Modifications</v>
          </cell>
          <cell r="C97">
            <v>4207685.7743880004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4207685.7743880004</v>
          </cell>
        </row>
        <row r="98">
          <cell r="A98">
            <v>96</v>
          </cell>
          <cell r="B98" t="str">
            <v>Feedwater Flow Measurement Instrumentation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97</v>
          </cell>
          <cell r="B99" t="str">
            <v>Computer Upgrades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98</v>
          </cell>
          <cell r="B100" t="str">
            <v>Heat Tracing System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99</v>
          </cell>
          <cell r="B101" t="str">
            <v>Reactor Building High Temperatures (LOCA)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100</v>
          </cell>
          <cell r="B102" t="str">
            <v>Emergency Lighting &amp; Fire Protection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102</v>
          </cell>
          <cell r="B103" t="str">
            <v>HPCS/RCIC System Piping Modification</v>
          </cell>
          <cell r="C103">
            <v>1921658.2284705006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1921658.2284705006</v>
          </cell>
        </row>
        <row r="104">
          <cell r="A104">
            <v>103</v>
          </cell>
          <cell r="B104" t="str">
            <v>Drywell Ventilation System Improvements</v>
          </cell>
          <cell r="C104">
            <v>4548794.1199649917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4548794.1199649917</v>
          </cell>
        </row>
        <row r="105">
          <cell r="A105">
            <v>104</v>
          </cell>
          <cell r="B105" t="str">
            <v>Containment Vent &amp; Purge Valves</v>
          </cell>
          <cell r="C105">
            <v>1548941.2891409989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1548941.2891409989</v>
          </cell>
        </row>
        <row r="106">
          <cell r="A106">
            <v>105</v>
          </cell>
          <cell r="B106" t="str">
            <v>Spare Exciter Unit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106</v>
          </cell>
          <cell r="B107" t="str">
            <v>Extend Discharge Canal to Eliminate Fog</v>
          </cell>
          <cell r="C107">
            <v>229375.38934450003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229375.38934450003</v>
          </cell>
        </row>
        <row r="108">
          <cell r="A108">
            <v>107</v>
          </cell>
          <cell r="B108" t="str">
            <v>NGG Year 2000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108</v>
          </cell>
          <cell r="B109" t="str">
            <v>Radiation Monitor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109</v>
          </cell>
          <cell r="B110" t="str">
            <v>DBI Issues/Resolution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110</v>
          </cell>
          <cell r="B111" t="str">
            <v>Feedwater Bypass Line &amp; Valves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111</v>
          </cell>
          <cell r="B112" t="str">
            <v>Diesel Generator System Upgrade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112</v>
          </cell>
          <cell r="B113" t="str">
            <v>Main Generator Revision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113</v>
          </cell>
          <cell r="B114" t="str">
            <v>Control Power Supply Upgrade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114</v>
          </cell>
          <cell r="B115" t="str">
            <v>Pump Supporting System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115</v>
          </cell>
          <cell r="B116" t="str">
            <v>Radio System Upgrade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116</v>
          </cell>
          <cell r="B117" t="str">
            <v>Layer Separators for Generator Rotor Windings</v>
          </cell>
          <cell r="C117">
            <v>421042.45862250018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421042.45862250018</v>
          </cell>
        </row>
        <row r="118">
          <cell r="A118">
            <v>117</v>
          </cell>
          <cell r="B118" t="str">
            <v>Emergency Core Cooling System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118</v>
          </cell>
          <cell r="B119" t="str">
            <v>Main Steam Safety Relief Valves</v>
          </cell>
          <cell r="C119">
            <v>718928.8564939996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718928.8564939996</v>
          </cell>
        </row>
        <row r="120">
          <cell r="A120">
            <v>119</v>
          </cell>
          <cell r="B120" t="str">
            <v>Upgrade Feedwater Regulating Valves</v>
          </cell>
          <cell r="C120">
            <v>408641.92150150071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408641.92150150071</v>
          </cell>
        </row>
        <row r="121">
          <cell r="A121">
            <v>120</v>
          </cell>
          <cell r="B121" t="str">
            <v>LaSalle High Energy Line Break Issue</v>
          </cell>
          <cell r="C121">
            <v>0</v>
          </cell>
          <cell r="D121">
            <v>1508405.1394999998</v>
          </cell>
          <cell r="E121">
            <v>0</v>
          </cell>
          <cell r="F121">
            <v>0</v>
          </cell>
          <cell r="G121">
            <v>0</v>
          </cell>
          <cell r="H121">
            <v>1508405.1394999998</v>
          </cell>
        </row>
        <row r="122">
          <cell r="A122">
            <v>121</v>
          </cell>
          <cell r="B122" t="str">
            <v>Post Accident Sampling System</v>
          </cell>
          <cell r="C122">
            <v>24097.073375999989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24097.073375999989</v>
          </cell>
        </row>
        <row r="123">
          <cell r="A123">
            <v>122</v>
          </cell>
          <cell r="B123" t="str">
            <v>Water Pump Vault Ventilation</v>
          </cell>
          <cell r="C123">
            <v>-79.635484500000075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-79.635484500000075</v>
          </cell>
        </row>
        <row r="124">
          <cell r="A124">
            <v>123</v>
          </cell>
          <cell r="B124" t="str">
            <v>Drywell/Torus Purge Valves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124</v>
          </cell>
          <cell r="B125" t="str">
            <v>Safety Related Cables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125</v>
          </cell>
          <cell r="B126" t="str">
            <v>Residual Heat Removal Pump Monitoring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126</v>
          </cell>
          <cell r="B127" t="str">
            <v>MSIV Actuators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127</v>
          </cell>
          <cell r="B128" t="str">
            <v>Improvements to Reactor Building Sumps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128</v>
          </cell>
          <cell r="B129" t="str">
            <v>Data Communications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129</v>
          </cell>
          <cell r="B130" t="str">
            <v>Remove Makeup Demineralizer System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130</v>
          </cell>
          <cell r="B131" t="str">
            <v>Stability of the 4kV Power Distribution System</v>
          </cell>
          <cell r="C131">
            <v>480825.67796999984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480825.67796999984</v>
          </cell>
        </row>
        <row r="132">
          <cell r="A132">
            <v>131</v>
          </cell>
          <cell r="B132" t="str">
            <v>Vacco Filter System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132</v>
          </cell>
          <cell r="B133" t="str">
            <v>Local Leak Rate Test Taps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133</v>
          </cell>
          <cell r="B134" t="str">
            <v>Main Control Room Recorders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134</v>
          </cell>
          <cell r="B135" t="str">
            <v>Upgrade Relay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135</v>
          </cell>
          <cell r="B136" t="str">
            <v>Zion TMI Accident Review Modifications</v>
          </cell>
          <cell r="C136">
            <v>9583.2991860000075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9583.2991860000075</v>
          </cell>
        </row>
        <row r="137">
          <cell r="A137">
            <v>136</v>
          </cell>
          <cell r="B137" t="str">
            <v>Improvements to Drywell Monitoring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137</v>
          </cell>
          <cell r="B138" t="str">
            <v>Rerouting of Residual Heat Removal Service Water Line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138</v>
          </cell>
          <cell r="B139" t="str">
            <v>Residual Heat Removal System Check Valves</v>
          </cell>
          <cell r="C139">
            <v>87988.445150000014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87988.445150000014</v>
          </cell>
        </row>
        <row r="140">
          <cell r="A140">
            <v>139</v>
          </cell>
          <cell r="B140" t="str">
            <v>Installation of LUC &amp; GIX Relays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140</v>
          </cell>
          <cell r="B141" t="str">
            <v>Secondary Water Recycle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141</v>
          </cell>
          <cell r="B142" t="str">
            <v>Condensate PreFilter Modification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142</v>
          </cell>
          <cell r="B143" t="str">
            <v>Analytical Instrumentation Upgrade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143</v>
          </cell>
          <cell r="B144" t="str">
            <v>Radiation Monitoring System</v>
          </cell>
          <cell r="C144">
            <v>369104.92891499982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369104.92891499982</v>
          </cell>
        </row>
        <row r="145">
          <cell r="A145">
            <v>144</v>
          </cell>
          <cell r="B145" t="str">
            <v>Air Compressor Instrumentation Upgrade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145</v>
          </cell>
          <cell r="B146" t="str">
            <v>Three Charging Pumps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146</v>
          </cell>
          <cell r="B147" t="str">
            <v>Steam Generators J Nozzles</v>
          </cell>
          <cell r="C147">
            <v>600519.49831600022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600519.49831600022</v>
          </cell>
        </row>
        <row r="148">
          <cell r="A148">
            <v>147</v>
          </cell>
          <cell r="B148" t="str">
            <v>Diesel Generator Air Systems</v>
          </cell>
          <cell r="C148">
            <v>9585136.7747708261</v>
          </cell>
          <cell r="D148">
            <v>10586.316000000001</v>
          </cell>
          <cell r="E148">
            <v>0</v>
          </cell>
          <cell r="F148">
            <v>0</v>
          </cell>
          <cell r="G148">
            <v>0</v>
          </cell>
          <cell r="H148">
            <v>9595723.0907708257</v>
          </cell>
        </row>
        <row r="149">
          <cell r="A149">
            <v>148</v>
          </cell>
          <cell r="B149" t="str">
            <v>Regulatory Guide 1.97 Modification</v>
          </cell>
          <cell r="C149">
            <v>3363292.2030064682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3363292.2030064682</v>
          </cell>
        </row>
        <row r="150">
          <cell r="A150">
            <v>149</v>
          </cell>
          <cell r="B150" t="str">
            <v>Feedwater Pump Discharge Valves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150</v>
          </cell>
          <cell r="B151" t="str">
            <v>Reactor Coolant Pump Motor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151</v>
          </cell>
          <cell r="B152" t="str">
            <v>Radwaste System Modification</v>
          </cell>
          <cell r="C152">
            <v>592682.79408450006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592682.79408450006</v>
          </cell>
        </row>
        <row r="153">
          <cell r="A153">
            <v>152</v>
          </cell>
          <cell r="B153" t="str">
            <v>Computer Inverters Modification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153</v>
          </cell>
          <cell r="B154" t="str">
            <v>Reactor Vessel Integrity Program</v>
          </cell>
          <cell r="C154">
            <v>186057.81024750002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186057.81024750002</v>
          </cell>
        </row>
        <row r="155">
          <cell r="A155">
            <v>154</v>
          </cell>
          <cell r="B155" t="str">
            <v>New Rod Worth Minimizer</v>
          </cell>
          <cell r="C155">
            <v>730160.13136549934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730160.13136549934</v>
          </cell>
        </row>
        <row r="156">
          <cell r="A156">
            <v>155</v>
          </cell>
          <cell r="B156" t="str">
            <v>Drain Controller Replacement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156</v>
          </cell>
          <cell r="B157" t="str">
            <v>Non-Essential Station Load</v>
          </cell>
          <cell r="C157">
            <v>3660.6971664999996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3660.6971664999996</v>
          </cell>
        </row>
        <row r="158">
          <cell r="A158">
            <v>157</v>
          </cell>
          <cell r="B158" t="str">
            <v>Throttle Valve Upgrade</v>
          </cell>
          <cell r="C158">
            <v>495823.38470949954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495823.38470949954</v>
          </cell>
        </row>
        <row r="159">
          <cell r="A159">
            <v>158</v>
          </cell>
          <cell r="B159" t="str">
            <v>Fan Cooler Modification</v>
          </cell>
          <cell r="C159">
            <v>503120.84740799991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503120.84740799991</v>
          </cell>
        </row>
        <row r="160">
          <cell r="A160">
            <v>159</v>
          </cell>
          <cell r="B160" t="str">
            <v>Integration of Anti-Vibration Bars</v>
          </cell>
          <cell r="C160">
            <v>831663.02032349992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831663.02032349992</v>
          </cell>
        </row>
        <row r="161">
          <cell r="A161">
            <v>160</v>
          </cell>
          <cell r="B161" t="str">
            <v>Hydrogen Cooler Modification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161</v>
          </cell>
          <cell r="B162" t="str">
            <v>PICV Test System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162</v>
          </cell>
          <cell r="B163" t="str">
            <v>Upgrade Auxiliary Feedwater Steam Traps</v>
          </cell>
          <cell r="C163">
            <v>96673.793453999984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96673.793453999984</v>
          </cell>
        </row>
        <row r="164">
          <cell r="A164">
            <v>163</v>
          </cell>
          <cell r="B164" t="str">
            <v>Reactor Plant Capital DCPs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164</v>
          </cell>
          <cell r="B165" t="str">
            <v>Reactor Vessel Water Level System</v>
          </cell>
          <cell r="C165">
            <v>49951.873790500002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49951.873790500002</v>
          </cell>
        </row>
        <row r="166">
          <cell r="A166">
            <v>165</v>
          </cell>
          <cell r="B166" t="str">
            <v>Independent Reactor Vessel</v>
          </cell>
          <cell r="C166">
            <v>167511.32158200009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167511.32158200009</v>
          </cell>
        </row>
        <row r="167">
          <cell r="A167">
            <v>166</v>
          </cell>
          <cell r="B167" t="str">
            <v>Decontamination Project</v>
          </cell>
          <cell r="C167">
            <v>3642063.3115664981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3642063.3115664981</v>
          </cell>
        </row>
        <row r="168">
          <cell r="A168">
            <v>167</v>
          </cell>
          <cell r="B168" t="str">
            <v>Install Addition to Fab Shop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168</v>
          </cell>
          <cell r="B169" t="str">
            <v>Two Unloading Heat Exchangers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169</v>
          </cell>
          <cell r="B170" t="str">
            <v>Pneumatic Actuators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170</v>
          </cell>
          <cell r="B171" t="str">
            <v>L2R01 Design Changes</v>
          </cell>
          <cell r="C171">
            <v>0</v>
          </cell>
          <cell r="D171">
            <v>0</v>
          </cell>
          <cell r="E171">
            <v>105867.60458625005</v>
          </cell>
          <cell r="F171">
            <v>0</v>
          </cell>
          <cell r="G171">
            <v>0</v>
          </cell>
          <cell r="H171">
            <v>105867.60458625005</v>
          </cell>
        </row>
        <row r="172">
          <cell r="A172">
            <v>171</v>
          </cell>
          <cell r="B172" t="str">
            <v>Spare Diesel Generator Engine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172</v>
          </cell>
          <cell r="B173" t="str">
            <v>Drywell Cooling System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173</v>
          </cell>
          <cell r="B174" t="str">
            <v>Auxiliary Feed Pump Modification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174</v>
          </cell>
          <cell r="B175" t="str">
            <v>Alternative Intake to Lab Ventilation</v>
          </cell>
          <cell r="C175">
            <v>0</v>
          </cell>
          <cell r="D175">
            <v>61763.097500000003</v>
          </cell>
          <cell r="E175">
            <v>6862.57</v>
          </cell>
          <cell r="F175">
            <v>0</v>
          </cell>
          <cell r="G175">
            <v>0</v>
          </cell>
          <cell r="H175">
            <v>68625.66750000001</v>
          </cell>
        </row>
        <row r="176">
          <cell r="A176">
            <v>175</v>
          </cell>
          <cell r="B176" t="str">
            <v>Digital Rod Position Indication Cable/Connect</v>
          </cell>
          <cell r="C176">
            <v>0</v>
          </cell>
          <cell r="D176">
            <v>0</v>
          </cell>
          <cell r="E176">
            <v>0</v>
          </cell>
          <cell r="F176">
            <v>265089.67189899995</v>
          </cell>
          <cell r="G176">
            <v>265089.67189899995</v>
          </cell>
          <cell r="H176">
            <v>265089.67189899995</v>
          </cell>
        </row>
        <row r="177">
          <cell r="A177">
            <v>176</v>
          </cell>
          <cell r="B177" t="str">
            <v>Power Uprate</v>
          </cell>
          <cell r="C177">
            <v>0</v>
          </cell>
          <cell r="D177">
            <v>319374.96500000003</v>
          </cell>
          <cell r="E177">
            <v>0</v>
          </cell>
          <cell r="F177">
            <v>0</v>
          </cell>
          <cell r="G177">
            <v>0</v>
          </cell>
          <cell r="H177">
            <v>319374.96500000003</v>
          </cell>
        </row>
        <row r="178">
          <cell r="A178">
            <v>177</v>
          </cell>
          <cell r="B178" t="str">
            <v>Seismic Monitor Replacement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178</v>
          </cell>
          <cell r="B179" t="str">
            <v>EHC Elect SCRAM Reduction</v>
          </cell>
          <cell r="C179">
            <v>0</v>
          </cell>
          <cell r="D179">
            <v>0</v>
          </cell>
          <cell r="E179">
            <v>0</v>
          </cell>
          <cell r="F179">
            <v>33649.136253000011</v>
          </cell>
          <cell r="G179">
            <v>33649.136253000011</v>
          </cell>
          <cell r="H179">
            <v>33649.136253000011</v>
          </cell>
        </row>
        <row r="180">
          <cell r="A180">
            <v>179</v>
          </cell>
          <cell r="B180" t="str">
            <v>DCP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180</v>
          </cell>
          <cell r="B181" t="str">
            <v>Source Range ENuclear Instrumentation Upgrade</v>
          </cell>
          <cell r="C181">
            <v>0</v>
          </cell>
          <cell r="D181">
            <v>3065.82</v>
          </cell>
          <cell r="E181">
            <v>0</v>
          </cell>
          <cell r="F181">
            <v>0</v>
          </cell>
          <cell r="G181">
            <v>0</v>
          </cell>
          <cell r="H181">
            <v>3065.82</v>
          </cell>
        </row>
        <row r="182">
          <cell r="A182">
            <v>181</v>
          </cell>
          <cell r="B182" t="str">
            <v>Cathodic Protection of Underground Piping</v>
          </cell>
          <cell r="C182">
            <v>0</v>
          </cell>
          <cell r="D182">
            <v>64694.41</v>
          </cell>
          <cell r="E182">
            <v>0</v>
          </cell>
          <cell r="F182">
            <v>0</v>
          </cell>
          <cell r="G182">
            <v>0</v>
          </cell>
          <cell r="H182">
            <v>64694.41</v>
          </cell>
        </row>
        <row r="183">
          <cell r="A183">
            <v>183</v>
          </cell>
          <cell r="B183" t="str">
            <v>RSH Ice Boom/Blow Down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184</v>
          </cell>
          <cell r="B184" t="str">
            <v>Crane Upgrade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185</v>
          </cell>
          <cell r="B185" t="str">
            <v>Reactor Water Cleanup System High Energy Line Break</v>
          </cell>
          <cell r="C185">
            <v>0</v>
          </cell>
          <cell r="D185">
            <v>963588.49050000019</v>
          </cell>
          <cell r="E185">
            <v>35192.727500000008</v>
          </cell>
          <cell r="F185">
            <v>204901.11359899997</v>
          </cell>
          <cell r="G185">
            <v>204901.11359899997</v>
          </cell>
          <cell r="H185">
            <v>1203682.3315990001</v>
          </cell>
        </row>
        <row r="186">
          <cell r="A186">
            <v>186</v>
          </cell>
          <cell r="B186" t="str">
            <v>SQUG Outliers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187</v>
          </cell>
          <cell r="B187" t="str">
            <v>Maintaining ECCS Flow Path Following a Loss of Coolant Accident</v>
          </cell>
          <cell r="C187">
            <v>0</v>
          </cell>
          <cell r="D187">
            <v>407222.47100000008</v>
          </cell>
          <cell r="E187">
            <v>-4165.46</v>
          </cell>
          <cell r="F187">
            <v>122399.95749999997</v>
          </cell>
          <cell r="G187">
            <v>122399.95749999997</v>
          </cell>
          <cell r="H187">
            <v>525456.96850000008</v>
          </cell>
        </row>
        <row r="188">
          <cell r="A188">
            <v>188</v>
          </cell>
          <cell r="B188" t="str">
            <v>Drywell Insulation Replacement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189</v>
          </cell>
          <cell r="B189" t="str">
            <v>Installation of Cooling Towers at Dresden Nuclear Station</v>
          </cell>
          <cell r="C189">
            <v>0</v>
          </cell>
          <cell r="D189">
            <v>8958.6224999999977</v>
          </cell>
          <cell r="E189">
            <v>54981.734499999999</v>
          </cell>
          <cell r="F189">
            <v>0</v>
          </cell>
          <cell r="G189">
            <v>0</v>
          </cell>
          <cell r="H189">
            <v>63940.356999999996</v>
          </cell>
        </row>
        <row r="190">
          <cell r="A190">
            <v>190</v>
          </cell>
          <cell r="B190" t="str">
            <v>Installation of EHC Isolation Valves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191</v>
          </cell>
          <cell r="B191" t="str">
            <v>Noble Metals Modification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192</v>
          </cell>
          <cell r="B192" t="str">
            <v>Reactor SCRAM Switches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193</v>
          </cell>
          <cell r="B193" t="str">
            <v>Condenser Demineralizer</v>
          </cell>
          <cell r="C193">
            <v>0</v>
          </cell>
          <cell r="D193">
            <v>341146.84350000008</v>
          </cell>
          <cell r="E193">
            <v>102361.78850000002</v>
          </cell>
          <cell r="F193">
            <v>16709.676375999996</v>
          </cell>
          <cell r="G193">
            <v>16709.676375999996</v>
          </cell>
          <cell r="H193">
            <v>460218.30837600009</v>
          </cell>
        </row>
        <row r="194">
          <cell r="A194">
            <v>194</v>
          </cell>
          <cell r="B194" t="str">
            <v>ECCS Suction Strainer Redesign at the BWRs</v>
          </cell>
          <cell r="C194">
            <v>53717.675472999996</v>
          </cell>
          <cell r="D194">
            <v>171291.24849999993</v>
          </cell>
          <cell r="E194">
            <v>42972.8675</v>
          </cell>
          <cell r="F194">
            <v>2555564.7782804999</v>
          </cell>
          <cell r="G194">
            <v>2555564.7782804999</v>
          </cell>
          <cell r="H194">
            <v>2823546.5697534997</v>
          </cell>
        </row>
        <row r="195">
          <cell r="A195">
            <v>195</v>
          </cell>
          <cell r="B195" t="str">
            <v>Installation of Filter Skids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196</v>
          </cell>
          <cell r="B196" t="str">
            <v>Reactor Water Cleanup (RWCU) System Upgrades at LaSalle</v>
          </cell>
          <cell r="C196">
            <v>12326985.85625145</v>
          </cell>
          <cell r="D196">
            <v>4442554.8064999981</v>
          </cell>
          <cell r="E196">
            <v>1183022.5914999994</v>
          </cell>
          <cell r="F196">
            <v>0</v>
          </cell>
          <cell r="G196">
            <v>0</v>
          </cell>
          <cell r="H196">
            <v>17952563.254251447</v>
          </cell>
        </row>
        <row r="197">
          <cell r="A197">
            <v>197</v>
          </cell>
          <cell r="B197" t="str">
            <v>Installation of Isolation Valves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198</v>
          </cell>
          <cell r="B198" t="str">
            <v>Installation of RHR Vacuum Breaker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199</v>
          </cell>
          <cell r="B199" t="str">
            <v>Reactor Recirculation Pump Seals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200</v>
          </cell>
          <cell r="B200" t="str">
            <v>Recirculation Pump Motor Rewind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201</v>
          </cell>
          <cell r="B201" t="str">
            <v>Reactor Recirc MG Set Brush Replacement at Quad Cities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202</v>
          </cell>
          <cell r="B202" t="str">
            <v>Reactivity Management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203</v>
          </cell>
          <cell r="B203" t="str">
            <v>Replacement of Safety Injection Accumulator Transmitter</v>
          </cell>
          <cell r="C203">
            <v>0</v>
          </cell>
          <cell r="D203">
            <v>0</v>
          </cell>
          <cell r="E203">
            <v>0</v>
          </cell>
          <cell r="F203">
            <v>535951.429</v>
          </cell>
          <cell r="G203">
            <v>535951.429</v>
          </cell>
          <cell r="H203">
            <v>535951.429</v>
          </cell>
        </row>
        <row r="204">
          <cell r="A204">
            <v>204</v>
          </cell>
          <cell r="B204" t="str">
            <v>Synchronous Condenser - Zion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205</v>
          </cell>
          <cell r="B205" t="str">
            <v>High Pressure Core Injection Gland Seal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206</v>
          </cell>
          <cell r="B206" t="str">
            <v>Replacement of Valves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207</v>
          </cell>
          <cell r="B207" t="str">
            <v>Replacement of Valves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208</v>
          </cell>
          <cell r="B208" t="str">
            <v>Primary Containment Drain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209</v>
          </cell>
          <cell r="B209" t="str">
            <v>Managed Task to Support L1RO8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300</v>
          </cell>
          <cell r="B210" t="str">
            <v>Plant Completion</v>
          </cell>
          <cell r="C210">
            <v>2454314.658735496</v>
          </cell>
          <cell r="D210">
            <v>0</v>
          </cell>
          <cell r="E210">
            <v>0</v>
          </cell>
          <cell r="F210">
            <v>0</v>
          </cell>
          <cell r="G210">
            <v>-2454314.658735496</v>
          </cell>
          <cell r="H210">
            <v>0</v>
          </cell>
        </row>
        <row r="211">
          <cell r="A211">
            <v>301</v>
          </cell>
          <cell r="B211" t="str">
            <v>Reactor Coolant Sampling System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302</v>
          </cell>
          <cell r="B212" t="str">
            <v>Pending Approval</v>
          </cell>
          <cell r="C212">
            <v>8475570.122739451</v>
          </cell>
          <cell r="D212">
            <v>0</v>
          </cell>
          <cell r="E212">
            <v>0</v>
          </cell>
          <cell r="F212">
            <v>0</v>
          </cell>
          <cell r="G212">
            <v>-8475570.122739451</v>
          </cell>
          <cell r="H212">
            <v>0</v>
          </cell>
        </row>
        <row r="213">
          <cell r="B213" t="str">
            <v>TOTALS</v>
          </cell>
          <cell r="C213">
            <v>281161727.89774144</v>
          </cell>
          <cell r="D213">
            <v>9719738.4119999986</v>
          </cell>
          <cell r="E213">
            <v>7087633.8275862504</v>
          </cell>
          <cell r="F213">
            <v>10929884.781474996</v>
          </cell>
          <cell r="G213">
            <v>5.029141902923584E-8</v>
          </cell>
          <cell r="H213">
            <v>297969100.13732791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5 ComEd CapEx (By Dept) Budg"/>
      <sheetName val="2005 CapEx (By VP By Dept) Budg"/>
      <sheetName val="Calculations"/>
      <sheetName val="Calculations Prior year"/>
      <sheetName val="DCF - Alcar LE"/>
      <sheetName val="DCF - Alcar Budget"/>
      <sheetName val="nVision"/>
      <sheetName val="Masterdata"/>
      <sheetName val="Rev_Req"/>
      <sheetName val="TFI use"/>
      <sheetName val="#REF"/>
      <sheetName val="2nd qtr 2000"/>
      <sheetName val="SETUP"/>
      <sheetName val="Database"/>
      <sheetName val="Ry"/>
      <sheetName val="2005 Amortization "/>
      <sheetName val="PECO BS"/>
    </sheetNames>
    <sheetDataSet>
      <sheetData sheetId="0" refreshError="1"/>
      <sheetData sheetId="1" refreshError="1">
        <row r="3">
          <cell r="A3"/>
          <cell r="B3" t="str">
            <v xml:space="preserve"> 108030 - Monthly Total Resources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</row>
        <row r="4">
          <cell r="A4"/>
          <cell r="B4" t="str">
            <v xml:space="preserve"> Total CapEx</v>
          </cell>
          <cell r="C4">
            <v>-1375000</v>
          </cell>
          <cell r="D4">
            <v>-1375000</v>
          </cell>
          <cell r="E4">
            <v>-1375000</v>
          </cell>
          <cell r="F4">
            <v>-1375000</v>
          </cell>
          <cell r="G4">
            <v>-1375000</v>
          </cell>
          <cell r="H4">
            <v>-1375000</v>
          </cell>
          <cell r="I4">
            <v>-1375000</v>
          </cell>
          <cell r="J4">
            <v>-1375000</v>
          </cell>
          <cell r="K4">
            <v>-1375000</v>
          </cell>
          <cell r="L4">
            <v>-1375000</v>
          </cell>
          <cell r="M4">
            <v>-1375000</v>
          </cell>
          <cell r="N4">
            <v>-1375000</v>
          </cell>
          <cell r="O4">
            <v>-16500000</v>
          </cell>
        </row>
        <row r="5">
          <cell r="A5" t="str">
            <v xml:space="preserve">   Storm Fund - PECO</v>
          </cell>
          <cell r="B5" t="str">
            <v xml:space="preserve"> 107000 - Monthly Total Resources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</row>
        <row r="6">
          <cell r="A6"/>
          <cell r="B6" t="str">
            <v xml:space="preserve"> 108030 - Monthly Total Resources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</row>
        <row r="7">
          <cell r="A7"/>
          <cell r="B7" t="str">
            <v xml:space="preserve"> Total CapEx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A8" t="str">
            <v xml:space="preserve">   Capitalized Overheads-PECO</v>
          </cell>
          <cell r="B8" t="str">
            <v xml:space="preserve"> 107000 - Monthly Total Resources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A9"/>
          <cell r="B9" t="str">
            <v xml:space="preserve"> 108030 - Monthly Total Resources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A10"/>
          <cell r="B10" t="str">
            <v xml:space="preserve"> Total CapEx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A11" t="str">
            <v xml:space="preserve">   EDSS Executive Services-PECO</v>
          </cell>
          <cell r="B11" t="str">
            <v xml:space="preserve"> 107000 - Monthly Total Resources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A12"/>
          <cell r="B12" t="str">
            <v xml:space="preserve"> 108030 - Monthly Total Resources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A13"/>
          <cell r="B13" t="str">
            <v xml:space="preserve"> Total CapEx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A14" t="str">
            <v xml:space="preserve">     Default Department</v>
          </cell>
          <cell r="B14" t="str">
            <v xml:space="preserve"> 107000 - Monthly Total Resources</v>
          </cell>
          <cell r="C14">
            <v>81126.460000000006</v>
          </cell>
          <cell r="D14">
            <v>78021.429999999993</v>
          </cell>
          <cell r="E14">
            <v>84231.48</v>
          </cell>
          <cell r="F14">
            <v>79139.77</v>
          </cell>
          <cell r="G14">
            <v>75784.759999999995</v>
          </cell>
          <cell r="H14">
            <v>88454.84</v>
          </cell>
          <cell r="I14">
            <v>79139.77</v>
          </cell>
          <cell r="J14">
            <v>75784.759999999995</v>
          </cell>
          <cell r="K14">
            <v>88454.84</v>
          </cell>
          <cell r="L14">
            <v>79139.77</v>
          </cell>
          <cell r="M14">
            <v>75784.759999999995</v>
          </cell>
          <cell r="N14">
            <v>88454.84</v>
          </cell>
          <cell r="O14">
            <v>973517.48</v>
          </cell>
        </row>
        <row r="15">
          <cell r="A15"/>
          <cell r="B15" t="str">
            <v xml:space="preserve"> 108030 - Monthly Total Resources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A16"/>
          <cell r="B16" t="str">
            <v xml:space="preserve"> Total CapEx</v>
          </cell>
          <cell r="C16">
            <v>81126.460000000006</v>
          </cell>
          <cell r="D16">
            <v>78021.429999999993</v>
          </cell>
          <cell r="E16">
            <v>84231.48</v>
          </cell>
          <cell r="F16">
            <v>79139.77</v>
          </cell>
          <cell r="G16">
            <v>75784.759999999995</v>
          </cell>
          <cell r="H16">
            <v>88454.84</v>
          </cell>
          <cell r="I16">
            <v>79139.77</v>
          </cell>
          <cell r="J16">
            <v>75784.759999999995</v>
          </cell>
          <cell r="K16">
            <v>88454.84</v>
          </cell>
          <cell r="L16">
            <v>79139.77</v>
          </cell>
          <cell r="M16">
            <v>75784.759999999995</v>
          </cell>
          <cell r="N16">
            <v>88454.84</v>
          </cell>
          <cell r="O16">
            <v>973517.48</v>
          </cell>
        </row>
        <row r="17">
          <cell r="A17" t="str">
            <v xml:space="preserve">     VP-Finance &amp; CEO-EED</v>
          </cell>
          <cell r="B17" t="str">
            <v xml:space="preserve"> 107000 - Monthly Total Resources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A18"/>
          <cell r="B18" t="str">
            <v xml:space="preserve"> 108030 - Monthly Total Resources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A19"/>
          <cell r="B19" t="str">
            <v xml:space="preserve"> Total CapEx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A20" t="str">
            <v xml:space="preserve">     VP - Finance &amp; CFO</v>
          </cell>
          <cell r="B20" t="str">
            <v xml:space="preserve"> 107000 - Monthly Total Resources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A21"/>
          <cell r="B21" t="str">
            <v xml:space="preserve"> 108030 - Monthly Total Resources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A22"/>
          <cell r="B22" t="str">
            <v xml:space="preserve"> Total CapEx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A23" t="str">
            <v xml:space="preserve">     Controller</v>
          </cell>
          <cell r="B23" t="str">
            <v xml:space="preserve"> 107000 - Monthly Total Resources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A24"/>
          <cell r="B24" t="str">
            <v xml:space="preserve"> 108030 - Monthly Total Resources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A25"/>
          <cell r="B25" t="str">
            <v xml:space="preserve"> Total CapEx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A26" t="str">
            <v xml:space="preserve">     Tax</v>
          </cell>
          <cell r="B26" t="str">
            <v xml:space="preserve"> 107000 - Monthly Total Resources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A27"/>
          <cell r="B27" t="str">
            <v xml:space="preserve"> 108030 - Monthly Total Resources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8">
          <cell r="A28"/>
          <cell r="B28" t="str">
            <v xml:space="preserve"> Total CapEx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A29" t="str">
            <v xml:space="preserve">     Finance</v>
          </cell>
          <cell r="B29" t="str">
            <v xml:space="preserve"> 107000 - Monthly Total Resources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A30"/>
          <cell r="B30" t="str">
            <v xml:space="preserve"> 108030 - Monthly Total Resources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A31"/>
          <cell r="B31" t="str">
            <v xml:space="preserve"> Total CapEx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A32" t="str">
            <v xml:space="preserve">     Planning &amp; Analysis</v>
          </cell>
          <cell r="B32" t="str">
            <v xml:space="preserve"> 107000 - Monthly Total Resources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A33"/>
          <cell r="B33" t="str">
            <v xml:space="preserve"> 108030 - Monthly Total Resources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A34"/>
          <cell r="B34" t="str">
            <v xml:space="preserve"> Total CapEx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A35" t="str">
            <v xml:space="preserve">     Accounting &amp; Controls Center</v>
          </cell>
          <cell r="B35" t="str">
            <v xml:space="preserve"> 107000 - Monthly Total Resources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A36"/>
          <cell r="B36" t="str">
            <v xml:space="preserve"> 108030 - Monthly Total Resources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A37"/>
          <cell r="B37" t="str">
            <v xml:space="preserve"> Total CapEx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A38" t="str">
            <v xml:space="preserve">     PECO Severance</v>
          </cell>
          <cell r="B38" t="str">
            <v xml:space="preserve"> 107000 - Monthly Total Resources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A39"/>
          <cell r="B39" t="str">
            <v xml:space="preserve"> 108030 - Monthly Total Resources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A40"/>
          <cell r="B40" t="str">
            <v xml:space="preserve"> Total CapEx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A41" t="str">
            <v xml:space="preserve">     PED/PETT Book Revenue</v>
          </cell>
          <cell r="B41" t="str">
            <v xml:space="preserve"> 107000 - Monthly Total Resources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A42"/>
          <cell r="B42" t="str">
            <v xml:space="preserve"> 108030 - Monthly Total Resources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A43"/>
          <cell r="B43" t="str">
            <v xml:space="preserve"> Total CapEx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A44" t="str">
            <v xml:space="preserve">     10200 Unassigned Departments</v>
          </cell>
          <cell r="B44" t="str">
            <v xml:space="preserve"> 107000 - Monthly Total Resources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A45"/>
          <cell r="B45" t="str">
            <v xml:space="preserve"> 108030 - Monthly Total Resources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A46"/>
          <cell r="B46" t="str">
            <v xml:space="preserve"> Total CapEx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A47" t="str">
            <v xml:space="preserve">   Gen Company Activities-PECO</v>
          </cell>
          <cell r="B47" t="str">
            <v xml:space="preserve"> 107000 - Monthly Total Resources</v>
          </cell>
          <cell r="C47">
            <v>81126.460000000006</v>
          </cell>
          <cell r="D47">
            <v>78021.429999999993</v>
          </cell>
          <cell r="E47">
            <v>84231.48</v>
          </cell>
          <cell r="F47">
            <v>79139.77</v>
          </cell>
          <cell r="G47">
            <v>75784.759999999995</v>
          </cell>
          <cell r="H47">
            <v>88454.84</v>
          </cell>
          <cell r="I47">
            <v>79139.77</v>
          </cell>
          <cell r="J47">
            <v>75784.759999999995</v>
          </cell>
          <cell r="K47">
            <v>88454.84</v>
          </cell>
          <cell r="L47">
            <v>79139.77</v>
          </cell>
          <cell r="M47">
            <v>75784.759999999995</v>
          </cell>
          <cell r="N47">
            <v>88454.84</v>
          </cell>
          <cell r="O47">
            <v>973517.48</v>
          </cell>
        </row>
        <row r="48">
          <cell r="A48"/>
          <cell r="B48" t="str">
            <v xml:space="preserve"> 108030 - Monthly Total Resources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A49"/>
          <cell r="B49" t="str">
            <v xml:space="preserve"> Total CapEx</v>
          </cell>
          <cell r="C49">
            <v>81126.460000000006</v>
          </cell>
          <cell r="D49">
            <v>78021.429999999993</v>
          </cell>
          <cell r="E49">
            <v>84231.48</v>
          </cell>
          <cell r="F49">
            <v>79139.77</v>
          </cell>
          <cell r="G49">
            <v>75784.759999999995</v>
          </cell>
          <cell r="H49">
            <v>88454.84</v>
          </cell>
          <cell r="I49">
            <v>79139.77</v>
          </cell>
          <cell r="J49">
            <v>75784.759999999995</v>
          </cell>
          <cell r="K49">
            <v>88454.84</v>
          </cell>
          <cell r="L49">
            <v>79139.77</v>
          </cell>
          <cell r="M49">
            <v>75784.759999999995</v>
          </cell>
          <cell r="N49">
            <v>88454.84</v>
          </cell>
          <cell r="O49">
            <v>973517.48</v>
          </cell>
        </row>
        <row r="50">
          <cell r="A50" t="str">
            <v xml:space="preserve">     Property Management - PECO</v>
          </cell>
          <cell r="B50" t="str">
            <v xml:space="preserve"> 107000 - Monthly Total Resources</v>
          </cell>
          <cell r="C50">
            <v>312350.82</v>
          </cell>
          <cell r="D50">
            <v>239219.05</v>
          </cell>
          <cell r="E50">
            <v>170338.66</v>
          </cell>
          <cell r="F50">
            <v>234090.14</v>
          </cell>
          <cell r="G50">
            <v>605365.35</v>
          </cell>
          <cell r="H50">
            <v>650876.61</v>
          </cell>
          <cell r="I50">
            <v>738530.24</v>
          </cell>
          <cell r="J50">
            <v>704500.64</v>
          </cell>
          <cell r="K50">
            <v>782876.93</v>
          </cell>
          <cell r="L50">
            <v>794982.77</v>
          </cell>
          <cell r="M50">
            <v>717071.74</v>
          </cell>
          <cell r="N50">
            <v>535212.31000000006</v>
          </cell>
          <cell r="O50">
            <v>6485415.2599999961</v>
          </cell>
        </row>
        <row r="51">
          <cell r="A51"/>
          <cell r="B51" t="str">
            <v xml:space="preserve"> 108030 - Monthly Total Resources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2">
          <cell r="A52"/>
          <cell r="B52" t="str">
            <v xml:space="preserve"> Total CapEx</v>
          </cell>
          <cell r="C52">
            <v>312350.82</v>
          </cell>
          <cell r="D52">
            <v>239219.05</v>
          </cell>
          <cell r="E52">
            <v>170338.66</v>
          </cell>
          <cell r="F52">
            <v>234090.14</v>
          </cell>
          <cell r="G52">
            <v>605365.35</v>
          </cell>
          <cell r="H52">
            <v>650876.61</v>
          </cell>
          <cell r="I52">
            <v>738530.24</v>
          </cell>
          <cell r="J52">
            <v>704500.64</v>
          </cell>
          <cell r="K52">
            <v>782876.93</v>
          </cell>
          <cell r="L52">
            <v>794982.77</v>
          </cell>
          <cell r="M52">
            <v>717071.74</v>
          </cell>
          <cell r="N52">
            <v>535212.31000000006</v>
          </cell>
          <cell r="O52">
            <v>6485415.2599999961</v>
          </cell>
        </row>
        <row r="53">
          <cell r="A53" t="str">
            <v xml:space="preserve">     Office of President - PECO</v>
          </cell>
          <cell r="B53" t="str">
            <v xml:space="preserve"> 107000 - Monthly Total Resources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A54"/>
          <cell r="B54" t="str">
            <v xml:space="preserve"> 108030 - Monthly Total Resources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A55"/>
          <cell r="B55" t="str">
            <v xml:space="preserve"> Total CapEx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</row>
        <row r="56">
          <cell r="A56" t="str">
            <v xml:space="preserve">     PECO Energy Acquisition</v>
          </cell>
          <cell r="B56" t="str">
            <v xml:space="preserve"> 107000 - Monthly Total Resources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A57"/>
          <cell r="B57" t="str">
            <v xml:space="preserve"> 108030 - Monthly Total Resources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A58"/>
          <cell r="B58" t="str">
            <v xml:space="preserve"> Total CapEx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A59" t="str">
            <v xml:space="preserve">     VP-Gas</v>
          </cell>
          <cell r="B59" t="str">
            <v xml:space="preserve"> 107000 - Monthly Total Resources</v>
          </cell>
          <cell r="C59">
            <v>287852.33</v>
          </cell>
          <cell r="D59">
            <v>206088.05</v>
          </cell>
          <cell r="E59">
            <v>261453.91</v>
          </cell>
          <cell r="F59">
            <v>271877.52</v>
          </cell>
          <cell r="G59">
            <v>395862.12</v>
          </cell>
          <cell r="H59">
            <v>361735.02</v>
          </cell>
          <cell r="I59">
            <v>432762.42</v>
          </cell>
          <cell r="J59">
            <v>446715.31</v>
          </cell>
          <cell r="K59">
            <v>415363.32</v>
          </cell>
          <cell r="L59">
            <v>213373.92</v>
          </cell>
          <cell r="M59">
            <v>234977.22</v>
          </cell>
          <cell r="N59">
            <v>191099.51999999999</v>
          </cell>
          <cell r="O59">
            <v>3719160.66</v>
          </cell>
        </row>
        <row r="60">
          <cell r="A60"/>
          <cell r="B60" t="str">
            <v xml:space="preserve"> 108030 - Monthly Total Resources</v>
          </cell>
          <cell r="C60">
            <v>14084.2</v>
          </cell>
          <cell r="D60">
            <v>5742</v>
          </cell>
          <cell r="E60">
            <v>9208.9</v>
          </cell>
          <cell r="F60">
            <v>11917.4</v>
          </cell>
          <cell r="G60">
            <v>24918.2</v>
          </cell>
          <cell r="H60">
            <v>21126.3</v>
          </cell>
          <cell r="I60">
            <v>29793.5</v>
          </cell>
          <cell r="J60">
            <v>29793.5</v>
          </cell>
          <cell r="K60">
            <v>27085</v>
          </cell>
          <cell r="L60">
            <v>5417</v>
          </cell>
          <cell r="M60">
            <v>7042.1</v>
          </cell>
          <cell r="N60">
            <v>2166.8000000000002</v>
          </cell>
          <cell r="O60">
            <v>188294.9</v>
          </cell>
        </row>
        <row r="61">
          <cell r="A61"/>
          <cell r="B61" t="str">
            <v xml:space="preserve"> Total CapEx</v>
          </cell>
          <cell r="C61">
            <v>301936.53000000003</v>
          </cell>
          <cell r="D61">
            <v>211830.05</v>
          </cell>
          <cell r="E61">
            <v>270662.81</v>
          </cell>
          <cell r="F61">
            <v>283794.92</v>
          </cell>
          <cell r="G61">
            <v>420780.32</v>
          </cell>
          <cell r="H61">
            <v>382861.32</v>
          </cell>
          <cell r="I61">
            <v>462555.92</v>
          </cell>
          <cell r="J61">
            <v>476508.81</v>
          </cell>
          <cell r="K61">
            <v>442448.32</v>
          </cell>
          <cell r="L61">
            <v>218790.92</v>
          </cell>
          <cell r="M61">
            <v>242019.32</v>
          </cell>
          <cell r="N61">
            <v>193266.32</v>
          </cell>
          <cell r="O61">
            <v>3907455.56</v>
          </cell>
        </row>
        <row r="62">
          <cell r="A62" t="str">
            <v xml:space="preserve">     External &amp; Gov't Affairs PECO</v>
          </cell>
          <cell r="B62" t="str">
            <v xml:space="preserve"> 107000 - Monthly Total Resources</v>
          </cell>
          <cell r="C62">
            <v>1666.67</v>
          </cell>
          <cell r="D62">
            <v>1666.67</v>
          </cell>
          <cell r="E62">
            <v>1666.67</v>
          </cell>
          <cell r="F62">
            <v>1666.67</v>
          </cell>
          <cell r="G62">
            <v>1666.67</v>
          </cell>
          <cell r="H62">
            <v>1666.67</v>
          </cell>
          <cell r="I62">
            <v>1666.67</v>
          </cell>
          <cell r="J62">
            <v>1666.67</v>
          </cell>
          <cell r="K62">
            <v>1666.67</v>
          </cell>
          <cell r="L62">
            <v>1666.67</v>
          </cell>
          <cell r="M62">
            <v>1666.67</v>
          </cell>
          <cell r="N62">
            <v>1666.63</v>
          </cell>
          <cell r="O62">
            <v>20000</v>
          </cell>
        </row>
        <row r="63">
          <cell r="A63"/>
          <cell r="B63" t="str">
            <v xml:space="preserve"> 108030 - Monthly Total Resources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</row>
        <row r="64">
          <cell r="A64"/>
          <cell r="B64" t="str">
            <v xml:space="preserve"> Total CapEx</v>
          </cell>
          <cell r="C64">
            <v>1666.67</v>
          </cell>
          <cell r="D64">
            <v>1666.67</v>
          </cell>
          <cell r="E64">
            <v>1666.67</v>
          </cell>
          <cell r="F64">
            <v>1666.67</v>
          </cell>
          <cell r="G64">
            <v>1666.67</v>
          </cell>
          <cell r="H64">
            <v>1666.67</v>
          </cell>
          <cell r="I64">
            <v>1666.67</v>
          </cell>
          <cell r="J64">
            <v>1666.67</v>
          </cell>
          <cell r="K64">
            <v>1666.67</v>
          </cell>
          <cell r="L64">
            <v>1666.67</v>
          </cell>
          <cell r="M64">
            <v>1666.67</v>
          </cell>
          <cell r="N64">
            <v>1666.63</v>
          </cell>
          <cell r="O64">
            <v>20000</v>
          </cell>
        </row>
        <row r="65">
          <cell r="A65" t="str">
            <v xml:space="preserve">   Office of the President-PECO</v>
          </cell>
          <cell r="B65" t="str">
            <v xml:space="preserve"> 107000 - Monthly Total Resources</v>
          </cell>
          <cell r="C65">
            <v>601869.81999999995</v>
          </cell>
          <cell r="D65">
            <v>446973.77</v>
          </cell>
          <cell r="E65">
            <v>433459.24</v>
          </cell>
          <cell r="F65">
            <v>507634.33</v>
          </cell>
          <cell r="G65">
            <v>1002894.14</v>
          </cell>
          <cell r="H65">
            <v>1014278.3</v>
          </cell>
          <cell r="I65">
            <v>1172959.33</v>
          </cell>
          <cell r="J65">
            <v>1152882.6200000001</v>
          </cell>
          <cell r="K65">
            <v>1199906.92</v>
          </cell>
          <cell r="L65">
            <v>1010023.36</v>
          </cell>
          <cell r="M65">
            <v>953715.63</v>
          </cell>
          <cell r="N65">
            <v>727978.46</v>
          </cell>
          <cell r="O65">
            <v>10224575.920000009</v>
          </cell>
        </row>
        <row r="66">
          <cell r="A66"/>
          <cell r="B66" t="str">
            <v xml:space="preserve"> 108030 - Monthly Total Resources</v>
          </cell>
          <cell r="C66">
            <v>14084.2</v>
          </cell>
          <cell r="D66">
            <v>5742</v>
          </cell>
          <cell r="E66">
            <v>9208.9</v>
          </cell>
          <cell r="F66">
            <v>11917.4</v>
          </cell>
          <cell r="G66">
            <v>24918.2</v>
          </cell>
          <cell r="H66">
            <v>21126.3</v>
          </cell>
          <cell r="I66">
            <v>29793.5</v>
          </cell>
          <cell r="J66">
            <v>29793.5</v>
          </cell>
          <cell r="K66">
            <v>27085</v>
          </cell>
          <cell r="L66">
            <v>5417</v>
          </cell>
          <cell r="M66">
            <v>7042.1</v>
          </cell>
          <cell r="N66">
            <v>2166.8000000000002</v>
          </cell>
          <cell r="O66">
            <v>188294.9</v>
          </cell>
        </row>
        <row r="67">
          <cell r="A67"/>
          <cell r="B67" t="str">
            <v xml:space="preserve"> Total CapEx</v>
          </cell>
          <cell r="C67">
            <v>615954.02</v>
          </cell>
          <cell r="D67">
            <v>452715.77</v>
          </cell>
          <cell r="E67">
            <v>442668.14</v>
          </cell>
          <cell r="F67">
            <v>519551.73</v>
          </cell>
          <cell r="G67">
            <v>1027812.34</v>
          </cell>
          <cell r="H67">
            <v>1035404.6</v>
          </cell>
          <cell r="I67">
            <v>1202752.83</v>
          </cell>
          <cell r="J67">
            <v>1182676.1200000001</v>
          </cell>
          <cell r="K67">
            <v>1226991.92</v>
          </cell>
          <cell r="L67">
            <v>1015440.36</v>
          </cell>
          <cell r="M67">
            <v>960757.73</v>
          </cell>
          <cell r="N67">
            <v>730145.26</v>
          </cell>
          <cell r="O67">
            <v>10412870.82000001</v>
          </cell>
        </row>
        <row r="68">
          <cell r="A68" t="str">
            <v xml:space="preserve">     PED EDSS Ops Services</v>
          </cell>
          <cell r="B68" t="str">
            <v xml:space="preserve"> 107000 - Monthly Total Resources</v>
          </cell>
          <cell r="C68">
            <v>254211.17</v>
          </cell>
          <cell r="D68">
            <v>241518.25</v>
          </cell>
          <cell r="E68">
            <v>291185.56</v>
          </cell>
          <cell r="F68">
            <v>271900.51</v>
          </cell>
          <cell r="G68">
            <v>288492.25</v>
          </cell>
          <cell r="H68">
            <v>283425.53999999998</v>
          </cell>
          <cell r="I68">
            <v>271987.25</v>
          </cell>
          <cell r="J68">
            <v>289582.93</v>
          </cell>
          <cell r="K68">
            <v>279880.98</v>
          </cell>
          <cell r="L68">
            <v>269493.63</v>
          </cell>
          <cell r="M68">
            <v>275587.23</v>
          </cell>
          <cell r="N68">
            <v>277630.98</v>
          </cell>
          <cell r="O68">
            <v>3294896.28</v>
          </cell>
        </row>
        <row r="69">
          <cell r="A69"/>
          <cell r="B69" t="str">
            <v xml:space="preserve"> 108030 - Monthly Total Resources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A70"/>
          <cell r="B70" t="str">
            <v xml:space="preserve"> Total CapEx</v>
          </cell>
          <cell r="C70">
            <v>254211.17</v>
          </cell>
          <cell r="D70">
            <v>241518.25</v>
          </cell>
          <cell r="E70">
            <v>291185.56</v>
          </cell>
          <cell r="F70">
            <v>271900.51</v>
          </cell>
          <cell r="G70">
            <v>288492.25</v>
          </cell>
          <cell r="H70">
            <v>283425.53999999998</v>
          </cell>
          <cell r="I70">
            <v>271987.25</v>
          </cell>
          <cell r="J70">
            <v>289582.93</v>
          </cell>
          <cell r="K70">
            <v>279880.98</v>
          </cell>
          <cell r="L70">
            <v>269493.63</v>
          </cell>
          <cell r="M70">
            <v>275587.23</v>
          </cell>
          <cell r="N70">
            <v>277630.98</v>
          </cell>
          <cell r="O70">
            <v>3294896.28</v>
          </cell>
        </row>
        <row r="71">
          <cell r="A71" t="str">
            <v xml:space="preserve">     Office of EVP Operations East</v>
          </cell>
          <cell r="B71" t="str">
            <v xml:space="preserve"> 107000 - Monthly Total Resources</v>
          </cell>
          <cell r="C71">
            <v>125000</v>
          </cell>
          <cell r="D71">
            <v>125000</v>
          </cell>
          <cell r="E71">
            <v>125000</v>
          </cell>
          <cell r="F71">
            <v>125000</v>
          </cell>
          <cell r="G71">
            <v>125000</v>
          </cell>
          <cell r="H71">
            <v>125000</v>
          </cell>
          <cell r="I71">
            <v>125000</v>
          </cell>
          <cell r="J71">
            <v>125000</v>
          </cell>
          <cell r="K71">
            <v>125000</v>
          </cell>
          <cell r="L71">
            <v>125000</v>
          </cell>
          <cell r="M71">
            <v>125000</v>
          </cell>
          <cell r="N71">
            <v>125000</v>
          </cell>
          <cell r="O71">
            <v>1500000</v>
          </cell>
        </row>
        <row r="72">
          <cell r="A72"/>
          <cell r="B72" t="str">
            <v xml:space="preserve"> 108030 - Monthly Total Resources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73">
          <cell r="A73"/>
          <cell r="B73" t="str">
            <v xml:space="preserve"> Total CapEx</v>
          </cell>
          <cell r="C73">
            <v>125000</v>
          </cell>
          <cell r="D73">
            <v>125000</v>
          </cell>
          <cell r="E73">
            <v>125000</v>
          </cell>
          <cell r="F73">
            <v>125000</v>
          </cell>
          <cell r="G73">
            <v>125000</v>
          </cell>
          <cell r="H73">
            <v>125000</v>
          </cell>
          <cell r="I73">
            <v>125000</v>
          </cell>
          <cell r="J73">
            <v>125000</v>
          </cell>
          <cell r="K73">
            <v>125000</v>
          </cell>
          <cell r="L73">
            <v>125000</v>
          </cell>
          <cell r="M73">
            <v>125000</v>
          </cell>
          <cell r="N73">
            <v>125000</v>
          </cell>
          <cell r="O73">
            <v>1500000</v>
          </cell>
        </row>
        <row r="74">
          <cell r="A74" t="str">
            <v xml:space="preserve">     G&amp;A Allocation Department</v>
          </cell>
          <cell r="B74" t="str">
            <v xml:space="preserve"> 107000 - Monthly Total Resources</v>
          </cell>
          <cell r="C74">
            <v>0</v>
          </cell>
          <cell r="D74">
            <v>-0.02</v>
          </cell>
          <cell r="E74">
            <v>0</v>
          </cell>
          <cell r="F74">
            <v>0</v>
          </cell>
          <cell r="G74">
            <v>0</v>
          </cell>
          <cell r="H74">
            <v>0.02</v>
          </cell>
          <cell r="I74">
            <v>0</v>
          </cell>
          <cell r="J74">
            <v>0</v>
          </cell>
          <cell r="K74">
            <v>1.0000000000000001E-9</v>
          </cell>
          <cell r="L74">
            <v>-1.0000000000000001E-9</v>
          </cell>
          <cell r="M74">
            <v>-0.01</v>
          </cell>
          <cell r="N74">
            <v>1.0000000000000001E-9</v>
          </cell>
          <cell r="O74">
            <v>-9.9999990000000007E-3</v>
          </cell>
        </row>
        <row r="75">
          <cell r="A75"/>
          <cell r="B75" t="str">
            <v xml:space="preserve"> 108030 - Monthly Total Resources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</row>
        <row r="76">
          <cell r="A76"/>
          <cell r="B76" t="str">
            <v xml:space="preserve"> Total CapEx</v>
          </cell>
          <cell r="C76">
            <v>0</v>
          </cell>
          <cell r="D76">
            <v>-0.02</v>
          </cell>
          <cell r="E76">
            <v>0</v>
          </cell>
          <cell r="F76">
            <v>0</v>
          </cell>
          <cell r="G76">
            <v>0</v>
          </cell>
          <cell r="H76">
            <v>0.02</v>
          </cell>
          <cell r="I76">
            <v>0</v>
          </cell>
          <cell r="J76">
            <v>0</v>
          </cell>
          <cell r="K76">
            <v>1.0000000000000001E-9</v>
          </cell>
          <cell r="L76">
            <v>-1.0000000000000001E-9</v>
          </cell>
          <cell r="M76">
            <v>-0.01</v>
          </cell>
          <cell r="N76">
            <v>1.0000000000000001E-9</v>
          </cell>
          <cell r="O76">
            <v>-9.9999990000000007E-3</v>
          </cell>
        </row>
        <row r="77">
          <cell r="A77" t="str">
            <v xml:space="preserve">     Dispatch &amp; Operations - PECO</v>
          </cell>
          <cell r="B77" t="str">
            <v xml:space="preserve"> 107000 - Monthly Total Resources</v>
          </cell>
          <cell r="C77">
            <v>518254.85</v>
          </cell>
          <cell r="D77">
            <v>567769.05000000005</v>
          </cell>
          <cell r="E77">
            <v>664560.42000000004</v>
          </cell>
          <cell r="F77">
            <v>654594.56000000006</v>
          </cell>
          <cell r="G77">
            <v>734959.3</v>
          </cell>
          <cell r="H77">
            <v>584731.42000000004</v>
          </cell>
          <cell r="I77">
            <v>596163.12</v>
          </cell>
          <cell r="J77">
            <v>758443</v>
          </cell>
          <cell r="K77">
            <v>641087.89</v>
          </cell>
          <cell r="L77">
            <v>563617.17000000004</v>
          </cell>
          <cell r="M77">
            <v>614626.12</v>
          </cell>
          <cell r="N77">
            <v>518816.13</v>
          </cell>
          <cell r="O77">
            <v>7417623.0300000096</v>
          </cell>
        </row>
        <row r="78">
          <cell r="A78"/>
          <cell r="B78" t="str">
            <v xml:space="preserve"> 108030 - Monthly Total Resources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A79"/>
          <cell r="B79" t="str">
            <v xml:space="preserve"> Total CapEx</v>
          </cell>
          <cell r="C79">
            <v>518254.85</v>
          </cell>
          <cell r="D79">
            <v>567769.05000000005</v>
          </cell>
          <cell r="E79">
            <v>664560.42000000004</v>
          </cell>
          <cell r="F79">
            <v>654594.56000000006</v>
          </cell>
          <cell r="G79">
            <v>734959.3</v>
          </cell>
          <cell r="H79">
            <v>584731.42000000004</v>
          </cell>
          <cell r="I79">
            <v>596163.12</v>
          </cell>
          <cell r="J79">
            <v>758443</v>
          </cell>
          <cell r="K79">
            <v>641087.89</v>
          </cell>
          <cell r="L79">
            <v>563617.17000000004</v>
          </cell>
          <cell r="M79">
            <v>614626.12</v>
          </cell>
          <cell r="N79">
            <v>518816.13</v>
          </cell>
          <cell r="O79">
            <v>7417623.0300000096</v>
          </cell>
        </row>
        <row r="80">
          <cell r="A80" t="str">
            <v xml:space="preserve">     Transmission &amp; Substation PECO</v>
          </cell>
          <cell r="B80" t="str">
            <v xml:space="preserve"> 107000 - Monthly Total Resources</v>
          </cell>
          <cell r="C80">
            <v>1229264.3500000001</v>
          </cell>
          <cell r="D80">
            <v>4030132.98</v>
          </cell>
          <cell r="E80">
            <v>1485443.67</v>
          </cell>
          <cell r="F80">
            <v>1259033.78</v>
          </cell>
          <cell r="G80">
            <v>1855199.4</v>
          </cell>
          <cell r="H80">
            <v>1208614.98</v>
          </cell>
          <cell r="I80">
            <v>1412154.17</v>
          </cell>
          <cell r="J80">
            <v>1585929.46</v>
          </cell>
          <cell r="K80">
            <v>890161.67</v>
          </cell>
          <cell r="L80">
            <v>4203298.43</v>
          </cell>
          <cell r="M80">
            <v>855347.5</v>
          </cell>
          <cell r="N80">
            <v>671187.27</v>
          </cell>
          <cell r="O80">
            <v>20685767.660000034</v>
          </cell>
        </row>
        <row r="81">
          <cell r="A81"/>
          <cell r="B81" t="str">
            <v xml:space="preserve"> 108030 - Monthly Total Resources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A82"/>
          <cell r="B82" t="str">
            <v xml:space="preserve"> Total CapEx</v>
          </cell>
          <cell r="C82">
            <v>1229264.3500000001</v>
          </cell>
          <cell r="D82">
            <v>4030132.98</v>
          </cell>
          <cell r="E82">
            <v>1485443.67</v>
          </cell>
          <cell r="F82">
            <v>1259033.78</v>
          </cell>
          <cell r="G82">
            <v>1855199.4</v>
          </cell>
          <cell r="H82">
            <v>1208614.98</v>
          </cell>
          <cell r="I82">
            <v>1412154.17</v>
          </cell>
          <cell r="J82">
            <v>1585929.46</v>
          </cell>
          <cell r="K82">
            <v>890161.67</v>
          </cell>
          <cell r="L82">
            <v>4203298.43</v>
          </cell>
          <cell r="M82">
            <v>855347.5</v>
          </cell>
          <cell r="N82">
            <v>671187.27</v>
          </cell>
          <cell r="O82">
            <v>20685767.660000034</v>
          </cell>
        </row>
        <row r="83">
          <cell r="A83" t="str">
            <v xml:space="preserve">     Construction&amp;Maintenance-PECO</v>
          </cell>
          <cell r="B83" t="str">
            <v xml:space="preserve"> 107000 - Monthly Total Resources</v>
          </cell>
          <cell r="C83">
            <v>6837867.7100000018</v>
          </cell>
          <cell r="D83">
            <v>8460055.0799999982</v>
          </cell>
          <cell r="E83">
            <v>10180090.729999995</v>
          </cell>
          <cell r="F83">
            <v>10093275.659999996</v>
          </cell>
          <cell r="G83">
            <v>9831562.6800000034</v>
          </cell>
          <cell r="H83">
            <v>8706683.3599999994</v>
          </cell>
          <cell r="I83">
            <v>8408657.9499999993</v>
          </cell>
          <cell r="J83">
            <v>9269062.2700000051</v>
          </cell>
          <cell r="K83">
            <v>8784414.0600000024</v>
          </cell>
          <cell r="L83">
            <v>8705488.7200000044</v>
          </cell>
          <cell r="M83">
            <v>8338560.1900000004</v>
          </cell>
          <cell r="N83">
            <v>6649580.29</v>
          </cell>
          <cell r="O83">
            <v>104265298.69999988</v>
          </cell>
        </row>
        <row r="84">
          <cell r="A84"/>
          <cell r="B84" t="str">
            <v xml:space="preserve"> 108030 - Monthly Total Resources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</row>
        <row r="85">
          <cell r="A85"/>
          <cell r="B85" t="str">
            <v xml:space="preserve"> Total CapEx</v>
          </cell>
          <cell r="C85">
            <v>6837867.7100000018</v>
          </cell>
          <cell r="D85">
            <v>8460055.0799999982</v>
          </cell>
          <cell r="E85">
            <v>10180090.729999995</v>
          </cell>
          <cell r="F85">
            <v>10093275.659999996</v>
          </cell>
          <cell r="G85">
            <v>9831562.6800000034</v>
          </cell>
          <cell r="H85">
            <v>8706683.3599999994</v>
          </cell>
          <cell r="I85">
            <v>8408657.9499999993</v>
          </cell>
          <cell r="J85">
            <v>9269062.2700000051</v>
          </cell>
          <cell r="K85">
            <v>8784414.0600000024</v>
          </cell>
          <cell r="L85">
            <v>8705488.7200000044</v>
          </cell>
          <cell r="M85">
            <v>8338560.1900000004</v>
          </cell>
          <cell r="N85">
            <v>6649580.29</v>
          </cell>
          <cell r="O85">
            <v>104265298.69999988</v>
          </cell>
        </row>
        <row r="86">
          <cell r="A86" t="str">
            <v xml:space="preserve">     Work Management - PECO</v>
          </cell>
          <cell r="B86" t="str">
            <v xml:space="preserve"> 107000 - Monthly Total Resources</v>
          </cell>
          <cell r="C86">
            <v>267408.65000000002</v>
          </cell>
          <cell r="D86">
            <v>330962.88</v>
          </cell>
          <cell r="E86">
            <v>375047.13</v>
          </cell>
          <cell r="F86">
            <v>328782.03999999998</v>
          </cell>
          <cell r="G86">
            <v>354545.08</v>
          </cell>
          <cell r="H86">
            <v>313394.51</v>
          </cell>
          <cell r="I86">
            <v>278700.14</v>
          </cell>
          <cell r="J86">
            <v>328280.73</v>
          </cell>
          <cell r="K86">
            <v>356929.6</v>
          </cell>
          <cell r="L86">
            <v>338236.87</v>
          </cell>
          <cell r="M86">
            <v>349802.48</v>
          </cell>
          <cell r="N86">
            <v>291907.02</v>
          </cell>
          <cell r="O86">
            <v>3913997.13</v>
          </cell>
        </row>
        <row r="87">
          <cell r="A87"/>
          <cell r="B87" t="str">
            <v xml:space="preserve"> 108030 - Monthly Total Resources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</row>
        <row r="88">
          <cell r="A88"/>
          <cell r="B88" t="str">
            <v xml:space="preserve"> Total CapEx</v>
          </cell>
          <cell r="C88">
            <v>267408.65000000002</v>
          </cell>
          <cell r="D88">
            <v>330962.88</v>
          </cell>
          <cell r="E88">
            <v>375047.13</v>
          </cell>
          <cell r="F88">
            <v>328782.03999999998</v>
          </cell>
          <cell r="G88">
            <v>354545.08</v>
          </cell>
          <cell r="H88">
            <v>313394.51</v>
          </cell>
          <cell r="I88">
            <v>278700.14</v>
          </cell>
          <cell r="J88">
            <v>328280.73</v>
          </cell>
          <cell r="K88">
            <v>356929.6</v>
          </cell>
          <cell r="L88">
            <v>338236.87</v>
          </cell>
          <cell r="M88">
            <v>349802.48</v>
          </cell>
          <cell r="N88">
            <v>291907.02</v>
          </cell>
          <cell r="O88">
            <v>3913997.13</v>
          </cell>
        </row>
        <row r="89">
          <cell r="A89" t="str">
            <v xml:space="preserve">     Performance Improvement - East</v>
          </cell>
          <cell r="B89" t="str">
            <v xml:space="preserve"> 107000 - Monthly Total Resources</v>
          </cell>
          <cell r="C89">
            <v>55323.06</v>
          </cell>
          <cell r="D89">
            <v>39892.910000000003</v>
          </cell>
          <cell r="E89">
            <v>57664.1</v>
          </cell>
          <cell r="F89">
            <v>45751.29</v>
          </cell>
          <cell r="G89">
            <v>45337.18</v>
          </cell>
          <cell r="H89">
            <v>46519.93</v>
          </cell>
          <cell r="I89">
            <v>43252.54</v>
          </cell>
          <cell r="J89">
            <v>47464.6</v>
          </cell>
          <cell r="K89">
            <v>45707.68</v>
          </cell>
          <cell r="L89">
            <v>43608.79</v>
          </cell>
          <cell r="M89">
            <v>45636.43</v>
          </cell>
          <cell r="N89">
            <v>45778.93</v>
          </cell>
          <cell r="O89">
            <v>561937.43999999994</v>
          </cell>
        </row>
        <row r="90">
          <cell r="A90"/>
          <cell r="B90" t="str">
            <v xml:space="preserve"> 108030 - Monthly Total Resources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1">
          <cell r="A91"/>
          <cell r="B91" t="str">
            <v xml:space="preserve"> Total CapEx</v>
          </cell>
          <cell r="C91">
            <v>55323.06</v>
          </cell>
          <cell r="D91">
            <v>39892.910000000003</v>
          </cell>
          <cell r="E91">
            <v>57664.1</v>
          </cell>
          <cell r="F91">
            <v>45751.29</v>
          </cell>
          <cell r="G91">
            <v>45337.18</v>
          </cell>
          <cell r="H91">
            <v>46519.93</v>
          </cell>
          <cell r="I91">
            <v>43252.54</v>
          </cell>
          <cell r="J91">
            <v>47464.6</v>
          </cell>
          <cell r="K91">
            <v>45707.68</v>
          </cell>
          <cell r="L91">
            <v>43608.79</v>
          </cell>
          <cell r="M91">
            <v>45636.43</v>
          </cell>
          <cell r="N91">
            <v>45778.93</v>
          </cell>
          <cell r="O91">
            <v>561937.43999999994</v>
          </cell>
        </row>
        <row r="92">
          <cell r="A92" t="str">
            <v xml:space="preserve">     Training East</v>
          </cell>
          <cell r="B92" t="str">
            <v xml:space="preserve"> 107000 - Monthly Total Resources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A93"/>
          <cell r="B93" t="str">
            <v xml:space="preserve"> 108030 - Monthly Total Resources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A94"/>
          <cell r="B94" t="str">
            <v xml:space="preserve"> Total CapEx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A95" t="str">
            <v xml:space="preserve">     Envir Sfty&amp;Indust Hygiene-PECO</v>
          </cell>
          <cell r="B95" t="str">
            <v xml:space="preserve"> 107000 - Monthly Total Resources</v>
          </cell>
          <cell r="C95">
            <v>1500</v>
          </cell>
          <cell r="D95">
            <v>0</v>
          </cell>
          <cell r="E95">
            <v>1500</v>
          </cell>
          <cell r="F95">
            <v>0</v>
          </cell>
          <cell r="G95">
            <v>51500</v>
          </cell>
          <cell r="H95">
            <v>1500</v>
          </cell>
          <cell r="I95">
            <v>35000</v>
          </cell>
          <cell r="J95">
            <v>0</v>
          </cell>
          <cell r="K95">
            <v>0</v>
          </cell>
          <cell r="L95">
            <v>0</v>
          </cell>
          <cell r="M95">
            <v>1500</v>
          </cell>
          <cell r="N95">
            <v>4500</v>
          </cell>
          <cell r="O95">
            <v>97000</v>
          </cell>
        </row>
        <row r="96">
          <cell r="A96"/>
          <cell r="B96" t="str">
            <v xml:space="preserve"> 108030 - Monthly Total Resources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A97"/>
          <cell r="B97" t="str">
            <v xml:space="preserve"> Total CapEx</v>
          </cell>
          <cell r="C97">
            <v>1500</v>
          </cell>
          <cell r="D97">
            <v>0</v>
          </cell>
          <cell r="E97">
            <v>1500</v>
          </cell>
          <cell r="F97">
            <v>0</v>
          </cell>
          <cell r="G97">
            <v>51500</v>
          </cell>
          <cell r="H97">
            <v>1500</v>
          </cell>
          <cell r="I97">
            <v>35000</v>
          </cell>
          <cell r="J97">
            <v>0</v>
          </cell>
          <cell r="K97">
            <v>0</v>
          </cell>
          <cell r="L97">
            <v>0</v>
          </cell>
          <cell r="M97">
            <v>1500</v>
          </cell>
          <cell r="N97">
            <v>4500</v>
          </cell>
          <cell r="O97">
            <v>97000</v>
          </cell>
        </row>
        <row r="98">
          <cell r="A98" t="str">
            <v xml:space="preserve">   Operations - PECO</v>
          </cell>
          <cell r="B98" t="str">
            <v xml:space="preserve"> 107000 - Monthly Total Resources</v>
          </cell>
          <cell r="C98">
            <v>9288829.7899999991</v>
          </cell>
          <cell r="D98">
            <v>13795331.129999997</v>
          </cell>
          <cell r="E98">
            <v>13180491.610000001</v>
          </cell>
          <cell r="F98">
            <v>12778337.840000002</v>
          </cell>
          <cell r="G98">
            <v>13286595.890000002</v>
          </cell>
          <cell r="H98">
            <v>11269869.76</v>
          </cell>
          <cell r="I98">
            <v>11170915.169999998</v>
          </cell>
          <cell r="J98">
            <v>12403762.990000002</v>
          </cell>
          <cell r="K98">
            <v>11123181.880000001</v>
          </cell>
          <cell r="L98">
            <v>14248743.610000001</v>
          </cell>
          <cell r="M98">
            <v>10606059.940000003</v>
          </cell>
          <cell r="N98">
            <v>8584400.6199999992</v>
          </cell>
          <cell r="O98">
            <v>141736520.2299999</v>
          </cell>
        </row>
        <row r="99">
          <cell r="A99"/>
          <cell r="B99" t="str">
            <v xml:space="preserve"> 108030 - Monthly Total Resources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</row>
        <row r="100">
          <cell r="A100"/>
          <cell r="B100" t="str">
            <v xml:space="preserve"> Total CapEx</v>
          </cell>
          <cell r="C100">
            <v>9288829.7899999991</v>
          </cell>
          <cell r="D100">
            <v>13795331.129999997</v>
          </cell>
          <cell r="E100">
            <v>13180491.610000001</v>
          </cell>
          <cell r="F100">
            <v>12778337.840000002</v>
          </cell>
          <cell r="G100">
            <v>13286595.890000002</v>
          </cell>
          <cell r="H100">
            <v>11269869.76</v>
          </cell>
          <cell r="I100">
            <v>11170915.169999998</v>
          </cell>
          <cell r="J100">
            <v>12403762.990000002</v>
          </cell>
          <cell r="K100">
            <v>11123181.880000001</v>
          </cell>
          <cell r="L100">
            <v>14248743.610000001</v>
          </cell>
          <cell r="M100">
            <v>10606059.940000003</v>
          </cell>
          <cell r="N100">
            <v>8584400.6199999992</v>
          </cell>
          <cell r="O100">
            <v>141736520.2299999</v>
          </cell>
        </row>
        <row r="101">
          <cell r="A101" t="str">
            <v xml:space="preserve">     OVP for Technical Srvcs - PED</v>
          </cell>
          <cell r="B101" t="str">
            <v xml:space="preserve"> 107000 - Monthly Total Resources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A102"/>
          <cell r="B102" t="str">
            <v xml:space="preserve"> 108030 - Monthly Total Resources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</row>
        <row r="103">
          <cell r="A103"/>
          <cell r="B103" t="str">
            <v xml:space="preserve"> Total CapEx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</row>
        <row r="104">
          <cell r="A104" t="str">
            <v xml:space="preserve">     EDSS Technical Services - PED</v>
          </cell>
          <cell r="B104" t="str">
            <v xml:space="preserve"> 107000 - Monthly Total Resources</v>
          </cell>
          <cell r="C104">
            <v>579318.65</v>
          </cell>
          <cell r="D104">
            <v>565746.41</v>
          </cell>
          <cell r="E104">
            <v>613116.73</v>
          </cell>
          <cell r="F104">
            <v>615906.29</v>
          </cell>
          <cell r="G104">
            <v>590687.49</v>
          </cell>
          <cell r="H104">
            <v>591847.86</v>
          </cell>
          <cell r="I104">
            <v>583712.17000000004</v>
          </cell>
          <cell r="J104">
            <v>613343.11</v>
          </cell>
          <cell r="K104">
            <v>584242.28</v>
          </cell>
          <cell r="L104">
            <v>582336.1</v>
          </cell>
          <cell r="M104">
            <v>582273.53</v>
          </cell>
          <cell r="N104">
            <v>584242.28</v>
          </cell>
          <cell r="O104">
            <v>7086772.9000000022</v>
          </cell>
        </row>
        <row r="105">
          <cell r="A105"/>
          <cell r="B105" t="str">
            <v xml:space="preserve"> 108030 - Monthly Total Resources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A106"/>
          <cell r="B106" t="str">
            <v xml:space="preserve"> Total CapEx</v>
          </cell>
          <cell r="C106">
            <v>579318.65</v>
          </cell>
          <cell r="D106">
            <v>565746.41</v>
          </cell>
          <cell r="E106">
            <v>613116.73</v>
          </cell>
          <cell r="F106">
            <v>615906.29</v>
          </cell>
          <cell r="G106">
            <v>590687.49</v>
          </cell>
          <cell r="H106">
            <v>591847.86</v>
          </cell>
          <cell r="I106">
            <v>583712.17000000004</v>
          </cell>
          <cell r="J106">
            <v>613343.11</v>
          </cell>
          <cell r="K106">
            <v>584242.28</v>
          </cell>
          <cell r="L106">
            <v>582336.1</v>
          </cell>
          <cell r="M106">
            <v>582273.53</v>
          </cell>
          <cell r="N106">
            <v>584242.28</v>
          </cell>
          <cell r="O106">
            <v>7086772.9000000022</v>
          </cell>
        </row>
        <row r="107">
          <cell r="A107" t="str">
            <v xml:space="preserve">     Proj&amp;Contract Management-PECO</v>
          </cell>
          <cell r="B107" t="str">
            <v xml:space="preserve"> 107000 - Monthly Total Resources</v>
          </cell>
          <cell r="C107">
            <v>6424869.5399999982</v>
          </cell>
          <cell r="D107">
            <v>6369716.0299999984</v>
          </cell>
          <cell r="E107">
            <v>5829052.5600000024</v>
          </cell>
          <cell r="F107">
            <v>5984651.4500000002</v>
          </cell>
          <cell r="G107">
            <v>5337234.4400000004</v>
          </cell>
          <cell r="H107">
            <v>3538122.35</v>
          </cell>
          <cell r="I107">
            <v>2785807.58</v>
          </cell>
          <cell r="J107">
            <v>3331895.48</v>
          </cell>
          <cell r="K107">
            <v>2824685.72</v>
          </cell>
          <cell r="L107">
            <v>2834830.11</v>
          </cell>
          <cell r="M107">
            <v>2647859.19</v>
          </cell>
          <cell r="N107">
            <v>1881274.91</v>
          </cell>
          <cell r="O107">
            <v>49789999.359999955</v>
          </cell>
        </row>
        <row r="108">
          <cell r="A108"/>
          <cell r="B108" t="str">
            <v xml:space="preserve"> 108030 - Monthly Total Resources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A109"/>
          <cell r="B109" t="str">
            <v xml:space="preserve"> Total CapEx</v>
          </cell>
          <cell r="C109">
            <v>6424869.5399999982</v>
          </cell>
          <cell r="D109">
            <v>6369716.0299999984</v>
          </cell>
          <cell r="E109">
            <v>5829052.5600000024</v>
          </cell>
          <cell r="F109">
            <v>5984651.4500000002</v>
          </cell>
          <cell r="G109">
            <v>5337234.4400000004</v>
          </cell>
          <cell r="H109">
            <v>3538122.35</v>
          </cell>
          <cell r="I109">
            <v>2785807.58</v>
          </cell>
          <cell r="J109">
            <v>3331895.48</v>
          </cell>
          <cell r="K109">
            <v>2824685.72</v>
          </cell>
          <cell r="L109">
            <v>2834830.11</v>
          </cell>
          <cell r="M109">
            <v>2647859.19</v>
          </cell>
          <cell r="N109">
            <v>1881274.91</v>
          </cell>
          <cell r="O109">
            <v>49789999.359999955</v>
          </cell>
        </row>
        <row r="110">
          <cell r="A110" t="str">
            <v xml:space="preserve">     Asset Invest Strategy&amp;Dev-PED</v>
          </cell>
          <cell r="B110" t="str">
            <v xml:space="preserve"> 107000 - Monthly Total Resources</v>
          </cell>
          <cell r="C110">
            <v>183392.52</v>
          </cell>
          <cell r="D110">
            <v>267924.92</v>
          </cell>
          <cell r="E110">
            <v>268846.87</v>
          </cell>
          <cell r="F110">
            <v>222631.89</v>
          </cell>
          <cell r="G110">
            <v>272291.40000000002</v>
          </cell>
          <cell r="H110">
            <v>211791.33</v>
          </cell>
          <cell r="I110">
            <v>198852.77</v>
          </cell>
          <cell r="J110">
            <v>235670.19</v>
          </cell>
          <cell r="K110">
            <v>237527.33</v>
          </cell>
          <cell r="L110">
            <v>230969.83</v>
          </cell>
          <cell r="M110">
            <v>237011.86</v>
          </cell>
          <cell r="N110">
            <v>199557.8</v>
          </cell>
          <cell r="O110">
            <v>2766468.709999993</v>
          </cell>
        </row>
        <row r="111">
          <cell r="A111"/>
          <cell r="B111" t="str">
            <v xml:space="preserve"> 108030 - Monthly Total Resources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A112"/>
          <cell r="B112" t="str">
            <v xml:space="preserve"> Total CapEx</v>
          </cell>
          <cell r="C112">
            <v>183392.52</v>
          </cell>
          <cell r="D112">
            <v>267924.92</v>
          </cell>
          <cell r="E112">
            <v>268846.87</v>
          </cell>
          <cell r="F112">
            <v>222631.89</v>
          </cell>
          <cell r="G112">
            <v>272291.40000000002</v>
          </cell>
          <cell r="H112">
            <v>211791.33</v>
          </cell>
          <cell r="I112">
            <v>198852.77</v>
          </cell>
          <cell r="J112">
            <v>235670.19</v>
          </cell>
          <cell r="K112">
            <v>237527.33</v>
          </cell>
          <cell r="L112">
            <v>230969.83</v>
          </cell>
          <cell r="M112">
            <v>237011.86</v>
          </cell>
          <cell r="N112">
            <v>199557.8</v>
          </cell>
          <cell r="O112">
            <v>2766468.709999993</v>
          </cell>
        </row>
        <row r="113">
          <cell r="A113" t="str">
            <v xml:space="preserve">     New Business - PED</v>
          </cell>
          <cell r="B113" t="str">
            <v xml:space="preserve"> 107000 - Monthly Total Resources</v>
          </cell>
          <cell r="C113">
            <v>3449690.07</v>
          </cell>
          <cell r="D113">
            <v>3499113.53</v>
          </cell>
          <cell r="E113">
            <v>3723721.66</v>
          </cell>
          <cell r="F113">
            <v>4145510.23</v>
          </cell>
          <cell r="G113">
            <v>4234329.54</v>
          </cell>
          <cell r="H113">
            <v>4202769.29</v>
          </cell>
          <cell r="I113">
            <v>4058095.44</v>
          </cell>
          <cell r="J113">
            <v>4642269.55</v>
          </cell>
          <cell r="K113">
            <v>4062684.55</v>
          </cell>
          <cell r="L113">
            <v>4336620.42</v>
          </cell>
          <cell r="M113">
            <v>4332870.76</v>
          </cell>
          <cell r="N113">
            <v>4284132.3099999996</v>
          </cell>
          <cell r="O113">
            <v>48971807.350000031</v>
          </cell>
        </row>
        <row r="114">
          <cell r="A114"/>
          <cell r="B114" t="str">
            <v xml:space="preserve"> 108030 - Monthly Total Resources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A115"/>
          <cell r="B115" t="str">
            <v xml:space="preserve"> Total CapEx</v>
          </cell>
          <cell r="C115">
            <v>3449690.07</v>
          </cell>
          <cell r="D115">
            <v>3499113.53</v>
          </cell>
          <cell r="E115">
            <v>3723721.66</v>
          </cell>
          <cell r="F115">
            <v>4145510.23</v>
          </cell>
          <cell r="G115">
            <v>4234329.54</v>
          </cell>
          <cell r="H115">
            <v>4202769.29</v>
          </cell>
          <cell r="I115">
            <v>4058095.44</v>
          </cell>
          <cell r="J115">
            <v>4642269.55</v>
          </cell>
          <cell r="K115">
            <v>4062684.55</v>
          </cell>
          <cell r="L115">
            <v>4336620.42</v>
          </cell>
          <cell r="M115">
            <v>4332870.76</v>
          </cell>
          <cell r="N115">
            <v>4284132.3099999996</v>
          </cell>
          <cell r="O115">
            <v>48971807.350000031</v>
          </cell>
        </row>
        <row r="116">
          <cell r="A116" t="str">
            <v xml:space="preserve">     Engineering &amp; System Perf-PED</v>
          </cell>
          <cell r="B116" t="str">
            <v xml:space="preserve"> 107000 - Monthly Total Resources</v>
          </cell>
          <cell r="C116">
            <v>758512.94</v>
          </cell>
          <cell r="D116">
            <v>921085.27</v>
          </cell>
          <cell r="E116">
            <v>979242.81</v>
          </cell>
          <cell r="F116">
            <v>1281573.3</v>
          </cell>
          <cell r="G116">
            <v>1345501.44</v>
          </cell>
          <cell r="H116">
            <v>1309333.3600000001</v>
          </cell>
          <cell r="I116">
            <v>1256440.22</v>
          </cell>
          <cell r="J116">
            <v>1375561.15</v>
          </cell>
          <cell r="K116">
            <v>1273521.78</v>
          </cell>
          <cell r="L116">
            <v>1285459.56</v>
          </cell>
          <cell r="M116">
            <v>930128.04</v>
          </cell>
          <cell r="N116">
            <v>-249561.87</v>
          </cell>
          <cell r="O116">
            <v>12466798.000000043</v>
          </cell>
        </row>
        <row r="117">
          <cell r="A117"/>
          <cell r="B117" t="str">
            <v xml:space="preserve"> 108030 - Monthly Total Resources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</row>
        <row r="118">
          <cell r="A118"/>
          <cell r="B118" t="str">
            <v xml:space="preserve"> Total CapEx</v>
          </cell>
          <cell r="C118">
            <v>758512.94</v>
          </cell>
          <cell r="D118">
            <v>921085.27</v>
          </cell>
          <cell r="E118">
            <v>979242.81</v>
          </cell>
          <cell r="F118">
            <v>1281573.3</v>
          </cell>
          <cell r="G118">
            <v>1345501.44</v>
          </cell>
          <cell r="H118">
            <v>1309333.3600000001</v>
          </cell>
          <cell r="I118">
            <v>1256440.22</v>
          </cell>
          <cell r="J118">
            <v>1375561.15</v>
          </cell>
          <cell r="K118">
            <v>1273521.78</v>
          </cell>
          <cell r="L118">
            <v>1285459.56</v>
          </cell>
          <cell r="M118">
            <v>930128.04</v>
          </cell>
          <cell r="N118">
            <v>-249561.87</v>
          </cell>
          <cell r="O118">
            <v>12466798.000000043</v>
          </cell>
        </row>
        <row r="119">
          <cell r="A119" t="str">
            <v xml:space="preserve">   Technical Services</v>
          </cell>
          <cell r="B119" t="str">
            <v xml:space="preserve"> 107000 - Monthly Total Resources</v>
          </cell>
          <cell r="C119">
            <v>11395783.720000001</v>
          </cell>
          <cell r="D119">
            <v>11623586.16</v>
          </cell>
          <cell r="E119">
            <v>11413980.629999997</v>
          </cell>
          <cell r="F119">
            <v>12250273.159999998</v>
          </cell>
          <cell r="G119">
            <v>11780044.309999997</v>
          </cell>
          <cell r="H119">
            <v>9853864.1899999995</v>
          </cell>
          <cell r="I119">
            <v>8882908.1800000016</v>
          </cell>
          <cell r="J119">
            <v>10198739.48</v>
          </cell>
          <cell r="K119">
            <v>8982661.6599999983</v>
          </cell>
          <cell r="L119">
            <v>9270216.0200000014</v>
          </cell>
          <cell r="M119">
            <v>8730143.3800000045</v>
          </cell>
          <cell r="N119">
            <v>6699645.4300000016</v>
          </cell>
          <cell r="O119">
            <v>121081846.32000005</v>
          </cell>
        </row>
        <row r="120">
          <cell r="A120"/>
          <cell r="B120" t="str">
            <v xml:space="preserve"> 108030 - Monthly Total Resources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</row>
        <row r="121">
          <cell r="A121"/>
          <cell r="B121" t="str">
            <v xml:space="preserve"> Total CapEx</v>
          </cell>
          <cell r="C121">
            <v>11395783.720000001</v>
          </cell>
          <cell r="D121">
            <v>11623586.16</v>
          </cell>
          <cell r="E121">
            <v>11413980.629999997</v>
          </cell>
          <cell r="F121">
            <v>12250273.159999998</v>
          </cell>
          <cell r="G121">
            <v>11780044.309999997</v>
          </cell>
          <cell r="H121">
            <v>9853864.1899999995</v>
          </cell>
          <cell r="I121">
            <v>8882908.1800000016</v>
          </cell>
          <cell r="J121">
            <v>10198739.48</v>
          </cell>
          <cell r="K121">
            <v>8982661.6599999983</v>
          </cell>
          <cell r="L121">
            <v>9270216.0200000014</v>
          </cell>
          <cell r="M121">
            <v>8730143.3800000045</v>
          </cell>
          <cell r="N121">
            <v>6699645.4300000016</v>
          </cell>
          <cell r="O121">
            <v>121081846.32000005</v>
          </cell>
        </row>
        <row r="122">
          <cell r="A122" t="str">
            <v xml:space="preserve">     Customer&amp;Marketing Svcs-PECO</v>
          </cell>
          <cell r="B122" t="str">
            <v xml:space="preserve"> 107000 - Monthly Total Resources</v>
          </cell>
          <cell r="C122">
            <v>106942.38</v>
          </cell>
          <cell r="D122">
            <v>145093.64000000001</v>
          </cell>
          <cell r="E122">
            <v>150181.85999999999</v>
          </cell>
          <cell r="F122">
            <v>141829.82999999999</v>
          </cell>
          <cell r="G122">
            <v>142191.01999999999</v>
          </cell>
          <cell r="H122">
            <v>136165.43</v>
          </cell>
          <cell r="I122">
            <v>125381.63</v>
          </cell>
          <cell r="J122">
            <v>145996.07</v>
          </cell>
          <cell r="K122">
            <v>135355.28</v>
          </cell>
          <cell r="L122">
            <v>135671.46</v>
          </cell>
          <cell r="M122">
            <v>142898.78</v>
          </cell>
          <cell r="N122">
            <v>121686.03</v>
          </cell>
          <cell r="O122">
            <v>1629393.41</v>
          </cell>
        </row>
        <row r="123">
          <cell r="A123"/>
          <cell r="B123" t="str">
            <v xml:space="preserve"> 108030 - Monthly Total Resources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</row>
        <row r="124">
          <cell r="A124"/>
          <cell r="B124" t="str">
            <v xml:space="preserve"> Total CapEx</v>
          </cell>
          <cell r="C124">
            <v>106942.38</v>
          </cell>
          <cell r="D124">
            <v>145093.64000000001</v>
          </cell>
          <cell r="E124">
            <v>150181.85999999999</v>
          </cell>
          <cell r="F124">
            <v>141829.82999999999</v>
          </cell>
          <cell r="G124">
            <v>142191.01999999999</v>
          </cell>
          <cell r="H124">
            <v>136165.43</v>
          </cell>
          <cell r="I124">
            <v>125381.63</v>
          </cell>
          <cell r="J124">
            <v>145996.07</v>
          </cell>
          <cell r="K124">
            <v>135355.28</v>
          </cell>
          <cell r="L124">
            <v>135671.46</v>
          </cell>
          <cell r="M124">
            <v>142898.78</v>
          </cell>
          <cell r="N124">
            <v>121686.03</v>
          </cell>
          <cell r="O124">
            <v>1629393.41</v>
          </cell>
        </row>
        <row r="125">
          <cell r="A125" t="str">
            <v xml:space="preserve">     Fleet Management - PECO</v>
          </cell>
          <cell r="B125" t="str">
            <v xml:space="preserve"> 107000 - Monthly Total Resources</v>
          </cell>
          <cell r="C125">
            <v>30000</v>
          </cell>
          <cell r="D125">
            <v>30000</v>
          </cell>
          <cell r="E125">
            <v>100000</v>
          </cell>
          <cell r="F125">
            <v>300000</v>
          </cell>
          <cell r="G125">
            <v>100000</v>
          </cell>
          <cell r="H125">
            <v>800000</v>
          </cell>
          <cell r="I125">
            <v>400000</v>
          </cell>
          <cell r="J125">
            <v>1000000</v>
          </cell>
          <cell r="K125">
            <v>100000</v>
          </cell>
          <cell r="L125">
            <v>100000</v>
          </cell>
          <cell r="M125">
            <v>75000</v>
          </cell>
          <cell r="N125">
            <v>25000</v>
          </cell>
          <cell r="O125">
            <v>3060000</v>
          </cell>
        </row>
        <row r="126">
          <cell r="A126"/>
          <cell r="B126" t="str">
            <v xml:space="preserve"> 108030 - Monthly Total Resources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</row>
        <row r="127">
          <cell r="A127"/>
          <cell r="B127" t="str">
            <v xml:space="preserve"> Total CapEx</v>
          </cell>
          <cell r="C127">
            <v>30000</v>
          </cell>
          <cell r="D127">
            <v>30000</v>
          </cell>
          <cell r="E127">
            <v>100000</v>
          </cell>
          <cell r="F127">
            <v>300000</v>
          </cell>
          <cell r="G127">
            <v>100000</v>
          </cell>
          <cell r="H127">
            <v>800000</v>
          </cell>
          <cell r="I127">
            <v>400000</v>
          </cell>
          <cell r="J127">
            <v>1000000</v>
          </cell>
          <cell r="K127">
            <v>100000</v>
          </cell>
          <cell r="L127">
            <v>100000</v>
          </cell>
          <cell r="M127">
            <v>75000</v>
          </cell>
          <cell r="N127">
            <v>25000</v>
          </cell>
          <cell r="O127">
            <v>3060000</v>
          </cell>
        </row>
        <row r="128">
          <cell r="A128" t="str">
            <v xml:space="preserve">   Cust&amp;Mrkt Svcs&amp;Fleet Mgmt-PECO</v>
          </cell>
          <cell r="B128" t="str">
            <v xml:space="preserve"> 107000 - Monthly Total Resources</v>
          </cell>
          <cell r="C128">
            <v>136942.38</v>
          </cell>
          <cell r="D128">
            <v>175093.64</v>
          </cell>
          <cell r="E128">
            <v>250181.86</v>
          </cell>
          <cell r="F128">
            <v>441829.83</v>
          </cell>
          <cell r="G128">
            <v>242191.02</v>
          </cell>
          <cell r="H128">
            <v>936165.43</v>
          </cell>
          <cell r="I128">
            <v>525381.63</v>
          </cell>
          <cell r="J128">
            <v>1145996.07</v>
          </cell>
          <cell r="K128">
            <v>235355.28</v>
          </cell>
          <cell r="L128">
            <v>235671.46</v>
          </cell>
          <cell r="M128">
            <v>217898.78</v>
          </cell>
          <cell r="N128">
            <v>146686.03</v>
          </cell>
          <cell r="O128">
            <v>4689393.41</v>
          </cell>
        </row>
        <row r="129">
          <cell r="A129"/>
          <cell r="B129" t="str">
            <v xml:space="preserve"> 108030 - Monthly Total Resources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</row>
        <row r="130">
          <cell r="A130"/>
          <cell r="B130" t="str">
            <v xml:space="preserve"> Total CapEx</v>
          </cell>
          <cell r="C130">
            <v>136942.38</v>
          </cell>
          <cell r="D130">
            <v>175093.64</v>
          </cell>
          <cell r="E130">
            <v>250181.86</v>
          </cell>
          <cell r="F130">
            <v>441829.83</v>
          </cell>
          <cell r="G130">
            <v>242191.02</v>
          </cell>
          <cell r="H130">
            <v>936165.43</v>
          </cell>
          <cell r="I130">
            <v>525381.63</v>
          </cell>
          <cell r="J130">
            <v>1145996.07</v>
          </cell>
          <cell r="K130">
            <v>235355.28</v>
          </cell>
          <cell r="L130">
            <v>235671.46</v>
          </cell>
          <cell r="M130">
            <v>217898.78</v>
          </cell>
          <cell r="N130">
            <v>146686.03</v>
          </cell>
          <cell r="O130">
            <v>4689393.41</v>
          </cell>
        </row>
        <row r="131">
          <cell r="A131" t="str">
            <v xml:space="preserve">   Support Services - PECO</v>
          </cell>
          <cell r="B131" t="str">
            <v xml:space="preserve"> 107000 - Monthly Total Resources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</row>
        <row r="132">
          <cell r="A132"/>
          <cell r="B132" t="str">
            <v xml:space="preserve"> 108030 - Monthly Total Resources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</row>
        <row r="133">
          <cell r="A133"/>
          <cell r="B133" t="str">
            <v xml:space="preserve"> Total CapEx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</row>
        <row r="134">
          <cell r="A134" t="str">
            <v xml:space="preserve">     Ofc of the Trans Ops VP-EAST</v>
          </cell>
          <cell r="B134" t="str">
            <v xml:space="preserve"> 107000 - Monthly Total Resources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</row>
        <row r="135">
          <cell r="A135"/>
          <cell r="B135" t="str">
            <v xml:space="preserve"> 108030 - Monthly Total Resources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</row>
        <row r="136">
          <cell r="A136"/>
          <cell r="B136" t="str">
            <v xml:space="preserve"> Total CapEx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</row>
        <row r="137">
          <cell r="A137" t="str">
            <v xml:space="preserve">     PED Transmission Planning East</v>
          </cell>
          <cell r="B137" t="str">
            <v xml:space="preserve"> 107000 - Monthly Total Resources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</row>
        <row r="138">
          <cell r="A138"/>
          <cell r="B138" t="str">
            <v xml:space="preserve"> 108030 - Monthly Total Resources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A139"/>
          <cell r="B139" t="str">
            <v xml:space="preserve"> Total CapEx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</row>
        <row r="140">
          <cell r="A140" t="str">
            <v xml:space="preserve">     PEDTransmission Operation East</v>
          </cell>
          <cell r="B140" t="str">
            <v xml:space="preserve"> 107000 - Monthly Total Resources</v>
          </cell>
          <cell r="C140">
            <v>0</v>
          </cell>
          <cell r="D140">
            <v>0</v>
          </cell>
          <cell r="E140">
            <v>25000</v>
          </cell>
          <cell r="F140">
            <v>0</v>
          </cell>
          <cell r="G140">
            <v>0</v>
          </cell>
          <cell r="H140">
            <v>25000</v>
          </cell>
          <cell r="I140">
            <v>0</v>
          </cell>
          <cell r="J140">
            <v>0</v>
          </cell>
          <cell r="K140">
            <v>25000</v>
          </cell>
          <cell r="L140">
            <v>0</v>
          </cell>
          <cell r="M140">
            <v>0</v>
          </cell>
          <cell r="N140">
            <v>25000</v>
          </cell>
          <cell r="O140">
            <v>100000</v>
          </cell>
        </row>
        <row r="141">
          <cell r="A141"/>
          <cell r="B141" t="str">
            <v xml:space="preserve"> 108030 - Monthly Total Resources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</row>
        <row r="142">
          <cell r="A142"/>
          <cell r="B142" t="str">
            <v xml:space="preserve"> Total CapEx</v>
          </cell>
          <cell r="C142">
            <v>0</v>
          </cell>
          <cell r="D142">
            <v>0</v>
          </cell>
          <cell r="E142">
            <v>25000</v>
          </cell>
          <cell r="F142">
            <v>0</v>
          </cell>
          <cell r="G142">
            <v>0</v>
          </cell>
          <cell r="H142">
            <v>25000</v>
          </cell>
          <cell r="I142">
            <v>0</v>
          </cell>
          <cell r="J142">
            <v>0</v>
          </cell>
          <cell r="K142">
            <v>25000</v>
          </cell>
          <cell r="L142">
            <v>0</v>
          </cell>
          <cell r="M142">
            <v>0</v>
          </cell>
          <cell r="N142">
            <v>25000</v>
          </cell>
          <cell r="O142">
            <v>100000</v>
          </cell>
        </row>
        <row r="143">
          <cell r="A143" t="str">
            <v xml:space="preserve">     Trans Strat&amp;Bussinss Oper East</v>
          </cell>
          <cell r="B143" t="str">
            <v xml:space="preserve"> 107000 - Monthly Total Resources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A144"/>
          <cell r="B144" t="str">
            <v xml:space="preserve"> 108030 - Monthly Total Resources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</row>
        <row r="145">
          <cell r="A145"/>
          <cell r="B145" t="str">
            <v xml:space="preserve"> Total CapEx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</row>
        <row r="146">
          <cell r="A146" t="str">
            <v xml:space="preserve">   Transmission Operations-PECO</v>
          </cell>
          <cell r="B146" t="str">
            <v xml:space="preserve"> 107000 - Monthly Total Resources</v>
          </cell>
          <cell r="C146">
            <v>0</v>
          </cell>
          <cell r="D146">
            <v>0</v>
          </cell>
          <cell r="E146">
            <v>25000</v>
          </cell>
          <cell r="F146">
            <v>0</v>
          </cell>
          <cell r="G146">
            <v>0</v>
          </cell>
          <cell r="H146">
            <v>25000</v>
          </cell>
          <cell r="I146">
            <v>0</v>
          </cell>
          <cell r="J146">
            <v>0</v>
          </cell>
          <cell r="K146">
            <v>25000</v>
          </cell>
          <cell r="L146">
            <v>0</v>
          </cell>
          <cell r="M146">
            <v>0</v>
          </cell>
          <cell r="N146">
            <v>25000</v>
          </cell>
          <cell r="O146">
            <v>100000</v>
          </cell>
        </row>
        <row r="147">
          <cell r="A147"/>
          <cell r="B147" t="str">
            <v xml:space="preserve"> 108030 - Monthly Total Resources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A148"/>
          <cell r="B148" t="str">
            <v xml:space="preserve"> Total CapEx</v>
          </cell>
          <cell r="C148">
            <v>0</v>
          </cell>
          <cell r="D148">
            <v>0</v>
          </cell>
          <cell r="E148">
            <v>25000</v>
          </cell>
          <cell r="F148">
            <v>0</v>
          </cell>
          <cell r="G148">
            <v>0</v>
          </cell>
          <cell r="H148">
            <v>25000</v>
          </cell>
          <cell r="I148">
            <v>0</v>
          </cell>
          <cell r="J148">
            <v>0</v>
          </cell>
          <cell r="K148">
            <v>25000</v>
          </cell>
          <cell r="L148">
            <v>0</v>
          </cell>
          <cell r="M148">
            <v>0</v>
          </cell>
          <cell r="N148">
            <v>25000</v>
          </cell>
          <cell r="O148">
            <v>100000</v>
          </cell>
        </row>
        <row r="149">
          <cell r="A149" t="str">
            <v xml:space="preserve">     Finance - PECO</v>
          </cell>
          <cell r="B149" t="str">
            <v xml:space="preserve"> 107000 - Monthly Total Resources</v>
          </cell>
          <cell r="C149">
            <v>125231.61</v>
          </cell>
          <cell r="D149">
            <v>119990.21</v>
          </cell>
          <cell r="E149">
            <v>139947.99</v>
          </cell>
          <cell r="F149">
            <v>129097.34</v>
          </cell>
          <cell r="G149">
            <v>136798.81</v>
          </cell>
          <cell r="H149">
            <v>136798.81</v>
          </cell>
          <cell r="I149">
            <v>131268.54</v>
          </cell>
          <cell r="J149">
            <v>142325.97</v>
          </cell>
          <cell r="K149">
            <v>136798.89000000001</v>
          </cell>
          <cell r="L149">
            <v>131888.99</v>
          </cell>
          <cell r="M149">
            <v>137449.04</v>
          </cell>
          <cell r="N149">
            <v>136798.89000000001</v>
          </cell>
          <cell r="O149">
            <v>1604395.09</v>
          </cell>
        </row>
        <row r="150">
          <cell r="A150"/>
          <cell r="B150" t="str">
            <v xml:space="preserve"> 108030 - Monthly Total Resources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</row>
        <row r="151">
          <cell r="A151"/>
          <cell r="B151" t="str">
            <v xml:space="preserve"> Total CapEx</v>
          </cell>
          <cell r="C151">
            <v>125231.61</v>
          </cell>
          <cell r="D151">
            <v>119990.21</v>
          </cell>
          <cell r="E151">
            <v>139947.99</v>
          </cell>
          <cell r="F151">
            <v>129097.34</v>
          </cell>
          <cell r="G151">
            <v>136798.81</v>
          </cell>
          <cell r="H151">
            <v>136798.81</v>
          </cell>
          <cell r="I151">
            <v>131268.54</v>
          </cell>
          <cell r="J151">
            <v>142325.97</v>
          </cell>
          <cell r="K151">
            <v>136798.89000000001</v>
          </cell>
          <cell r="L151">
            <v>131888.99</v>
          </cell>
          <cell r="M151">
            <v>137449.04</v>
          </cell>
          <cell r="N151">
            <v>136798.89000000001</v>
          </cell>
          <cell r="O151">
            <v>1604395.09</v>
          </cell>
        </row>
        <row r="152">
          <cell r="A152" t="str">
            <v xml:space="preserve">     Communications - PECO</v>
          </cell>
          <cell r="B152" t="str">
            <v xml:space="preserve"> 107000 - Monthly Total Resources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A153"/>
          <cell r="B153" t="str">
            <v xml:space="preserve"> 108030 - Monthly Total Resources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</row>
        <row r="154">
          <cell r="A154"/>
          <cell r="B154" t="str">
            <v xml:space="preserve"> Total CapEx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</row>
        <row r="155">
          <cell r="A155" t="str">
            <v xml:space="preserve">     Human Resources - PECO</v>
          </cell>
          <cell r="B155" t="str">
            <v xml:space="preserve"> 107000 - Monthly Total Resources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</row>
        <row r="156">
          <cell r="A156"/>
          <cell r="B156" t="str">
            <v xml:space="preserve"> 108030 - Monthly Total Resources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</row>
        <row r="157">
          <cell r="A157"/>
          <cell r="B157" t="str">
            <v xml:space="preserve"> Total CapEx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</row>
        <row r="158">
          <cell r="A158" t="str">
            <v xml:space="preserve">     Legal Governance - PECO</v>
          </cell>
          <cell r="B158" t="str">
            <v xml:space="preserve"> 107000 - Monthly Total Resources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</row>
        <row r="159">
          <cell r="A159"/>
          <cell r="B159" t="str">
            <v xml:space="preserve"> 108030 - Monthly Total Resources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</row>
        <row r="160">
          <cell r="A160"/>
          <cell r="B160" t="str">
            <v xml:space="preserve"> Total CapEx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</row>
        <row r="161">
          <cell r="A161" t="str">
            <v xml:space="preserve">     Executive  Services</v>
          </cell>
          <cell r="B161" t="str">
            <v xml:space="preserve"> 107000 - Monthly Total Resources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</row>
        <row r="162">
          <cell r="A162"/>
          <cell r="B162" t="str">
            <v xml:space="preserve"> 108030 - Monthly Total Resources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</row>
        <row r="163">
          <cell r="A163"/>
          <cell r="B163" t="str">
            <v xml:space="preserve"> Total CapEx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</row>
        <row r="164">
          <cell r="A164" t="str">
            <v xml:space="preserve">     HR &amp; Fin Services</v>
          </cell>
          <cell r="B164" t="str">
            <v xml:space="preserve"> 107000 - Monthly Total Resources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</row>
        <row r="165">
          <cell r="A165"/>
          <cell r="B165" t="str">
            <v xml:space="preserve"> 108030 - Monthly Total Resources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</row>
        <row r="166">
          <cell r="A166"/>
          <cell r="B166" t="str">
            <v xml:space="preserve"> Total CapEx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</row>
        <row r="167">
          <cell r="A167" t="str">
            <v xml:space="preserve">     Security - PECO</v>
          </cell>
          <cell r="B167" t="str">
            <v xml:space="preserve"> 107000 - Monthly Total Resources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</row>
        <row r="168">
          <cell r="A168"/>
          <cell r="B168" t="str">
            <v xml:space="preserve"> 108030 - Monthly Total Resources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</row>
        <row r="169">
          <cell r="A169"/>
          <cell r="B169" t="str">
            <v xml:space="preserve"> Total CapEx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</row>
        <row r="170">
          <cell r="A170" t="str">
            <v xml:space="preserve">     Legal Services - PECO</v>
          </cell>
          <cell r="B170" t="str">
            <v xml:space="preserve"> 107000 - Monthly Total Resources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</row>
        <row r="171">
          <cell r="A171"/>
          <cell r="B171" t="str">
            <v xml:space="preserve"> 108030 - Monthly Total Resources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</row>
        <row r="172">
          <cell r="A172"/>
          <cell r="B172" t="str">
            <v xml:space="preserve"> Total CapEx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</row>
        <row r="173">
          <cell r="A173" t="str">
            <v xml:space="preserve">     I T</v>
          </cell>
          <cell r="B173" t="str">
            <v xml:space="preserve"> 107000 - Monthly Total Resources</v>
          </cell>
          <cell r="C173">
            <v>735501.47</v>
          </cell>
          <cell r="D173">
            <v>734701.47</v>
          </cell>
          <cell r="E173">
            <v>1320844.47</v>
          </cell>
          <cell r="F173">
            <v>1278644.47</v>
          </cell>
          <cell r="G173">
            <v>1278644.47</v>
          </cell>
          <cell r="H173">
            <v>1278644.47</v>
          </cell>
          <cell r="I173">
            <v>1532139.47</v>
          </cell>
          <cell r="J173">
            <v>1532139.47</v>
          </cell>
          <cell r="K173">
            <v>1532139.47</v>
          </cell>
          <cell r="L173">
            <v>1682139.5</v>
          </cell>
          <cell r="M173">
            <v>1532139.47</v>
          </cell>
          <cell r="N173">
            <v>1532139.8</v>
          </cell>
          <cell r="O173">
            <v>15969818</v>
          </cell>
        </row>
        <row r="174">
          <cell r="A174"/>
          <cell r="B174" t="str">
            <v xml:space="preserve"> 108030 - Monthly Total Resources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</row>
        <row r="175">
          <cell r="A175"/>
          <cell r="B175" t="str">
            <v xml:space="preserve"> Total CapEx</v>
          </cell>
          <cell r="C175">
            <v>735501.47</v>
          </cell>
          <cell r="D175">
            <v>734701.47</v>
          </cell>
          <cell r="E175">
            <v>1320844.47</v>
          </cell>
          <cell r="F175">
            <v>1278644.47</v>
          </cell>
          <cell r="G175">
            <v>1278644.47</v>
          </cell>
          <cell r="H175">
            <v>1278644.47</v>
          </cell>
          <cell r="I175">
            <v>1532139.47</v>
          </cell>
          <cell r="J175">
            <v>1532139.47</v>
          </cell>
          <cell r="K175">
            <v>1532139.47</v>
          </cell>
          <cell r="L175">
            <v>1682139.5</v>
          </cell>
          <cell r="M175">
            <v>1532139.47</v>
          </cell>
          <cell r="N175">
            <v>1532139.8</v>
          </cell>
          <cell r="O175">
            <v>15969818</v>
          </cell>
        </row>
        <row r="176">
          <cell r="A176" t="str">
            <v xml:space="preserve">     Supply Services - PECO</v>
          </cell>
          <cell r="B176" t="str">
            <v xml:space="preserve"> 107000 - Monthly Total Resources</v>
          </cell>
          <cell r="C176">
            <v>48857.24</v>
          </cell>
          <cell r="D176">
            <v>105508.16</v>
          </cell>
          <cell r="E176">
            <v>93387.19</v>
          </cell>
          <cell r="F176">
            <v>89120.38</v>
          </cell>
          <cell r="G176">
            <v>40341.629999999997</v>
          </cell>
          <cell r="H176">
            <v>57916.68</v>
          </cell>
          <cell r="I176">
            <v>58530.25</v>
          </cell>
          <cell r="J176">
            <v>53538.11</v>
          </cell>
          <cell r="K176">
            <v>50522.58</v>
          </cell>
          <cell r="L176">
            <v>54671.199999999997</v>
          </cell>
          <cell r="M176">
            <v>50330.32</v>
          </cell>
          <cell r="N176">
            <v>45941.84</v>
          </cell>
          <cell r="O176">
            <v>748665.58</v>
          </cell>
        </row>
        <row r="177">
          <cell r="A177"/>
          <cell r="B177" t="str">
            <v xml:space="preserve"> 108030 - Monthly Total Resources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A178"/>
          <cell r="B178" t="str">
            <v xml:space="preserve"> Total CapEx</v>
          </cell>
          <cell r="C178">
            <v>48857.24</v>
          </cell>
          <cell r="D178">
            <v>105508.16</v>
          </cell>
          <cell r="E178">
            <v>93387.19</v>
          </cell>
          <cell r="F178">
            <v>89120.38</v>
          </cell>
          <cell r="G178">
            <v>40341.629999999997</v>
          </cell>
          <cell r="H178">
            <v>57916.68</v>
          </cell>
          <cell r="I178">
            <v>58530.25</v>
          </cell>
          <cell r="J178">
            <v>53538.11</v>
          </cell>
          <cell r="K178">
            <v>50522.58</v>
          </cell>
          <cell r="L178">
            <v>54671.199999999997</v>
          </cell>
          <cell r="M178">
            <v>50330.32</v>
          </cell>
          <cell r="N178">
            <v>45941.84</v>
          </cell>
          <cell r="O178">
            <v>748665.58</v>
          </cell>
        </row>
        <row r="179">
          <cell r="A179" t="str">
            <v xml:space="preserve">     Gov Env &amp; Pub Affairs PED</v>
          </cell>
          <cell r="B179" t="str">
            <v xml:space="preserve"> 107000 - Monthly Total Resources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</row>
        <row r="180">
          <cell r="A180"/>
          <cell r="B180" t="str">
            <v xml:space="preserve"> 108030 - Monthly Total Resources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</row>
        <row r="181">
          <cell r="A181"/>
          <cell r="B181" t="str">
            <v xml:space="preserve"> Total CapEx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</row>
        <row r="182">
          <cell r="A182" t="str">
            <v xml:space="preserve">   BSC/Corp Center/Other-PECO</v>
          </cell>
          <cell r="B182" t="str">
            <v xml:space="preserve"> 107000 - Monthly Total Resources</v>
          </cell>
          <cell r="C182">
            <v>909590.32</v>
          </cell>
          <cell r="D182">
            <v>960199.84</v>
          </cell>
          <cell r="E182">
            <v>1554179.65</v>
          </cell>
          <cell r="F182">
            <v>1496862.19</v>
          </cell>
          <cell r="G182">
            <v>1455784.91</v>
          </cell>
          <cell r="H182">
            <v>1473359.96</v>
          </cell>
          <cell r="I182">
            <v>1721938.26</v>
          </cell>
          <cell r="J182">
            <v>1728003.55</v>
          </cell>
          <cell r="K182">
            <v>1719460.94</v>
          </cell>
          <cell r="L182">
            <v>1868699.69</v>
          </cell>
          <cell r="M182">
            <v>1719918.83</v>
          </cell>
          <cell r="N182">
            <v>1714880.53</v>
          </cell>
          <cell r="O182">
            <v>18322878.670000013</v>
          </cell>
        </row>
        <row r="183">
          <cell r="A183"/>
          <cell r="B183" t="str">
            <v xml:space="preserve"> 108030 - Monthly Total Resources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</row>
        <row r="184">
          <cell r="A184"/>
          <cell r="B184" t="str">
            <v xml:space="preserve"> Total CapEx</v>
          </cell>
          <cell r="C184">
            <v>909590.32</v>
          </cell>
          <cell r="D184">
            <v>960199.84</v>
          </cell>
          <cell r="E184">
            <v>1554179.65</v>
          </cell>
          <cell r="F184">
            <v>1496862.19</v>
          </cell>
          <cell r="G184">
            <v>1455784.91</v>
          </cell>
          <cell r="H184">
            <v>1473359.96</v>
          </cell>
          <cell r="I184">
            <v>1721938.26</v>
          </cell>
          <cell r="J184">
            <v>1728003.55</v>
          </cell>
          <cell r="K184">
            <v>1719460.94</v>
          </cell>
          <cell r="L184">
            <v>1868699.69</v>
          </cell>
          <cell r="M184">
            <v>1719918.83</v>
          </cell>
          <cell r="N184">
            <v>1714880.53</v>
          </cell>
          <cell r="O184">
            <v>18322878.670000013</v>
          </cell>
        </row>
        <row r="185">
          <cell r="A185" t="str">
            <v xml:space="preserve"> PECO Energy Distribution Co</v>
          </cell>
          <cell r="B185" t="str">
            <v xml:space="preserve"> 107000 - Monthly Total Resources</v>
          </cell>
          <cell r="C185">
            <v>21039142.490000006</v>
          </cell>
          <cell r="D185">
            <v>25704205.969999999</v>
          </cell>
          <cell r="E185">
            <v>25566524.470000003</v>
          </cell>
          <cell r="F185">
            <v>26179077.120000005</v>
          </cell>
          <cell r="G185">
            <v>26468295.030000001</v>
          </cell>
          <cell r="H185">
            <v>23285992.480000008</v>
          </cell>
          <cell r="I185">
            <v>22178242.339999996</v>
          </cell>
          <cell r="J185">
            <v>25330169.470000006</v>
          </cell>
          <cell r="K185">
            <v>21999021.519999996</v>
          </cell>
          <cell r="L185">
            <v>25337493.91</v>
          </cell>
          <cell r="M185">
            <v>20928521.32</v>
          </cell>
          <cell r="N185">
            <v>16612045.909999995</v>
          </cell>
          <cell r="O185">
            <v>280628732.02999997</v>
          </cell>
        </row>
        <row r="186">
          <cell r="A186"/>
          <cell r="B186" t="str">
            <v xml:space="preserve"> 108030 - Monthly Total Resources</v>
          </cell>
          <cell r="C186">
            <v>14084.2</v>
          </cell>
          <cell r="D186">
            <v>5742</v>
          </cell>
          <cell r="E186">
            <v>9208.9</v>
          </cell>
          <cell r="F186">
            <v>11917.4</v>
          </cell>
          <cell r="G186">
            <v>24918.2</v>
          </cell>
          <cell r="H186">
            <v>21126.3</v>
          </cell>
          <cell r="I186">
            <v>29793.5</v>
          </cell>
          <cell r="J186">
            <v>29793.5</v>
          </cell>
          <cell r="K186">
            <v>27085</v>
          </cell>
          <cell r="L186">
            <v>5417</v>
          </cell>
          <cell r="M186">
            <v>7042.1</v>
          </cell>
          <cell r="N186">
            <v>2166.8000000000002</v>
          </cell>
          <cell r="O186">
            <v>188294.9</v>
          </cell>
        </row>
        <row r="187">
          <cell r="A187"/>
          <cell r="B187" t="str">
            <v xml:space="preserve"> Total CapEx</v>
          </cell>
          <cell r="C187">
            <v>21053226.690000005</v>
          </cell>
          <cell r="D187">
            <v>25709947.969999999</v>
          </cell>
          <cell r="E187">
            <v>25575733.370000001</v>
          </cell>
          <cell r="F187">
            <v>26190994.520000003</v>
          </cell>
          <cell r="G187">
            <v>26493213.23</v>
          </cell>
          <cell r="H187">
            <v>23307118.780000009</v>
          </cell>
          <cell r="I187">
            <v>22208035.839999996</v>
          </cell>
          <cell r="J187">
            <v>25359962.970000006</v>
          </cell>
          <cell r="K187">
            <v>22026106.519999996</v>
          </cell>
          <cell r="L187">
            <v>25342910.91</v>
          </cell>
          <cell r="M187">
            <v>20935563.420000002</v>
          </cell>
          <cell r="N187">
            <v>16614212.709999995</v>
          </cell>
          <cell r="O187">
            <v>280817026.92999995</v>
          </cell>
        </row>
        <row r="190">
          <cell r="B190" t="str">
            <v>PECO Customer Excluding Fleet</v>
          </cell>
          <cell r="C190">
            <v>106942.38</v>
          </cell>
          <cell r="D190">
            <v>145093.64000000001</v>
          </cell>
          <cell r="E190">
            <v>150181.85999999999</v>
          </cell>
          <cell r="F190">
            <v>141829.83000000002</v>
          </cell>
          <cell r="G190">
            <v>142191.01999999999</v>
          </cell>
          <cell r="H190">
            <v>136165.43000000005</v>
          </cell>
          <cell r="I190">
            <v>125381.63</v>
          </cell>
          <cell r="J190">
            <v>145996.07000000007</v>
          </cell>
          <cell r="K190">
            <v>135355.28</v>
          </cell>
          <cell r="L190">
            <v>135671.46</v>
          </cell>
          <cell r="M190">
            <v>142898.78</v>
          </cell>
          <cell r="N190">
            <v>121686.03</v>
          </cell>
          <cell r="O190">
            <v>1629393.4100000001</v>
          </cell>
        </row>
        <row r="191">
          <cell r="B191" t="str">
            <v>YTDPECO Customer Excluding Fleet</v>
          </cell>
          <cell r="C191">
            <v>106942.38</v>
          </cell>
          <cell r="D191">
            <v>252036.02000000002</v>
          </cell>
          <cell r="E191">
            <v>402217.88</v>
          </cell>
          <cell r="F191">
            <v>544047.71</v>
          </cell>
          <cell r="G191">
            <v>686238.73</v>
          </cell>
          <cell r="H191">
            <v>822404.16</v>
          </cell>
          <cell r="I191">
            <v>947785.79</v>
          </cell>
          <cell r="J191">
            <v>1093781.8600000001</v>
          </cell>
          <cell r="K191">
            <v>1229137.1400000001</v>
          </cell>
          <cell r="L191">
            <v>1364808.6</v>
          </cell>
          <cell r="M191">
            <v>1507707.3800000001</v>
          </cell>
          <cell r="N191">
            <v>1629393.4100000001</v>
          </cell>
          <cell r="O191">
            <v>3258786.8200000003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JA-2 Electric"/>
      <sheetName val="MJA-2 Gas"/>
      <sheetName val="RL - ELEC"/>
      <sheetName val="RL - GAS"/>
      <sheetName val="PENSBEN"/>
      <sheetName val="PROLL"/>
      <sheetName val="FED WH"/>
      <sheetName val="STATE WH"/>
      <sheetName val="FICA"/>
      <sheetName val="PPW-1"/>
      <sheetName val="FUEL - N"/>
      <sheetName val="FUEL - C"/>
      <sheetName val="FUEL - O"/>
      <sheetName val="FUEL - G"/>
      <sheetName val="ISPP"/>
      <sheetName val="OTHER OM"/>
      <sheetName val="TAX - E"/>
      <sheetName val="TAX - G"/>
      <sheetName val="INT - REV"/>
      <sheetName val="FL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5">
          <cell r="B5">
            <v>5.3414021552027879</v>
          </cell>
        </row>
      </sheetData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template"/>
      <sheetName val="Administrator"/>
      <sheetName val="RNF Mini"/>
      <sheetName val="Data"/>
      <sheetName val="6 (3)"/>
      <sheetName val="6 (4)"/>
      <sheetName val="6 (5)"/>
      <sheetName val="Bridge Plan to Actual"/>
      <sheetName val="2005F vs. 2004A"/>
      <sheetName val="EFC 2004 Actual"/>
      <sheetName val="Accuracy Tracker"/>
      <sheetName val="Elec_Accuracy Tracker"/>
      <sheetName val="Gas_Accuracy Tracker"/>
      <sheetName val="ElecCustomers"/>
      <sheetName val="ElecSales"/>
      <sheetName val="ElecRevenue"/>
      <sheetName val="ElecRates"/>
      <sheetName val="ElecPPA Volume"/>
      <sheetName val="ElecPPA Expense"/>
      <sheetName val="ElecTrans Other"/>
      <sheetName val="GasRevenue"/>
      <sheetName val="GasSales"/>
      <sheetName val="GasRates"/>
      <sheetName val="GasCustomers"/>
      <sheetName val="Gas &quot;Current LE&quot;"/>
      <sheetName val="Gas Net Actuals 05"/>
      <sheetName val="Weather Impact on Ele 04"/>
      <sheetName val="Weather Impact on Gas 04"/>
      <sheetName val="Weather Impact on Ele 05"/>
      <sheetName val="Weather Impact on Gas 05"/>
      <sheetName val="Electric &quot;Current LE&quot;"/>
      <sheetName val="2005 Budget RNF"/>
      <sheetName val="2005 Net Actuals"/>
      <sheetName val="Gas Net Budget 05"/>
      <sheetName val="Gas Net Actuals 04"/>
      <sheetName val="Electric Output - Input"/>
      <sheetName val="Electric Customer Trend"/>
      <sheetName val="2005 Budget PPA"/>
      <sheetName val="T+5"/>
      <sheetName val="Actual PPA Blocks"/>
      <sheetName val="WA PPA Blocks"/>
      <sheetName val="Actual Zone Blocks"/>
      <sheetName val="WA Zone Blocks"/>
      <sheetName val="Data_LE"/>
      <sheetName val="Gas 2004"/>
      <sheetName val="2004 Net Actuals"/>
      <sheetName val="Power Purch Actual"/>
      <sheetName val="EFC Actuals Calc"/>
      <sheetName val="1-11 LE"/>
      <sheetName val="WC Retail Sendout"/>
      <sheetName val="2005 Act"/>
      <sheetName val="Gas Net Budget 04"/>
      <sheetName val="PJM Bill"/>
      <sheetName val="HDD-CDH"/>
      <sheetName val="Gas Sendout"/>
      <sheetName val="2005 gas thru-put Budget"/>
      <sheetName val="Gas Customer"/>
      <sheetName val="Electric Customers - Input"/>
      <sheetName val="Gas cust budget &amp; '04"/>
      <sheetName val="EFC 2005 Budget"/>
    </sheetNames>
    <sheetDataSet>
      <sheetData sheetId="0" refreshError="1"/>
      <sheetData sheetId="1" refreshError="1"/>
      <sheetData sheetId="2" refreshError="1">
        <row r="60">
          <cell r="I60">
            <v>4</v>
          </cell>
          <cell r="J60">
            <v>19</v>
          </cell>
          <cell r="L60">
            <v>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A - 1"/>
      <sheetName val="A - 2"/>
      <sheetName val="A - 2.1"/>
      <sheetName val="A - 3"/>
      <sheetName val="A - 4"/>
      <sheetName val="A - 5a"/>
      <sheetName val="A - 5b"/>
      <sheetName val="WPA - 5a"/>
      <sheetName val="WPA - 5b"/>
      <sheetName val="B - 1"/>
      <sheetName val="WPB - 1"/>
      <sheetName val="WPB - 2.1b"/>
      <sheetName val="WPB - 2.1c"/>
      <sheetName val="WPB - 2.1d"/>
      <sheetName val="WPB - 2.1e"/>
      <sheetName val="B - 2"/>
      <sheetName val="B - 2.1"/>
      <sheetName val="B - 2.2"/>
      <sheetName val="WPB - 2.2a"/>
      <sheetName val="B - 2.3"/>
      <sheetName val="B - 3"/>
      <sheetName val="WPB - 4"/>
      <sheetName val="B - 4"/>
      <sheetName val="B - 5"/>
      <sheetName val="WPB - 5"/>
      <sheetName val="B - 6a"/>
      <sheetName val="B - 6b"/>
      <sheetName val="B - 7.2a"/>
      <sheetName val="B - 7.2b"/>
      <sheetName val="B - 8"/>
      <sheetName val="B - 8.1"/>
      <sheetName val="WPB - 8.1a"/>
      <sheetName val="WPB - 8.1b"/>
      <sheetName val="2001 2002 - B - 8.1"/>
      <sheetName val="2001 2002 - WPB-8.1asub"/>
      <sheetName val="2001 2002 - WPB - 8.1a"/>
      <sheetName val="2001 2002 - WPB - 8.1b"/>
      <sheetName val="2001 2002 - WPB - 8.1c"/>
      <sheetName val="B-9sub"/>
      <sheetName val="B - 9"/>
      <sheetName val="WPB - 9a"/>
      <sheetName val="WPB - 9b"/>
      <sheetName val="B - 9.1"/>
      <sheetName val="B - 13"/>
      <sheetName val="WPB - 13a"/>
      <sheetName val="WPB - 13b"/>
      <sheetName val="WPB - 13c"/>
      <sheetName val="2003 - B - 13"/>
      <sheetName val="2003 - WPB - 13"/>
      <sheetName val="B - 14"/>
      <sheetName val="WPB - 14"/>
      <sheetName val="C - 1"/>
      <sheetName val="C - 2"/>
      <sheetName val="C - 2.1"/>
      <sheetName val="WPC - 2.1"/>
      <sheetName val="C - 2.2"/>
      <sheetName val="C - 2.6 NOT USED"/>
      <sheetName val="WPC - 2.6a NOT USED"/>
      <sheetName val="C - 2.3"/>
      <sheetName val="WPC - 2.3a"/>
      <sheetName val="WPC - 2.3b"/>
      <sheetName val="C - 2.4"/>
      <sheetName val="WPC - 2.4"/>
      <sheetName val="C - 2.5"/>
      <sheetName val="WPC - 2.5a"/>
      <sheetName val="WPC - 2.5b"/>
      <sheetName val="C - 2.6"/>
      <sheetName val="WPC - 2.6"/>
      <sheetName val="C - 2.7"/>
      <sheetName val="WPC - 2.7"/>
      <sheetName val="C - 2.8"/>
      <sheetName val="WPC - 2.8"/>
      <sheetName val="C - 2.9"/>
      <sheetName val="C - 2.10"/>
      <sheetName val="C - 2.11"/>
      <sheetName val="WPC - 2.11"/>
      <sheetName val="C - 2.12"/>
      <sheetName val="C - 2.13"/>
      <sheetName val="WPC - 2.13"/>
      <sheetName val="C - 2.14"/>
      <sheetName val="WPC - 2.14a"/>
      <sheetName val="WPC - 2.14b"/>
      <sheetName val="C - 2.15"/>
      <sheetName val="WPC - 2.14"/>
      <sheetName val="C - 2.16"/>
      <sheetName val="WPC - 2.16a"/>
      <sheetName val="WPC - 2.16b"/>
      <sheetName val="C - 2.17"/>
      <sheetName val="C - 3"/>
      <sheetName val="C - 4"/>
      <sheetName val="WPC - 4"/>
      <sheetName val="WPC-4"/>
      <sheetName val="WPC - 4dup"/>
      <sheetName val="C - 5"/>
      <sheetName val="C - 5b"/>
      <sheetName val="C - 5.1"/>
      <sheetName val="C - 5.2"/>
      <sheetName val="C - 5.3"/>
      <sheetName val="C - 5.4"/>
      <sheetName val="WPC - 5.4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 - 10"/>
      <sheetName val="C - 10.1"/>
      <sheetName val="C - 11.1"/>
      <sheetName val="WPC - 11.1"/>
      <sheetName val="C - 11.2 - 2001 - Actual"/>
      <sheetName val="C - 11.2 - 2002 - Actual"/>
      <sheetName val="C - 11.2a"/>
      <sheetName val="WPC - 11.2a"/>
      <sheetName val="C - 11.2b"/>
      <sheetName val="C - 11.2c"/>
      <sheetName val="C - 11.2d"/>
      <sheetName val="C - 11.2 - 2001 - Authorized"/>
      <sheetName val="C - 11.2 - 2002 - Authorized"/>
      <sheetName val="C - 11.2e"/>
      <sheetName val="C - 11.2f"/>
      <sheetName val="C - 11.2g"/>
      <sheetName val="C - 11.2h"/>
      <sheetName val="C - 11.3"/>
      <sheetName val="WPC - 11.3"/>
      <sheetName val="WPC - 11.3a"/>
      <sheetName val="WPC - 11.3b"/>
      <sheetName val="C - 12"/>
      <sheetName val="WPC - 12a"/>
      <sheetName val="WPC - 12b"/>
      <sheetName val="C - 13"/>
      <sheetName val="C - 13a"/>
      <sheetName val="C - 14"/>
      <sheetName val="WPC - 14"/>
      <sheetName val="C - 16"/>
      <sheetName val="C - 17a"/>
      <sheetName val="C - 17b"/>
      <sheetName val="C - 17c"/>
      <sheetName val="C - 17d"/>
      <sheetName val="C - 17c - 2002"/>
      <sheetName val="C - 17d - 2001"/>
      <sheetName val="C - 18"/>
      <sheetName val="WPC - 18a"/>
      <sheetName val="WPC - 18b"/>
      <sheetName val="WPC - 18c"/>
      <sheetName val="C - 19"/>
      <sheetName val="C - 21"/>
      <sheetName val="C - 23"/>
      <sheetName val="WPC - 23"/>
      <sheetName val="C - 25"/>
      <sheetName val="C - 26"/>
    </sheetNames>
    <sheetDataSet>
      <sheetData sheetId="0" refreshError="1">
        <row r="156">
          <cell r="C156" t="str">
            <v>AmerenCILCO</v>
          </cell>
        </row>
        <row r="160">
          <cell r="C160" t="str">
            <v>For the Twelve Months Ended December 31,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int"/>
      <sheetName val="Sch A-1"/>
      <sheetName val="Sch A-2"/>
      <sheetName val="Sch A-2.1"/>
      <sheetName val="Sch A-3"/>
      <sheetName val="Sch A-4"/>
      <sheetName val="Sch A-5 RB"/>
      <sheetName val="Sch A-5 Exp"/>
      <sheetName val="WPA-5"/>
      <sheetName val="WPA-5.2"/>
      <sheetName val="Sch B-1"/>
      <sheetName val="Sch B-2"/>
      <sheetName val="Sch B-2.1"/>
      <sheetName val="Sch B-2.2"/>
      <sheetName val="WPB-2.2a"/>
      <sheetName val="WPB-2.2b"/>
      <sheetName val="Sch B-2.3"/>
      <sheetName val="WPB-2.3"/>
      <sheetName val="Sch B-2.4"/>
      <sheetName val="WPB-2.4"/>
      <sheetName val="Sch B-2.5"/>
      <sheetName val="WPB-2.5a"/>
      <sheetName val="Sch B-2.6"/>
      <sheetName val="WPB-2.6"/>
      <sheetName val="Sch B-3"/>
      <sheetName val="Sch B-4"/>
      <sheetName val="Sch B-5"/>
      <sheetName val="WPB-5"/>
      <sheetName val="Sch B-5.1"/>
      <sheetName val="Sch B-6"/>
      <sheetName val="Sch B-7.2"/>
      <sheetName val="Sch B-7.2a"/>
      <sheetName val="Sch B-8"/>
      <sheetName val="Sch B-8.1"/>
      <sheetName val="WPB-8.1a"/>
      <sheetName val="Sch B-9"/>
      <sheetName val="WPB-9"/>
      <sheetName val="WPB-9a"/>
      <sheetName val="WPB-9b"/>
      <sheetName val="Sch B-9.1"/>
      <sheetName val="Sch B-13"/>
      <sheetName val="WPB-13a"/>
      <sheetName val="Sch B-14"/>
      <sheetName val="Sch C-1"/>
      <sheetName val="Sch C-2"/>
      <sheetName val="Sch C-2.1"/>
      <sheetName val="WPC-2.1"/>
      <sheetName val="Sch C-2.2"/>
      <sheetName val="WPC-2.2"/>
      <sheetName val="Sch C-2.3"/>
      <sheetName val="WPC-2.3"/>
      <sheetName val="WPC-2.3.3 Annualized Detail"/>
      <sheetName val="Sch C-2.4"/>
      <sheetName val="Sch C-2.5"/>
      <sheetName val="WPC-2.5"/>
      <sheetName val="Sch C-2.6"/>
      <sheetName val="WPC-2.6"/>
      <sheetName val="Sch C-2.7"/>
      <sheetName val="Sch C-2.8"/>
      <sheetName val="Sch C-2.9"/>
      <sheetName val="Sch C-2.10"/>
      <sheetName val="WPC-2.10"/>
      <sheetName val="Sch C-2.11"/>
      <sheetName val="WPC-2.11"/>
      <sheetName val="Sch C-2.12"/>
      <sheetName val="WPC-2.12"/>
      <sheetName val="Sch C-2.13"/>
      <sheetName val="WPC-2.13"/>
      <sheetName val="Sch C-2.14"/>
      <sheetName val="WPC-2.14"/>
      <sheetName val="WPC-2.14a"/>
      <sheetName val="Sch C-2.15"/>
      <sheetName val="Sch C-2.16"/>
      <sheetName val="Sch C-2.17"/>
      <sheetName val="Sch C-2.18"/>
      <sheetName val="Sch C-2.19"/>
      <sheetName val="WPC-2.19"/>
      <sheetName val="Sch C-2.20"/>
      <sheetName val="WPC-2.20"/>
      <sheetName val="Sch C-2.21"/>
      <sheetName val="WPC-2.21"/>
      <sheetName val="Sch C-2.22"/>
      <sheetName val="Sch C-2.23"/>
      <sheetName val="WPC-2.23"/>
      <sheetName val="Sch C-2.24"/>
      <sheetName val="Sch C-3"/>
      <sheetName val="Sch C-4"/>
      <sheetName val="Sch C-5a"/>
      <sheetName val="Sch C-5b"/>
      <sheetName val="Sch C-5.1"/>
      <sheetName val="Sch C-5.2"/>
      <sheetName val="Sch C-5.3"/>
      <sheetName val="Sch C-5.4"/>
      <sheetName val="WPC-5.4"/>
      <sheetName val="Sch C-6"/>
      <sheetName val="Sch C-6.1"/>
      <sheetName val="Sch C-6.2"/>
      <sheetName val="Sch C-7"/>
      <sheetName val="Sch C-8"/>
      <sheetName val="Sch C-9"/>
      <sheetName val="Sch C-10"/>
      <sheetName val="WPC-10"/>
      <sheetName val="Sch C-10.1"/>
      <sheetName val="Sch C-11.1"/>
      <sheetName val="WPC-11.1"/>
      <sheetName val="Sch C-11.2a"/>
      <sheetName val="Sch C-11.2b"/>
      <sheetName val="Sch C-11.2c"/>
      <sheetName val="Sch C-11.2d"/>
      <sheetName val="Sch C-11.2e"/>
      <sheetName val="Sch C-11.2f"/>
      <sheetName val="Sch C-11.2g"/>
      <sheetName val="Sch C-11.2h"/>
      <sheetName val="Sch C-11.3"/>
      <sheetName val="WPC-11.3"/>
      <sheetName val="WPC-11.3a"/>
      <sheetName val="WPC-11.3b"/>
      <sheetName val="WPC-11.3c"/>
      <sheetName val="Sch C-12"/>
      <sheetName val="WPC-12"/>
      <sheetName val="Sch C-13"/>
      <sheetName val="Sch C-14"/>
      <sheetName val="WPC-14"/>
      <sheetName val="Sch C-16 OLD-Replaced 12.12.05"/>
      <sheetName val="WPC-16a"/>
      <sheetName val="Sch C-16"/>
      <sheetName val="Sch C-17 2004"/>
      <sheetName val="Sch C-17 2004 to Sept"/>
      <sheetName val="Sch C-17 2003"/>
      <sheetName val="Sch C-17 2002"/>
      <sheetName val="Sch C-17 2001"/>
      <sheetName val="Sch C-18"/>
      <sheetName val="WPC-18a"/>
      <sheetName val="WPC-18b"/>
      <sheetName val="WPC-18c"/>
      <sheetName val="Sch C-19"/>
      <sheetName val="Sch C-21"/>
      <sheetName val="Sch C-22"/>
      <sheetName val="Sch C-23"/>
      <sheetName val="WPC-23"/>
      <sheetName val="Sch C-25"/>
      <sheetName val="Sch C-26"/>
      <sheetName val="Sch C-29"/>
      <sheetName val="Sch C-31"/>
      <sheetName val="Sch C-32"/>
      <sheetName val="WPC-4"/>
      <sheetName val="WPA-5.1.4 Func Factors"/>
      <sheetName val="WPB-1 Cust Adv"/>
      <sheetName val="WPB-2.2.3"/>
      <sheetName val="WPB-2.4.2 Int Plt Gross - AMS"/>
      <sheetName val="WPB-2.4.3 Int Plt Reserve - AMS"/>
      <sheetName val="WPB-2.4.4 Int Plt Net - AMS"/>
      <sheetName val="WPB-2.4.5 Gen Plt Gross -AMS"/>
      <sheetName val="WPB-2.4.6 Gen Plt Reserve - AMS"/>
      <sheetName val="WPB-2.4.7 Gen Plt Net - AMS"/>
      <sheetName val="Sch B-5.2 Merged or Acq Prop"/>
      <sheetName val="Sch B-5.3 Leased Prop"/>
      <sheetName val="Sch B-7 CWIP"/>
      <sheetName val="Sch B-7.1 CWIP % Complete"/>
      <sheetName val="WPB-8.1b"/>
      <sheetName val="Construction"/>
      <sheetName val="GPROD"/>
      <sheetName val="ETRANS"/>
      <sheetName val="GTRANS"/>
      <sheetName val="EDISTR"/>
      <sheetName val="GDISTR"/>
      <sheetName val="DistrMisc"/>
      <sheetName val="Other"/>
      <sheetName val="Sch B-10 Def Charges"/>
      <sheetName val="Sch B-11 PHFFU"/>
      <sheetName val="Sch B-12 Analysis of PHFFU"/>
      <sheetName val="WPC-2.2.2"/>
      <sheetName val="WPC-2.2.3"/>
      <sheetName val="WPC-2.2.4"/>
      <sheetName val="WPC-2.2.5"/>
      <sheetName val="WPC-2.2.6"/>
      <sheetName val="WPC-2.2.7"/>
      <sheetName val="WPC-2.3.4 IP 04-05"/>
      <sheetName val="WPC-2.3.5 IP 05-05"/>
      <sheetName val="WPC-2.3.6 IP 06-05"/>
      <sheetName val="WPC-2.3.6 IP 07-05"/>
      <sheetName val="WPC-2.8"/>
      <sheetName val="WPC-2.13.3"/>
      <sheetName val="WPC-2.13.4"/>
      <sheetName val="WPC-2.13.5"/>
      <sheetName val="WPC-2.13.6"/>
      <sheetName val="WPC-2.13.7"/>
      <sheetName val="WPC-2.13.8"/>
      <sheetName val="WPC-2.13.9"/>
      <sheetName val="WPC-2.13.10"/>
      <sheetName val="WPC-2.13.11"/>
      <sheetName val="WPC-2.13.12"/>
      <sheetName val="WPC-2.22"/>
      <sheetName val="Sch C-5.5 ITC &amp; Job Dev. Cr"/>
      <sheetName val="WPC-6.1"/>
      <sheetName val="WPC-6.1 2004"/>
      <sheetName val="WPC-6.1 2003"/>
      <sheetName val="WPC-6.1 2002"/>
      <sheetName val="WPC-6.1 2001"/>
      <sheetName val="WPC-6.2"/>
      <sheetName val="WPC-7"/>
      <sheetName val="WPC-8"/>
      <sheetName val="WPC-9"/>
      <sheetName val="WPC-11.1a"/>
      <sheetName val="Sch 11.4 Recon Est Ovrhd"/>
      <sheetName val="WPC-13.1 Affl Int Trans"/>
      <sheetName val="WPC-14a"/>
      <sheetName val="WPC-14b"/>
      <sheetName val="WPC-14c"/>
      <sheetName val="WPC-14d"/>
      <sheetName val="WPC-14e"/>
      <sheetName val="Sch C-15 Major Maint Proj"/>
      <sheetName val="WPC-16"/>
      <sheetName val="WPC-18b Accr Prop Tax"/>
      <sheetName val="WPC-18a 2004"/>
      <sheetName val="Sch C-18a Oth Tx 2003"/>
      <sheetName val="WPC-18a 2003"/>
      <sheetName val="Sch C-18a Oth Tx 2002"/>
      <sheetName val="WPC-18a Oth Tx 2002"/>
      <sheetName val="WPC-18a 2001"/>
      <sheetName val="Sch C-20 Local Tx"/>
      <sheetName val="Sch C-24 Legal Exp &amp; Res"/>
      <sheetName val="WPC-25"/>
      <sheetName val="Sch C-27 Fuel Adj Rev &amp; Exp"/>
      <sheetName val="Sch C-28 Fuel Transp Exp"/>
      <sheetName val="Sch C-30 PGA Rev &amp; Exp"/>
      <sheetName val="Sch C-33 Billing Exper"/>
      <sheetName val="Comm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A - 1"/>
      <sheetName val="A - 2"/>
      <sheetName val="A - 2.1"/>
      <sheetName val="A - 3"/>
      <sheetName val="WPA - 3a"/>
      <sheetName val="WPA - 3b"/>
      <sheetName val="A - 4"/>
      <sheetName val="A - 5a"/>
      <sheetName val="A - 5b"/>
      <sheetName val="WPA - 5"/>
      <sheetName val="DefResp-3a"/>
      <sheetName val="DefResp-3b"/>
      <sheetName val="WPA - 5c"/>
      <sheetName val="B - 1"/>
      <sheetName val="WPB - 1"/>
      <sheetName val="B - 2"/>
      <sheetName val="B - 2.1"/>
      <sheetName val="WPB - 2.1b"/>
      <sheetName val="WPB - 2.1c"/>
      <sheetName val="WPB - 2.1d"/>
      <sheetName val="WPB - 2.1e"/>
      <sheetName val="WPB - 2.1a"/>
      <sheetName val="B - 3a"/>
      <sheetName val="B - 3b"/>
      <sheetName val="B - 4"/>
      <sheetName val="WPB - 4"/>
      <sheetName val="B - 5"/>
      <sheetName val="WPB - 5a"/>
      <sheetName val="WPB - 5b"/>
      <sheetName val="WPB - 5c"/>
      <sheetName val="B - 5.1"/>
      <sheetName val="B - 5.2"/>
      <sheetName val="B - 6"/>
      <sheetName val="WPB - 6a"/>
      <sheetName val="WPB - 6b"/>
      <sheetName val="WPB - 6c"/>
      <sheetName val="B - 7.2a1"/>
      <sheetName val="B - 7.2a2"/>
      <sheetName val="B - 7.2b1"/>
      <sheetName val="WPB - 7.2UEC"/>
      <sheetName val="B - 7.2b2"/>
      <sheetName val="B - 8"/>
      <sheetName val="Workpaper"/>
      <sheetName val="B - 8.1"/>
      <sheetName val="WPB - 8.1a"/>
      <sheetName val="WPB - 8.1b"/>
      <sheetName val="B - 9"/>
      <sheetName val="WPB - 9a"/>
      <sheetName val="WPB - 9b"/>
      <sheetName val="B - 9.1"/>
      <sheetName val="WPB - 9.1a"/>
      <sheetName val="WPB - 9.1b"/>
      <sheetName val="B - 13"/>
      <sheetName val="WPB - 13a"/>
      <sheetName val="WPB - 13b"/>
      <sheetName val="WPB - 13c"/>
      <sheetName val="B - 14"/>
      <sheetName val="WPB - 14"/>
      <sheetName val="C - 1"/>
      <sheetName val="C - 2"/>
      <sheetName val="C - 2.1"/>
      <sheetName val="WPC - 2.1"/>
      <sheetName val="C - 2.2"/>
      <sheetName val="C - 2.3"/>
      <sheetName val="C - 2.4"/>
      <sheetName val="WPC - 2.4a"/>
      <sheetName val="WPC - 2.4b"/>
      <sheetName val="C - 2.5"/>
      <sheetName val="WPC - 2.5"/>
      <sheetName val="C - 2.6"/>
      <sheetName val="WPC - 2.6a"/>
      <sheetName val="C - 2.6 NOT USED"/>
      <sheetName val="WPC - 2.6a NOT USED"/>
      <sheetName val="WPC - 2.6b"/>
      <sheetName val="C - 2.7"/>
      <sheetName val="WPC - 2.7"/>
      <sheetName val="C - 2.7b"/>
      <sheetName val="WPC - 2.7b"/>
      <sheetName val="WPC - 2.7c"/>
      <sheetName val="C - 2.7d"/>
      <sheetName val="C - 2.7e"/>
      <sheetName val="C - 2.7f"/>
      <sheetName val="WPC - 2.7d"/>
      <sheetName val="WPC - 2.7e"/>
      <sheetName val="C - 2.7i"/>
      <sheetName val="C - 2.7j"/>
      <sheetName val="C - 2.8"/>
      <sheetName val="C - 2.9"/>
      <sheetName val="C - 2.10"/>
      <sheetName val="C - 2.11"/>
      <sheetName val="WPC - 2.11"/>
      <sheetName val="C - 2.12"/>
      <sheetName val="WPC - 2.12"/>
      <sheetName val="C - 2.13"/>
      <sheetName val="C - 2.14"/>
      <sheetName val="C - 2.15"/>
      <sheetName val="WPC - 2.15"/>
      <sheetName val="C - 2.16"/>
      <sheetName val="WPC - 2.16a"/>
      <sheetName val="WPC - 2.16b"/>
      <sheetName val="WPC - 2.16c"/>
      <sheetName val="C - 2.17"/>
      <sheetName val="C - 3"/>
      <sheetName val="WPC - 3a"/>
      <sheetName val="WPC - 3b"/>
      <sheetName val="C - 4"/>
      <sheetName val="WPC - 4a"/>
      <sheetName val="WPC - 4b"/>
      <sheetName val="WPC - 4c"/>
      <sheetName val="WPC - 4d"/>
      <sheetName val="WPC - 4e"/>
      <sheetName val="C - 5"/>
      <sheetName val="WPC - 5a"/>
      <sheetName val="WPC - 5b"/>
      <sheetName val="C - 5b"/>
      <sheetName val="C - 5.1"/>
      <sheetName val="C - 5.2"/>
      <sheetName val="WPC - 5.2a"/>
      <sheetName val="WPC - 5.2b"/>
      <sheetName val="C - 5.3"/>
      <sheetName val="WPC - 5.3a"/>
      <sheetName val="WPC - 5.3b"/>
      <sheetName val="C - 5.4"/>
      <sheetName val="WPC - 5.4"/>
      <sheetName val="C - 5.5"/>
      <sheetName val="WPC - 5.5a"/>
      <sheetName val="WPC - 5.5b"/>
      <sheetName val="C - 6"/>
      <sheetName val="WPC - 6"/>
      <sheetName val="C - 6.1"/>
      <sheetName val="WPC - 6.1"/>
      <sheetName val="C - 6.2a"/>
      <sheetName val="C - 6.2b"/>
      <sheetName val="C - 7a"/>
      <sheetName val="C - 7b"/>
      <sheetName val="C - 8"/>
      <sheetName val="WPC - 8"/>
      <sheetName val="C - 9"/>
      <sheetName val="WPC - 9"/>
      <sheetName val="C - 10"/>
      <sheetName val="WPC - 10"/>
      <sheetName val="C - 10.1"/>
      <sheetName val="C - 11.1"/>
      <sheetName val="WPC - 11.1a"/>
      <sheetName val="WPC - 11.1b"/>
      <sheetName val="WPC - 11.1c"/>
      <sheetName val="WPC - 11.1d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2i"/>
      <sheetName val="C - 11.2j"/>
      <sheetName val="C - 11.2k"/>
      <sheetName val="C - 11.2l"/>
      <sheetName val="C - 11.2m"/>
      <sheetName val="C - 11.2n"/>
      <sheetName val="C - 11.2o"/>
      <sheetName val="C - 11.2p"/>
      <sheetName val="C - 11.3"/>
      <sheetName val="WPC - 11.3a"/>
      <sheetName val="WPC - 11.3b"/>
      <sheetName val="WPC - 11.3c"/>
      <sheetName val="WPC - 11.3d"/>
      <sheetName val="C - 12"/>
      <sheetName val="WPC - 12a"/>
      <sheetName val="WPC - 12b"/>
      <sheetName val="C - 13"/>
      <sheetName val="C - 14"/>
      <sheetName val="WPC - 14a"/>
      <sheetName val="WPC - 14b"/>
      <sheetName val="C - 16"/>
      <sheetName val="WPC-16a"/>
      <sheetName val="WPC-16b"/>
      <sheetName val="C - 17a"/>
      <sheetName val="C - 17b"/>
      <sheetName val="C - 17c"/>
      <sheetName val="C - 17d"/>
      <sheetName val="C - 18"/>
      <sheetName val="WPC - 18a"/>
      <sheetName val="WPC - 18b"/>
      <sheetName val="WPC - 18c1"/>
      <sheetName val="WPC - 18c"/>
      <sheetName val="C - 19"/>
      <sheetName val="C - 21"/>
      <sheetName val="WPC - 21a"/>
      <sheetName val="WPC - 21b"/>
      <sheetName val="C - 23"/>
      <sheetName val="WPC - 23a"/>
      <sheetName val="WPC - 23b"/>
      <sheetName val="WPC - 23c"/>
      <sheetName val="WPC - 23d"/>
      <sheetName val="C - 25"/>
    </sheetNames>
    <sheetDataSet>
      <sheetData sheetId="0" refreshError="1">
        <row r="226">
          <cell r="B226" t="str">
            <v>For the Twelve Months Ended December 31, 2004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A - 1"/>
      <sheetName val="A - 2"/>
      <sheetName val="A - 2.1"/>
      <sheetName val="A - 3"/>
      <sheetName val="WPA - 3a"/>
      <sheetName val="WPA - 3b"/>
      <sheetName val="A - 4"/>
      <sheetName val="A - 5a"/>
      <sheetName val="A - 5b"/>
      <sheetName val="WPA - 5"/>
      <sheetName val="DefResp-3a"/>
      <sheetName val="DefResp-3b"/>
      <sheetName val="WPA - 5c"/>
      <sheetName val="B - 1"/>
      <sheetName val="WPB - 1"/>
      <sheetName val="B - 2"/>
      <sheetName val="B - 2.1"/>
      <sheetName val="WPB - 2.1b"/>
      <sheetName val="WPB - 2.1c"/>
      <sheetName val="WPB - 2.1d"/>
      <sheetName val="WPB - 2.1e"/>
      <sheetName val="WPB - 2.1a"/>
      <sheetName val="B - 3a"/>
      <sheetName val="B - 3b"/>
      <sheetName val="B - 4"/>
      <sheetName val="WPB - 4"/>
      <sheetName val="B - 5"/>
      <sheetName val="WPB - 5a"/>
      <sheetName val="WPB - 5b"/>
      <sheetName val="WPB - 5c"/>
      <sheetName val="B - 5.1"/>
      <sheetName val="B - 5.2"/>
      <sheetName val="B - 6"/>
      <sheetName val="WPB - 6a"/>
      <sheetName val="WPB - 6b"/>
      <sheetName val="WPB - 6c"/>
      <sheetName val="B - 7.2a1"/>
      <sheetName val="B - 7.2a2"/>
      <sheetName val="B - 7.2b1"/>
      <sheetName val="WPB - 7.2UEC"/>
      <sheetName val="B - 7.2b2"/>
      <sheetName val="B - 8"/>
      <sheetName val="Workpaper"/>
      <sheetName val="B - 8.1"/>
      <sheetName val="WPB - 8.1a"/>
      <sheetName val="WPB - 8.1b"/>
      <sheetName val="B - 9"/>
      <sheetName val="WPB - 9a"/>
      <sheetName val="WPB - 9b"/>
      <sheetName val="B - 9.1"/>
      <sheetName val="WPB - 9.1a"/>
      <sheetName val="WPB - 9.1b"/>
      <sheetName val="B - 13"/>
      <sheetName val="WPB - 13a"/>
      <sheetName val="WPB - 13b"/>
      <sheetName val="WPB - 13c"/>
      <sheetName val="B - 14"/>
      <sheetName val="WPB - 14"/>
      <sheetName val="C - 1"/>
      <sheetName val="C - 2"/>
      <sheetName val="C - 2.1"/>
      <sheetName val="WPC - 2.1"/>
      <sheetName val="C - 2.2"/>
      <sheetName val="C - 2.3"/>
      <sheetName val="C - 2.4"/>
      <sheetName val="WPC - 2.4a"/>
      <sheetName val="WPC - 2.4b"/>
      <sheetName val="C - 2.5"/>
      <sheetName val="WPC - 2.5"/>
      <sheetName val="C - 2.6"/>
      <sheetName val="WPC - 2.6a"/>
      <sheetName val="C - 2.6 NOT USED"/>
      <sheetName val="WPC - 2.6a NOT USED"/>
      <sheetName val="WPC - 2.6b"/>
      <sheetName val="C - 2.7"/>
      <sheetName val="WPC - 2.7"/>
      <sheetName val="C - 2.7b"/>
      <sheetName val="WPC - 2.7b"/>
      <sheetName val="WPC - 2.7c"/>
      <sheetName val="C - 2.7d"/>
      <sheetName val="C - 2.7e"/>
      <sheetName val="C - 2.7f"/>
      <sheetName val="WPC - 2.7d"/>
      <sheetName val="WPC - 2.7e"/>
      <sheetName val="C - 2.7i"/>
      <sheetName val="C - 2.7j"/>
      <sheetName val="C - 2.8"/>
      <sheetName val="C - 2.9"/>
      <sheetName val="C - 2.10"/>
      <sheetName val="C - 2.11"/>
      <sheetName val="WPC - 2.11"/>
      <sheetName val="C - 2.12"/>
      <sheetName val="WPC - 2.12"/>
      <sheetName val="C - 2.13"/>
      <sheetName val="C - 2.14"/>
      <sheetName val="C - 2.15"/>
      <sheetName val="WPC - 2.15"/>
      <sheetName val="C - 2.16"/>
      <sheetName val="WPC - 2.16a"/>
      <sheetName val="WPC - 2.16b"/>
      <sheetName val="WPC - 2.16c"/>
      <sheetName val="C - 2.17"/>
      <sheetName val="C - 3"/>
      <sheetName val="WPC - 3a"/>
      <sheetName val="WPC - 3b"/>
      <sheetName val="C - 4"/>
      <sheetName val="WPC - 4a"/>
      <sheetName val="WPC - 4b"/>
      <sheetName val="WPC - 4c"/>
      <sheetName val="WPC - 4d"/>
      <sheetName val="WPC - 4e"/>
      <sheetName val="C - 5"/>
      <sheetName val="WPC - 5a"/>
      <sheetName val="WPC - 5b"/>
      <sheetName val="C - 5b"/>
      <sheetName val="C - 5.1"/>
      <sheetName val="C - 5.2"/>
      <sheetName val="WPC - 5.2a"/>
      <sheetName val="WPC - 5.2b"/>
      <sheetName val="C - 5.3"/>
      <sheetName val="WPC - 5.3a"/>
      <sheetName val="WPC - 5.3b"/>
      <sheetName val="C - 5.4"/>
      <sheetName val="WPC - 5.4"/>
      <sheetName val="C - 5.5"/>
      <sheetName val="WPC - 5.5a"/>
      <sheetName val="WPC - 5.5b"/>
      <sheetName val="C - 6"/>
      <sheetName val="WPC - 6"/>
      <sheetName val="C - 6.1"/>
      <sheetName val="WPC - 6.1"/>
      <sheetName val="C - 6.2a"/>
      <sheetName val="C - 6.2b"/>
      <sheetName val="C - 7a"/>
      <sheetName val="C - 7b"/>
      <sheetName val="C - 8"/>
      <sheetName val="WPC - 8"/>
      <sheetName val="C - 9"/>
      <sheetName val="WPC - 9"/>
      <sheetName val="C - 10"/>
      <sheetName val="WPC - 10"/>
      <sheetName val="C - 10.1"/>
      <sheetName val="C - 11.1"/>
      <sheetName val="WPC - 11.1a"/>
      <sheetName val="WPC - 11.1b"/>
      <sheetName val="WPC - 11.1c"/>
      <sheetName val="WPC - 11.1d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2i"/>
      <sheetName val="C - 11.2j"/>
      <sheetName val="C - 11.2k"/>
      <sheetName val="C - 11.2l"/>
      <sheetName val="C - 11.2m"/>
      <sheetName val="C - 11.2n"/>
      <sheetName val="C - 11.2o"/>
      <sheetName val="C - 11.2p"/>
      <sheetName val="C - 11.3"/>
      <sheetName val="WPC - 11.3a"/>
      <sheetName val="WPC - 11.3b"/>
      <sheetName val="WPC - 11.3c"/>
      <sheetName val="WPC - 11.3d"/>
      <sheetName val="C - 12"/>
      <sheetName val="WPC - 12a"/>
      <sheetName val="WPC - 12b"/>
      <sheetName val="C - 13"/>
      <sheetName val="C - 14"/>
      <sheetName val="WPC - 14a"/>
      <sheetName val="WPC - 14b"/>
      <sheetName val="C - 16"/>
      <sheetName val="WPC-16a"/>
      <sheetName val="WPC-16b"/>
      <sheetName val="C - 17a"/>
      <sheetName val="C - 17b"/>
      <sheetName val="C - 17c"/>
      <sheetName val="C - 17d"/>
      <sheetName val="C - 18"/>
      <sheetName val="WPC - 18a"/>
      <sheetName val="WPC - 18b"/>
      <sheetName val="WPC - 18c1"/>
      <sheetName val="WPC - 18c"/>
      <sheetName val="C - 19"/>
      <sheetName val="C - 21"/>
      <sheetName val="WPC - 21a"/>
      <sheetName val="WPC - 21b"/>
      <sheetName val="C - 23"/>
      <sheetName val="WPC - 23a"/>
      <sheetName val="WPC - 23b"/>
      <sheetName val="WPC - 23c"/>
      <sheetName val="WPC - 23d"/>
      <sheetName val="C - 25"/>
    </sheetNames>
    <sheetDataSet>
      <sheetData sheetId="0" refreshError="1">
        <row r="226">
          <cell r="B226" t="str">
            <v>For the Twelve Months Ended December 31, 2004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int"/>
      <sheetName val="Sch A-1"/>
      <sheetName val="Sch A-2"/>
      <sheetName val="Sch A-2.1"/>
      <sheetName val="Sch A-3"/>
      <sheetName val="Sch A-4"/>
      <sheetName val="Sch A-5 RB"/>
      <sheetName val="Sch A-5 Exp"/>
      <sheetName val="WPA-5"/>
      <sheetName val="WPA-5.2"/>
      <sheetName val="Sch B-1"/>
      <sheetName val="Sch B-2"/>
      <sheetName val="Sch B-2.1"/>
      <sheetName val="Sch B-2.2"/>
      <sheetName val="WPB-2.2a"/>
      <sheetName val="WPB-2.2b"/>
      <sheetName val="Sch B-2.3"/>
      <sheetName val="WPB-2.3"/>
      <sheetName val="Sch B-2.4"/>
      <sheetName val="WPB-2.4"/>
      <sheetName val="Sch B-2.5"/>
      <sheetName val="WPB-2.5a"/>
      <sheetName val="Sch B-2.6"/>
      <sheetName val="WPB-2.6"/>
      <sheetName val="Sch B-3"/>
      <sheetName val="Sch B-4"/>
      <sheetName val="Sch B-5"/>
      <sheetName val="WPB-5"/>
      <sheetName val="Sch B-5.1"/>
      <sheetName val="Sch B-6"/>
      <sheetName val="Sch B-7.2"/>
      <sheetName val="Sch B-7.2a"/>
      <sheetName val="Sch B-8"/>
      <sheetName val="Sch B-8.1"/>
      <sheetName val="WPB-8.1a"/>
      <sheetName val="Sch B-9"/>
      <sheetName val="WPB-9"/>
      <sheetName val="WPB-9a"/>
      <sheetName val="WPB-9b"/>
      <sheetName val="Sch B-9.1"/>
      <sheetName val="Sch B-13"/>
      <sheetName val="WPB-13a"/>
      <sheetName val="Sch B-14"/>
      <sheetName val="Sch C-1"/>
      <sheetName val="Sch C-2"/>
      <sheetName val="Sch C-2.1"/>
      <sheetName val="WPC-2.1"/>
      <sheetName val="Sch C-2.2"/>
      <sheetName val="WPC-2.2"/>
      <sheetName val="Sch C-2.3"/>
      <sheetName val="WPC-2.3"/>
      <sheetName val="WPC-2.3.3 Annualized Detail"/>
      <sheetName val="Sch C-2.4"/>
      <sheetName val="Sch C-2.5"/>
      <sheetName val="WPC-2.5"/>
      <sheetName val="Sch C-2.6"/>
      <sheetName val="WPC-2.6"/>
      <sheetName val="Sch C-2.7"/>
      <sheetName val="Sch C-2.8"/>
      <sheetName val="Sch C-2.9"/>
      <sheetName val="Sch C-2.10"/>
      <sheetName val="WPC-2.10"/>
      <sheetName val="Sch C-2.11"/>
      <sheetName val="WPC-2.11"/>
      <sheetName val="Sch C-2.12"/>
      <sheetName val="WPC-2.12"/>
      <sheetName val="Sch C-2.13"/>
      <sheetName val="WPC-2.13"/>
      <sheetName val="Sch C-2.14"/>
      <sheetName val="WPC-2.14"/>
      <sheetName val="WPC-2.14a"/>
      <sheetName val="Sch C-2.15"/>
      <sheetName val="Sch C-2.16"/>
      <sheetName val="Sch C-2.17"/>
      <sheetName val="Sch C-2.18"/>
      <sheetName val="Sch C-2.19"/>
      <sheetName val="WPC-2.19"/>
      <sheetName val="Sch C-2.20"/>
      <sheetName val="WPC-2.20"/>
      <sheetName val="Sch C-2.21"/>
      <sheetName val="WPC-2.21"/>
      <sheetName val="Sch C-2.22"/>
      <sheetName val="Sch C-2.23"/>
      <sheetName val="WPC-2.23"/>
      <sheetName val="Sch C-2.24"/>
      <sheetName val="Sch C-3"/>
      <sheetName val="Sch C-4"/>
      <sheetName val="Sch C-5a"/>
      <sheetName val="Sch C-5b"/>
      <sheetName val="Sch C-5.1"/>
      <sheetName val="Sch C-5.2"/>
      <sheetName val="Sch C-5.3"/>
      <sheetName val="Sch C-5.4"/>
      <sheetName val="WPC-5.4"/>
      <sheetName val="Sch C-6"/>
      <sheetName val="Sch C-6.1"/>
      <sheetName val="Sch C-6.2"/>
      <sheetName val="Sch C-7"/>
      <sheetName val="Sch C-8"/>
      <sheetName val="Sch C-9"/>
      <sheetName val="Sch C-10"/>
      <sheetName val="WPC-10"/>
      <sheetName val="Sch C-10.1"/>
      <sheetName val="Sch C-11.1"/>
      <sheetName val="WPC-11.1"/>
      <sheetName val="Sch C-11.2a"/>
      <sheetName val="Sch C-11.2b"/>
      <sheetName val="Sch C-11.2c"/>
      <sheetName val="Sch C-11.2d"/>
      <sheetName val="Sch C-11.2e"/>
      <sheetName val="Sch C-11.2f"/>
      <sheetName val="Sch C-11.2g"/>
      <sheetName val="Sch C-11.2h"/>
      <sheetName val="Sch C-11.3"/>
      <sheetName val="WPC-11.3"/>
      <sheetName val="WPC-11.3a"/>
      <sheetName val="WPC-11.3b"/>
      <sheetName val="WPC-11.3c"/>
      <sheetName val="Sch C-12"/>
      <sheetName val="WPC-12"/>
      <sheetName val="Sch C-13"/>
      <sheetName val="Sch C-14"/>
      <sheetName val="WPC-14"/>
      <sheetName val="Sch C-16 OLD-Replaced 12.12.05"/>
      <sheetName val="WPC-16a"/>
      <sheetName val="Sch C-16"/>
      <sheetName val="Sch C-17 2004"/>
      <sheetName val="Sch C-17 2004 to Sept"/>
      <sheetName val="Sch C-17 2003"/>
      <sheetName val="Sch C-17 2002"/>
      <sheetName val="Sch C-17 2001"/>
      <sheetName val="Sch C-18"/>
      <sheetName val="WPC-18a"/>
      <sheetName val="WPC-18b"/>
      <sheetName val="WPC-18c"/>
      <sheetName val="Sch C-19"/>
      <sheetName val="Sch C-21"/>
      <sheetName val="Sch C-22"/>
      <sheetName val="Sch C-23"/>
      <sheetName val="WPC-23"/>
      <sheetName val="Sch C-25"/>
      <sheetName val="Sch C-26"/>
      <sheetName val="Sch C-29"/>
      <sheetName val="Sch C-31"/>
      <sheetName val="Sch C-32"/>
      <sheetName val="WPC-4"/>
      <sheetName val="WPA-5.1.4 Func Factors"/>
      <sheetName val="WPB-1 Cust Adv"/>
      <sheetName val="WPB-2.2.3"/>
      <sheetName val="WPB-2.4.2 Int Plt Gross - AMS"/>
      <sheetName val="WPB-2.4.3 Int Plt Reserve - AMS"/>
      <sheetName val="WPB-2.4.4 Int Plt Net - AMS"/>
      <sheetName val="WPB-2.4.5 Gen Plt Gross -AMS"/>
      <sheetName val="WPB-2.4.6 Gen Plt Reserve - AMS"/>
      <sheetName val="WPB-2.4.7 Gen Plt Net - AMS"/>
      <sheetName val="Sch B-5.2 Merged or Acq Prop"/>
      <sheetName val="Sch B-5.3 Leased Prop"/>
      <sheetName val="Sch B-7 CWIP"/>
      <sheetName val="Sch B-7.1 CWIP % Complete"/>
      <sheetName val="WPB-8.1b"/>
      <sheetName val="Construction"/>
      <sheetName val="GPROD"/>
      <sheetName val="ETRANS"/>
      <sheetName val="GTRANS"/>
      <sheetName val="EDISTR"/>
      <sheetName val="GDISTR"/>
      <sheetName val="DistrMisc"/>
      <sheetName val="Other"/>
      <sheetName val="Sch B-10 Def Charges"/>
      <sheetName val="Sch B-11 PHFFU"/>
      <sheetName val="Sch B-12 Analysis of PHFFU"/>
      <sheetName val="WPC-2.2.2"/>
      <sheetName val="WPC-2.2.3"/>
      <sheetName val="WPC-2.2.4"/>
      <sheetName val="WPC-2.2.5"/>
      <sheetName val="WPC-2.2.6"/>
      <sheetName val="WPC-2.2.7"/>
      <sheetName val="WPC-2.3.4 IP 04-05"/>
      <sheetName val="WPC-2.3.5 IP 05-05"/>
      <sheetName val="WPC-2.3.6 IP 06-05"/>
      <sheetName val="WPC-2.3.6 IP 07-05"/>
      <sheetName val="WPC-2.8"/>
      <sheetName val="WPC-2.13.3"/>
      <sheetName val="WPC-2.13.4"/>
      <sheetName val="WPC-2.13.5"/>
      <sheetName val="WPC-2.13.6"/>
      <sheetName val="WPC-2.13.7"/>
      <sheetName val="WPC-2.13.8"/>
      <sheetName val="WPC-2.13.9"/>
      <sheetName val="WPC-2.13.10"/>
      <sheetName val="WPC-2.13.11"/>
      <sheetName val="WPC-2.13.12"/>
      <sheetName val="WPC-2.22"/>
      <sheetName val="Sch C-5.5 ITC &amp; Job Dev. Cr"/>
      <sheetName val="WPC-6.1"/>
      <sheetName val="WPC-6.1 2004"/>
      <sheetName val="WPC-6.1 2003"/>
      <sheetName val="WPC-6.1 2002"/>
      <sheetName val="WPC-6.1 2001"/>
      <sheetName val="WPC-6.2"/>
      <sheetName val="WPC-7"/>
      <sheetName val="WPC-8"/>
      <sheetName val="WPC-9"/>
      <sheetName val="WPC-11.1a"/>
      <sheetName val="Sch 11.4 Recon Est Ovrhd"/>
      <sheetName val="WPC-13.1 Affl Int Trans"/>
      <sheetName val="WPC-14a"/>
      <sheetName val="WPC-14b"/>
      <sheetName val="WPC-14c"/>
      <sheetName val="WPC-14d"/>
      <sheetName val="WPC-14e"/>
      <sheetName val="Sch C-15 Major Maint Proj"/>
      <sheetName val="WPC-16"/>
      <sheetName val="WPC-18b Accr Prop Tax"/>
      <sheetName val="WPC-18a 2004"/>
      <sheetName val="Sch C-18a Oth Tx 2003"/>
      <sheetName val="WPC-18a 2003"/>
      <sheetName val="Sch C-18a Oth Tx 2002"/>
      <sheetName val="WPC-18a Oth Tx 2002"/>
      <sheetName val="WPC-18a 2001"/>
      <sheetName val="Sch C-20 Local Tx"/>
      <sheetName val="Sch C-24 Legal Exp &amp; Res"/>
      <sheetName val="WPC-25"/>
      <sheetName val="Sch C-27 Fuel Adj Rev &amp; Exp"/>
      <sheetName val="Sch C-28 Fuel Transp Exp"/>
      <sheetName val="Sch C-30 PGA Rev &amp; Exp"/>
      <sheetName val="Sch C-33 Billing Exper"/>
      <sheetName val="Comm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Allocators"/>
      <sheetName val="Plant by Acct"/>
      <sheetName val="Plant By Alloc"/>
      <sheetName val="Plant Pivot"/>
      <sheetName val="Plant Data 2011"/>
      <sheetName val="Plant Data 2010"/>
      <sheetName val="Allocation Matrix"/>
      <sheetName val="O&amp;M"/>
      <sheetName val="CUSTOMER"/>
      <sheetName val="EMPALL"/>
      <sheetName val="Washington Bldg"/>
      <sheetName val="Allocator Inputs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C4" t="str">
            <v>Allocator</v>
          </cell>
          <cell r="D4">
            <v>0</v>
          </cell>
          <cell r="E4" t="str">
            <v>E. Production</v>
          </cell>
          <cell r="F4">
            <v>0</v>
          </cell>
          <cell r="G4" t="str">
            <v>E. Transmission</v>
          </cell>
          <cell r="H4">
            <v>0</v>
          </cell>
          <cell r="I4" t="str">
            <v>E. Distribution</v>
          </cell>
          <cell r="J4">
            <v>0</v>
          </cell>
          <cell r="K4" t="str">
            <v>Gas</v>
          </cell>
          <cell r="L4">
            <v>0</v>
          </cell>
          <cell r="M4" t="str">
            <v>Retired</v>
          </cell>
          <cell r="N4">
            <v>0</v>
          </cell>
          <cell r="O4" t="str">
            <v>Other</v>
          </cell>
          <cell r="P4">
            <v>0</v>
          </cell>
          <cell r="Q4" t="str">
            <v>Total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0</v>
          </cell>
        </row>
        <row r="7">
          <cell r="C7" t="str">
            <v>CUSTOMER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0.59839496606146958</v>
          </cell>
          <cell r="J7">
            <v>0</v>
          </cell>
          <cell r="K7">
            <v>0.40160503393853036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1</v>
          </cell>
        </row>
        <row r="8">
          <cell r="C8" t="str">
            <v>E. DISTRIBUTION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1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1</v>
          </cell>
        </row>
        <row r="9">
          <cell r="C9" t="str">
            <v>E. PRODUCTION</v>
          </cell>
          <cell r="D9">
            <v>0</v>
          </cell>
          <cell r="E9">
            <v>1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1</v>
          </cell>
        </row>
        <row r="10">
          <cell r="C10" t="str">
            <v>E. TRANSMISSION</v>
          </cell>
          <cell r="D10">
            <v>0</v>
          </cell>
          <cell r="E10">
            <v>0</v>
          </cell>
          <cell r="F10">
            <v>0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1</v>
          </cell>
        </row>
        <row r="11">
          <cell r="C11" t="str">
            <v>EMPALL</v>
          </cell>
          <cell r="D11">
            <v>0</v>
          </cell>
          <cell r="E11">
            <v>0</v>
          </cell>
          <cell r="F11">
            <v>0</v>
          </cell>
          <cell r="G11">
            <v>6.386014983945773E-2</v>
          </cell>
          <cell r="H11">
            <v>0</v>
          </cell>
          <cell r="I11">
            <v>0.60863360684980383</v>
          </cell>
          <cell r="J11">
            <v>0</v>
          </cell>
          <cell r="K11">
            <v>0.32750624331073852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</v>
          </cell>
        </row>
        <row r="12">
          <cell r="C12" t="str">
            <v>GAS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1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</v>
          </cell>
        </row>
        <row r="13">
          <cell r="C13" t="str">
            <v>OMDG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0.73637055920124128</v>
          </cell>
          <cell r="J13">
            <v>0</v>
          </cell>
          <cell r="K13">
            <v>0.26362944079875872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1</v>
          </cell>
        </row>
        <row r="14">
          <cell r="C14" t="str">
            <v>OMTD</v>
          </cell>
          <cell r="D14">
            <v>0</v>
          </cell>
          <cell r="E14">
            <v>0</v>
          </cell>
          <cell r="F14">
            <v>0</v>
          </cell>
          <cell r="G14">
            <v>0.18554630373121211</v>
          </cell>
          <cell r="H14">
            <v>0</v>
          </cell>
          <cell r="I14">
            <v>0.81445369626878783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1</v>
          </cell>
        </row>
        <row r="15">
          <cell r="C15" t="str">
            <v>OMTDG</v>
          </cell>
          <cell r="D15">
            <v>0</v>
          </cell>
          <cell r="E15">
            <v>0</v>
          </cell>
          <cell r="F15">
            <v>0</v>
          </cell>
          <cell r="G15">
            <v>0.14365793037484278</v>
          </cell>
          <cell r="H15">
            <v>0</v>
          </cell>
          <cell r="I15">
            <v>0.63058508867742535</v>
          </cell>
          <cell r="J15">
            <v>0</v>
          </cell>
          <cell r="K15">
            <v>0.22575698094773189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1</v>
          </cell>
        </row>
        <row r="16">
          <cell r="C16" t="str">
            <v>RETIRED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1</v>
          </cell>
          <cell r="N16">
            <v>0</v>
          </cell>
          <cell r="O16">
            <v>0</v>
          </cell>
          <cell r="P16">
            <v>0</v>
          </cell>
          <cell r="Q16">
            <v>1</v>
          </cell>
        </row>
        <row r="17">
          <cell r="C17" t="str">
            <v>WASHINGTON BLDG</v>
          </cell>
          <cell r="D17">
            <v>0</v>
          </cell>
          <cell r="E17">
            <v>0</v>
          </cell>
          <cell r="F17">
            <v>0</v>
          </cell>
          <cell r="G17">
            <v>7.3530104989960973E-2</v>
          </cell>
          <cell r="H17">
            <v>0</v>
          </cell>
          <cell r="I17">
            <v>0.51624963454349337</v>
          </cell>
          <cell r="J17">
            <v>0</v>
          </cell>
          <cell r="K17">
            <v>0.19372026046654559</v>
          </cell>
          <cell r="L17">
            <v>0</v>
          </cell>
          <cell r="M17">
            <v>0</v>
          </cell>
          <cell r="N17">
            <v>0</v>
          </cell>
          <cell r="O17">
            <v>0.21650000000000003</v>
          </cell>
          <cell r="P17">
            <v>0</v>
          </cell>
          <cell r="Q17">
            <v>0.99999999999999989</v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A - 1"/>
      <sheetName val="A - 2"/>
      <sheetName val="A - 2.1"/>
      <sheetName val="A - 4"/>
      <sheetName val="A - 5a"/>
      <sheetName val="A - 5b"/>
      <sheetName val="WPA - 5b"/>
      <sheetName val="WPA - 5c"/>
      <sheetName val="B - 1"/>
      <sheetName val="WPB - 1"/>
      <sheetName val="WPB - 2"/>
      <sheetName val="B - 3a"/>
      <sheetName val="B - 3b"/>
      <sheetName val="B - 4"/>
      <sheetName val="B - 5"/>
      <sheetName val="WPB - 5a"/>
      <sheetName val="WPB - 5b"/>
      <sheetName val="WPB - 5c"/>
      <sheetName val="B - 6a"/>
      <sheetName val="WPB - 6a"/>
      <sheetName val="B - 6b"/>
      <sheetName val="B - 8"/>
      <sheetName val="B - 8.1"/>
      <sheetName val="WPB - 8.1a"/>
      <sheetName val="WPB - 8.1b"/>
      <sheetName val="B-9"/>
      <sheetName val="WPB - 9a"/>
      <sheetName val="WPB - 9b"/>
      <sheetName val="B - 9.1"/>
      <sheetName val="B - 13"/>
      <sheetName val="WPB - 13a"/>
      <sheetName val="WPB - 13b"/>
      <sheetName val="WPB - 13c"/>
      <sheetName val="B-14"/>
      <sheetName val="WPB - 14"/>
      <sheetName val="C - 1"/>
      <sheetName val="C - 2"/>
      <sheetName val="C - 2.1"/>
      <sheetName val="C - 2.2"/>
      <sheetName val="C - 2.3"/>
      <sheetName val="C - 2.4"/>
      <sheetName val="C - 2.5"/>
      <sheetName val="C - 2.6"/>
      <sheetName val="C - 2.7"/>
      <sheetName val="WPC - 2.7a"/>
      <sheetName val="WPC - 2.7b"/>
      <sheetName val="C - 2.8"/>
      <sheetName val="C - 2.9"/>
      <sheetName val="WPC - 2.9"/>
      <sheetName val="C - 3"/>
      <sheetName val="WPC - 3a"/>
      <sheetName val="WPC - 3b"/>
      <sheetName val="C - 4"/>
      <sheetName val="WPC - 4a"/>
      <sheetName val="WPC - 4b"/>
      <sheetName val="WPC - 4c"/>
      <sheetName val="C - 5.4"/>
      <sheetName val="WPC - 5.4"/>
      <sheetName val="C - 6"/>
      <sheetName val="C - 6.1"/>
      <sheetName val="C - 6.2"/>
      <sheetName val="C - 7a"/>
      <sheetName val="C - 7b"/>
      <sheetName val="C - 8"/>
      <sheetName val="WPC - 8"/>
      <sheetName val="C - 9"/>
      <sheetName val="C - 10"/>
      <sheetName val="WPC - 10"/>
      <sheetName val="C - 10.1"/>
      <sheetName val="C - 11.1"/>
      <sheetName val="WPC - 11.1a"/>
      <sheetName val="WPC - 11.1b"/>
      <sheetName val="WPC - 11.1c"/>
      <sheetName val="WPC - 11.1d"/>
      <sheetName val="C-11.2a"/>
      <sheetName val="C-11.2b"/>
      <sheetName val="C-11.2c"/>
      <sheetName val="C-11.2d"/>
      <sheetName val="C-11.2e"/>
      <sheetName val="C-11.2f"/>
      <sheetName val="C-11.2g"/>
      <sheetName val="C-11.2h"/>
      <sheetName val="C - 11.3"/>
      <sheetName val="WPC - 11.3a"/>
      <sheetName val="WPC - 11.3b"/>
      <sheetName val="C - 12"/>
      <sheetName val="WPC - 12a"/>
      <sheetName val="WPC - 12b"/>
      <sheetName val="C - 16"/>
      <sheetName val="C - 17c"/>
      <sheetName val="C - 17d"/>
      <sheetName val="C - 18"/>
      <sheetName val="WPC - 18a"/>
      <sheetName val="WPC - 18b"/>
      <sheetName val="WPC - 18c"/>
      <sheetName val="C - 19"/>
      <sheetName val="C - 21"/>
      <sheetName val="WPC - 21a"/>
      <sheetName val="WPC - 21b"/>
      <sheetName val="C - 23"/>
      <sheetName val="WPC - 23a"/>
      <sheetName val="WPC - 23b"/>
      <sheetName val="WPC - 23c"/>
      <sheetName val="WPC - 23d"/>
      <sheetName val="C - 25"/>
      <sheetName val="C - 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A - 1"/>
      <sheetName val="A - 2"/>
      <sheetName val="A - 2.1"/>
      <sheetName val="A - 4"/>
      <sheetName val="A - 5a"/>
      <sheetName val="A - 5b"/>
      <sheetName val="WPA - 5b"/>
      <sheetName val="WPA - 5c"/>
      <sheetName val="B - 1"/>
      <sheetName val="WPB - 1"/>
      <sheetName val="WPB - 2"/>
      <sheetName val="B - 3a"/>
      <sheetName val="B - 3b"/>
      <sheetName val="B - 4"/>
      <sheetName val="B - 5"/>
      <sheetName val="WPB - 5a"/>
      <sheetName val="WPB - 5b"/>
      <sheetName val="WPB - 5c"/>
      <sheetName val="B - 6a"/>
      <sheetName val="WPB - 6a"/>
      <sheetName val="B - 6b"/>
      <sheetName val="B - 8"/>
      <sheetName val="B - 8.1"/>
      <sheetName val="WPB - 8.1a"/>
      <sheetName val="WPB - 8.1b"/>
      <sheetName val="B-9"/>
      <sheetName val="WPB - 9a"/>
      <sheetName val="WPB - 9b"/>
      <sheetName val="B - 9.1"/>
      <sheetName val="B - 13"/>
      <sheetName val="WPB - 13a"/>
      <sheetName val="WPB - 13b"/>
      <sheetName val="WPB - 13c"/>
      <sheetName val="B-14"/>
      <sheetName val="WPB - 14"/>
      <sheetName val="C - 1"/>
      <sheetName val="C - 2"/>
      <sheetName val="C - 2.1"/>
      <sheetName val="C - 2.2"/>
      <sheetName val="C - 2.3"/>
      <sheetName val="C - 2.4"/>
      <sheetName val="C - 2.5"/>
      <sheetName val="C - 2.6"/>
      <sheetName val="C - 2.7"/>
      <sheetName val="WPC - 2.7a"/>
      <sheetName val="WPC - 2.7b"/>
      <sheetName val="C - 2.8"/>
      <sheetName val="C - 2.9"/>
      <sheetName val="WPC - 2.9"/>
      <sheetName val="C - 3"/>
      <sheetName val="WPC - 3a"/>
      <sheetName val="WPC - 3b"/>
      <sheetName val="C - 4"/>
      <sheetName val="WPC - 4a"/>
      <sheetName val="WPC - 4b"/>
      <sheetName val="WPC - 4c"/>
      <sheetName val="C - 5.4"/>
      <sheetName val="WPC - 5.4"/>
      <sheetName val="C - 6"/>
      <sheetName val="C - 6.1"/>
      <sheetName val="C - 6.2"/>
      <sheetName val="C - 7a"/>
      <sheetName val="C - 7b"/>
      <sheetName val="C - 8"/>
      <sheetName val="WPC - 8"/>
      <sheetName val="C - 9"/>
      <sheetName val="C - 10"/>
      <sheetName val="WPC - 10"/>
      <sheetName val="C - 10.1"/>
      <sheetName val="C - 11.1"/>
      <sheetName val="WPC - 11.1a"/>
      <sheetName val="WPC - 11.1b"/>
      <sheetName val="WPC - 11.1c"/>
      <sheetName val="WPC - 11.1d"/>
      <sheetName val="C-11.2a"/>
      <sheetName val="C-11.2b"/>
      <sheetName val="C-11.2c"/>
      <sheetName val="C-11.2d"/>
      <sheetName val="C-11.2e"/>
      <sheetName val="C-11.2f"/>
      <sheetName val="C-11.2g"/>
      <sheetName val="C-11.2h"/>
      <sheetName val="C - 11.3"/>
      <sheetName val="WPC - 11.3a"/>
      <sheetName val="WPC - 11.3b"/>
      <sheetName val="C - 12"/>
      <sheetName val="WPC - 12a"/>
      <sheetName val="WPC - 12b"/>
      <sheetName val="C - 16"/>
      <sheetName val="C - 17c"/>
      <sheetName val="C - 17d"/>
      <sheetName val="C - 18"/>
      <sheetName val="WPC - 18a"/>
      <sheetName val="WPC - 18b"/>
      <sheetName val="WPC - 18c"/>
      <sheetName val="C - 19"/>
      <sheetName val="C - 21"/>
      <sheetName val="WPC - 21a"/>
      <sheetName val="WPC - 21b"/>
      <sheetName val="C - 23"/>
      <sheetName val="WPC - 23a"/>
      <sheetName val="WPC - 23b"/>
      <sheetName val="WPC - 23c"/>
      <sheetName val="WPC - 23d"/>
      <sheetName val="C - 25"/>
      <sheetName val="C - 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CO Bal Sht"/>
      <sheetName val="Assumptions"/>
    </sheetNames>
    <sheetDataSet>
      <sheetData sheetId="0" refreshError="1"/>
      <sheetData sheetId="1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 EED O&amp;M BO data"/>
      <sheetName val="category BO data"/>
      <sheetName val="lookup values"/>
      <sheetName val="BSC TFP Passthru----&gt;"/>
      <sheetName val="TOTAL"/>
      <sheetName val="TOTAL V2"/>
      <sheetName val="TOTAL V3"/>
      <sheetName val="Embedded EED"/>
      <sheetName val="Embedded ComEd"/>
      <sheetName val="Embedded PECO"/>
      <sheetName val="Embedded Commun EED"/>
      <sheetName val="Embedded Commun ComEd"/>
      <sheetName val="Embedded Commun PECO"/>
      <sheetName val="Embedded Finance ComEd"/>
      <sheetName val="Embedded Finance PECO"/>
      <sheetName val="Embedded Finance EED-Sum"/>
      <sheetName val="Embedded Finance ComEd-Sum"/>
      <sheetName val="Embedded Finance PECO-Sum"/>
      <sheetName val="Embedded Finance EED"/>
      <sheetName val="Finance"/>
      <sheetName val="Tax"/>
      <sheetName val="Controller"/>
      <sheetName val="Bank Fees"/>
      <sheetName val="Embedded HR EED"/>
      <sheetName val="Embedded HR ComEd"/>
      <sheetName val="Embedded HR PECO"/>
      <sheetName val="Embedded IT EED"/>
      <sheetName val="Embedded IT ComEd"/>
      <sheetName val="Embedded IT PECO"/>
      <sheetName val="Embedded Legal EED"/>
      <sheetName val="Embedded Legal Summary"/>
      <sheetName val="Embedded Legal ComEd"/>
      <sheetName val="Embedded Legal PECO"/>
      <sheetName val="Embedded Supply EED"/>
      <sheetName val="Embedded Supply ComEd"/>
      <sheetName val="Embedded Supply PECO"/>
      <sheetName val="Corp Allocated EED"/>
      <sheetName val="Corp Allocated ComEd"/>
      <sheetName val="Corp Allocated PECO"/>
      <sheetName val="Transactional EED"/>
      <sheetName val="Transactional ComEd"/>
      <sheetName val="Transactional PECO"/>
      <sheetName val="Transactional---EDSS"/>
      <sheetName val="PECO Bal Sht"/>
    </sheetNames>
    <sheetDataSet>
      <sheetData sheetId="0" refreshError="1">
        <row r="2">
          <cell r="E2">
            <v>301617</v>
          </cell>
          <cell r="H2">
            <v>38555</v>
          </cell>
          <cell r="I2">
            <v>26294</v>
          </cell>
          <cell r="J2">
            <v>1062732</v>
          </cell>
          <cell r="M2">
            <v>325499</v>
          </cell>
          <cell r="N2">
            <v>26294</v>
          </cell>
          <cell r="O2">
            <v>4237882</v>
          </cell>
          <cell r="R2">
            <v>198268</v>
          </cell>
          <cell r="S2">
            <v>153045</v>
          </cell>
          <cell r="V2" t="str">
            <v>Corporate Allocated</v>
          </cell>
          <cell r="W2" t="str">
            <v>Gov Env &amp; Pub Affairs</v>
          </cell>
          <cell r="AA2" t="str">
            <v>[10601]  Commonwealth Edison CompanyCorporate AllocatedGov Env &amp; Pub Affairs</v>
          </cell>
          <cell r="AB2" t="str">
            <v>[10601]  Commonwealth Edison CompanyCorporate Allocated (Gov Env &amp; Pub Affairs)Business Services</v>
          </cell>
          <cell r="AC2" t="str">
            <v>[10601]  Commonwealth Edison CompanyCorporate Allocated (Gov Env &amp; Pub Affairs)EBSC Gov Env &amp; Pub Affairs CED (00123)</v>
          </cell>
          <cell r="AF2" t="e">
            <v>#N/A</v>
          </cell>
        </row>
        <row r="3">
          <cell r="E3">
            <v>83939</v>
          </cell>
          <cell r="H3">
            <v>-7453</v>
          </cell>
          <cell r="I3">
            <v>-7453</v>
          </cell>
          <cell r="J3">
            <v>368616</v>
          </cell>
          <cell r="M3">
            <v>-64248</v>
          </cell>
          <cell r="N3">
            <v>-7453</v>
          </cell>
          <cell r="O3">
            <v>1005998</v>
          </cell>
          <cell r="R3">
            <v>-64248</v>
          </cell>
          <cell r="S3">
            <v>-7453</v>
          </cell>
          <cell r="V3" t="str">
            <v>Embedded</v>
          </cell>
          <cell r="W3" t="str">
            <v>Human Resources</v>
          </cell>
          <cell r="AA3" t="str">
            <v>[10601]  Commonwealth Edison CompanyEmbeddedHuman Resources</v>
          </cell>
          <cell r="AB3" t="str">
            <v>[10601]  Commonwealth Edison CompanyEmbedded (Human Resources)Salaries and Wages</v>
          </cell>
          <cell r="AC3" t="str">
            <v>[10601]  Commonwealth Edison CompanyEmbedded (Human Resources)HR Operations CED (00124)</v>
          </cell>
          <cell r="AF3" t="e">
            <v>#N/A</v>
          </cell>
        </row>
        <row r="4">
          <cell r="E4">
            <v>449</v>
          </cell>
          <cell r="H4">
            <v>2885</v>
          </cell>
          <cell r="I4">
            <v>551</v>
          </cell>
          <cell r="J4">
            <v>4464</v>
          </cell>
          <cell r="M4">
            <v>8869</v>
          </cell>
          <cell r="N4">
            <v>551</v>
          </cell>
          <cell r="O4">
            <v>12464</v>
          </cell>
          <cell r="R4">
            <v>27536</v>
          </cell>
          <cell r="S4">
            <v>551</v>
          </cell>
          <cell r="V4" t="str">
            <v>Embedded</v>
          </cell>
          <cell r="W4" t="str">
            <v>Human Resources</v>
          </cell>
          <cell r="AA4" t="str">
            <v>[10601]  Commonwealth Edison CompanyEmbeddedHuman Resources</v>
          </cell>
          <cell r="AB4" t="str">
            <v>[10601]  Commonwealth Edison CompanyEmbedded (Human Resources)Travel, Entertainment &amp; Reimb</v>
          </cell>
          <cell r="AC4" t="str">
            <v>[10601]  Commonwealth Edison CompanyEmbedded (Human Resources)HR Operations CED (00124)</v>
          </cell>
          <cell r="AF4" t="e">
            <v>#N/A</v>
          </cell>
        </row>
        <row r="5">
          <cell r="E5">
            <v>0</v>
          </cell>
          <cell r="H5">
            <v>6550</v>
          </cell>
          <cell r="I5">
            <v>2050</v>
          </cell>
          <cell r="J5">
            <v>7385</v>
          </cell>
          <cell r="M5">
            <v>19315</v>
          </cell>
          <cell r="N5">
            <v>2050</v>
          </cell>
          <cell r="O5">
            <v>25285</v>
          </cell>
          <cell r="R5">
            <v>55315</v>
          </cell>
          <cell r="S5">
            <v>2050</v>
          </cell>
          <cell r="V5" t="str">
            <v>Embedded</v>
          </cell>
          <cell r="W5" t="str">
            <v>Human Resources</v>
          </cell>
          <cell r="AA5" t="str">
            <v>[10601]  Commonwealth Edison CompanyEmbeddedHuman Resources</v>
          </cell>
          <cell r="AB5" t="str">
            <v>[10601]  Commonwealth Edison CompanyEmbedded (Human Resources)Contracting</v>
          </cell>
          <cell r="AC5" t="str">
            <v>[10601]  Commonwealth Edison CompanyEmbedded (Human Resources)HR Operations CED (00124)</v>
          </cell>
          <cell r="AF5" t="e">
            <v>#N/A</v>
          </cell>
        </row>
        <row r="6">
          <cell r="E6">
            <v>4378</v>
          </cell>
          <cell r="H6">
            <v>522</v>
          </cell>
          <cell r="I6">
            <v>522</v>
          </cell>
          <cell r="J6">
            <v>18860</v>
          </cell>
          <cell r="M6">
            <v>740</v>
          </cell>
          <cell r="N6">
            <v>522</v>
          </cell>
          <cell r="O6">
            <v>58060</v>
          </cell>
          <cell r="R6">
            <v>740</v>
          </cell>
          <cell r="S6">
            <v>522</v>
          </cell>
          <cell r="V6" t="str">
            <v>Embedded</v>
          </cell>
          <cell r="W6" t="str">
            <v>Human Resources</v>
          </cell>
          <cell r="AA6" t="str">
            <v>[10601]  Commonwealth Edison CompanyEmbeddedHuman Resources</v>
          </cell>
          <cell r="AB6" t="str">
            <v>[10601]  Commonwealth Edison CompanyEmbedded (Human Resources)Business Services</v>
          </cell>
          <cell r="AC6" t="str">
            <v>[10601]  Commonwealth Edison CompanyEmbedded (Human Resources)HR Operations CED (00124)</v>
          </cell>
          <cell r="AF6" t="e">
            <v>#N/A</v>
          </cell>
        </row>
        <row r="7">
          <cell r="E7">
            <v>59</v>
          </cell>
          <cell r="H7">
            <v>-59</v>
          </cell>
          <cell r="I7">
            <v>-59</v>
          </cell>
          <cell r="J7">
            <v>151</v>
          </cell>
          <cell r="M7">
            <v>-151</v>
          </cell>
          <cell r="N7">
            <v>-59</v>
          </cell>
          <cell r="O7">
            <v>151</v>
          </cell>
          <cell r="R7">
            <v>-151</v>
          </cell>
          <cell r="S7">
            <v>-59</v>
          </cell>
          <cell r="V7" t="str">
            <v>Embedded</v>
          </cell>
          <cell r="W7" t="str">
            <v>Human Resources</v>
          </cell>
          <cell r="AA7" t="str">
            <v>[10601]  Commonwealth Edison CompanyEmbeddedHuman Resources</v>
          </cell>
          <cell r="AB7" t="str">
            <v>[10601]  Commonwealth Edison CompanyEmbedded (Human Resources)Materials and Supplies</v>
          </cell>
          <cell r="AC7" t="str">
            <v>[10601]  Commonwealth Edison CompanyEmbedded (Human Resources)HR Operations CED (00124)</v>
          </cell>
          <cell r="AF7" t="e">
            <v>#N/A</v>
          </cell>
        </row>
        <row r="8">
          <cell r="E8">
            <v>30</v>
          </cell>
          <cell r="H8">
            <v>387</v>
          </cell>
          <cell r="I8">
            <v>387</v>
          </cell>
          <cell r="J8">
            <v>171</v>
          </cell>
          <cell r="M8">
            <v>1496</v>
          </cell>
          <cell r="N8">
            <v>387</v>
          </cell>
          <cell r="O8">
            <v>3504</v>
          </cell>
          <cell r="R8">
            <v>1496</v>
          </cell>
          <cell r="S8">
            <v>387</v>
          </cell>
          <cell r="V8" t="str">
            <v>Embedded</v>
          </cell>
          <cell r="W8" t="str">
            <v>Human Resources</v>
          </cell>
          <cell r="AA8" t="str">
            <v>[10601]  Commonwealth Edison CompanyEmbeddedHuman Resources</v>
          </cell>
          <cell r="AB8" t="str">
            <v>[10601]  Commonwealth Edison CompanyEmbedded (Human Resources)Travel, Entertainment &amp; Reimb</v>
          </cell>
          <cell r="AC8" t="str">
            <v>[10601]  Commonwealth Edison CompanyEmbedded (Human Resources)HR Operations CED (00124)</v>
          </cell>
          <cell r="AF8" t="e">
            <v>#N/A</v>
          </cell>
        </row>
        <row r="9">
          <cell r="E9">
            <v>494</v>
          </cell>
          <cell r="H9">
            <v>89</v>
          </cell>
          <cell r="I9">
            <v>-188</v>
          </cell>
          <cell r="J9">
            <v>1021</v>
          </cell>
          <cell r="M9">
            <v>1313</v>
          </cell>
          <cell r="N9">
            <v>-188</v>
          </cell>
          <cell r="O9">
            <v>3465</v>
          </cell>
          <cell r="R9">
            <v>3535</v>
          </cell>
          <cell r="S9">
            <v>-188</v>
          </cell>
          <cell r="V9" t="str">
            <v>Embedded</v>
          </cell>
          <cell r="W9" t="str">
            <v>Human Resources</v>
          </cell>
          <cell r="AA9" t="str">
            <v>[10601]  Commonwealth Edison CompanyEmbeddedHuman Resources</v>
          </cell>
          <cell r="AB9" t="str">
            <v>[10601]  Commonwealth Edison CompanyEmbedded (Human Resources)Other Operating Expenses</v>
          </cell>
          <cell r="AC9" t="str">
            <v>[10601]  Commonwealth Edison CompanyEmbedded (Human Resources)HR Operations CED (00124)</v>
          </cell>
          <cell r="AF9" t="e">
            <v>#N/A</v>
          </cell>
        </row>
        <row r="10">
          <cell r="E10">
            <v>849</v>
          </cell>
          <cell r="H10">
            <v>1051</v>
          </cell>
          <cell r="I10">
            <v>1051</v>
          </cell>
          <cell r="J10">
            <v>9991</v>
          </cell>
          <cell r="M10">
            <v>-1891</v>
          </cell>
          <cell r="N10">
            <v>1051</v>
          </cell>
          <cell r="O10">
            <v>25191</v>
          </cell>
          <cell r="R10">
            <v>-1391</v>
          </cell>
          <cell r="S10">
            <v>1051</v>
          </cell>
          <cell r="V10" t="str">
            <v>Embedded</v>
          </cell>
          <cell r="W10" t="str">
            <v>Human Resources</v>
          </cell>
          <cell r="AA10" t="str">
            <v>[10601]  Commonwealth Edison CompanyEmbeddedHuman Resources</v>
          </cell>
          <cell r="AB10" t="str">
            <v>[10601]  Commonwealth Edison CompanyEmbedded (Human Resources)Other Operating Expenses</v>
          </cell>
          <cell r="AC10" t="str">
            <v>[10601]  Commonwealth Edison CompanyEmbedded (Human Resources)HR Operations CED (00124)</v>
          </cell>
          <cell r="AF10" t="e">
            <v>#N/A</v>
          </cell>
        </row>
        <row r="11">
          <cell r="E11">
            <v>1490</v>
          </cell>
          <cell r="H11">
            <v>1260</v>
          </cell>
          <cell r="I11">
            <v>-1046</v>
          </cell>
          <cell r="J11">
            <v>3929</v>
          </cell>
          <cell r="M11">
            <v>8571</v>
          </cell>
          <cell r="N11">
            <v>-1046</v>
          </cell>
          <cell r="O11">
            <v>7485</v>
          </cell>
          <cell r="R11">
            <v>31515</v>
          </cell>
          <cell r="S11">
            <v>-1046</v>
          </cell>
          <cell r="V11" t="str">
            <v>Embedded</v>
          </cell>
          <cell r="W11" t="str">
            <v>Human Resources</v>
          </cell>
          <cell r="AA11" t="str">
            <v>[10601]  Commonwealth Edison CompanyEmbeddedHuman Resources</v>
          </cell>
          <cell r="AB11" t="str">
            <v>[10601]  Commonwealth Edison CompanyEmbedded (Human Resources)Other Operating Expenses</v>
          </cell>
          <cell r="AC11" t="str">
            <v>[10601]  Commonwealth Edison CompanyEmbedded (Human Resources)HR Operations CED (00124)</v>
          </cell>
          <cell r="AF11" t="e">
            <v>#N/A</v>
          </cell>
        </row>
        <row r="12">
          <cell r="E12">
            <v>0</v>
          </cell>
          <cell r="H12">
            <v>-820</v>
          </cell>
          <cell r="I12">
            <v>-820</v>
          </cell>
          <cell r="J12">
            <v>0</v>
          </cell>
          <cell r="M12">
            <v>1719</v>
          </cell>
          <cell r="N12">
            <v>-820</v>
          </cell>
          <cell r="O12">
            <v>3438</v>
          </cell>
          <cell r="R12">
            <v>1719</v>
          </cell>
          <cell r="S12">
            <v>-820</v>
          </cell>
          <cell r="V12" t="str">
            <v>Embedded</v>
          </cell>
          <cell r="W12" t="str">
            <v>Human Resources</v>
          </cell>
          <cell r="AA12" t="str">
            <v>[10601]  Commonwealth Edison CompanyEmbeddedHuman Resources</v>
          </cell>
          <cell r="AB12" t="str">
            <v>[10601]  Commonwealth Edison CompanyEmbedded (Human Resources)Salaries and Wages</v>
          </cell>
          <cell r="AC12" t="str">
            <v>[10601]  Commonwealth Edison CompanyEmbedded (Human Resources)HR Operations CED (00124)</v>
          </cell>
          <cell r="AF12" t="e">
            <v>#N/A</v>
          </cell>
        </row>
        <row r="13">
          <cell r="E13">
            <v>514</v>
          </cell>
          <cell r="H13">
            <v>-14</v>
          </cell>
          <cell r="I13">
            <v>-14</v>
          </cell>
          <cell r="J13">
            <v>3062</v>
          </cell>
          <cell r="M13">
            <v>-1062</v>
          </cell>
          <cell r="N13">
            <v>-14</v>
          </cell>
          <cell r="O13">
            <v>7062</v>
          </cell>
          <cell r="R13">
            <v>-1062</v>
          </cell>
          <cell r="S13">
            <v>-14</v>
          </cell>
          <cell r="V13" t="str">
            <v>Embedded</v>
          </cell>
          <cell r="W13" t="str">
            <v>Human Resources</v>
          </cell>
          <cell r="AA13" t="str">
            <v>[10601]  Commonwealth Edison CompanyEmbeddedHuman Resources</v>
          </cell>
          <cell r="AB13" t="str">
            <v>[10601]  Commonwealth Edison CompanyEmbedded (Human Resources)Overtime</v>
          </cell>
          <cell r="AC13" t="str">
            <v>[10601]  Commonwealth Edison CompanyEmbedded (Human Resources)HR Operations CED (00124)</v>
          </cell>
          <cell r="AF13" t="e">
            <v>#N/A</v>
          </cell>
        </row>
        <row r="14">
          <cell r="E14">
            <v>63835</v>
          </cell>
          <cell r="H14">
            <v>-18612</v>
          </cell>
          <cell r="I14">
            <v>-18612</v>
          </cell>
          <cell r="J14">
            <v>246642</v>
          </cell>
          <cell r="M14">
            <v>-66681</v>
          </cell>
          <cell r="N14">
            <v>-18612</v>
          </cell>
          <cell r="O14">
            <v>623500</v>
          </cell>
          <cell r="R14">
            <v>-66681</v>
          </cell>
          <cell r="S14">
            <v>-18612</v>
          </cell>
          <cell r="V14" t="str">
            <v>Embedded</v>
          </cell>
          <cell r="W14" t="str">
            <v>Human Resources</v>
          </cell>
          <cell r="AA14" t="str">
            <v>[10601]  Commonwealth Edison CompanyEmbeddedHuman Resources</v>
          </cell>
          <cell r="AB14" t="str">
            <v>[10601]  Commonwealth Edison CompanyEmbedded (Human Resources)Pension and Benefits</v>
          </cell>
          <cell r="AC14" t="str">
            <v>[10601]  Commonwealth Edison CompanyEmbedded (Human Resources)HR Operations CED (00124)</v>
          </cell>
          <cell r="AF14" t="e">
            <v>#N/A</v>
          </cell>
        </row>
        <row r="15">
          <cell r="E15">
            <v>1324349</v>
          </cell>
          <cell r="H15">
            <v>-73961</v>
          </cell>
          <cell r="I15">
            <v>122754</v>
          </cell>
          <cell r="J15">
            <v>4911764</v>
          </cell>
          <cell r="M15">
            <v>22322</v>
          </cell>
          <cell r="N15">
            <v>122754</v>
          </cell>
          <cell r="O15">
            <v>14728616</v>
          </cell>
          <cell r="R15">
            <v>699361</v>
          </cell>
          <cell r="S15">
            <v>426970</v>
          </cell>
          <cell r="V15" t="str">
            <v>Corporate Allocated</v>
          </cell>
          <cell r="W15" t="str">
            <v>Human Resources</v>
          </cell>
          <cell r="AA15" t="str">
            <v>[10601]  Commonwealth Edison CompanyCorporate AllocatedHuman Resources</v>
          </cell>
          <cell r="AB15" t="str">
            <v>[10601]  Commonwealth Edison CompanyCorporate Allocated (Human Resources)Business Services</v>
          </cell>
          <cell r="AC15" t="str">
            <v>[10601]  Commonwealth Edison CompanyCorporate Allocated (Human Resources)EBSC HR Srvcs CED (00182)</v>
          </cell>
          <cell r="AF15" t="e">
            <v>#N/A</v>
          </cell>
        </row>
        <row r="16">
          <cell r="E16">
            <v>2718533</v>
          </cell>
          <cell r="H16">
            <v>993</v>
          </cell>
          <cell r="I16">
            <v>-14754</v>
          </cell>
          <cell r="J16">
            <v>9917669</v>
          </cell>
          <cell r="M16">
            <v>947418</v>
          </cell>
          <cell r="N16">
            <v>-14754</v>
          </cell>
          <cell r="O16">
            <v>33637290</v>
          </cell>
          <cell r="R16">
            <v>922177</v>
          </cell>
          <cell r="S16">
            <v>259035</v>
          </cell>
          <cell r="V16" t="str">
            <v>Corporate Allocated</v>
          </cell>
          <cell r="W16" t="str">
            <v>Finance</v>
          </cell>
          <cell r="AA16" t="str">
            <v>[10601]  Commonwealth Edison CompanyCorporate AllocatedFinance</v>
          </cell>
          <cell r="AB16" t="str">
            <v>[10601]  Commonwealth Edison CompanyCorporate Allocated (Finance)Business Services</v>
          </cell>
          <cell r="AC16" t="str">
            <v>[10601]  Commonwealth Edison CompanyCorporate Allocated (Finance)EBSC Fin Srvcs CED (00188)</v>
          </cell>
          <cell r="AF16" t="e">
            <v>#N/A</v>
          </cell>
        </row>
        <row r="17">
          <cell r="E17">
            <v>50777</v>
          </cell>
          <cell r="H17">
            <v>1447</v>
          </cell>
          <cell r="I17">
            <v>1447</v>
          </cell>
          <cell r="J17">
            <v>180157</v>
          </cell>
          <cell r="M17">
            <v>27662</v>
          </cell>
          <cell r="N17">
            <v>1447</v>
          </cell>
          <cell r="O17">
            <v>615353</v>
          </cell>
          <cell r="R17">
            <v>27662</v>
          </cell>
          <cell r="S17">
            <v>1447</v>
          </cell>
          <cell r="V17" t="str">
            <v>Embedded</v>
          </cell>
          <cell r="W17" t="str">
            <v>Communications</v>
          </cell>
          <cell r="AA17" t="str">
            <v>[10601]  Commonwealth Edison CompanyEmbeddedCommunications</v>
          </cell>
          <cell r="AB17" t="str">
            <v>[10601]  Commonwealth Edison CompanyEmbedded (Communications)Salaries and Wages</v>
          </cell>
          <cell r="AC17" t="str">
            <v>[10601]  Commonwealth Edison CompanyEmbedded (Communications)Communications- ComEd (00189)</v>
          </cell>
          <cell r="AF17" t="e">
            <v>#N/A</v>
          </cell>
        </row>
        <row r="18">
          <cell r="E18">
            <v>3949</v>
          </cell>
          <cell r="H18">
            <v>1051</v>
          </cell>
          <cell r="I18">
            <v>1051</v>
          </cell>
          <cell r="J18">
            <v>12560</v>
          </cell>
          <cell r="M18">
            <v>-6060</v>
          </cell>
          <cell r="N18">
            <v>1051</v>
          </cell>
          <cell r="O18">
            <v>16544</v>
          </cell>
          <cell r="R18">
            <v>-44</v>
          </cell>
          <cell r="S18">
            <v>1051</v>
          </cell>
          <cell r="V18" t="str">
            <v>Embedded</v>
          </cell>
          <cell r="W18" t="str">
            <v>Communications</v>
          </cell>
          <cell r="AA18" t="str">
            <v>[10601]  Commonwealth Edison CompanyEmbeddedCommunications</v>
          </cell>
          <cell r="AB18" t="str">
            <v>[10601]  Commonwealth Edison CompanyEmbedded (Communications)Travel, Entertainment &amp; Reimb</v>
          </cell>
          <cell r="AC18" t="str">
            <v>[10601]  Commonwealth Edison CompanyEmbedded (Communications)Communications- ComEd (00189)</v>
          </cell>
          <cell r="AF18" t="e">
            <v>#N/A</v>
          </cell>
        </row>
        <row r="19">
          <cell r="E19">
            <v>22424</v>
          </cell>
          <cell r="H19">
            <v>-6590</v>
          </cell>
          <cell r="I19">
            <v>-13180</v>
          </cell>
          <cell r="J19">
            <v>65616</v>
          </cell>
          <cell r="M19">
            <v>12718</v>
          </cell>
          <cell r="N19">
            <v>-13180</v>
          </cell>
          <cell r="O19">
            <v>139567</v>
          </cell>
          <cell r="R19">
            <v>82933</v>
          </cell>
          <cell r="S19">
            <v>-13180</v>
          </cell>
          <cell r="V19" t="str">
            <v>Embedded</v>
          </cell>
          <cell r="W19" t="str">
            <v>Communications</v>
          </cell>
          <cell r="AA19" t="str">
            <v>[10601]  Commonwealth Edison CompanyEmbeddedCommunications</v>
          </cell>
          <cell r="AB19" t="str">
            <v>[10601]  Commonwealth Edison CompanyEmbedded (Communications)Contracting</v>
          </cell>
          <cell r="AC19" t="str">
            <v>[10601]  Commonwealth Edison CompanyEmbedded (Communications)Communications- ComEd (00189)</v>
          </cell>
          <cell r="AF19" t="e">
            <v>#N/A</v>
          </cell>
        </row>
        <row r="20">
          <cell r="E20">
            <v>2845</v>
          </cell>
          <cell r="H20">
            <v>-2845</v>
          </cell>
          <cell r="I20">
            <v>489</v>
          </cell>
          <cell r="J20">
            <v>19597</v>
          </cell>
          <cell r="M20">
            <v>-19597</v>
          </cell>
          <cell r="N20">
            <v>489</v>
          </cell>
          <cell r="O20">
            <v>46264</v>
          </cell>
          <cell r="R20">
            <v>-46264</v>
          </cell>
          <cell r="S20">
            <v>489</v>
          </cell>
          <cell r="V20" t="str">
            <v>Embedded</v>
          </cell>
          <cell r="W20" t="str">
            <v>Communications</v>
          </cell>
          <cell r="AA20" t="str">
            <v>[10601]  Commonwealth Edison CompanyEmbeddedCommunications</v>
          </cell>
          <cell r="AB20" t="str">
            <v>[10601]  Commonwealth Edison CompanyEmbedded (Communications)Business Services</v>
          </cell>
          <cell r="AC20" t="str">
            <v>[10601]  Commonwealth Edison CompanyEmbedded (Communications)Communications- ComEd (00189)</v>
          </cell>
          <cell r="AF20" t="e">
            <v>#N/A</v>
          </cell>
        </row>
        <row r="21">
          <cell r="E21">
            <v>611</v>
          </cell>
          <cell r="H21">
            <v>-511</v>
          </cell>
          <cell r="I21">
            <v>-511</v>
          </cell>
          <cell r="J21">
            <v>1054</v>
          </cell>
          <cell r="M21">
            <v>-154</v>
          </cell>
          <cell r="N21">
            <v>-511</v>
          </cell>
          <cell r="O21">
            <v>2654</v>
          </cell>
          <cell r="R21">
            <v>-154</v>
          </cell>
          <cell r="S21">
            <v>-511</v>
          </cell>
          <cell r="V21" t="str">
            <v>Embedded</v>
          </cell>
          <cell r="W21" t="str">
            <v>Communications</v>
          </cell>
          <cell r="AA21" t="str">
            <v>[10601]  Commonwealth Edison CompanyEmbeddedCommunications</v>
          </cell>
          <cell r="AB21" t="str">
            <v>[10601]  Commonwealth Edison CompanyEmbedded (Communications)Travel, Entertainment &amp; Reimb</v>
          </cell>
          <cell r="AC21" t="str">
            <v>[10601]  Commonwealth Edison CompanyEmbedded (Communications)Communications- ComEd (00189)</v>
          </cell>
          <cell r="AF21" t="e">
            <v>#N/A</v>
          </cell>
        </row>
        <row r="22">
          <cell r="E22">
            <v>188</v>
          </cell>
          <cell r="H22">
            <v>-38</v>
          </cell>
          <cell r="I22">
            <v>-188</v>
          </cell>
          <cell r="J22">
            <v>3115</v>
          </cell>
          <cell r="M22">
            <v>-2715</v>
          </cell>
          <cell r="N22">
            <v>-188</v>
          </cell>
          <cell r="O22">
            <v>3115</v>
          </cell>
          <cell r="R22">
            <v>-2415</v>
          </cell>
          <cell r="S22">
            <v>-188</v>
          </cell>
          <cell r="V22" t="str">
            <v>Embedded</v>
          </cell>
          <cell r="W22" t="str">
            <v>Communications</v>
          </cell>
          <cell r="AA22" t="str">
            <v>[10601]  Commonwealth Edison CompanyEmbeddedCommunications</v>
          </cell>
          <cell r="AB22" t="str">
            <v>[10601]  Commonwealth Edison CompanyEmbedded (Communications)Other Operating Expenses</v>
          </cell>
          <cell r="AC22" t="str">
            <v>[10601]  Commonwealth Edison CompanyEmbedded (Communications)Communications- ComEd (00189)</v>
          </cell>
          <cell r="AF22" t="e">
            <v>#N/A</v>
          </cell>
        </row>
        <row r="23">
          <cell r="E23">
            <v>710</v>
          </cell>
          <cell r="H23">
            <v>5290</v>
          </cell>
          <cell r="I23">
            <v>3090</v>
          </cell>
          <cell r="J23">
            <v>3165</v>
          </cell>
          <cell r="M23">
            <v>20835</v>
          </cell>
          <cell r="N23">
            <v>3090</v>
          </cell>
          <cell r="O23">
            <v>33566</v>
          </cell>
          <cell r="R23">
            <v>38434</v>
          </cell>
          <cell r="S23">
            <v>3090</v>
          </cell>
          <cell r="V23" t="str">
            <v>Embedded</v>
          </cell>
          <cell r="W23" t="str">
            <v>Communications</v>
          </cell>
          <cell r="AA23" t="str">
            <v>[10601]  Commonwealth Edison CompanyEmbeddedCommunications</v>
          </cell>
          <cell r="AB23" t="str">
            <v>[10601]  Commonwealth Edison CompanyEmbedded (Communications)Other Operating Expenses</v>
          </cell>
          <cell r="AC23" t="str">
            <v>[10601]  Commonwealth Edison CompanyEmbedded (Communications)Communications- ComEd (00189)</v>
          </cell>
          <cell r="AF23" t="e">
            <v>#N/A</v>
          </cell>
        </row>
        <row r="24">
          <cell r="E24">
            <v>339</v>
          </cell>
          <cell r="H24">
            <v>1161</v>
          </cell>
          <cell r="I24">
            <v>1609</v>
          </cell>
          <cell r="J24">
            <v>1080</v>
          </cell>
          <cell r="M24">
            <v>18420</v>
          </cell>
          <cell r="N24">
            <v>1609</v>
          </cell>
          <cell r="O24">
            <v>16656</v>
          </cell>
          <cell r="R24">
            <v>28844</v>
          </cell>
          <cell r="S24">
            <v>1609</v>
          </cell>
          <cell r="V24" t="str">
            <v>Embedded</v>
          </cell>
          <cell r="W24" t="str">
            <v>Communications</v>
          </cell>
          <cell r="AA24" t="str">
            <v>[10601]  Commonwealth Edison CompanyEmbeddedCommunications</v>
          </cell>
          <cell r="AB24" t="str">
            <v>[10601]  Commonwealth Edison CompanyEmbedded (Communications)Other Operating Expenses</v>
          </cell>
          <cell r="AC24" t="str">
            <v>[10601]  Commonwealth Edison CompanyEmbedded (Communications)Communications- ComEd (00189)</v>
          </cell>
          <cell r="AF24" t="e">
            <v>#N/A</v>
          </cell>
        </row>
        <row r="25">
          <cell r="E25">
            <v>35336</v>
          </cell>
          <cell r="H25">
            <v>-4459</v>
          </cell>
          <cell r="I25">
            <v>-4459</v>
          </cell>
          <cell r="J25">
            <v>120324</v>
          </cell>
          <cell r="M25">
            <v>2551</v>
          </cell>
          <cell r="N25">
            <v>-4459</v>
          </cell>
          <cell r="O25">
            <v>377638</v>
          </cell>
          <cell r="R25">
            <v>2551</v>
          </cell>
          <cell r="S25">
            <v>-4459</v>
          </cell>
          <cell r="V25" t="str">
            <v>Embedded</v>
          </cell>
          <cell r="W25" t="str">
            <v>Communications</v>
          </cell>
          <cell r="AA25" t="str">
            <v>[10601]  Commonwealth Edison CompanyEmbeddedCommunications</v>
          </cell>
          <cell r="AB25" t="str">
            <v>[10601]  Commonwealth Edison CompanyEmbedded (Communications)Pension and Benefits</v>
          </cell>
          <cell r="AC25" t="str">
            <v>[10601]  Commonwealth Edison CompanyEmbedded (Communications)Communications- ComEd (00189)</v>
          </cell>
          <cell r="AF25" t="e">
            <v>#N/A</v>
          </cell>
        </row>
        <row r="26">
          <cell r="E26">
            <v>0</v>
          </cell>
          <cell r="H26">
            <v>0</v>
          </cell>
          <cell r="I26">
            <v>2231</v>
          </cell>
          <cell r="J26">
            <v>0</v>
          </cell>
          <cell r="M26">
            <v>0</v>
          </cell>
          <cell r="N26">
            <v>2231</v>
          </cell>
          <cell r="O26">
            <v>17846</v>
          </cell>
          <cell r="R26">
            <v>-17846</v>
          </cell>
          <cell r="S26">
            <v>2231</v>
          </cell>
          <cell r="V26" t="str">
            <v>Embedded</v>
          </cell>
          <cell r="W26" t="str">
            <v>Communications</v>
          </cell>
          <cell r="AA26" t="str">
            <v>[10601]  Commonwealth Edison CompanyEmbeddedCommunications</v>
          </cell>
          <cell r="AB26" t="str">
            <v>[10601]  Commonwealth Edison CompanyEmbedded (Communications)Transportation</v>
          </cell>
          <cell r="AC26" t="str">
            <v>[10601]  Commonwealth Edison CompanyEmbedded (Communications)Communications- ComEd (00189)</v>
          </cell>
          <cell r="AF26" t="e">
            <v>#N/A</v>
          </cell>
        </row>
        <row r="27">
          <cell r="E27">
            <v>446540</v>
          </cell>
          <cell r="H27">
            <v>8522</v>
          </cell>
          <cell r="I27">
            <v>-5909</v>
          </cell>
          <cell r="J27">
            <v>1527224</v>
          </cell>
          <cell r="M27">
            <v>285874</v>
          </cell>
          <cell r="N27">
            <v>-5909</v>
          </cell>
          <cell r="O27">
            <v>5009263</v>
          </cell>
          <cell r="R27">
            <v>573776</v>
          </cell>
          <cell r="S27">
            <v>183295</v>
          </cell>
          <cell r="V27" t="str">
            <v>Embedded</v>
          </cell>
          <cell r="W27" t="str">
            <v>Finance</v>
          </cell>
          <cell r="AA27" t="str">
            <v>[10601]  Commonwealth Edison CompanyEmbeddedFinance</v>
          </cell>
          <cell r="AB27" t="str">
            <v>[10601]  Commonwealth Edison CompanyEmbedded (Finance)EDSS</v>
          </cell>
          <cell r="AC27" t="str">
            <v>[10601]  Commonwealth Edison CompanyEmbedded (Finance)EDSS Business Ops CED (00197)</v>
          </cell>
          <cell r="AF27" t="str">
            <v>EEDFinanceEDSS</v>
          </cell>
        </row>
        <row r="28">
          <cell r="E28">
            <v>70722</v>
          </cell>
          <cell r="H28">
            <v>11812</v>
          </cell>
          <cell r="I28">
            <v>10308</v>
          </cell>
          <cell r="J28">
            <v>343703</v>
          </cell>
          <cell r="M28">
            <v>-27324</v>
          </cell>
          <cell r="N28">
            <v>10308</v>
          </cell>
          <cell r="O28">
            <v>961506</v>
          </cell>
          <cell r="R28">
            <v>15143</v>
          </cell>
          <cell r="S28">
            <v>29895</v>
          </cell>
          <cell r="V28" t="str">
            <v>Embedded</v>
          </cell>
          <cell r="W28" t="str">
            <v>IT</v>
          </cell>
          <cell r="AA28" t="str">
            <v>[10601]  Commonwealth Edison CompanyEmbeddedIT</v>
          </cell>
          <cell r="AB28" t="str">
            <v>[10601]  Commonwealth Edison CompanyEmbedded (IT)Salaries and Wages</v>
          </cell>
          <cell r="AC28" t="str">
            <v>[10601]  Commonwealth Edison CompanyEmbedded (IT)IT Cust Serv Regulatory -CED (00311)</v>
          </cell>
          <cell r="AF28" t="e">
            <v>#N/A</v>
          </cell>
        </row>
        <row r="29">
          <cell r="E29">
            <v>-373</v>
          </cell>
          <cell r="H29">
            <v>373</v>
          </cell>
          <cell r="I29">
            <v>373</v>
          </cell>
          <cell r="J29">
            <v>-373</v>
          </cell>
          <cell r="M29">
            <v>1573</v>
          </cell>
          <cell r="N29">
            <v>373</v>
          </cell>
          <cell r="O29">
            <v>8027</v>
          </cell>
          <cell r="R29">
            <v>1573</v>
          </cell>
          <cell r="S29">
            <v>373</v>
          </cell>
          <cell r="V29" t="str">
            <v>Embedded</v>
          </cell>
          <cell r="W29" t="str">
            <v>IT</v>
          </cell>
          <cell r="AA29" t="str">
            <v>[10601]  Commonwealth Edison CompanyEmbeddedIT</v>
          </cell>
          <cell r="AB29" t="str">
            <v>[10601]  Commonwealth Edison CompanyEmbedded (IT)Travel, Entertainment &amp; Reimb</v>
          </cell>
          <cell r="AC29" t="str">
            <v>[10601]  Commonwealth Edison CompanyEmbedded (IT)IT Cust Serv Regulatory -CED (00311)</v>
          </cell>
          <cell r="AF29" t="e">
            <v>#N/A</v>
          </cell>
        </row>
        <row r="30">
          <cell r="E30">
            <v>156906</v>
          </cell>
          <cell r="H30">
            <v>4208</v>
          </cell>
          <cell r="I30">
            <v>23304</v>
          </cell>
          <cell r="J30">
            <v>621777</v>
          </cell>
          <cell r="M30">
            <v>935</v>
          </cell>
          <cell r="N30">
            <v>23304</v>
          </cell>
          <cell r="O30">
            <v>1968665</v>
          </cell>
          <cell r="R30">
            <v>-109041</v>
          </cell>
          <cell r="S30">
            <v>-19768</v>
          </cell>
          <cell r="V30" t="str">
            <v>Embedded</v>
          </cell>
          <cell r="W30" t="str">
            <v>IT</v>
          </cell>
          <cell r="AA30" t="str">
            <v>[10601]  Commonwealth Edison CompanyEmbeddedIT</v>
          </cell>
          <cell r="AB30" t="str">
            <v>[10601]  Commonwealth Edison CompanyEmbedded (IT)Contracting</v>
          </cell>
          <cell r="AC30" t="str">
            <v>[10601]  Commonwealth Edison CompanyEmbedded (IT)IT Cust Serv Regulatory -CED (00311)</v>
          </cell>
          <cell r="AF30" t="e">
            <v>#N/A</v>
          </cell>
        </row>
        <row r="31">
          <cell r="E31">
            <v>33267</v>
          </cell>
          <cell r="H31">
            <v>-30031</v>
          </cell>
          <cell r="I31">
            <v>-28593</v>
          </cell>
          <cell r="J31">
            <v>44150</v>
          </cell>
          <cell r="M31">
            <v>-31743</v>
          </cell>
          <cell r="N31">
            <v>-28593</v>
          </cell>
          <cell r="O31">
            <v>79793</v>
          </cell>
          <cell r="R31">
            <v>-41493</v>
          </cell>
          <cell r="S31">
            <v>-27463</v>
          </cell>
          <cell r="V31" t="str">
            <v>Embedded</v>
          </cell>
          <cell r="W31" t="str">
            <v>IT</v>
          </cell>
          <cell r="AA31" t="str">
            <v>[10601]  Commonwealth Edison CompanyEmbeddedIT</v>
          </cell>
          <cell r="AB31" t="str">
            <v>[10601]  Commonwealth Edison CompanyEmbedded (IT)Business Services</v>
          </cell>
          <cell r="AC31" t="str">
            <v>[10601]  Commonwealth Edison CompanyEmbedded (IT)IT Cust Serv Regulatory -CED (00311)</v>
          </cell>
          <cell r="AF31" t="e">
            <v>#N/A</v>
          </cell>
        </row>
        <row r="32">
          <cell r="E32">
            <v>2160</v>
          </cell>
          <cell r="H32">
            <v>-2160</v>
          </cell>
          <cell r="I32">
            <v>-2160</v>
          </cell>
          <cell r="J32">
            <v>8906</v>
          </cell>
          <cell r="M32">
            <v>-8906</v>
          </cell>
          <cell r="N32">
            <v>-2160</v>
          </cell>
          <cell r="O32">
            <v>8906</v>
          </cell>
          <cell r="R32">
            <v>-8906</v>
          </cell>
          <cell r="S32">
            <v>-2160</v>
          </cell>
          <cell r="V32" t="str">
            <v>Embedded</v>
          </cell>
          <cell r="W32" t="str">
            <v>IT</v>
          </cell>
          <cell r="AA32" t="str">
            <v>[10601]  Commonwealth Edison CompanyEmbeddedIT</v>
          </cell>
          <cell r="AB32" t="str">
            <v>[10601]  Commonwealth Edison CompanyEmbedded (IT)Travel, Entertainment &amp; Reimb</v>
          </cell>
          <cell r="AC32" t="str">
            <v>[10601]  Commonwealth Edison CompanyEmbedded (IT)IT Cust Serv Regulatory -CED (00311)</v>
          </cell>
          <cell r="AF32" t="e">
            <v>#N/A</v>
          </cell>
        </row>
        <row r="33">
          <cell r="E33">
            <v>74454</v>
          </cell>
          <cell r="H33">
            <v>49141</v>
          </cell>
          <cell r="I33">
            <v>96829</v>
          </cell>
          <cell r="J33">
            <v>289069</v>
          </cell>
          <cell r="M33">
            <v>-157924</v>
          </cell>
          <cell r="N33">
            <v>96829</v>
          </cell>
          <cell r="O33">
            <v>1493051</v>
          </cell>
          <cell r="R33">
            <v>99041</v>
          </cell>
          <cell r="S33">
            <v>471520</v>
          </cell>
          <cell r="V33" t="str">
            <v>Embedded</v>
          </cell>
          <cell r="W33" t="str">
            <v>IT</v>
          </cell>
          <cell r="AA33" t="str">
            <v>[10601]  Commonwealth Edison CompanyEmbeddedIT</v>
          </cell>
          <cell r="AB33" t="str">
            <v>[10601]  Commonwealth Edison CompanyEmbedded (IT)Other Operating Expenses</v>
          </cell>
          <cell r="AC33" t="str">
            <v>[10601]  Commonwealth Edison CompanyEmbedded (IT)IT Cust Serv Regulatory -CED (00311)</v>
          </cell>
          <cell r="AF33" t="e">
            <v>#N/A</v>
          </cell>
        </row>
        <row r="34">
          <cell r="E34">
            <v>0</v>
          </cell>
          <cell r="H34">
            <v>9600</v>
          </cell>
          <cell r="I34">
            <v>9600</v>
          </cell>
          <cell r="J34">
            <v>0</v>
          </cell>
          <cell r="M34">
            <v>38400</v>
          </cell>
          <cell r="N34">
            <v>9600</v>
          </cell>
          <cell r="O34">
            <v>72800</v>
          </cell>
          <cell r="R34">
            <v>38400</v>
          </cell>
          <cell r="S34">
            <v>9600</v>
          </cell>
          <cell r="V34" t="str">
            <v>Embedded</v>
          </cell>
          <cell r="W34" t="str">
            <v>IT</v>
          </cell>
          <cell r="AA34" t="str">
            <v>[10601]  Commonwealth Edison CompanyEmbeddedIT</v>
          </cell>
          <cell r="AB34" t="str">
            <v>[10601]  Commonwealth Edison CompanyEmbedded (IT)Other Operating Expenses</v>
          </cell>
          <cell r="AC34" t="str">
            <v>[10601]  Commonwealth Edison CompanyEmbedded (IT)IT Cust Serv Regulatory -CED (00311)</v>
          </cell>
          <cell r="AF34" t="e">
            <v>#N/A</v>
          </cell>
        </row>
        <row r="35">
          <cell r="E35">
            <v>53041</v>
          </cell>
          <cell r="H35">
            <v>13309</v>
          </cell>
          <cell r="I35">
            <v>-53041</v>
          </cell>
          <cell r="J35">
            <v>257777</v>
          </cell>
          <cell r="M35">
            <v>-3433</v>
          </cell>
          <cell r="N35">
            <v>-53041</v>
          </cell>
          <cell r="O35">
            <v>721130</v>
          </cell>
          <cell r="R35">
            <v>64019</v>
          </cell>
          <cell r="S35">
            <v>-516393</v>
          </cell>
          <cell r="V35" t="str">
            <v>Embedded</v>
          </cell>
          <cell r="W35" t="str">
            <v>IT</v>
          </cell>
          <cell r="AA35" t="str">
            <v>[10601]  Commonwealth Edison CompanyEmbeddedIT</v>
          </cell>
          <cell r="AB35" t="str">
            <v>[10601]  Commonwealth Edison CompanyEmbedded (IT)Pension and Benefits</v>
          </cell>
          <cell r="AC35" t="str">
            <v>[10601]  Commonwealth Edison CompanyEmbedded (IT)IT Cust Serv Regulatory -CED (00311)</v>
          </cell>
          <cell r="AF35" t="e">
            <v>#N/A</v>
          </cell>
        </row>
        <row r="36">
          <cell r="E36">
            <v>0</v>
          </cell>
          <cell r="H36">
            <v>0</v>
          </cell>
          <cell r="I36">
            <v>0</v>
          </cell>
          <cell r="J36">
            <v>0</v>
          </cell>
          <cell r="M36">
            <v>0</v>
          </cell>
          <cell r="N36">
            <v>0</v>
          </cell>
          <cell r="R36">
            <v>0</v>
          </cell>
          <cell r="V36" t="str">
            <v>Embedded</v>
          </cell>
          <cell r="W36" t="str">
            <v>IT</v>
          </cell>
          <cell r="AA36" t="str">
            <v>[10601]  Commonwealth Edison CompanyEmbeddedIT</v>
          </cell>
          <cell r="AB36" t="str">
            <v>[10601]  Commonwealth Edison CompanyEmbedded (IT)Pension and Benefits</v>
          </cell>
          <cell r="AC36" t="str">
            <v>[10601]  Commonwealth Edison CompanyEmbedded (IT)IT Cust Serv Regulatory -CED (00311)</v>
          </cell>
          <cell r="AF36" t="e">
            <v>#N/A</v>
          </cell>
        </row>
        <row r="37">
          <cell r="E37">
            <v>30952</v>
          </cell>
          <cell r="H37">
            <v>7516</v>
          </cell>
          <cell r="I37">
            <v>59</v>
          </cell>
          <cell r="J37">
            <v>137465</v>
          </cell>
          <cell r="M37">
            <v>9996</v>
          </cell>
          <cell r="N37">
            <v>59</v>
          </cell>
          <cell r="O37">
            <v>393365</v>
          </cell>
          <cell r="R37">
            <v>61839</v>
          </cell>
          <cell r="S37">
            <v>53947</v>
          </cell>
          <cell r="V37" t="str">
            <v>Embedded</v>
          </cell>
          <cell r="W37" t="str">
            <v>IT</v>
          </cell>
          <cell r="AA37" t="str">
            <v>[10601]  Commonwealth Edison CompanyEmbeddedIT</v>
          </cell>
          <cell r="AB37" t="str">
            <v>[10601]  Commonwealth Edison CompanyEmbedded (IT)Salaries and Wages</v>
          </cell>
          <cell r="AC37" t="str">
            <v>[10601]  Commonwealth Edison CompanyEmbedded (IT)IT Ops Asset Mgmt Supp - CED (00312)</v>
          </cell>
          <cell r="AF37" t="e">
            <v>#N/A</v>
          </cell>
        </row>
        <row r="38">
          <cell r="E38">
            <v>0</v>
          </cell>
          <cell r="H38">
            <v>1200</v>
          </cell>
          <cell r="I38">
            <v>1200</v>
          </cell>
          <cell r="J38">
            <v>1302</v>
          </cell>
          <cell r="M38">
            <v>1098</v>
          </cell>
          <cell r="N38">
            <v>1200</v>
          </cell>
          <cell r="O38">
            <v>8502</v>
          </cell>
          <cell r="R38">
            <v>1098</v>
          </cell>
          <cell r="S38">
            <v>1200</v>
          </cell>
          <cell r="V38" t="str">
            <v>Embedded</v>
          </cell>
          <cell r="W38" t="str">
            <v>IT</v>
          </cell>
          <cell r="AA38" t="str">
            <v>[10601]  Commonwealth Edison CompanyEmbeddedIT</v>
          </cell>
          <cell r="AB38" t="str">
            <v>[10601]  Commonwealth Edison CompanyEmbedded (IT)Travel, Entertainment &amp; Reimb</v>
          </cell>
          <cell r="AC38" t="str">
            <v>[10601]  Commonwealth Edison CompanyEmbedded (IT)IT Ops Asset Mgmt Supp - CED (00312)</v>
          </cell>
          <cell r="AF38" t="e">
            <v>#N/A</v>
          </cell>
        </row>
        <row r="39">
          <cell r="E39">
            <v>43391</v>
          </cell>
          <cell r="H39">
            <v>15341</v>
          </cell>
          <cell r="I39">
            <v>15353</v>
          </cell>
          <cell r="J39">
            <v>151227</v>
          </cell>
          <cell r="M39">
            <v>85389</v>
          </cell>
          <cell r="N39">
            <v>15353</v>
          </cell>
          <cell r="O39">
            <v>770111</v>
          </cell>
          <cell r="R39">
            <v>-68055</v>
          </cell>
          <cell r="S39">
            <v>-83483</v>
          </cell>
          <cell r="V39" t="str">
            <v>Embedded</v>
          </cell>
          <cell r="W39" t="str">
            <v>IT</v>
          </cell>
          <cell r="AA39" t="str">
            <v>[10601]  Commonwealth Edison CompanyEmbeddedIT</v>
          </cell>
          <cell r="AB39" t="str">
            <v>[10601]  Commonwealth Edison CompanyEmbedded (IT)Contracting</v>
          </cell>
          <cell r="AC39" t="str">
            <v>[10601]  Commonwealth Edison CompanyEmbedded (IT)IT Ops Asset Mgmt Supp - CED (00312)</v>
          </cell>
          <cell r="AF39" t="e">
            <v>#N/A</v>
          </cell>
        </row>
        <row r="40">
          <cell r="E40">
            <v>1880</v>
          </cell>
          <cell r="H40">
            <v>3953</v>
          </cell>
          <cell r="I40">
            <v>5376</v>
          </cell>
          <cell r="J40">
            <v>8025</v>
          </cell>
          <cell r="M40">
            <v>15057</v>
          </cell>
          <cell r="N40">
            <v>5376</v>
          </cell>
          <cell r="O40">
            <v>66333</v>
          </cell>
          <cell r="R40">
            <v>3224</v>
          </cell>
          <cell r="S40">
            <v>8485</v>
          </cell>
          <cell r="V40" t="str">
            <v>Embedded</v>
          </cell>
          <cell r="W40" t="str">
            <v>IT</v>
          </cell>
          <cell r="AA40" t="str">
            <v>[10601]  Commonwealth Edison CompanyEmbeddedIT</v>
          </cell>
          <cell r="AB40" t="str">
            <v>[10601]  Commonwealth Edison CompanyEmbedded (IT)Business Services</v>
          </cell>
          <cell r="AC40" t="str">
            <v>[10601]  Commonwealth Edison CompanyEmbedded (IT)IT Ops Asset Mgmt Supp - CED (00312)</v>
          </cell>
          <cell r="AF40" t="e">
            <v>#N/A</v>
          </cell>
        </row>
        <row r="41">
          <cell r="E41">
            <v>0</v>
          </cell>
          <cell r="H41">
            <v>0</v>
          </cell>
          <cell r="I41">
            <v>0</v>
          </cell>
          <cell r="J41">
            <v>259</v>
          </cell>
          <cell r="M41">
            <v>-259</v>
          </cell>
          <cell r="N41">
            <v>0</v>
          </cell>
          <cell r="O41">
            <v>259</v>
          </cell>
          <cell r="R41">
            <v>-259</v>
          </cell>
          <cell r="S41">
            <v>0</v>
          </cell>
          <cell r="V41" t="str">
            <v>Embedded</v>
          </cell>
          <cell r="W41" t="str">
            <v>IT</v>
          </cell>
          <cell r="AA41" t="str">
            <v>[10601]  Commonwealth Edison CompanyEmbeddedIT</v>
          </cell>
          <cell r="AB41" t="str">
            <v>[10601]  Commonwealth Edison CompanyEmbedded (IT)Travel, Entertainment &amp; Reimb</v>
          </cell>
          <cell r="AC41" t="str">
            <v>[10601]  Commonwealth Edison CompanyEmbedded (IT)IT Ops Asset Mgmt Supp - CED (00312)</v>
          </cell>
          <cell r="AF41" t="e">
            <v>#N/A</v>
          </cell>
        </row>
        <row r="42">
          <cell r="E42">
            <v>0</v>
          </cell>
          <cell r="H42">
            <v>0</v>
          </cell>
          <cell r="I42">
            <v>0</v>
          </cell>
          <cell r="J42">
            <v>383</v>
          </cell>
          <cell r="M42">
            <v>-383</v>
          </cell>
          <cell r="N42">
            <v>0</v>
          </cell>
          <cell r="O42">
            <v>383</v>
          </cell>
          <cell r="R42">
            <v>-383</v>
          </cell>
          <cell r="S42">
            <v>0</v>
          </cell>
          <cell r="V42" t="str">
            <v>Embedded</v>
          </cell>
          <cell r="W42" t="str">
            <v>IT</v>
          </cell>
          <cell r="AA42" t="str">
            <v>[10601]  Commonwealth Edison CompanyEmbeddedIT</v>
          </cell>
          <cell r="AB42" t="str">
            <v>[10601]  Commonwealth Edison CompanyEmbedded (IT)Other Operating Expenses</v>
          </cell>
          <cell r="AC42" t="str">
            <v>[10601]  Commonwealth Edison CompanyEmbedded (IT)IT Ops Asset Mgmt Supp - CED (00312)</v>
          </cell>
          <cell r="AF42" t="e">
            <v>#N/A</v>
          </cell>
        </row>
        <row r="43">
          <cell r="E43">
            <v>83027</v>
          </cell>
          <cell r="H43">
            <v>-25999</v>
          </cell>
          <cell r="I43">
            <v>-52489</v>
          </cell>
          <cell r="J43">
            <v>354198</v>
          </cell>
          <cell r="M43">
            <v>-124837</v>
          </cell>
          <cell r="N43">
            <v>-52489</v>
          </cell>
          <cell r="O43">
            <v>811089</v>
          </cell>
          <cell r="R43">
            <v>2853</v>
          </cell>
          <cell r="S43">
            <v>353345</v>
          </cell>
          <cell r="V43" t="str">
            <v>Embedded</v>
          </cell>
          <cell r="W43" t="str">
            <v>IT</v>
          </cell>
          <cell r="AA43" t="str">
            <v>[10601]  Commonwealth Edison CompanyEmbeddedIT</v>
          </cell>
          <cell r="AB43" t="str">
            <v>[10601]  Commonwealth Edison CompanyEmbedded (IT)Other Operating Expenses</v>
          </cell>
          <cell r="AC43" t="str">
            <v>[10601]  Commonwealth Edison CompanyEmbedded (IT)IT Ops Asset Mgmt Supp - CED (00312)</v>
          </cell>
          <cell r="AF43" t="e">
            <v>#N/A</v>
          </cell>
        </row>
        <row r="44">
          <cell r="E44">
            <v>230</v>
          </cell>
          <cell r="H44">
            <v>4370</v>
          </cell>
          <cell r="I44">
            <v>4370</v>
          </cell>
          <cell r="J44">
            <v>2180</v>
          </cell>
          <cell r="M44">
            <v>10220</v>
          </cell>
          <cell r="N44">
            <v>4370</v>
          </cell>
          <cell r="O44">
            <v>41880</v>
          </cell>
          <cell r="R44">
            <v>3820</v>
          </cell>
          <cell r="S44">
            <v>-2030</v>
          </cell>
          <cell r="V44" t="str">
            <v>Embedded</v>
          </cell>
          <cell r="W44" t="str">
            <v>IT</v>
          </cell>
          <cell r="AA44" t="str">
            <v>[10601]  Commonwealth Edison CompanyEmbeddedIT</v>
          </cell>
          <cell r="AB44" t="str">
            <v>[10601]  Commonwealth Edison CompanyEmbedded (IT)Other Operating Expenses</v>
          </cell>
          <cell r="AC44" t="str">
            <v>[10601]  Commonwealth Edison CompanyEmbedded (IT)IT Ops Asset Mgmt Supp - CED (00312)</v>
          </cell>
          <cell r="AF44" t="e">
            <v>#N/A</v>
          </cell>
        </row>
        <row r="45">
          <cell r="E45">
            <v>23214</v>
          </cell>
          <cell r="H45">
            <v>7711</v>
          </cell>
          <cell r="I45">
            <v>-23214</v>
          </cell>
          <cell r="J45">
            <v>103098</v>
          </cell>
          <cell r="M45">
            <v>15448</v>
          </cell>
          <cell r="N45">
            <v>-23214</v>
          </cell>
          <cell r="O45">
            <v>295023</v>
          </cell>
          <cell r="R45">
            <v>70924</v>
          </cell>
          <cell r="S45">
            <v>-215139</v>
          </cell>
          <cell r="V45" t="str">
            <v>Embedded</v>
          </cell>
          <cell r="W45" t="str">
            <v>IT</v>
          </cell>
          <cell r="AA45" t="str">
            <v>[10601]  Commonwealth Edison CompanyEmbeddedIT</v>
          </cell>
          <cell r="AB45" t="str">
            <v>[10601]  Commonwealth Edison CompanyEmbedded (IT)Pension and Benefits</v>
          </cell>
          <cell r="AC45" t="str">
            <v>[10601]  Commonwealth Edison CompanyEmbedded (IT)IT Ops Asset Mgmt Supp - CED (00312)</v>
          </cell>
          <cell r="AF45" t="e">
            <v>#N/A</v>
          </cell>
        </row>
        <row r="46">
          <cell r="E46">
            <v>65145</v>
          </cell>
          <cell r="H46">
            <v>15385</v>
          </cell>
          <cell r="I46">
            <v>14126</v>
          </cell>
          <cell r="J46">
            <v>298663</v>
          </cell>
          <cell r="M46">
            <v>-30562</v>
          </cell>
          <cell r="N46">
            <v>14126</v>
          </cell>
          <cell r="O46">
            <v>993895</v>
          </cell>
          <cell r="R46">
            <v>-81552</v>
          </cell>
          <cell r="S46">
            <v>-46939</v>
          </cell>
          <cell r="V46" t="str">
            <v>Embedded</v>
          </cell>
          <cell r="W46" t="str">
            <v>IT</v>
          </cell>
          <cell r="AA46" t="str">
            <v>[10601]  Commonwealth Edison CompanyEmbeddedIT</v>
          </cell>
          <cell r="AB46" t="str">
            <v>[10601]  Commonwealth Edison CompanyEmbedded (IT)Salaries and Wages</v>
          </cell>
          <cell r="AC46" t="str">
            <v>[10601]  Commonwealth Edison CompanyEmbedded (IT)IT Real Time - CED (00313)</v>
          </cell>
          <cell r="AF46" t="e">
            <v>#N/A</v>
          </cell>
        </row>
        <row r="47">
          <cell r="E47">
            <v>217</v>
          </cell>
          <cell r="H47">
            <v>1616</v>
          </cell>
          <cell r="I47">
            <v>1733</v>
          </cell>
          <cell r="J47">
            <v>420</v>
          </cell>
          <cell r="M47">
            <v>9666</v>
          </cell>
          <cell r="N47">
            <v>1733</v>
          </cell>
          <cell r="O47">
            <v>16020</v>
          </cell>
          <cell r="R47">
            <v>17980</v>
          </cell>
          <cell r="S47">
            <v>1733</v>
          </cell>
          <cell r="V47" t="str">
            <v>Embedded</v>
          </cell>
          <cell r="W47" t="str">
            <v>IT</v>
          </cell>
          <cell r="AA47" t="str">
            <v>[10601]  Commonwealth Edison CompanyEmbeddedIT</v>
          </cell>
          <cell r="AB47" t="str">
            <v>[10601]  Commonwealth Edison CompanyEmbedded (IT)Travel, Entertainment &amp; Reimb</v>
          </cell>
          <cell r="AC47" t="str">
            <v>[10601]  Commonwealth Edison CompanyEmbedded (IT)IT Real Time - CED (00313)</v>
          </cell>
          <cell r="AF47" t="e">
            <v>#N/A</v>
          </cell>
        </row>
        <row r="48">
          <cell r="E48">
            <v>12587</v>
          </cell>
          <cell r="H48">
            <v>533</v>
          </cell>
          <cell r="I48">
            <v>533</v>
          </cell>
          <cell r="J48">
            <v>57979</v>
          </cell>
          <cell r="M48">
            <v>-2219</v>
          </cell>
          <cell r="N48">
            <v>533</v>
          </cell>
          <cell r="O48">
            <v>87499</v>
          </cell>
          <cell r="R48">
            <v>-2219</v>
          </cell>
          <cell r="S48">
            <v>533</v>
          </cell>
          <cell r="V48" t="str">
            <v>Embedded</v>
          </cell>
          <cell r="W48" t="str">
            <v>IT</v>
          </cell>
          <cell r="AA48" t="str">
            <v>[10601]  Commonwealth Edison CompanyEmbeddedIT</v>
          </cell>
          <cell r="AB48" t="str">
            <v>[10601]  Commonwealth Edison CompanyEmbedded (IT)Contracting</v>
          </cell>
          <cell r="AC48" t="str">
            <v>[10601]  Commonwealth Edison CompanyEmbedded (IT)IT Real Time - CED (00313)</v>
          </cell>
          <cell r="AF48" t="e">
            <v>#N/A</v>
          </cell>
        </row>
        <row r="49">
          <cell r="E49">
            <v>8791</v>
          </cell>
          <cell r="H49">
            <v>-4660</v>
          </cell>
          <cell r="I49">
            <v>-4353</v>
          </cell>
          <cell r="J49">
            <v>22263</v>
          </cell>
          <cell r="M49">
            <v>-7826</v>
          </cell>
          <cell r="N49">
            <v>-4353</v>
          </cell>
          <cell r="O49">
            <v>57872</v>
          </cell>
          <cell r="R49">
            <v>-10388</v>
          </cell>
          <cell r="S49">
            <v>-4453</v>
          </cell>
          <cell r="V49" t="str">
            <v>Embedded</v>
          </cell>
          <cell r="W49" t="str">
            <v>IT</v>
          </cell>
          <cell r="AA49" t="str">
            <v>[10601]  Commonwealth Edison CompanyEmbeddedIT</v>
          </cell>
          <cell r="AB49" t="str">
            <v>[10601]  Commonwealth Edison CompanyEmbedded (IT)Business Services</v>
          </cell>
          <cell r="AC49" t="str">
            <v>[10601]  Commonwealth Edison CompanyEmbedded (IT)IT Real Time - CED (00313)</v>
          </cell>
          <cell r="AF49" t="e">
            <v>#N/A</v>
          </cell>
        </row>
        <row r="50">
          <cell r="E50">
            <v>0</v>
          </cell>
          <cell r="H50">
            <v>0</v>
          </cell>
          <cell r="I50">
            <v>0</v>
          </cell>
          <cell r="J50">
            <v>0</v>
          </cell>
          <cell r="M50">
            <v>0</v>
          </cell>
          <cell r="N50">
            <v>0</v>
          </cell>
          <cell r="O50">
            <v>0</v>
          </cell>
          <cell r="R50">
            <v>0</v>
          </cell>
          <cell r="S50">
            <v>0</v>
          </cell>
          <cell r="V50" t="str">
            <v>Embedded</v>
          </cell>
          <cell r="W50" t="str">
            <v>IT</v>
          </cell>
          <cell r="AA50" t="str">
            <v>[10601]  Commonwealth Edison CompanyEmbeddedIT</v>
          </cell>
          <cell r="AB50" t="str">
            <v>[10601]  Commonwealth Edison CompanyEmbedded (IT)Materials and Supplies</v>
          </cell>
          <cell r="AC50" t="str">
            <v>[10601]  Commonwealth Edison CompanyEmbedded (IT)IT Real Time - CED (00313)</v>
          </cell>
          <cell r="AF50" t="e">
            <v>#N/A</v>
          </cell>
        </row>
        <row r="51">
          <cell r="E51">
            <v>0</v>
          </cell>
          <cell r="H51">
            <v>0</v>
          </cell>
          <cell r="I51">
            <v>0</v>
          </cell>
          <cell r="J51">
            <v>148</v>
          </cell>
          <cell r="M51">
            <v>-148</v>
          </cell>
          <cell r="N51">
            <v>0</v>
          </cell>
          <cell r="O51">
            <v>148</v>
          </cell>
          <cell r="R51">
            <v>-148</v>
          </cell>
          <cell r="S51">
            <v>0</v>
          </cell>
          <cell r="V51" t="str">
            <v>Embedded</v>
          </cell>
          <cell r="W51" t="str">
            <v>IT</v>
          </cell>
          <cell r="AA51" t="str">
            <v>[10601]  Commonwealth Edison CompanyEmbeddedIT</v>
          </cell>
          <cell r="AB51" t="str">
            <v>[10601]  Commonwealth Edison CompanyEmbedded (IT)Travel, Entertainment &amp; Reimb</v>
          </cell>
          <cell r="AC51" t="str">
            <v>[10601]  Commonwealth Edison CompanyEmbedded (IT)IT Real Time - CED (00313)</v>
          </cell>
          <cell r="AF51" t="e">
            <v>#N/A</v>
          </cell>
        </row>
        <row r="52">
          <cell r="E52">
            <v>11</v>
          </cell>
          <cell r="H52">
            <v>-11</v>
          </cell>
          <cell r="I52">
            <v>-11</v>
          </cell>
          <cell r="J52">
            <v>116</v>
          </cell>
          <cell r="M52">
            <v>-116</v>
          </cell>
          <cell r="N52">
            <v>-11</v>
          </cell>
          <cell r="O52">
            <v>116</v>
          </cell>
          <cell r="R52">
            <v>-116</v>
          </cell>
          <cell r="S52">
            <v>-11</v>
          </cell>
          <cell r="V52" t="str">
            <v>Embedded</v>
          </cell>
          <cell r="W52" t="str">
            <v>IT</v>
          </cell>
          <cell r="AA52" t="str">
            <v>[10601]  Commonwealth Edison CompanyEmbeddedIT</v>
          </cell>
          <cell r="AB52" t="str">
            <v>[10601]  Commonwealth Edison CompanyEmbedded (IT)Other Operating Expenses</v>
          </cell>
          <cell r="AC52" t="str">
            <v>[10601]  Commonwealth Edison CompanyEmbedded (IT)IT Real Time - CED (00313)</v>
          </cell>
          <cell r="AF52" t="e">
            <v>#N/A</v>
          </cell>
        </row>
        <row r="53">
          <cell r="E53">
            <v>0</v>
          </cell>
          <cell r="H53">
            <v>0</v>
          </cell>
          <cell r="I53">
            <v>0</v>
          </cell>
          <cell r="J53">
            <v>1755</v>
          </cell>
          <cell r="M53">
            <v>-1755</v>
          </cell>
          <cell r="N53">
            <v>0</v>
          </cell>
          <cell r="O53">
            <v>1755</v>
          </cell>
          <cell r="R53">
            <v>-1755</v>
          </cell>
          <cell r="S53">
            <v>0</v>
          </cell>
          <cell r="V53" t="str">
            <v>Embedded</v>
          </cell>
          <cell r="W53" t="str">
            <v>IT</v>
          </cell>
          <cell r="AA53" t="str">
            <v>[10601]  Commonwealth Edison CompanyEmbeddedIT</v>
          </cell>
          <cell r="AB53" t="str">
            <v>[10601]  Commonwealth Edison CompanyEmbedded (IT)Travel, Entertainment &amp; Reimb</v>
          </cell>
          <cell r="AC53" t="str">
            <v>[10601]  Commonwealth Edison CompanyEmbedded (IT)IT Real Time - CED (00313)</v>
          </cell>
          <cell r="AF53" t="e">
            <v>#N/A</v>
          </cell>
        </row>
        <row r="54">
          <cell r="E54">
            <v>-48307</v>
          </cell>
          <cell r="H54">
            <v>83482</v>
          </cell>
          <cell r="I54">
            <v>63763</v>
          </cell>
          <cell r="J54">
            <v>48497</v>
          </cell>
          <cell r="M54">
            <v>113924</v>
          </cell>
          <cell r="N54">
            <v>63763</v>
          </cell>
          <cell r="O54">
            <v>576751</v>
          </cell>
          <cell r="R54">
            <v>362063</v>
          </cell>
          <cell r="S54">
            <v>30944</v>
          </cell>
          <cell r="V54" t="str">
            <v>Embedded</v>
          </cell>
          <cell r="W54" t="str">
            <v>IT</v>
          </cell>
          <cell r="AA54" t="str">
            <v>[10601]  Commonwealth Edison CompanyEmbeddedIT</v>
          </cell>
          <cell r="AB54" t="str">
            <v>[10601]  Commonwealth Edison CompanyEmbedded (IT)Other Operating Expenses</v>
          </cell>
          <cell r="AC54" t="str">
            <v>[10601]  Commonwealth Edison CompanyEmbedded (IT)IT Real Time - CED (00313)</v>
          </cell>
          <cell r="AF54" t="e">
            <v>#N/A</v>
          </cell>
        </row>
        <row r="55">
          <cell r="E55">
            <v>6972</v>
          </cell>
          <cell r="H55">
            <v>-4826</v>
          </cell>
          <cell r="I55">
            <v>-4826</v>
          </cell>
          <cell r="J55">
            <v>21245</v>
          </cell>
          <cell r="M55">
            <v>-8724</v>
          </cell>
          <cell r="N55">
            <v>-4826</v>
          </cell>
          <cell r="O55">
            <v>50974</v>
          </cell>
          <cell r="R55">
            <v>-8474</v>
          </cell>
          <cell r="S55">
            <v>593169</v>
          </cell>
          <cell r="V55" t="str">
            <v>Embedded</v>
          </cell>
          <cell r="W55" t="str">
            <v>IT</v>
          </cell>
          <cell r="AA55" t="str">
            <v>[10601]  Commonwealth Edison CompanyEmbeddedIT</v>
          </cell>
          <cell r="AB55" t="str">
            <v>[10601]  Commonwealth Edison CompanyEmbedded (IT)Other Operating Expenses</v>
          </cell>
          <cell r="AC55" t="str">
            <v>[10601]  Commonwealth Edison CompanyEmbedded (IT)IT Real Time - CED (00313)</v>
          </cell>
          <cell r="AF55" t="e">
            <v>#N/A</v>
          </cell>
        </row>
        <row r="56">
          <cell r="E56">
            <v>48859</v>
          </cell>
          <cell r="H56">
            <v>4842</v>
          </cell>
          <cell r="I56">
            <v>-48859</v>
          </cell>
          <cell r="J56">
            <v>223997</v>
          </cell>
          <cell r="M56">
            <v>-36315</v>
          </cell>
          <cell r="N56">
            <v>-48859</v>
          </cell>
          <cell r="O56">
            <v>686902</v>
          </cell>
          <cell r="R56">
            <v>-69613</v>
          </cell>
          <cell r="S56">
            <v>-511763</v>
          </cell>
          <cell r="V56" t="str">
            <v>Embedded</v>
          </cell>
          <cell r="W56" t="str">
            <v>IT</v>
          </cell>
          <cell r="AA56" t="str">
            <v>[10601]  Commonwealth Edison CompanyEmbeddedIT</v>
          </cell>
          <cell r="AB56" t="str">
            <v>[10601]  Commonwealth Edison CompanyEmbedded (IT)Pension and Benefits</v>
          </cell>
          <cell r="AC56" t="str">
            <v>[10601]  Commonwealth Edison CompanyEmbedded (IT)IT Real Time - CED (00313)</v>
          </cell>
          <cell r="AF56" t="e">
            <v>#N/A</v>
          </cell>
        </row>
        <row r="57">
          <cell r="E57">
            <v>2778152</v>
          </cell>
          <cell r="H57">
            <v>-209559</v>
          </cell>
          <cell r="I57">
            <v>-209559</v>
          </cell>
          <cell r="J57">
            <v>10372921</v>
          </cell>
          <cell r="M57">
            <v>-98547</v>
          </cell>
          <cell r="N57">
            <v>-209559</v>
          </cell>
          <cell r="O57">
            <v>32804705</v>
          </cell>
          <cell r="R57">
            <v>-1981582</v>
          </cell>
          <cell r="S57">
            <v>-1088344</v>
          </cell>
          <cell r="V57" t="str">
            <v>EBSC Transactional</v>
          </cell>
          <cell r="W57" t="str">
            <v>IT</v>
          </cell>
          <cell r="AA57" t="str">
            <v>[10601]  Commonwealth Edison CompanyEBSC TransactionalIT</v>
          </cell>
          <cell r="AB57" t="str">
            <v>[10601]  Commonwealth Edison CompanyEBSC Transactional (IT)Business Services</v>
          </cell>
          <cell r="AC57" t="str">
            <v>[10601]  Commonwealth Edison CompanyEBSC Transactional (IT)EBSC IT Serv - CED (00314)</v>
          </cell>
          <cell r="AF57" t="e">
            <v>#N/A</v>
          </cell>
        </row>
        <row r="58">
          <cell r="E58">
            <v>0</v>
          </cell>
          <cell r="H58">
            <v>0</v>
          </cell>
          <cell r="I58">
            <v>0</v>
          </cell>
          <cell r="J58">
            <v>546</v>
          </cell>
          <cell r="M58">
            <v>-546</v>
          </cell>
          <cell r="N58">
            <v>0</v>
          </cell>
          <cell r="O58">
            <v>546</v>
          </cell>
          <cell r="R58">
            <v>-546</v>
          </cell>
          <cell r="S58">
            <v>0</v>
          </cell>
          <cell r="V58" t="str">
            <v>EBSC Transactional</v>
          </cell>
          <cell r="W58" t="str">
            <v>IT</v>
          </cell>
          <cell r="AA58" t="str">
            <v>[10601]  Commonwealth Edison CompanyEBSC TransactionalIT</v>
          </cell>
          <cell r="AB58" t="str">
            <v>[10601]  Commonwealth Edison CompanyEBSC Transactional (IT)Other Operating Expenses</v>
          </cell>
          <cell r="AC58" t="str">
            <v>[10601]  Commonwealth Edison CompanyEBSC Transactional (IT)EBSC IT Serv - CED (00314)</v>
          </cell>
          <cell r="AF58" t="e">
            <v>#N/A</v>
          </cell>
        </row>
        <row r="59">
          <cell r="E59">
            <v>189</v>
          </cell>
          <cell r="H59">
            <v>-189</v>
          </cell>
          <cell r="I59">
            <v>-189</v>
          </cell>
          <cell r="J59">
            <v>6891</v>
          </cell>
          <cell r="M59">
            <v>-6891</v>
          </cell>
          <cell r="N59">
            <v>-189</v>
          </cell>
          <cell r="O59">
            <v>6891</v>
          </cell>
          <cell r="R59">
            <v>-6891</v>
          </cell>
          <cell r="S59">
            <v>-900674</v>
          </cell>
          <cell r="V59" t="str">
            <v>EBSC Transactional</v>
          </cell>
          <cell r="W59" t="str">
            <v>IT</v>
          </cell>
          <cell r="AA59" t="str">
            <v>[10601]  Commonwealth Edison CompanyEBSC TransactionalIT</v>
          </cell>
          <cell r="AB59" t="str">
            <v>[10601]  Commonwealth Edison CompanyEBSC Transactional (IT)Other Operating Expenses</v>
          </cell>
          <cell r="AC59" t="str">
            <v>[10601]  Commonwealth Edison CompanyEBSC Transactional (IT)EBSC IT Serv - CED (00314)</v>
          </cell>
          <cell r="AF59" t="e">
            <v>#N/A</v>
          </cell>
        </row>
        <row r="60">
          <cell r="E60">
            <v>1063173</v>
          </cell>
          <cell r="H60">
            <v>-467970</v>
          </cell>
          <cell r="I60">
            <v>-372856</v>
          </cell>
          <cell r="J60">
            <v>3304802</v>
          </cell>
          <cell r="M60">
            <v>30848</v>
          </cell>
          <cell r="N60">
            <v>-372856</v>
          </cell>
          <cell r="O60">
            <v>9713037</v>
          </cell>
          <cell r="R60">
            <v>-724804</v>
          </cell>
          <cell r="S60">
            <v>-920376</v>
          </cell>
          <cell r="V60" t="str">
            <v>Corporate Allocated</v>
          </cell>
          <cell r="W60" t="str">
            <v>Communications</v>
          </cell>
          <cell r="AA60" t="str">
            <v>[10601]  Commonwealth Edison CompanyCorporate AllocatedCommunications</v>
          </cell>
          <cell r="AB60" t="str">
            <v>[10601]  Commonwealth Edison CompanyCorporate Allocated (Communications)Business Services</v>
          </cell>
          <cell r="AC60" t="str">
            <v>[10601]  Commonwealth Edison CompanyCorporate Allocated (Communications)EBSC Comm Srvcs - ComEd (00345)</v>
          </cell>
          <cell r="AF60" t="e">
            <v>#N/A</v>
          </cell>
        </row>
        <row r="61">
          <cell r="E61">
            <v>596283</v>
          </cell>
          <cell r="H61">
            <v>158354</v>
          </cell>
          <cell r="I61">
            <v>148940</v>
          </cell>
          <cell r="J61">
            <v>2350651</v>
          </cell>
          <cell r="M61">
            <v>670320</v>
          </cell>
          <cell r="N61">
            <v>148940</v>
          </cell>
          <cell r="O61">
            <v>8692192</v>
          </cell>
          <cell r="R61">
            <v>719417</v>
          </cell>
          <cell r="S61">
            <v>256571</v>
          </cell>
          <cell r="V61" t="str">
            <v>Corporate Allocated</v>
          </cell>
          <cell r="W61" t="str">
            <v>Legal Governance</v>
          </cell>
          <cell r="AA61" t="str">
            <v>[10601]  Commonwealth Edison CompanyCorporate AllocatedLegal Governance</v>
          </cell>
          <cell r="AB61" t="str">
            <v>[10601]  Commonwealth Edison CompanyCorporate Allocated (Legal Governance)Business Services</v>
          </cell>
          <cell r="AC61" t="str">
            <v>[10601]  Commonwealth Edison CompanyCorporate Allocated (Legal Governance)EBSC Leg Gov - ComEd (00354)</v>
          </cell>
          <cell r="AF61" t="e">
            <v>#N/A</v>
          </cell>
        </row>
        <row r="62">
          <cell r="E62">
            <v>4090059</v>
          </cell>
          <cell r="H62">
            <v>-2834040</v>
          </cell>
          <cell r="I62">
            <v>-2446437</v>
          </cell>
          <cell r="J62">
            <v>9188475</v>
          </cell>
          <cell r="M62">
            <v>-3518149</v>
          </cell>
          <cell r="N62">
            <v>-2446437</v>
          </cell>
          <cell r="O62">
            <v>20890533</v>
          </cell>
          <cell r="R62">
            <v>-2663348</v>
          </cell>
          <cell r="S62">
            <v>830371</v>
          </cell>
          <cell r="V62" t="str">
            <v>Corporate Allocated</v>
          </cell>
          <cell r="W62" t="str">
            <v>Executive Services</v>
          </cell>
          <cell r="AA62" t="str">
            <v>[10601]  Commonwealth Edison CompanyCorporate AllocatedExecutive Services</v>
          </cell>
          <cell r="AB62" t="str">
            <v>[10601]  Commonwealth Edison CompanyCorporate Allocated (Executive Services)Business Services</v>
          </cell>
          <cell r="AC62" t="str">
            <v>[10601]  Commonwealth Edison CompanyCorporate Allocated (Executive Services)EBSC Exec Srvcs - ComEd (00365)</v>
          </cell>
          <cell r="AF62" t="e">
            <v>#N/A</v>
          </cell>
        </row>
        <row r="63">
          <cell r="E63">
            <v>512559</v>
          </cell>
          <cell r="H63">
            <v>109635</v>
          </cell>
          <cell r="I63">
            <v>109635</v>
          </cell>
          <cell r="J63">
            <v>2205671</v>
          </cell>
          <cell r="M63">
            <v>283106</v>
          </cell>
          <cell r="N63">
            <v>109635</v>
          </cell>
          <cell r="O63">
            <v>7183227</v>
          </cell>
          <cell r="R63">
            <v>283106</v>
          </cell>
          <cell r="S63">
            <v>109635</v>
          </cell>
          <cell r="V63" t="str">
            <v>EBSC Transactional</v>
          </cell>
          <cell r="W63" t="str">
            <v>HR &amp; Fin Srvcs</v>
          </cell>
          <cell r="AA63" t="str">
            <v>[10601]  Commonwealth Edison CompanyEBSC TransactionalHR &amp; Fin Srvcs</v>
          </cell>
          <cell r="AB63" t="str">
            <v>[10601]  Commonwealth Edison CompanyEBSC Transactional (HR &amp; Fin Srvcs)Business Services</v>
          </cell>
          <cell r="AC63" t="str">
            <v>[10601]  Commonwealth Edison CompanyEBSC Transactional (HR &amp; Fin Srvcs)EBSC HR &amp; Fin Srvcs - ComEd (00372)</v>
          </cell>
          <cell r="AF63" t="e">
            <v>#N/A</v>
          </cell>
        </row>
        <row r="64">
          <cell r="E64">
            <v>66692</v>
          </cell>
          <cell r="H64">
            <v>8125</v>
          </cell>
          <cell r="I64">
            <v>2390</v>
          </cell>
          <cell r="J64">
            <v>265960</v>
          </cell>
          <cell r="M64">
            <v>35616</v>
          </cell>
          <cell r="N64">
            <v>2390</v>
          </cell>
          <cell r="O64">
            <v>912654</v>
          </cell>
          <cell r="R64">
            <v>15225</v>
          </cell>
          <cell r="S64">
            <v>2390</v>
          </cell>
          <cell r="V64" t="str">
            <v>Corporate Allocated</v>
          </cell>
          <cell r="W64" t="str">
            <v>Security</v>
          </cell>
          <cell r="AA64" t="str">
            <v>[10601]  Commonwealth Edison CompanyCorporate AllocatedSecurity</v>
          </cell>
          <cell r="AB64" t="str">
            <v>[10601]  Commonwealth Edison CompanyCorporate Allocated (Security)Business Services</v>
          </cell>
          <cell r="AC64" t="str">
            <v>[10601]  Commonwealth Edison CompanyCorporate Allocated (Security)EBSC Security Srvcs - CED (00379)</v>
          </cell>
          <cell r="AF64" t="e">
            <v>#N/A</v>
          </cell>
        </row>
        <row r="65">
          <cell r="E65">
            <v>591841</v>
          </cell>
          <cell r="H65">
            <v>137484</v>
          </cell>
          <cell r="I65">
            <v>137484</v>
          </cell>
          <cell r="J65">
            <v>2690816</v>
          </cell>
          <cell r="M65">
            <v>226484</v>
          </cell>
          <cell r="N65">
            <v>137484</v>
          </cell>
          <cell r="O65">
            <v>8351888</v>
          </cell>
          <cell r="R65">
            <v>399999</v>
          </cell>
          <cell r="S65">
            <v>149995</v>
          </cell>
          <cell r="V65" t="str">
            <v>EBSC Transactional</v>
          </cell>
          <cell r="W65" t="str">
            <v>Legal Services</v>
          </cell>
          <cell r="AA65" t="str">
            <v>[10601]  Commonwealth Edison CompanyEBSC TransactionalLegal Services</v>
          </cell>
          <cell r="AB65" t="str">
            <v>[10601]  Commonwealth Edison CompanyEBSC Transactional (Legal Services)Business Services</v>
          </cell>
          <cell r="AC65" t="str">
            <v>[10601]  Commonwealth Edison CompanyEBSC Transactional (Legal Services)EBSC Legal Srvcs - CED (00384)</v>
          </cell>
          <cell r="AF65" t="e">
            <v>#N/A</v>
          </cell>
        </row>
        <row r="66">
          <cell r="E66">
            <v>186966</v>
          </cell>
          <cell r="H66">
            <v>10741</v>
          </cell>
          <cell r="I66">
            <v>41554</v>
          </cell>
          <cell r="J66">
            <v>778117</v>
          </cell>
          <cell r="M66">
            <v>18292</v>
          </cell>
          <cell r="N66">
            <v>41554</v>
          </cell>
          <cell r="O66">
            <v>2350204</v>
          </cell>
          <cell r="R66">
            <v>155543</v>
          </cell>
          <cell r="S66">
            <v>37666</v>
          </cell>
          <cell r="V66" t="str">
            <v>Corporate Allocated</v>
          </cell>
          <cell r="W66" t="str">
            <v>Supply Services</v>
          </cell>
          <cell r="AA66" t="str">
            <v>[10601]  Commonwealth Edison CompanyCorporate AllocatedSupply Services</v>
          </cell>
          <cell r="AB66" t="str">
            <v>[10601]  Commonwealth Edison CompanyCorporate Allocated (Supply Services)Business Services</v>
          </cell>
          <cell r="AC66" t="str">
            <v>[10601]  Commonwealth Edison CompanyCorporate Allocated (Supply Services)EBSC Sup Srvcs -CED (00390)</v>
          </cell>
          <cell r="AF66" t="e">
            <v>#N/A</v>
          </cell>
        </row>
        <row r="67">
          <cell r="E67">
            <v>39</v>
          </cell>
          <cell r="H67">
            <v>-39</v>
          </cell>
          <cell r="I67">
            <v>-39</v>
          </cell>
          <cell r="J67">
            <v>39</v>
          </cell>
          <cell r="M67">
            <v>-39</v>
          </cell>
          <cell r="N67">
            <v>-39</v>
          </cell>
          <cell r="O67">
            <v>8478</v>
          </cell>
          <cell r="R67">
            <v>-8478</v>
          </cell>
          <cell r="S67">
            <v>-8478</v>
          </cell>
          <cell r="V67" t="str">
            <v>EBSC Transactional</v>
          </cell>
          <cell r="W67" t="str">
            <v>IT</v>
          </cell>
          <cell r="AA67" t="str">
            <v>[10601]  Commonwealth Edison CompanyEBSC TransactionalIT</v>
          </cell>
          <cell r="AB67" t="str">
            <v>[10601]  Commonwealth Edison CompanyEBSC Transactional (IT)Salaries and Wages</v>
          </cell>
          <cell r="AC67" t="str">
            <v>[10601]  Commonwealth Edison CompanyEBSC Transactional (IT)IT Projects - COMED (00395)</v>
          </cell>
          <cell r="AF67" t="e">
            <v>#N/A</v>
          </cell>
        </row>
        <row r="68">
          <cell r="E68">
            <v>1856</v>
          </cell>
          <cell r="H68">
            <v>-1856</v>
          </cell>
          <cell r="I68">
            <v>40446</v>
          </cell>
          <cell r="J68">
            <v>9696</v>
          </cell>
          <cell r="M68">
            <v>115304</v>
          </cell>
          <cell r="N68">
            <v>40446</v>
          </cell>
          <cell r="O68">
            <v>469808</v>
          </cell>
          <cell r="R68">
            <v>-344808</v>
          </cell>
          <cell r="S68">
            <v>-407554</v>
          </cell>
          <cell r="V68" t="str">
            <v>EBSC Transactional</v>
          </cell>
          <cell r="W68" t="str">
            <v>IT</v>
          </cell>
          <cell r="AA68" t="str">
            <v>[10601]  Commonwealth Edison CompanyEBSC TransactionalIT</v>
          </cell>
          <cell r="AB68" t="str">
            <v>[10601]  Commonwealth Edison CompanyEBSC Transactional (IT)Contracting</v>
          </cell>
          <cell r="AC68" t="str">
            <v>[10601]  Commonwealth Edison CompanyEBSC Transactional (IT)IT Projects - COMED (00395)</v>
          </cell>
          <cell r="AF68" t="e">
            <v>#N/A</v>
          </cell>
        </row>
        <row r="69">
          <cell r="E69">
            <v>152802</v>
          </cell>
          <cell r="H69">
            <v>-152802</v>
          </cell>
          <cell r="I69">
            <v>-100302</v>
          </cell>
          <cell r="J69">
            <v>230102</v>
          </cell>
          <cell r="M69">
            <v>-230102</v>
          </cell>
          <cell r="N69">
            <v>-100302</v>
          </cell>
          <cell r="O69">
            <v>431017</v>
          </cell>
          <cell r="R69">
            <v>-431017</v>
          </cell>
          <cell r="S69">
            <v>-186413</v>
          </cell>
          <cell r="V69" t="str">
            <v>EBSC Transactional</v>
          </cell>
          <cell r="W69" t="str">
            <v>IT</v>
          </cell>
          <cell r="AA69" t="str">
            <v>[10601]  Commonwealth Edison CompanyEBSC TransactionalIT</v>
          </cell>
          <cell r="AB69" t="str">
            <v>[10601]  Commonwealth Edison CompanyEBSC Transactional (IT)Business Services</v>
          </cell>
          <cell r="AC69" t="str">
            <v>[10601]  Commonwealth Edison CompanyEBSC Transactional (IT)IT Projects - COMED (00395)</v>
          </cell>
          <cell r="AF69" t="e">
            <v>#N/A</v>
          </cell>
        </row>
        <row r="70">
          <cell r="E70">
            <v>0</v>
          </cell>
          <cell r="H70">
            <v>0</v>
          </cell>
          <cell r="I70">
            <v>0</v>
          </cell>
          <cell r="J70">
            <v>256</v>
          </cell>
          <cell r="M70">
            <v>-256</v>
          </cell>
          <cell r="N70">
            <v>0</v>
          </cell>
          <cell r="O70">
            <v>256</v>
          </cell>
          <cell r="R70">
            <v>-256</v>
          </cell>
          <cell r="S70">
            <v>0</v>
          </cell>
          <cell r="V70" t="str">
            <v>EBSC Transactional</v>
          </cell>
          <cell r="W70" t="str">
            <v>IT</v>
          </cell>
          <cell r="AA70" t="str">
            <v>[10601]  Commonwealth Edison CompanyEBSC TransactionalIT</v>
          </cell>
          <cell r="AB70" t="str">
            <v>[10601]  Commonwealth Edison CompanyEBSC Transactional (IT)Travel, Entertainment &amp; Reimb</v>
          </cell>
          <cell r="AC70" t="str">
            <v>[10601]  Commonwealth Edison CompanyEBSC Transactional (IT)IT Projects - COMED (00395)</v>
          </cell>
          <cell r="AF70" t="e">
            <v>#N/A</v>
          </cell>
        </row>
        <row r="71">
          <cell r="E71">
            <v>0</v>
          </cell>
          <cell r="H71">
            <v>0</v>
          </cell>
          <cell r="I71">
            <v>0</v>
          </cell>
          <cell r="J71">
            <v>33</v>
          </cell>
          <cell r="M71">
            <v>-33</v>
          </cell>
          <cell r="N71">
            <v>0</v>
          </cell>
          <cell r="O71">
            <v>33</v>
          </cell>
          <cell r="R71">
            <v>-33</v>
          </cell>
          <cell r="S71">
            <v>0</v>
          </cell>
          <cell r="V71" t="str">
            <v>EBSC Transactional</v>
          </cell>
          <cell r="W71" t="str">
            <v>IT</v>
          </cell>
          <cell r="AA71" t="str">
            <v>[10601]  Commonwealth Edison CompanyEBSC TransactionalIT</v>
          </cell>
          <cell r="AB71" t="str">
            <v>[10601]  Commonwealth Edison CompanyEBSC Transactional (IT)Other Operating Expenses</v>
          </cell>
          <cell r="AC71" t="str">
            <v>[10601]  Commonwealth Edison CompanyEBSC Transactional (IT)IT Projects - COMED (00395)</v>
          </cell>
          <cell r="AF71" t="e">
            <v>#N/A</v>
          </cell>
        </row>
        <row r="72">
          <cell r="E72">
            <v>176</v>
          </cell>
          <cell r="H72">
            <v>-176</v>
          </cell>
          <cell r="I72">
            <v>-176</v>
          </cell>
          <cell r="J72">
            <v>999</v>
          </cell>
          <cell r="M72">
            <v>-999</v>
          </cell>
          <cell r="N72">
            <v>-176</v>
          </cell>
          <cell r="O72">
            <v>33435</v>
          </cell>
          <cell r="R72">
            <v>841565</v>
          </cell>
          <cell r="S72">
            <v>-32611</v>
          </cell>
          <cell r="V72" t="str">
            <v>EBSC Transactional</v>
          </cell>
          <cell r="W72" t="str">
            <v>IT</v>
          </cell>
          <cell r="AA72" t="str">
            <v>[10601]  Commonwealth Edison CompanyEBSC TransactionalIT</v>
          </cell>
          <cell r="AB72" t="str">
            <v>[10601]  Commonwealth Edison CompanyEBSC Transactional (IT)Other Operating Expenses</v>
          </cell>
          <cell r="AC72" t="str">
            <v>[10601]  Commonwealth Edison CompanyEBSC Transactional (IT)IT Projects - COMED (00395)</v>
          </cell>
          <cell r="AF72" t="e">
            <v>#N/A</v>
          </cell>
        </row>
        <row r="73">
          <cell r="E73">
            <v>0</v>
          </cell>
          <cell r="H73">
            <v>0</v>
          </cell>
          <cell r="I73">
            <v>0</v>
          </cell>
          <cell r="J73">
            <v>0</v>
          </cell>
          <cell r="M73">
            <v>0</v>
          </cell>
          <cell r="N73">
            <v>0</v>
          </cell>
          <cell r="R73">
            <v>0</v>
          </cell>
          <cell r="S73">
            <v>693129</v>
          </cell>
          <cell r="V73" t="str">
            <v>EBSC Transactional</v>
          </cell>
          <cell r="W73" t="str">
            <v>IT</v>
          </cell>
          <cell r="AA73" t="str">
            <v>[10601]  Commonwealth Edison CompanyEBSC TransactionalIT</v>
          </cell>
          <cell r="AB73" t="str">
            <v>[10601]  Commonwealth Edison CompanyEBSC Transactional (IT)Other Operating Expenses</v>
          </cell>
          <cell r="AC73" t="str">
            <v>[10601]  Commonwealth Edison CompanyEBSC Transactional (IT)IT Projects - COMED (00395)</v>
          </cell>
          <cell r="AF73" t="e">
            <v>#N/A</v>
          </cell>
        </row>
        <row r="74">
          <cell r="E74">
            <v>29</v>
          </cell>
          <cell r="H74">
            <v>-29</v>
          </cell>
          <cell r="I74">
            <v>-29</v>
          </cell>
          <cell r="J74">
            <v>29</v>
          </cell>
          <cell r="M74">
            <v>-29</v>
          </cell>
          <cell r="N74">
            <v>-29</v>
          </cell>
          <cell r="O74">
            <v>5916</v>
          </cell>
          <cell r="R74">
            <v>-5916</v>
          </cell>
          <cell r="S74">
            <v>-5916</v>
          </cell>
          <cell r="V74" t="str">
            <v>EBSC Transactional</v>
          </cell>
          <cell r="W74" t="str">
            <v>IT</v>
          </cell>
          <cell r="AA74" t="str">
            <v>[10601]  Commonwealth Edison CompanyEBSC TransactionalIT</v>
          </cell>
          <cell r="AB74" t="str">
            <v>[10601]  Commonwealth Edison CompanyEBSC Transactional (IT)Pension and Benefits</v>
          </cell>
          <cell r="AC74" t="str">
            <v>[10601]  Commonwealth Edison CompanyEBSC Transactional (IT)IT Projects - COMED (00395)</v>
          </cell>
          <cell r="AF74" t="e">
            <v>#N/A</v>
          </cell>
        </row>
        <row r="75">
          <cell r="E75">
            <v>105716</v>
          </cell>
          <cell r="H75">
            <v>-29925</v>
          </cell>
          <cell r="I75">
            <v>-28665</v>
          </cell>
          <cell r="J75">
            <v>431128</v>
          </cell>
          <cell r="M75">
            <v>-129262</v>
          </cell>
          <cell r="N75">
            <v>-28665</v>
          </cell>
          <cell r="O75">
            <v>1391805</v>
          </cell>
          <cell r="R75">
            <v>-361134</v>
          </cell>
          <cell r="S75">
            <v>-377194</v>
          </cell>
          <cell r="V75" t="str">
            <v>Embedded</v>
          </cell>
          <cell r="W75" t="str">
            <v>Finance</v>
          </cell>
          <cell r="AA75" t="str">
            <v>[10601]  Commonwealth Edison CompanyEmbeddedFinance</v>
          </cell>
          <cell r="AB75" t="str">
            <v>[10601]  Commonwealth Edison CompanyEmbedded (Finance)EDSS</v>
          </cell>
          <cell r="AC75" t="str">
            <v>[10601]  Commonwealth Edison CompanyEmbedded (Finance)EDSS Fin Srvcs CED (00398)</v>
          </cell>
          <cell r="AF75" t="str">
            <v>EEDControllerEDSS</v>
          </cell>
        </row>
        <row r="76">
          <cell r="E76">
            <v>1778</v>
          </cell>
          <cell r="H76">
            <v>-1778</v>
          </cell>
          <cell r="I76">
            <v>-1778</v>
          </cell>
          <cell r="J76">
            <v>3941</v>
          </cell>
          <cell r="M76">
            <v>-3941</v>
          </cell>
          <cell r="N76">
            <v>-1778</v>
          </cell>
          <cell r="O76">
            <v>3941</v>
          </cell>
          <cell r="R76">
            <v>-3941</v>
          </cell>
          <cell r="S76">
            <v>-1778</v>
          </cell>
          <cell r="V76" t="str">
            <v>Embedded</v>
          </cell>
          <cell r="W76" t="str">
            <v>Legal Services</v>
          </cell>
          <cell r="AA76" t="str">
            <v>[10601]  Commonwealth Edison CompanyEmbeddedLegal Services</v>
          </cell>
          <cell r="AB76" t="str">
            <v>[10601]  Commonwealth Edison CompanyEmbedded (Legal Services)Travel, Entertainment &amp; Reimb</v>
          </cell>
          <cell r="AC76" t="str">
            <v>[10601]  Commonwealth Edison CompanyEmbedded (Legal Services)Legal Ext. Srvcs - COMED (00402)</v>
          </cell>
          <cell r="AF76" t="e">
            <v>#N/A</v>
          </cell>
        </row>
        <row r="77">
          <cell r="E77">
            <v>1169902</v>
          </cell>
          <cell r="H77">
            <v>-88502</v>
          </cell>
          <cell r="I77">
            <v>22134</v>
          </cell>
          <cell r="J77">
            <v>3727662</v>
          </cell>
          <cell r="M77">
            <v>597940</v>
          </cell>
          <cell r="N77">
            <v>22134</v>
          </cell>
          <cell r="O77">
            <v>12656990</v>
          </cell>
          <cell r="R77">
            <v>319829</v>
          </cell>
          <cell r="S77">
            <v>5429</v>
          </cell>
          <cell r="V77" t="str">
            <v>Embedded</v>
          </cell>
          <cell r="W77" t="str">
            <v>Legal Services</v>
          </cell>
          <cell r="AA77" t="str">
            <v>[10601]  Commonwealth Edison CompanyEmbeddedLegal Services</v>
          </cell>
          <cell r="AB77" t="str">
            <v>[10601]  Commonwealth Edison CompanyEmbedded (Legal Services)Contracting</v>
          </cell>
          <cell r="AC77" t="str">
            <v>[10601]  Commonwealth Edison CompanyEmbedded (Legal Services)Legal Ext. Srvcs - COMED (00402)</v>
          </cell>
          <cell r="AF77" t="e">
            <v>#N/A</v>
          </cell>
        </row>
        <row r="78">
          <cell r="E78">
            <v>1256</v>
          </cell>
          <cell r="H78">
            <v>-1256</v>
          </cell>
          <cell r="I78">
            <v>-1256</v>
          </cell>
          <cell r="J78">
            <v>3907</v>
          </cell>
          <cell r="M78">
            <v>-3907</v>
          </cell>
          <cell r="N78">
            <v>-1256</v>
          </cell>
          <cell r="O78">
            <v>3907</v>
          </cell>
          <cell r="R78">
            <v>-3907</v>
          </cell>
          <cell r="S78">
            <v>-1256</v>
          </cell>
          <cell r="V78" t="str">
            <v>Embedded</v>
          </cell>
          <cell r="W78" t="str">
            <v>Legal Services</v>
          </cell>
          <cell r="AA78" t="str">
            <v>[10601]  Commonwealth Edison CompanyEmbeddedLegal Services</v>
          </cell>
          <cell r="AB78" t="str">
            <v>[10601]  Commonwealth Edison CompanyEmbedded (Legal Services)Business Services</v>
          </cell>
          <cell r="AC78" t="str">
            <v>[10601]  Commonwealth Edison CompanyEmbedded (Legal Services)Legal Ext. Srvcs - COMED (00402)</v>
          </cell>
          <cell r="AF78" t="e">
            <v>#N/A</v>
          </cell>
        </row>
        <row r="79">
          <cell r="E79">
            <v>0</v>
          </cell>
          <cell r="H79">
            <v>0</v>
          </cell>
          <cell r="I79">
            <v>0</v>
          </cell>
          <cell r="J79">
            <v>1410</v>
          </cell>
          <cell r="M79">
            <v>-1410</v>
          </cell>
          <cell r="N79">
            <v>0</v>
          </cell>
          <cell r="O79">
            <v>1410</v>
          </cell>
          <cell r="R79">
            <v>-1410</v>
          </cell>
          <cell r="S79">
            <v>0</v>
          </cell>
          <cell r="V79" t="str">
            <v>Embedded</v>
          </cell>
          <cell r="W79" t="str">
            <v>Legal Services</v>
          </cell>
          <cell r="AA79" t="str">
            <v>[10601]  Commonwealth Edison CompanyEmbeddedLegal Services</v>
          </cell>
          <cell r="AB79" t="str">
            <v>[10601]  Commonwealth Edison CompanyEmbedded (Legal Services)Travel, Entertainment &amp; Reimb</v>
          </cell>
          <cell r="AC79" t="str">
            <v>[10601]  Commonwealth Edison CompanyEmbedded (Legal Services)Legal Ext. Srvcs - COMED (00402)</v>
          </cell>
          <cell r="AF79" t="e">
            <v>#N/A</v>
          </cell>
        </row>
        <row r="80">
          <cell r="E80">
            <v>379</v>
          </cell>
          <cell r="H80">
            <v>-379</v>
          </cell>
          <cell r="I80">
            <v>-379</v>
          </cell>
          <cell r="J80">
            <v>4283</v>
          </cell>
          <cell r="M80">
            <v>-4283</v>
          </cell>
          <cell r="N80">
            <v>-379</v>
          </cell>
          <cell r="O80">
            <v>4283</v>
          </cell>
          <cell r="R80">
            <v>-4283</v>
          </cell>
          <cell r="S80">
            <v>-379</v>
          </cell>
          <cell r="V80" t="str">
            <v>Embedded</v>
          </cell>
          <cell r="W80" t="str">
            <v>Legal Services</v>
          </cell>
          <cell r="AA80" t="str">
            <v>[10601]  Commonwealth Edison CompanyEmbeddedLegal Services</v>
          </cell>
          <cell r="AB80" t="str">
            <v>[10601]  Commonwealth Edison CompanyEmbedded (Legal Services)Other Operating Expenses</v>
          </cell>
          <cell r="AC80" t="str">
            <v>[10601]  Commonwealth Edison CompanyEmbedded (Legal Services)Legal Ext. Srvcs - COMED (00402)</v>
          </cell>
          <cell r="AF80" t="e">
            <v>#N/A</v>
          </cell>
        </row>
        <row r="81">
          <cell r="E81">
            <v>2015</v>
          </cell>
          <cell r="H81">
            <v>-2015</v>
          </cell>
          <cell r="I81">
            <v>-2015</v>
          </cell>
          <cell r="J81">
            <v>6289</v>
          </cell>
          <cell r="M81">
            <v>-6289</v>
          </cell>
          <cell r="N81">
            <v>-2015</v>
          </cell>
          <cell r="O81">
            <v>6289</v>
          </cell>
          <cell r="R81">
            <v>-6289</v>
          </cell>
          <cell r="S81">
            <v>-2015</v>
          </cell>
          <cell r="V81" t="str">
            <v>Embedded</v>
          </cell>
          <cell r="W81" t="str">
            <v>Legal Services</v>
          </cell>
          <cell r="AA81" t="str">
            <v>[10601]  Commonwealth Edison CompanyEmbeddedLegal Services</v>
          </cell>
          <cell r="AB81" t="str">
            <v>[10601]  Commonwealth Edison CompanyEmbedded (Legal Services)Other Operating Expenses</v>
          </cell>
          <cell r="AC81" t="str">
            <v>[10601]  Commonwealth Edison CompanyEmbedded (Legal Services)Legal Ext. Srvcs - COMED (00402)</v>
          </cell>
          <cell r="AF81" t="e">
            <v>#N/A</v>
          </cell>
        </row>
        <row r="82">
          <cell r="E82">
            <v>0</v>
          </cell>
          <cell r="H82">
            <v>0</v>
          </cell>
          <cell r="I82">
            <v>0</v>
          </cell>
          <cell r="J82">
            <v>-1435</v>
          </cell>
          <cell r="M82">
            <v>1435</v>
          </cell>
          <cell r="N82">
            <v>0</v>
          </cell>
          <cell r="O82">
            <v>-1435</v>
          </cell>
          <cell r="R82">
            <v>1435</v>
          </cell>
          <cell r="S82">
            <v>0</v>
          </cell>
          <cell r="V82" t="str">
            <v>Embedded</v>
          </cell>
          <cell r="W82" t="str">
            <v>IT</v>
          </cell>
          <cell r="AA82" t="str">
            <v>[10601]  Commonwealth Edison CompanyEmbeddedIT</v>
          </cell>
          <cell r="AB82" t="str">
            <v>[10601]  Commonwealth Edison CompanyEmbedded (IT)Travel, Entertainment &amp; Reimb</v>
          </cell>
          <cell r="AC82" t="str">
            <v>[10601]  Commonwealth Edison CompanyEmbedded (IT)IT passthrough-ComEd (00416)</v>
          </cell>
          <cell r="AF82" t="e">
            <v>#N/A</v>
          </cell>
        </row>
        <row r="83">
          <cell r="E83">
            <v>114</v>
          </cell>
          <cell r="H83">
            <v>311053</v>
          </cell>
          <cell r="I83">
            <v>-114</v>
          </cell>
          <cell r="J83">
            <v>114</v>
          </cell>
          <cell r="M83">
            <v>1244553</v>
          </cell>
          <cell r="N83">
            <v>-114</v>
          </cell>
          <cell r="O83">
            <v>114</v>
          </cell>
          <cell r="R83">
            <v>3733886</v>
          </cell>
          <cell r="S83">
            <v>-114</v>
          </cell>
          <cell r="V83" t="str">
            <v>Embedded</v>
          </cell>
          <cell r="W83" t="str">
            <v>IT</v>
          </cell>
          <cell r="AA83" t="str">
            <v>[10601]  Commonwealth Edison CompanyEmbeddedIT</v>
          </cell>
          <cell r="AB83" t="str">
            <v>[10601]  Commonwealth Edison CompanyEmbedded (IT)Business Services</v>
          </cell>
          <cell r="AC83" t="str">
            <v>[10601]  Commonwealth Edison CompanyEmbedded (IT)IT passthrough-ComEd (00416)</v>
          </cell>
          <cell r="AF83" t="e">
            <v>#N/A</v>
          </cell>
        </row>
        <row r="84">
          <cell r="E84">
            <v>-141</v>
          </cell>
          <cell r="H84">
            <v>141</v>
          </cell>
          <cell r="I84">
            <v>141</v>
          </cell>
          <cell r="J84">
            <v>-141</v>
          </cell>
          <cell r="M84">
            <v>141</v>
          </cell>
          <cell r="N84">
            <v>141</v>
          </cell>
          <cell r="O84">
            <v>-141</v>
          </cell>
          <cell r="R84">
            <v>141</v>
          </cell>
          <cell r="S84">
            <v>141</v>
          </cell>
          <cell r="V84" t="str">
            <v>Embedded</v>
          </cell>
          <cell r="W84" t="str">
            <v>IT</v>
          </cell>
          <cell r="AA84" t="str">
            <v>[10601]  Commonwealth Edison CompanyEmbeddedIT</v>
          </cell>
          <cell r="AB84" t="str">
            <v>[10601]  Commonwealth Edison CompanyEmbedded (IT)Materials and Supplies</v>
          </cell>
          <cell r="AC84" t="str">
            <v>[10601]  Commonwealth Edison CompanyEmbedded (IT)IT passthrough-ComEd (00416)</v>
          </cell>
          <cell r="AF84" t="e">
            <v>#N/A</v>
          </cell>
        </row>
        <row r="85">
          <cell r="E85">
            <v>280631</v>
          </cell>
          <cell r="H85">
            <v>-280631</v>
          </cell>
          <cell r="I85">
            <v>-5631</v>
          </cell>
          <cell r="J85">
            <v>715558</v>
          </cell>
          <cell r="M85">
            <v>-715558</v>
          </cell>
          <cell r="N85">
            <v>-5631</v>
          </cell>
          <cell r="O85">
            <v>3335463</v>
          </cell>
          <cell r="R85">
            <v>-3335463</v>
          </cell>
          <cell r="S85">
            <v>-276045</v>
          </cell>
          <cell r="V85" t="str">
            <v>Embedded</v>
          </cell>
          <cell r="W85" t="str">
            <v>IT</v>
          </cell>
          <cell r="AA85" t="str">
            <v>[10601]  Commonwealth Edison CompanyEmbeddedIT</v>
          </cell>
          <cell r="AB85" t="str">
            <v>[10601]  Commonwealth Edison CompanyEmbedded (IT)Other Operating Expenses</v>
          </cell>
          <cell r="AC85" t="str">
            <v>[10601]  Commonwealth Edison CompanyEmbedded (IT)IT passthrough-ComEd (00416)</v>
          </cell>
          <cell r="AF85" t="e">
            <v>#N/A</v>
          </cell>
        </row>
        <row r="86">
          <cell r="E86">
            <v>0</v>
          </cell>
          <cell r="H86">
            <v>0</v>
          </cell>
          <cell r="I86">
            <v>0</v>
          </cell>
          <cell r="J86">
            <v>0</v>
          </cell>
          <cell r="M86">
            <v>0</v>
          </cell>
          <cell r="N86">
            <v>0</v>
          </cell>
          <cell r="R86">
            <v>0</v>
          </cell>
          <cell r="S86">
            <v>274443</v>
          </cell>
          <cell r="V86" t="str">
            <v>Embedded</v>
          </cell>
          <cell r="W86" t="str">
            <v>IT</v>
          </cell>
          <cell r="AA86" t="str">
            <v>[10601]  Commonwealth Edison CompanyEmbeddedIT</v>
          </cell>
          <cell r="AB86" t="str">
            <v>[10601]  Commonwealth Edison CompanyEmbedded (IT)Other Operating Expenses</v>
          </cell>
          <cell r="AC86" t="str">
            <v>[10601]  Commonwealth Edison CompanyEmbedded (IT)IT passthrough-ComEd (00416)</v>
          </cell>
          <cell r="AF86" t="e">
            <v>#N/A</v>
          </cell>
        </row>
        <row r="87">
          <cell r="E87">
            <v>-13544</v>
          </cell>
          <cell r="H87">
            <v>13544</v>
          </cell>
          <cell r="I87">
            <v>13544</v>
          </cell>
          <cell r="J87">
            <v>54352</v>
          </cell>
          <cell r="M87">
            <v>-54352</v>
          </cell>
          <cell r="N87">
            <v>13544</v>
          </cell>
          <cell r="O87">
            <v>54352</v>
          </cell>
          <cell r="R87">
            <v>-54352</v>
          </cell>
          <cell r="S87">
            <v>13544</v>
          </cell>
          <cell r="V87" t="str">
            <v>Corporate Allocated</v>
          </cell>
          <cell r="W87" t="str">
            <v>Executive Services</v>
          </cell>
          <cell r="AA87" t="str">
            <v>[10601]  Commonwealth Edison CompanyCorporate AllocatedExecutive Services</v>
          </cell>
          <cell r="AB87" t="str">
            <v>[10601]  Commonwealth Edison CompanyCorporate Allocated (Executive Services)Contracting</v>
          </cell>
          <cell r="AC87" t="str">
            <v>[10601]  Commonwealth Edison CompanyCorporate Allocated (Executive Services)Access Implementation (00599)</v>
          </cell>
          <cell r="AF87" t="e">
            <v>#N/A</v>
          </cell>
        </row>
        <row r="88">
          <cell r="E88">
            <v>476</v>
          </cell>
          <cell r="H88">
            <v>-476</v>
          </cell>
          <cell r="I88">
            <v>-476</v>
          </cell>
          <cell r="J88">
            <v>1957</v>
          </cell>
          <cell r="M88">
            <v>-1957</v>
          </cell>
          <cell r="N88">
            <v>-476</v>
          </cell>
          <cell r="O88">
            <v>1957</v>
          </cell>
          <cell r="R88">
            <v>-1957</v>
          </cell>
          <cell r="S88">
            <v>-476</v>
          </cell>
          <cell r="V88" t="str">
            <v>Corporate Allocated</v>
          </cell>
          <cell r="W88" t="str">
            <v>Executive Services</v>
          </cell>
          <cell r="AA88" t="str">
            <v>[10601]  Commonwealth Edison CompanyCorporate AllocatedExecutive Services</v>
          </cell>
          <cell r="AB88" t="str">
            <v>[10601]  Commonwealth Edison CompanyCorporate Allocated (Executive Services)Business Services</v>
          </cell>
          <cell r="AC88" t="str">
            <v>[10601]  Commonwealth Edison CompanyCorporate Allocated (Executive Services)Access Implementation (00599)</v>
          </cell>
          <cell r="AF88" t="e">
            <v>#N/A</v>
          </cell>
        </row>
        <row r="89">
          <cell r="E89">
            <v>2671</v>
          </cell>
          <cell r="H89">
            <v>-2671</v>
          </cell>
          <cell r="I89">
            <v>-2671</v>
          </cell>
          <cell r="J89">
            <v>11053</v>
          </cell>
          <cell r="M89">
            <v>-11053</v>
          </cell>
          <cell r="N89">
            <v>-2671</v>
          </cell>
          <cell r="O89">
            <v>11053</v>
          </cell>
          <cell r="R89">
            <v>-11053</v>
          </cell>
          <cell r="S89">
            <v>-2671</v>
          </cell>
          <cell r="V89" t="str">
            <v>Corporate Allocated</v>
          </cell>
          <cell r="W89" t="str">
            <v>Executive Services</v>
          </cell>
          <cell r="AA89" t="str">
            <v>[10601]  Commonwealth Edison CompanyCorporate AllocatedExecutive Services</v>
          </cell>
          <cell r="AB89" t="str">
            <v>[10601]  Commonwealth Edison CompanyCorporate Allocated (Executive Services)Other Operating Expenses</v>
          </cell>
          <cell r="AC89" t="str">
            <v>[10601]  Commonwealth Edison CompanyCorporate Allocated (Executive Services)Access Implementation (00599)</v>
          </cell>
          <cell r="AF89" t="e">
            <v>#N/A</v>
          </cell>
        </row>
        <row r="90">
          <cell r="E90">
            <v>-170</v>
          </cell>
          <cell r="H90">
            <v>170</v>
          </cell>
          <cell r="I90">
            <v>170</v>
          </cell>
          <cell r="J90">
            <v>-680</v>
          </cell>
          <cell r="M90">
            <v>680</v>
          </cell>
          <cell r="N90">
            <v>170</v>
          </cell>
          <cell r="O90">
            <v>-680</v>
          </cell>
          <cell r="R90">
            <v>680</v>
          </cell>
          <cell r="S90">
            <v>170</v>
          </cell>
          <cell r="V90" t="str">
            <v>Corporate Allocated</v>
          </cell>
          <cell r="W90" t="str">
            <v>Executive Services</v>
          </cell>
          <cell r="AA90" t="str">
            <v>[10601]  Commonwealth Edison CompanyCorporate AllocatedExecutive Services</v>
          </cell>
          <cell r="AB90" t="str">
            <v>[10601]  Commonwealth Edison CompanyCorporate Allocated (Executive Services)Other Operating Expenses</v>
          </cell>
          <cell r="AC90" t="str">
            <v>[10601]  Commonwealth Edison CompanyCorporate Allocated (Executive Services)Access Implementation (00599)</v>
          </cell>
          <cell r="AF90" t="e">
            <v>#N/A</v>
          </cell>
        </row>
        <row r="91">
          <cell r="E91">
            <v>96122</v>
          </cell>
          <cell r="H91">
            <v>-275</v>
          </cell>
          <cell r="I91">
            <v>-35874</v>
          </cell>
          <cell r="J91">
            <v>373970</v>
          </cell>
          <cell r="M91">
            <v>7656</v>
          </cell>
          <cell r="N91">
            <v>-35874</v>
          </cell>
          <cell r="O91">
            <v>876033</v>
          </cell>
          <cell r="R91">
            <v>304317</v>
          </cell>
          <cell r="S91">
            <v>-35874</v>
          </cell>
          <cell r="V91" t="str">
            <v>Embedded</v>
          </cell>
          <cell r="W91" t="str">
            <v>Finance</v>
          </cell>
          <cell r="AA91" t="str">
            <v>[10601]  Commonwealth Edison CompanyEmbeddedFinance</v>
          </cell>
          <cell r="AB91" t="str">
            <v>[10601]  Commonwealth Edison CompanyEmbedded (Finance)Salaries and Wages</v>
          </cell>
          <cell r="AC91" t="str">
            <v>[10601]  Commonwealth Edison CompanyEmbedded (Finance)Finance - ComEd (00816)</v>
          </cell>
          <cell r="AF91" t="str">
            <v>EEDFinanceSalaries and Wages</v>
          </cell>
        </row>
        <row r="92">
          <cell r="E92">
            <v>73</v>
          </cell>
          <cell r="H92">
            <v>2527</v>
          </cell>
          <cell r="I92">
            <v>2527</v>
          </cell>
          <cell r="J92">
            <v>1565</v>
          </cell>
          <cell r="M92">
            <v>8835</v>
          </cell>
          <cell r="N92">
            <v>2527</v>
          </cell>
          <cell r="O92">
            <v>22365</v>
          </cell>
          <cell r="R92">
            <v>8835</v>
          </cell>
          <cell r="S92">
            <v>2527</v>
          </cell>
          <cell r="V92" t="str">
            <v>Embedded</v>
          </cell>
          <cell r="W92" t="str">
            <v>Finance</v>
          </cell>
          <cell r="AA92" t="str">
            <v>[10601]  Commonwealth Edison CompanyEmbeddedFinance</v>
          </cell>
          <cell r="AB92" t="str">
            <v>[10601]  Commonwealth Edison CompanyEmbedded (Finance)Travel, Entertainment &amp; Reimb</v>
          </cell>
          <cell r="AC92" t="str">
            <v>[10601]  Commonwealth Edison CompanyEmbedded (Finance)Finance - ComEd (00816)</v>
          </cell>
          <cell r="AF92" t="str">
            <v>EEDFinanceTravel, Entertainment &amp; Reimb</v>
          </cell>
        </row>
        <row r="93">
          <cell r="E93">
            <v>48067</v>
          </cell>
          <cell r="H93">
            <v>-48067</v>
          </cell>
          <cell r="I93">
            <v>-48067</v>
          </cell>
          <cell r="J93">
            <v>118094</v>
          </cell>
          <cell r="M93">
            <v>-118094</v>
          </cell>
          <cell r="N93">
            <v>-48067</v>
          </cell>
          <cell r="O93">
            <v>118094</v>
          </cell>
          <cell r="R93">
            <v>-118094</v>
          </cell>
          <cell r="S93">
            <v>-48067</v>
          </cell>
          <cell r="V93" t="str">
            <v>Embedded</v>
          </cell>
          <cell r="W93" t="str">
            <v>Finance</v>
          </cell>
          <cell r="AA93" t="str">
            <v>[10601]  Commonwealth Edison CompanyEmbeddedFinance</v>
          </cell>
          <cell r="AB93" t="str">
            <v>[10601]  Commonwealth Edison CompanyEmbedded (Finance)Contracting</v>
          </cell>
          <cell r="AC93" t="str">
            <v>[10601]  Commonwealth Edison CompanyEmbedded (Finance)Finance - ComEd (00816)</v>
          </cell>
          <cell r="AF93" t="str">
            <v>EEDFinanceContracting</v>
          </cell>
        </row>
        <row r="94">
          <cell r="E94">
            <v>10032</v>
          </cell>
          <cell r="H94">
            <v>-5208</v>
          </cell>
          <cell r="I94">
            <v>-5208</v>
          </cell>
          <cell r="J94">
            <v>26495</v>
          </cell>
          <cell r="M94">
            <v>-7199</v>
          </cell>
          <cell r="N94">
            <v>-5208</v>
          </cell>
          <cell r="O94">
            <v>65087</v>
          </cell>
          <cell r="R94">
            <v>-7199</v>
          </cell>
          <cell r="S94">
            <v>-5208</v>
          </cell>
          <cell r="V94" t="str">
            <v>Embedded</v>
          </cell>
          <cell r="W94" t="str">
            <v>Finance</v>
          </cell>
          <cell r="AA94" t="str">
            <v>[10601]  Commonwealth Edison CompanyEmbeddedFinance</v>
          </cell>
          <cell r="AB94" t="str">
            <v>[10601]  Commonwealth Edison CompanyEmbedded (Finance)Business Services</v>
          </cell>
          <cell r="AC94" t="str">
            <v>[10601]  Commonwealth Edison CompanyEmbedded (Finance)Finance - ComEd (00816)</v>
          </cell>
          <cell r="AF94" t="str">
            <v>EEDFinanceBusiness Services</v>
          </cell>
        </row>
        <row r="95">
          <cell r="E95">
            <v>0</v>
          </cell>
          <cell r="H95">
            <v>0</v>
          </cell>
          <cell r="I95">
            <v>0</v>
          </cell>
          <cell r="J95">
            <v>101</v>
          </cell>
          <cell r="M95">
            <v>-101</v>
          </cell>
          <cell r="N95">
            <v>0</v>
          </cell>
          <cell r="O95">
            <v>101</v>
          </cell>
          <cell r="R95">
            <v>-101</v>
          </cell>
          <cell r="S95">
            <v>0</v>
          </cell>
          <cell r="V95" t="str">
            <v>Embedded</v>
          </cell>
          <cell r="W95" t="str">
            <v>Finance</v>
          </cell>
          <cell r="AA95" t="str">
            <v>[10601]  Commonwealth Edison CompanyEmbeddedFinance</v>
          </cell>
          <cell r="AB95" t="str">
            <v>[10601]  Commonwealth Edison CompanyEmbedded (Finance)Travel, Entertainment &amp; Reimb</v>
          </cell>
          <cell r="AC95" t="str">
            <v>[10601]  Commonwealth Edison CompanyEmbedded (Finance)Finance - ComEd (00816)</v>
          </cell>
          <cell r="AF95" t="str">
            <v>EEDFinanceTravel, Entertainment &amp; Reimb</v>
          </cell>
        </row>
        <row r="96">
          <cell r="E96">
            <v>85</v>
          </cell>
          <cell r="H96">
            <v>1061</v>
          </cell>
          <cell r="I96">
            <v>1061</v>
          </cell>
          <cell r="J96">
            <v>1830</v>
          </cell>
          <cell r="M96">
            <v>2754</v>
          </cell>
          <cell r="N96">
            <v>1061</v>
          </cell>
          <cell r="O96">
            <v>10998</v>
          </cell>
          <cell r="R96">
            <v>2754</v>
          </cell>
          <cell r="S96">
            <v>1061</v>
          </cell>
          <cell r="V96" t="str">
            <v>Embedded</v>
          </cell>
          <cell r="W96" t="str">
            <v>Finance</v>
          </cell>
          <cell r="AA96" t="str">
            <v>[10601]  Commonwealth Edison CompanyEmbeddedFinance</v>
          </cell>
          <cell r="AB96" t="str">
            <v>[10601]  Commonwealth Edison CompanyEmbedded (Finance)Other Operating Expenses</v>
          </cell>
          <cell r="AC96" t="str">
            <v>[10601]  Commonwealth Edison CompanyEmbedded (Finance)Finance - ComEd (00816)</v>
          </cell>
          <cell r="AF96" t="str">
            <v>EEDFinanceOther Operating Expenses</v>
          </cell>
        </row>
        <row r="97">
          <cell r="E97">
            <v>855</v>
          </cell>
          <cell r="H97">
            <v>333</v>
          </cell>
          <cell r="I97">
            <v>333</v>
          </cell>
          <cell r="J97">
            <v>7346</v>
          </cell>
          <cell r="M97">
            <v>-2594</v>
          </cell>
          <cell r="N97">
            <v>333</v>
          </cell>
          <cell r="O97">
            <v>16850</v>
          </cell>
          <cell r="R97">
            <v>-2594</v>
          </cell>
          <cell r="S97">
            <v>333</v>
          </cell>
          <cell r="V97" t="str">
            <v>Embedded</v>
          </cell>
          <cell r="W97" t="str">
            <v>Finance</v>
          </cell>
          <cell r="AA97" t="str">
            <v>[10601]  Commonwealth Edison CompanyEmbeddedFinance</v>
          </cell>
          <cell r="AB97" t="str">
            <v>[10601]  Commonwealth Edison CompanyEmbedded (Finance)Other Operating Expenses</v>
          </cell>
          <cell r="AC97" t="str">
            <v>[10601]  Commonwealth Edison CompanyEmbedded (Finance)Finance - ComEd (00816)</v>
          </cell>
          <cell r="AF97" t="str">
            <v>EEDFinanceOther Operating Expenses</v>
          </cell>
        </row>
        <row r="98">
          <cell r="E98">
            <v>40327</v>
          </cell>
          <cell r="H98">
            <v>-36727</v>
          </cell>
          <cell r="I98">
            <v>-36727</v>
          </cell>
          <cell r="J98">
            <v>41296</v>
          </cell>
          <cell r="M98">
            <v>-26896</v>
          </cell>
          <cell r="N98">
            <v>-36727</v>
          </cell>
          <cell r="O98">
            <v>70096</v>
          </cell>
          <cell r="R98">
            <v>-26896</v>
          </cell>
          <cell r="S98">
            <v>-36727</v>
          </cell>
          <cell r="V98" t="str">
            <v>Embedded</v>
          </cell>
          <cell r="W98" t="str">
            <v>Finance</v>
          </cell>
          <cell r="AA98" t="str">
            <v>[10601]  Commonwealth Edison CompanyEmbeddedFinance</v>
          </cell>
          <cell r="AB98" t="str">
            <v>[10601]  Commonwealth Edison CompanyEmbedded (Finance)Other Operating Expenses</v>
          </cell>
          <cell r="AC98" t="str">
            <v>[10601]  Commonwealth Edison CompanyEmbedded (Finance)Finance - ComEd (00816)</v>
          </cell>
          <cell r="AF98" t="str">
            <v>EEDFinanceOther Operating Expenses</v>
          </cell>
        </row>
        <row r="99">
          <cell r="E99">
            <v>0</v>
          </cell>
          <cell r="H99">
            <v>0</v>
          </cell>
          <cell r="I99">
            <v>0</v>
          </cell>
          <cell r="J99">
            <v>1500</v>
          </cell>
          <cell r="M99">
            <v>-1500</v>
          </cell>
          <cell r="N99">
            <v>0</v>
          </cell>
          <cell r="O99">
            <v>1500</v>
          </cell>
          <cell r="R99">
            <v>-1500</v>
          </cell>
          <cell r="S99">
            <v>0</v>
          </cell>
          <cell r="V99" t="str">
            <v>Embedded</v>
          </cell>
          <cell r="W99" t="str">
            <v>Finance</v>
          </cell>
          <cell r="AA99" t="str">
            <v>[10601]  Commonwealth Edison CompanyEmbeddedFinance</v>
          </cell>
          <cell r="AB99" t="str">
            <v>[10601]  Commonwealth Edison CompanyEmbedded (Finance)Salaries and Wages</v>
          </cell>
          <cell r="AC99" t="str">
            <v>[10601]  Commonwealth Edison CompanyEmbedded (Finance)Finance - ComEd (00816)</v>
          </cell>
          <cell r="AF99" t="str">
            <v>EEDFinanceSalaries and Wages</v>
          </cell>
        </row>
        <row r="100">
          <cell r="E100">
            <v>65638</v>
          </cell>
          <cell r="H100">
            <v>-8968</v>
          </cell>
          <cell r="I100">
            <v>-33731</v>
          </cell>
          <cell r="J100">
            <v>243213</v>
          </cell>
          <cell r="M100">
            <v>-17573</v>
          </cell>
          <cell r="N100">
            <v>-33731</v>
          </cell>
          <cell r="O100">
            <v>509115</v>
          </cell>
          <cell r="R100">
            <v>188784</v>
          </cell>
          <cell r="S100">
            <v>-33731</v>
          </cell>
          <cell r="V100" t="str">
            <v>Embedded</v>
          </cell>
          <cell r="W100" t="str">
            <v>Finance</v>
          </cell>
          <cell r="AA100" t="str">
            <v>[10601]  Commonwealth Edison CompanyEmbeddedFinance</v>
          </cell>
          <cell r="AB100" t="str">
            <v>[10601]  Commonwealth Edison CompanyEmbedded (Finance)Pension and Benefits</v>
          </cell>
          <cell r="AC100" t="str">
            <v>[10601]  Commonwealth Edison CompanyEmbedded (Finance)Finance - ComEd (00816)</v>
          </cell>
          <cell r="AF100" t="str">
            <v>EEDFinancePension and Benefits</v>
          </cell>
        </row>
        <row r="101">
          <cell r="E101">
            <v>90111</v>
          </cell>
          <cell r="H101">
            <v>4484</v>
          </cell>
          <cell r="I101">
            <v>4484</v>
          </cell>
          <cell r="J101">
            <v>354466</v>
          </cell>
          <cell r="M101">
            <v>22061</v>
          </cell>
          <cell r="N101">
            <v>4484</v>
          </cell>
          <cell r="O101">
            <v>1108242</v>
          </cell>
          <cell r="R101">
            <v>57219</v>
          </cell>
          <cell r="S101">
            <v>4484</v>
          </cell>
          <cell r="V101" t="str">
            <v>Embedded</v>
          </cell>
          <cell r="W101" t="str">
            <v>Finance</v>
          </cell>
          <cell r="AA101" t="str">
            <v>[10601]  Commonwealth Edison CompanyEmbeddedFinance</v>
          </cell>
          <cell r="AB101" t="str">
            <v>[10601]  Commonwealth Edison CompanyEmbedded (Finance)Salaries and Wages</v>
          </cell>
          <cell r="AC101" t="str">
            <v>[10601]  Commonwealth Edison CompanyEmbedded (Finance)Controller - ComEd (00824)</v>
          </cell>
          <cell r="AF101" t="str">
            <v>EEDControllerSalaries and Wages</v>
          </cell>
        </row>
        <row r="102">
          <cell r="E102">
            <v>959</v>
          </cell>
          <cell r="H102">
            <v>441</v>
          </cell>
          <cell r="I102">
            <v>441</v>
          </cell>
          <cell r="J102">
            <v>3246</v>
          </cell>
          <cell r="M102">
            <v>2154</v>
          </cell>
          <cell r="N102">
            <v>441</v>
          </cell>
          <cell r="O102">
            <v>14046</v>
          </cell>
          <cell r="R102">
            <v>2154</v>
          </cell>
          <cell r="S102">
            <v>441</v>
          </cell>
          <cell r="V102" t="str">
            <v>Embedded</v>
          </cell>
          <cell r="W102" t="str">
            <v>Finance</v>
          </cell>
          <cell r="AA102" t="str">
            <v>[10601]  Commonwealth Edison CompanyEmbeddedFinance</v>
          </cell>
          <cell r="AB102" t="str">
            <v>[10601]  Commonwealth Edison CompanyEmbedded (Finance)Travel, Entertainment &amp; Reimb</v>
          </cell>
          <cell r="AC102" t="str">
            <v>[10601]  Commonwealth Edison CompanyEmbedded (Finance)Controller - ComEd (00824)</v>
          </cell>
          <cell r="AF102" t="str">
            <v>EEDControllerTravel, Entertainment &amp; Reimb</v>
          </cell>
        </row>
        <row r="103">
          <cell r="E103">
            <v>179</v>
          </cell>
          <cell r="H103">
            <v>13971</v>
          </cell>
          <cell r="I103">
            <v>18721</v>
          </cell>
          <cell r="J103">
            <v>26998</v>
          </cell>
          <cell r="M103">
            <v>29602</v>
          </cell>
          <cell r="N103">
            <v>18721</v>
          </cell>
          <cell r="O103">
            <v>296198</v>
          </cell>
          <cell r="R103">
            <v>-126398</v>
          </cell>
          <cell r="S103">
            <v>-39279</v>
          </cell>
          <cell r="V103" t="str">
            <v>Embedded</v>
          </cell>
          <cell r="W103" t="str">
            <v>Finance</v>
          </cell>
          <cell r="AA103" t="str">
            <v>[10601]  Commonwealth Edison CompanyEmbeddedFinance</v>
          </cell>
          <cell r="AB103" t="str">
            <v>[10601]  Commonwealth Edison CompanyEmbedded (Finance)Contracting</v>
          </cell>
          <cell r="AC103" t="str">
            <v>[10601]  Commonwealth Edison CompanyEmbedded (Finance)Controller - ComEd (00824)</v>
          </cell>
          <cell r="AF103" t="str">
            <v>EEDControllerContracting</v>
          </cell>
        </row>
        <row r="104">
          <cell r="E104">
            <v>4287</v>
          </cell>
          <cell r="H104">
            <v>1422</v>
          </cell>
          <cell r="I104">
            <v>1422</v>
          </cell>
          <cell r="J104">
            <v>17489</v>
          </cell>
          <cell r="M104">
            <v>5345</v>
          </cell>
          <cell r="N104">
            <v>1422</v>
          </cell>
          <cell r="O104">
            <v>63155</v>
          </cell>
          <cell r="R104">
            <v>5345</v>
          </cell>
          <cell r="S104">
            <v>1422</v>
          </cell>
          <cell r="V104" t="str">
            <v>Embedded</v>
          </cell>
          <cell r="W104" t="str">
            <v>Finance</v>
          </cell>
          <cell r="AA104" t="str">
            <v>[10601]  Commonwealth Edison CompanyEmbeddedFinance</v>
          </cell>
          <cell r="AB104" t="str">
            <v>[10601]  Commonwealth Edison CompanyEmbedded (Finance)Business Services</v>
          </cell>
          <cell r="AC104" t="str">
            <v>[10601]  Commonwealth Edison CompanyEmbedded (Finance)Controller - ComEd (00824)</v>
          </cell>
          <cell r="AF104" t="str">
            <v>EEDControllerBusiness Services</v>
          </cell>
        </row>
        <row r="105">
          <cell r="E105">
            <v>560</v>
          </cell>
          <cell r="H105">
            <v>140</v>
          </cell>
          <cell r="I105">
            <v>140</v>
          </cell>
          <cell r="J105">
            <v>4395</v>
          </cell>
          <cell r="M105">
            <v>-1595</v>
          </cell>
          <cell r="N105">
            <v>140</v>
          </cell>
          <cell r="O105">
            <v>9995</v>
          </cell>
          <cell r="R105">
            <v>-1595</v>
          </cell>
          <cell r="S105">
            <v>140</v>
          </cell>
          <cell r="V105" t="str">
            <v>Embedded</v>
          </cell>
          <cell r="W105" t="str">
            <v>Finance</v>
          </cell>
          <cell r="AA105" t="str">
            <v>[10601]  Commonwealth Edison CompanyEmbeddedFinance</v>
          </cell>
          <cell r="AB105" t="str">
            <v>[10601]  Commonwealth Edison CompanyEmbedded (Finance)Travel, Entertainment &amp; Reimb</v>
          </cell>
          <cell r="AC105" t="str">
            <v>[10601]  Commonwealth Edison CompanyEmbedded (Finance)Controller - ComEd (00824)</v>
          </cell>
          <cell r="AF105" t="str">
            <v>EEDControllerTravel, Entertainment &amp; Reimb</v>
          </cell>
        </row>
        <row r="106">
          <cell r="E106">
            <v>700</v>
          </cell>
          <cell r="H106">
            <v>200</v>
          </cell>
          <cell r="I106">
            <v>200</v>
          </cell>
          <cell r="J106">
            <v>3227</v>
          </cell>
          <cell r="M106">
            <v>373</v>
          </cell>
          <cell r="N106">
            <v>200</v>
          </cell>
          <cell r="O106">
            <v>10427</v>
          </cell>
          <cell r="R106">
            <v>373</v>
          </cell>
          <cell r="S106">
            <v>200</v>
          </cell>
          <cell r="V106" t="str">
            <v>Embedded</v>
          </cell>
          <cell r="W106" t="str">
            <v>Finance</v>
          </cell>
          <cell r="AA106" t="str">
            <v>[10601]  Commonwealth Edison CompanyEmbeddedFinance</v>
          </cell>
          <cell r="AB106" t="str">
            <v>[10601]  Commonwealth Edison CompanyEmbedded (Finance)Other Operating Expenses</v>
          </cell>
          <cell r="AC106" t="str">
            <v>[10601]  Commonwealth Edison CompanyEmbedded (Finance)Controller - ComEd (00824)</v>
          </cell>
          <cell r="AF106" t="str">
            <v>EEDControllerOther Operating Expenses</v>
          </cell>
        </row>
        <row r="107">
          <cell r="E107">
            <v>263</v>
          </cell>
          <cell r="H107">
            <v>1987</v>
          </cell>
          <cell r="I107">
            <v>1987</v>
          </cell>
          <cell r="J107">
            <v>2580</v>
          </cell>
          <cell r="M107">
            <v>6420</v>
          </cell>
          <cell r="N107">
            <v>1987</v>
          </cell>
          <cell r="O107">
            <v>20580</v>
          </cell>
          <cell r="R107">
            <v>6420</v>
          </cell>
          <cell r="S107">
            <v>1987</v>
          </cell>
          <cell r="V107" t="str">
            <v>Embedded</v>
          </cell>
          <cell r="W107" t="str">
            <v>Finance</v>
          </cell>
          <cell r="AA107" t="str">
            <v>[10601]  Commonwealth Edison CompanyEmbeddedFinance</v>
          </cell>
          <cell r="AB107" t="str">
            <v>[10601]  Commonwealth Edison CompanyEmbedded (Finance)Other Operating Expenses</v>
          </cell>
          <cell r="AC107" t="str">
            <v>[10601]  Commonwealth Edison CompanyEmbedded (Finance)Controller - ComEd (00824)</v>
          </cell>
          <cell r="AF107" t="str">
            <v>EEDControllerOther Operating Expenses</v>
          </cell>
        </row>
        <row r="108">
          <cell r="E108">
            <v>1175</v>
          </cell>
          <cell r="H108">
            <v>716</v>
          </cell>
          <cell r="I108">
            <v>716</v>
          </cell>
          <cell r="J108">
            <v>1920</v>
          </cell>
          <cell r="M108">
            <v>5647</v>
          </cell>
          <cell r="N108">
            <v>716</v>
          </cell>
          <cell r="O108">
            <v>17053</v>
          </cell>
          <cell r="R108">
            <v>5647</v>
          </cell>
          <cell r="S108">
            <v>716</v>
          </cell>
          <cell r="V108" t="str">
            <v>Embedded</v>
          </cell>
          <cell r="W108" t="str">
            <v>Finance</v>
          </cell>
          <cell r="AA108" t="str">
            <v>[10601]  Commonwealth Edison CompanyEmbeddedFinance</v>
          </cell>
          <cell r="AB108" t="str">
            <v>[10601]  Commonwealth Edison CompanyEmbedded (Finance)Other Operating Expenses</v>
          </cell>
          <cell r="AC108" t="str">
            <v>[10601]  Commonwealth Edison CompanyEmbedded (Finance)Controller - ComEd (00824)</v>
          </cell>
          <cell r="AF108" t="str">
            <v>EEDControllerOther Operating Expenses</v>
          </cell>
        </row>
        <row r="109">
          <cell r="E109">
            <v>0</v>
          </cell>
          <cell r="H109">
            <v>0</v>
          </cell>
          <cell r="I109">
            <v>0</v>
          </cell>
          <cell r="J109">
            <v>1652</v>
          </cell>
          <cell r="M109">
            <v>-1652</v>
          </cell>
          <cell r="N109">
            <v>0</v>
          </cell>
          <cell r="O109">
            <v>1652</v>
          </cell>
          <cell r="R109">
            <v>-1652</v>
          </cell>
          <cell r="S109">
            <v>0</v>
          </cell>
          <cell r="V109" t="str">
            <v>Embedded</v>
          </cell>
          <cell r="W109" t="str">
            <v>Finance</v>
          </cell>
          <cell r="AA109" t="str">
            <v>[10601]  Commonwealth Edison CompanyEmbeddedFinance</v>
          </cell>
          <cell r="AB109" t="str">
            <v>[10601]  Commonwealth Edison CompanyEmbedded (Finance)Salaries and Wages</v>
          </cell>
          <cell r="AC109" t="str">
            <v>[10601]  Commonwealth Edison CompanyEmbedded (Finance)Controller - ComEd (00824)</v>
          </cell>
          <cell r="AF109" t="str">
            <v>EEDControllerSalaries and Wages</v>
          </cell>
        </row>
        <row r="110">
          <cell r="E110">
            <v>60919</v>
          </cell>
          <cell r="H110">
            <v>-1699</v>
          </cell>
          <cell r="I110">
            <v>-1699</v>
          </cell>
          <cell r="J110">
            <v>240496</v>
          </cell>
          <cell r="M110">
            <v>-4775</v>
          </cell>
          <cell r="N110">
            <v>-1699</v>
          </cell>
          <cell r="O110">
            <v>672707</v>
          </cell>
          <cell r="R110">
            <v>15520</v>
          </cell>
          <cell r="S110">
            <v>-1699</v>
          </cell>
          <cell r="V110" t="str">
            <v>Embedded</v>
          </cell>
          <cell r="W110" t="str">
            <v>Finance</v>
          </cell>
          <cell r="AA110" t="str">
            <v>[10601]  Commonwealth Edison CompanyEmbeddedFinance</v>
          </cell>
          <cell r="AB110" t="str">
            <v>[10601]  Commonwealth Edison CompanyEmbedded (Finance)Pension and Benefits</v>
          </cell>
          <cell r="AC110" t="str">
            <v>[10601]  Commonwealth Edison CompanyEmbedded (Finance)Controller - ComEd (00824)</v>
          </cell>
          <cell r="AF110" t="str">
            <v>EEDControllerPension and Benefits</v>
          </cell>
        </row>
        <row r="111">
          <cell r="E111">
            <v>28123</v>
          </cell>
          <cell r="H111">
            <v>4517</v>
          </cell>
          <cell r="I111">
            <v>4517</v>
          </cell>
          <cell r="J111">
            <v>119471</v>
          </cell>
          <cell r="M111">
            <v>10419</v>
          </cell>
          <cell r="N111">
            <v>4517</v>
          </cell>
          <cell r="O111">
            <v>391473</v>
          </cell>
          <cell r="R111">
            <v>10419</v>
          </cell>
          <cell r="S111">
            <v>4517</v>
          </cell>
          <cell r="V111" t="str">
            <v>Embedded</v>
          </cell>
          <cell r="W111" t="str">
            <v>Finance</v>
          </cell>
          <cell r="AA111" t="str">
            <v>[10601]  Commonwealth Edison CompanyEmbeddedFinance</v>
          </cell>
          <cell r="AB111" t="str">
            <v>[10601]  Commonwealth Edison CompanyEmbedded (Finance)Salaries and Wages</v>
          </cell>
          <cell r="AC111" t="str">
            <v>[10601]  Commonwealth Edison CompanyEmbedded (Finance)Tax ComEd (00841)</v>
          </cell>
          <cell r="AF111" t="str">
            <v>EEDTaxSalaries and Wages</v>
          </cell>
        </row>
        <row r="112">
          <cell r="E112">
            <v>337</v>
          </cell>
          <cell r="H112">
            <v>4663</v>
          </cell>
          <cell r="I112">
            <v>4663</v>
          </cell>
          <cell r="J112">
            <v>1848</v>
          </cell>
          <cell r="M112">
            <v>18152</v>
          </cell>
          <cell r="N112">
            <v>4663</v>
          </cell>
          <cell r="O112">
            <v>41848</v>
          </cell>
          <cell r="R112">
            <v>18152</v>
          </cell>
          <cell r="S112">
            <v>4663</v>
          </cell>
          <cell r="V112" t="str">
            <v>Embedded</v>
          </cell>
          <cell r="W112" t="str">
            <v>Finance</v>
          </cell>
          <cell r="AA112" t="str">
            <v>[10601]  Commonwealth Edison CompanyEmbeddedFinance</v>
          </cell>
          <cell r="AB112" t="str">
            <v>[10601]  Commonwealth Edison CompanyEmbedded (Finance)Travel, Entertainment &amp; Reimb</v>
          </cell>
          <cell r="AC112" t="str">
            <v>[10601]  Commonwealth Edison CompanyEmbedded (Finance)Tax ComEd (00841)</v>
          </cell>
          <cell r="AF112" t="str">
            <v>EEDTaxTravel, Entertainment &amp; Reimb</v>
          </cell>
        </row>
        <row r="113">
          <cell r="E113">
            <v>79101</v>
          </cell>
          <cell r="H113">
            <v>-58201</v>
          </cell>
          <cell r="I113">
            <v>-58201</v>
          </cell>
          <cell r="J113">
            <v>1820111</v>
          </cell>
          <cell r="M113">
            <v>-1736511</v>
          </cell>
          <cell r="N113">
            <v>-58201</v>
          </cell>
          <cell r="O113">
            <v>1987311</v>
          </cell>
          <cell r="R113">
            <v>-1736511</v>
          </cell>
          <cell r="S113">
            <v>-58201</v>
          </cell>
          <cell r="V113" t="str">
            <v>Embedded</v>
          </cell>
          <cell r="W113" t="str">
            <v>Finance</v>
          </cell>
          <cell r="AA113" t="str">
            <v>[10601]  Commonwealth Edison CompanyEmbeddedFinance</v>
          </cell>
          <cell r="AB113" t="str">
            <v>[10601]  Commonwealth Edison CompanyEmbedded (Finance)Contracting</v>
          </cell>
          <cell r="AC113" t="str">
            <v>[10601]  Commonwealth Edison CompanyEmbedded (Finance)Tax ComEd (00841)</v>
          </cell>
          <cell r="AF113" t="str">
            <v>EEDTaxContracting</v>
          </cell>
        </row>
        <row r="114">
          <cell r="E114">
            <v>2083</v>
          </cell>
          <cell r="H114">
            <v>-1283</v>
          </cell>
          <cell r="I114">
            <v>-1283</v>
          </cell>
          <cell r="J114">
            <v>7697</v>
          </cell>
          <cell r="M114">
            <v>-4497</v>
          </cell>
          <cell r="N114">
            <v>-1283</v>
          </cell>
          <cell r="O114">
            <v>14097</v>
          </cell>
          <cell r="R114">
            <v>-4497</v>
          </cell>
          <cell r="S114">
            <v>-1283</v>
          </cell>
          <cell r="V114" t="str">
            <v>Embedded</v>
          </cell>
          <cell r="W114" t="str">
            <v>Finance</v>
          </cell>
          <cell r="AA114" t="str">
            <v>[10601]  Commonwealth Edison CompanyEmbeddedFinance</v>
          </cell>
          <cell r="AB114" t="str">
            <v>[10601]  Commonwealth Edison CompanyEmbedded (Finance)Business Services</v>
          </cell>
          <cell r="AC114" t="str">
            <v>[10601]  Commonwealth Edison CompanyEmbedded (Finance)Tax ComEd (00841)</v>
          </cell>
          <cell r="AF114" t="str">
            <v>EEDTaxBusiness Services</v>
          </cell>
        </row>
        <row r="115">
          <cell r="E115">
            <v>0</v>
          </cell>
          <cell r="H115">
            <v>850</v>
          </cell>
          <cell r="I115">
            <v>850</v>
          </cell>
          <cell r="J115">
            <v>0</v>
          </cell>
          <cell r="M115">
            <v>3400</v>
          </cell>
          <cell r="N115">
            <v>850</v>
          </cell>
          <cell r="O115">
            <v>6800</v>
          </cell>
          <cell r="R115">
            <v>3400</v>
          </cell>
          <cell r="S115">
            <v>850</v>
          </cell>
          <cell r="V115" t="str">
            <v>Embedded</v>
          </cell>
          <cell r="W115" t="str">
            <v>Finance</v>
          </cell>
          <cell r="AA115" t="str">
            <v>[10601]  Commonwealth Edison CompanyEmbeddedFinance</v>
          </cell>
          <cell r="AB115" t="str">
            <v>[10601]  Commonwealth Edison CompanyEmbedded (Finance)Materials and Supplies</v>
          </cell>
          <cell r="AC115" t="str">
            <v>[10601]  Commonwealth Edison CompanyEmbedded (Finance)Tax ComEd (00841)</v>
          </cell>
          <cell r="AF115" t="str">
            <v>EEDTaxMaterials and Supplies</v>
          </cell>
        </row>
        <row r="116">
          <cell r="E116">
            <v>63</v>
          </cell>
          <cell r="H116">
            <v>-63</v>
          </cell>
          <cell r="I116">
            <v>-63</v>
          </cell>
          <cell r="J116">
            <v>843</v>
          </cell>
          <cell r="M116">
            <v>-843</v>
          </cell>
          <cell r="N116">
            <v>-63</v>
          </cell>
          <cell r="O116">
            <v>843</v>
          </cell>
          <cell r="R116">
            <v>-843</v>
          </cell>
          <cell r="S116">
            <v>-63</v>
          </cell>
          <cell r="V116" t="str">
            <v>Embedded</v>
          </cell>
          <cell r="W116" t="str">
            <v>Finance</v>
          </cell>
          <cell r="AA116" t="str">
            <v>[10601]  Commonwealth Edison CompanyEmbeddedFinance</v>
          </cell>
          <cell r="AB116" t="str">
            <v>[10601]  Commonwealth Edison CompanyEmbedded (Finance)Travel, Entertainment &amp; Reimb</v>
          </cell>
          <cell r="AC116" t="str">
            <v>[10601]  Commonwealth Edison CompanyEmbedded (Finance)Tax ComEd (00841)</v>
          </cell>
          <cell r="AF116" t="str">
            <v>EEDTaxTravel, Entertainment &amp; Reimb</v>
          </cell>
        </row>
        <row r="117">
          <cell r="E117">
            <v>475</v>
          </cell>
          <cell r="H117">
            <v>-225</v>
          </cell>
          <cell r="I117">
            <v>-225</v>
          </cell>
          <cell r="J117">
            <v>1433</v>
          </cell>
          <cell r="M117">
            <v>-433</v>
          </cell>
          <cell r="N117">
            <v>-225</v>
          </cell>
          <cell r="O117">
            <v>3433</v>
          </cell>
          <cell r="R117">
            <v>-433</v>
          </cell>
          <cell r="S117">
            <v>-225</v>
          </cell>
          <cell r="V117" t="str">
            <v>Embedded</v>
          </cell>
          <cell r="W117" t="str">
            <v>Finance</v>
          </cell>
          <cell r="AA117" t="str">
            <v>[10601]  Commonwealth Edison CompanyEmbeddedFinance</v>
          </cell>
          <cell r="AB117" t="str">
            <v>[10601]  Commonwealth Edison CompanyEmbedded (Finance)Other Operating Expenses</v>
          </cell>
          <cell r="AC117" t="str">
            <v>[10601]  Commonwealth Edison CompanyEmbedded (Finance)Tax ComEd (00841)</v>
          </cell>
          <cell r="AF117" t="str">
            <v>EEDTaxOther Operating Expenses</v>
          </cell>
        </row>
        <row r="118">
          <cell r="E118">
            <v>293</v>
          </cell>
          <cell r="H118">
            <v>-293</v>
          </cell>
          <cell r="I118">
            <v>-293</v>
          </cell>
          <cell r="J118">
            <v>892</v>
          </cell>
          <cell r="M118">
            <v>-892</v>
          </cell>
          <cell r="N118">
            <v>-293</v>
          </cell>
          <cell r="O118">
            <v>892</v>
          </cell>
          <cell r="R118">
            <v>-892</v>
          </cell>
          <cell r="S118">
            <v>-293</v>
          </cell>
          <cell r="V118" t="str">
            <v>Embedded</v>
          </cell>
          <cell r="W118" t="str">
            <v>Finance</v>
          </cell>
          <cell r="AA118" t="str">
            <v>[10601]  Commonwealth Edison CompanyEmbeddedFinance</v>
          </cell>
          <cell r="AB118" t="str">
            <v>[10601]  Commonwealth Edison CompanyEmbedded (Finance)Other Operating Expenses</v>
          </cell>
          <cell r="AC118" t="str">
            <v>[10601]  Commonwealth Edison CompanyEmbedded (Finance)Tax ComEd (00841)</v>
          </cell>
          <cell r="AF118" t="str">
            <v>EEDTaxOther Operating Expenses</v>
          </cell>
        </row>
        <row r="119">
          <cell r="E119">
            <v>0</v>
          </cell>
          <cell r="H119">
            <v>2400</v>
          </cell>
          <cell r="I119">
            <v>2400</v>
          </cell>
          <cell r="J119">
            <v>2299</v>
          </cell>
          <cell r="M119">
            <v>7301</v>
          </cell>
          <cell r="N119">
            <v>2400</v>
          </cell>
          <cell r="O119">
            <v>21499</v>
          </cell>
          <cell r="R119">
            <v>7301</v>
          </cell>
          <cell r="S119">
            <v>2400</v>
          </cell>
          <cell r="V119" t="str">
            <v>Embedded</v>
          </cell>
          <cell r="W119" t="str">
            <v>Finance</v>
          </cell>
          <cell r="AA119" t="str">
            <v>[10601]  Commonwealth Edison CompanyEmbeddedFinance</v>
          </cell>
          <cell r="AB119" t="str">
            <v>[10601]  Commonwealth Edison CompanyEmbedded (Finance)Other Operating Expenses</v>
          </cell>
          <cell r="AC119" t="str">
            <v>[10601]  Commonwealth Edison CompanyEmbedded (Finance)Tax ComEd (00841)</v>
          </cell>
          <cell r="AF119" t="str">
            <v>EEDTaxOther Operating Expenses</v>
          </cell>
        </row>
        <row r="120">
          <cell r="E120">
            <v>23297</v>
          </cell>
          <cell r="H120">
            <v>-3998</v>
          </cell>
          <cell r="I120">
            <v>-3998</v>
          </cell>
          <cell r="J120">
            <v>90680</v>
          </cell>
          <cell r="M120">
            <v>-13882</v>
          </cell>
          <cell r="N120">
            <v>-3998</v>
          </cell>
          <cell r="O120">
            <v>251504</v>
          </cell>
          <cell r="R120">
            <v>-13882</v>
          </cell>
          <cell r="S120">
            <v>-3998</v>
          </cell>
          <cell r="V120" t="str">
            <v>Embedded</v>
          </cell>
          <cell r="W120" t="str">
            <v>Finance</v>
          </cell>
          <cell r="AA120" t="str">
            <v>[10601]  Commonwealth Edison CompanyEmbeddedFinance</v>
          </cell>
          <cell r="AB120" t="str">
            <v>[10601]  Commonwealth Edison CompanyEmbedded (Finance)Pension and Benefits</v>
          </cell>
          <cell r="AC120" t="str">
            <v>[10601]  Commonwealth Edison CompanyEmbedded (Finance)Tax ComEd (00841)</v>
          </cell>
          <cell r="AF120" t="str">
            <v>EEDTaxPension and Benefits</v>
          </cell>
        </row>
        <row r="121">
          <cell r="E121">
            <v>122463</v>
          </cell>
          <cell r="H121">
            <v>-39130</v>
          </cell>
          <cell r="I121">
            <v>-39130</v>
          </cell>
          <cell r="J121">
            <v>408030</v>
          </cell>
          <cell r="M121">
            <v>-74697</v>
          </cell>
          <cell r="N121">
            <v>-39130</v>
          </cell>
          <cell r="O121">
            <v>1074697</v>
          </cell>
          <cell r="R121">
            <v>-74697</v>
          </cell>
          <cell r="S121">
            <v>-39130</v>
          </cell>
          <cell r="V121" t="str">
            <v>Embedded</v>
          </cell>
          <cell r="W121" t="str">
            <v>Finance</v>
          </cell>
          <cell r="AA121" t="str">
            <v>[10601]  Commonwealth Edison CompanyEmbeddedFinance</v>
          </cell>
          <cell r="AB121" t="str">
            <v>[10601]  Commonwealth Edison CompanyEmbedded (Finance)Other Operating Expenses</v>
          </cell>
          <cell r="AC121" t="str">
            <v>[10601]  Commonwealth Edison CompanyEmbedded (Finance)Bank Fees ComEd (00866)</v>
          </cell>
          <cell r="AF121" t="str">
            <v>EEDBank FeesOther Operating Expenses</v>
          </cell>
        </row>
        <row r="122">
          <cell r="E122">
            <v>0</v>
          </cell>
          <cell r="H122">
            <v>0</v>
          </cell>
          <cell r="I122">
            <v>0</v>
          </cell>
          <cell r="J122">
            <v>0</v>
          </cell>
          <cell r="M122">
            <v>0</v>
          </cell>
          <cell r="N122">
            <v>0</v>
          </cell>
          <cell r="R122">
            <v>0</v>
          </cell>
          <cell r="V122" t="str">
            <v>Embedded</v>
          </cell>
          <cell r="W122" t="str">
            <v>Supply Services</v>
          </cell>
          <cell r="AA122" t="str">
            <v>[10601]  Commonwealth Edison CompanyEmbeddedSupply Services</v>
          </cell>
          <cell r="AB122" t="str">
            <v>[10601]  Commonwealth Edison CompanyEmbedded (Supply Services)Contracting</v>
          </cell>
          <cell r="AC122" t="str">
            <v>[10601]  Commonwealth Edison CompanyEmbedded (Supply Services)Metro North Stores (03561)</v>
          </cell>
          <cell r="AF122" t="e">
            <v>#N/A</v>
          </cell>
        </row>
        <row r="123">
          <cell r="E123">
            <v>0</v>
          </cell>
          <cell r="H123">
            <v>0</v>
          </cell>
          <cell r="I123">
            <v>0</v>
          </cell>
          <cell r="J123">
            <v>0</v>
          </cell>
          <cell r="M123">
            <v>0</v>
          </cell>
          <cell r="N123">
            <v>0</v>
          </cell>
          <cell r="R123">
            <v>0</v>
          </cell>
          <cell r="V123" t="str">
            <v>Embedded</v>
          </cell>
          <cell r="W123" t="str">
            <v>Supply Services</v>
          </cell>
          <cell r="AA123" t="str">
            <v>[10601]  Commonwealth Edison CompanyEmbeddedSupply Services</v>
          </cell>
          <cell r="AB123" t="str">
            <v>[10601]  Commonwealth Edison CompanyEmbedded (Supply Services)Materials and Supplies</v>
          </cell>
          <cell r="AC123" t="str">
            <v>[10601]  Commonwealth Edison CompanyEmbedded (Supply Services)Metro North Stores (03561)</v>
          </cell>
          <cell r="AF123" t="e">
            <v>#N/A</v>
          </cell>
        </row>
        <row r="124">
          <cell r="E124">
            <v>0</v>
          </cell>
          <cell r="H124">
            <v>0</v>
          </cell>
          <cell r="I124">
            <v>0</v>
          </cell>
          <cell r="J124">
            <v>0</v>
          </cell>
          <cell r="M124">
            <v>0</v>
          </cell>
          <cell r="N124">
            <v>0</v>
          </cell>
          <cell r="O124">
            <v>0</v>
          </cell>
          <cell r="R124">
            <v>0</v>
          </cell>
          <cell r="S124">
            <v>0</v>
          </cell>
          <cell r="V124" t="str">
            <v>Embedded</v>
          </cell>
          <cell r="W124" t="str">
            <v>Supply Services</v>
          </cell>
          <cell r="AA124" t="str">
            <v>[10601]  Commonwealth Edison CompanyEmbeddedSupply Services</v>
          </cell>
          <cell r="AB124" t="str">
            <v>[10601]  Commonwealth Edison CompanyEmbedded (Supply Services)Travel, Entertainment &amp; Reimb</v>
          </cell>
          <cell r="AC124" t="str">
            <v>[10601]  Commonwealth Edison CompanyEmbedded (Supply Services)Metro North Stores (03561)</v>
          </cell>
          <cell r="AF124" t="e">
            <v>#N/A</v>
          </cell>
        </row>
        <row r="125">
          <cell r="E125">
            <v>0</v>
          </cell>
          <cell r="H125">
            <v>0</v>
          </cell>
          <cell r="I125">
            <v>0</v>
          </cell>
          <cell r="J125">
            <v>0</v>
          </cell>
          <cell r="M125">
            <v>0</v>
          </cell>
          <cell r="N125">
            <v>0</v>
          </cell>
          <cell r="O125">
            <v>0</v>
          </cell>
          <cell r="R125">
            <v>0</v>
          </cell>
          <cell r="S125">
            <v>0</v>
          </cell>
          <cell r="V125" t="str">
            <v>Embedded</v>
          </cell>
          <cell r="W125" t="str">
            <v>Supply Services</v>
          </cell>
          <cell r="AA125" t="str">
            <v>[10601]  Commonwealth Edison CompanyEmbeddedSupply Services</v>
          </cell>
          <cell r="AB125" t="str">
            <v>[10601]  Commonwealth Edison CompanyEmbedded (Supply Services)Other Operating Expenses</v>
          </cell>
          <cell r="AC125" t="str">
            <v>[10601]  Commonwealth Edison CompanyEmbedded (Supply Services)Metro North Stores (03561)</v>
          </cell>
          <cell r="AF125" t="e">
            <v>#N/A</v>
          </cell>
        </row>
        <row r="126">
          <cell r="E126">
            <v>0</v>
          </cell>
          <cell r="H126">
            <v>0</v>
          </cell>
          <cell r="I126">
            <v>0</v>
          </cell>
          <cell r="J126">
            <v>0</v>
          </cell>
          <cell r="M126">
            <v>0</v>
          </cell>
          <cell r="N126">
            <v>0</v>
          </cell>
          <cell r="R126">
            <v>0</v>
          </cell>
          <cell r="V126" t="str">
            <v>Embedded</v>
          </cell>
          <cell r="W126" t="str">
            <v>Supply Services</v>
          </cell>
          <cell r="AA126" t="str">
            <v>[10601]  Commonwealth Edison CompanyEmbeddedSupply Services</v>
          </cell>
          <cell r="AB126" t="str">
            <v>[10601]  Commonwealth Edison CompanyEmbedded (Supply Services)Travel, Entertainment &amp; Reimb</v>
          </cell>
          <cell r="AC126" t="str">
            <v>[10601]  Commonwealth Edison CompanyEmbedded (Supply Services)Metro North Stores (03561)</v>
          </cell>
          <cell r="AF126" t="e">
            <v>#N/A</v>
          </cell>
        </row>
        <row r="127">
          <cell r="E127">
            <v>0</v>
          </cell>
          <cell r="H127">
            <v>0</v>
          </cell>
          <cell r="I127">
            <v>0</v>
          </cell>
          <cell r="J127">
            <v>0</v>
          </cell>
          <cell r="M127">
            <v>0</v>
          </cell>
          <cell r="N127">
            <v>0</v>
          </cell>
          <cell r="O127">
            <v>0</v>
          </cell>
          <cell r="R127">
            <v>0</v>
          </cell>
          <cell r="S127">
            <v>0</v>
          </cell>
          <cell r="V127" t="str">
            <v>Embedded</v>
          </cell>
          <cell r="W127" t="str">
            <v>Supply Services</v>
          </cell>
          <cell r="AA127" t="str">
            <v>[10601]  Commonwealth Edison CompanyEmbeddedSupply Services</v>
          </cell>
          <cell r="AB127" t="str">
            <v>[10601]  Commonwealth Edison CompanyEmbedded (Supply Services)Other Operating Expenses</v>
          </cell>
          <cell r="AC127" t="str">
            <v>[10601]  Commonwealth Edison CompanyEmbedded (Supply Services)Metro North Stores (03561)</v>
          </cell>
          <cell r="AF127" t="e">
            <v>#N/A</v>
          </cell>
        </row>
        <row r="128">
          <cell r="E128">
            <v>0</v>
          </cell>
          <cell r="H128">
            <v>0</v>
          </cell>
          <cell r="I128">
            <v>0</v>
          </cell>
          <cell r="J128">
            <v>0</v>
          </cell>
          <cell r="M128">
            <v>0</v>
          </cell>
          <cell r="N128">
            <v>0</v>
          </cell>
          <cell r="R128">
            <v>0</v>
          </cell>
          <cell r="V128" t="str">
            <v>Embedded</v>
          </cell>
          <cell r="W128" t="str">
            <v>Supply Services</v>
          </cell>
          <cell r="AA128" t="str">
            <v>[10601]  Commonwealth Edison CompanyEmbeddedSupply Services</v>
          </cell>
          <cell r="AB128" t="str">
            <v>[10601]  Commonwealth Edison CompanyEmbedded (Supply Services)Transportation</v>
          </cell>
          <cell r="AC128" t="str">
            <v>[10601]  Commonwealth Edison CompanyEmbedded (Supply Services)Metro North Stores (03561)</v>
          </cell>
          <cell r="AF128" t="e">
            <v>#N/A</v>
          </cell>
        </row>
        <row r="129">
          <cell r="E129">
            <v>0</v>
          </cell>
          <cell r="H129">
            <v>0</v>
          </cell>
          <cell r="I129">
            <v>0</v>
          </cell>
          <cell r="J129">
            <v>50</v>
          </cell>
          <cell r="M129">
            <v>-50</v>
          </cell>
          <cell r="N129">
            <v>0</v>
          </cell>
          <cell r="O129">
            <v>50</v>
          </cell>
          <cell r="R129">
            <v>-50</v>
          </cell>
          <cell r="S129">
            <v>0</v>
          </cell>
          <cell r="V129" t="str">
            <v>Embedded</v>
          </cell>
          <cell r="W129" t="str">
            <v>Supply Services</v>
          </cell>
          <cell r="AA129" t="str">
            <v>[10601]  Commonwealth Edison CompanyEmbeddedSupply Services</v>
          </cell>
          <cell r="AB129" t="str">
            <v>[10601]  Commonwealth Edison CompanyEmbedded (Supply Services)Contracting</v>
          </cell>
          <cell r="AC129" t="str">
            <v>[10601]  Commonwealth Edison CompanyEmbedded (Supply Services)Northern Region Stores (04560)</v>
          </cell>
          <cell r="AF129" t="e">
            <v>#N/A</v>
          </cell>
        </row>
        <row r="130">
          <cell r="E130">
            <v>0</v>
          </cell>
          <cell r="H130">
            <v>0</v>
          </cell>
          <cell r="I130">
            <v>0</v>
          </cell>
          <cell r="J130">
            <v>0</v>
          </cell>
          <cell r="M130">
            <v>0</v>
          </cell>
          <cell r="N130">
            <v>0</v>
          </cell>
          <cell r="O130">
            <v>0</v>
          </cell>
          <cell r="R130">
            <v>0</v>
          </cell>
          <cell r="S130">
            <v>0</v>
          </cell>
          <cell r="V130" t="str">
            <v>Embedded</v>
          </cell>
          <cell r="W130" t="str">
            <v>Supply Services</v>
          </cell>
          <cell r="AA130" t="str">
            <v>[10601]  Commonwealth Edison CompanyEmbeddedSupply Services</v>
          </cell>
          <cell r="AB130" t="str">
            <v>[10601]  Commonwealth Edison CompanyEmbedded (Supply Services)Business Services</v>
          </cell>
          <cell r="AC130" t="str">
            <v>[10601]  Commonwealth Edison CompanyEmbedded (Supply Services)Northern Region Stores (04560)</v>
          </cell>
          <cell r="AF130" t="e">
            <v>#N/A</v>
          </cell>
        </row>
        <row r="131">
          <cell r="E131">
            <v>0</v>
          </cell>
          <cell r="H131">
            <v>0</v>
          </cell>
          <cell r="I131">
            <v>0</v>
          </cell>
          <cell r="J131">
            <v>0</v>
          </cell>
          <cell r="M131">
            <v>0</v>
          </cell>
          <cell r="N131">
            <v>0</v>
          </cell>
          <cell r="O131">
            <v>0</v>
          </cell>
          <cell r="R131">
            <v>0</v>
          </cell>
          <cell r="S131">
            <v>0</v>
          </cell>
          <cell r="V131" t="str">
            <v>Embedded</v>
          </cell>
          <cell r="W131" t="str">
            <v>Supply Services</v>
          </cell>
          <cell r="AA131" t="str">
            <v>[10601]  Commonwealth Edison CompanyEmbeddedSupply Services</v>
          </cell>
          <cell r="AB131" t="str">
            <v>[10601]  Commonwealth Edison CompanyEmbedded (Supply Services)Materials and Supplies</v>
          </cell>
          <cell r="AC131" t="str">
            <v>[10601]  Commonwealth Edison CompanyEmbedded (Supply Services)Northern Region Stores (04560)</v>
          </cell>
          <cell r="AF131" t="e">
            <v>#N/A</v>
          </cell>
        </row>
        <row r="132">
          <cell r="E132">
            <v>0</v>
          </cell>
          <cell r="H132">
            <v>0</v>
          </cell>
          <cell r="I132">
            <v>0</v>
          </cell>
          <cell r="J132">
            <v>0</v>
          </cell>
          <cell r="M132">
            <v>0</v>
          </cell>
          <cell r="N132">
            <v>0</v>
          </cell>
          <cell r="O132">
            <v>0</v>
          </cell>
          <cell r="R132">
            <v>0</v>
          </cell>
          <cell r="S132">
            <v>0</v>
          </cell>
          <cell r="V132" t="str">
            <v>Embedded</v>
          </cell>
          <cell r="W132" t="str">
            <v>Supply Services</v>
          </cell>
          <cell r="AA132" t="str">
            <v>[10601]  Commonwealth Edison CompanyEmbeddedSupply Services</v>
          </cell>
          <cell r="AB132" t="str">
            <v>[10601]  Commonwealth Edison CompanyEmbedded (Supply Services)Other Operating Expenses</v>
          </cell>
          <cell r="AC132" t="str">
            <v>[10601]  Commonwealth Edison CompanyEmbedded (Supply Services)Northern Region Stores (04560)</v>
          </cell>
          <cell r="AF132" t="e">
            <v>#N/A</v>
          </cell>
        </row>
        <row r="133">
          <cell r="E133">
            <v>0</v>
          </cell>
          <cell r="H133">
            <v>0</v>
          </cell>
          <cell r="I133">
            <v>0</v>
          </cell>
          <cell r="J133">
            <v>0</v>
          </cell>
          <cell r="M133">
            <v>0</v>
          </cell>
          <cell r="N133">
            <v>0</v>
          </cell>
          <cell r="R133">
            <v>0</v>
          </cell>
          <cell r="V133" t="str">
            <v>Embedded</v>
          </cell>
          <cell r="W133" t="str">
            <v>Supply Services</v>
          </cell>
          <cell r="AA133" t="str">
            <v>[10601]  Commonwealth Edison CompanyEmbeddedSupply Services</v>
          </cell>
          <cell r="AB133" t="str">
            <v>[10601]  Commonwealth Edison CompanyEmbedded (Supply Services)Other Operating Expenses</v>
          </cell>
          <cell r="AC133" t="str">
            <v>[10601]  Commonwealth Edison CompanyEmbedded (Supply Services)Northern Region Stores (04560)</v>
          </cell>
          <cell r="AF133" t="e">
            <v>#N/A</v>
          </cell>
        </row>
        <row r="134">
          <cell r="E134">
            <v>0</v>
          </cell>
          <cell r="H134">
            <v>0</v>
          </cell>
          <cell r="I134">
            <v>0</v>
          </cell>
          <cell r="J134">
            <v>0</v>
          </cell>
          <cell r="M134">
            <v>0</v>
          </cell>
          <cell r="N134">
            <v>0</v>
          </cell>
          <cell r="O134">
            <v>0</v>
          </cell>
          <cell r="R134">
            <v>0</v>
          </cell>
          <cell r="S134">
            <v>0</v>
          </cell>
          <cell r="V134" t="str">
            <v>Embedded</v>
          </cell>
          <cell r="W134" t="str">
            <v>Supply Services</v>
          </cell>
          <cell r="AA134" t="str">
            <v>[10601]  Commonwealth Edison CompanyEmbeddedSupply Services</v>
          </cell>
          <cell r="AB134" t="str">
            <v>[10601]  Commonwealth Edison CompanyEmbedded (Supply Services)Other Operating Expenses</v>
          </cell>
          <cell r="AC134" t="str">
            <v>[10601]  Commonwealth Edison CompanyEmbedded (Supply Services)Northern Region Stores (04560)</v>
          </cell>
          <cell r="AF134" t="e">
            <v>#N/A</v>
          </cell>
        </row>
        <row r="135">
          <cell r="E135">
            <v>0</v>
          </cell>
          <cell r="H135">
            <v>0</v>
          </cell>
          <cell r="I135">
            <v>0</v>
          </cell>
          <cell r="J135">
            <v>290</v>
          </cell>
          <cell r="M135">
            <v>-290</v>
          </cell>
          <cell r="N135">
            <v>0</v>
          </cell>
          <cell r="O135">
            <v>290</v>
          </cell>
          <cell r="R135">
            <v>-290</v>
          </cell>
          <cell r="S135">
            <v>0</v>
          </cell>
          <cell r="V135" t="str">
            <v>Embedded</v>
          </cell>
          <cell r="W135" t="str">
            <v>Supply Services</v>
          </cell>
          <cell r="AA135" t="str">
            <v>[10601]  Commonwealth Edison CompanyEmbeddedSupply Services</v>
          </cell>
          <cell r="AB135" t="str">
            <v>[10601]  Commonwealth Edison CompanyEmbedded (Supply Services)Overtime</v>
          </cell>
          <cell r="AC135" t="str">
            <v>[10601]  Commonwealth Edison CompanyEmbedded (Supply Services)Northern Region Stores (04560)</v>
          </cell>
          <cell r="AF135" t="e">
            <v>#N/A</v>
          </cell>
        </row>
        <row r="136">
          <cell r="E136">
            <v>0</v>
          </cell>
          <cell r="H136">
            <v>0</v>
          </cell>
          <cell r="I136">
            <v>0</v>
          </cell>
          <cell r="J136">
            <v>0</v>
          </cell>
          <cell r="M136">
            <v>0</v>
          </cell>
          <cell r="N136">
            <v>0</v>
          </cell>
          <cell r="R136">
            <v>0</v>
          </cell>
          <cell r="V136" t="str">
            <v>Embedded</v>
          </cell>
          <cell r="W136" t="str">
            <v>Supply Services</v>
          </cell>
          <cell r="AA136" t="str">
            <v>[10601]  Commonwealth Edison CompanyEmbeddedSupply Services</v>
          </cell>
          <cell r="AB136" t="str">
            <v>[10601]  Commonwealth Edison CompanyEmbedded (Supply Services)Transportation</v>
          </cell>
          <cell r="AC136" t="str">
            <v>[10601]  Commonwealth Edison CompanyEmbedded (Supply Services)Northern Region Stores (04560)</v>
          </cell>
          <cell r="AF136" t="e">
            <v>#N/A</v>
          </cell>
        </row>
        <row r="137">
          <cell r="E137">
            <v>0</v>
          </cell>
          <cell r="H137">
            <v>0</v>
          </cell>
          <cell r="I137">
            <v>0</v>
          </cell>
          <cell r="J137">
            <v>25</v>
          </cell>
          <cell r="M137">
            <v>-25</v>
          </cell>
          <cell r="N137">
            <v>0</v>
          </cell>
          <cell r="O137">
            <v>25</v>
          </cell>
          <cell r="R137">
            <v>-25</v>
          </cell>
          <cell r="S137">
            <v>0</v>
          </cell>
          <cell r="V137" t="str">
            <v>Embedded</v>
          </cell>
          <cell r="W137" t="str">
            <v>Supply Services</v>
          </cell>
          <cell r="AA137" t="str">
            <v>[10601]  Commonwealth Edison CompanyEmbeddedSupply Services</v>
          </cell>
          <cell r="AB137" t="str">
            <v>[10601]  Commonwealth Edison CompanyEmbedded (Supply Services)Contracting</v>
          </cell>
          <cell r="AC137" t="str">
            <v>[10601]  Commonwealth Edison CompanyEmbedded (Supply Services)Southern Region Stores (06560)</v>
          </cell>
          <cell r="AF137" t="e">
            <v>#N/A</v>
          </cell>
        </row>
        <row r="138">
          <cell r="E138">
            <v>0</v>
          </cell>
          <cell r="H138">
            <v>0</v>
          </cell>
          <cell r="I138">
            <v>0</v>
          </cell>
          <cell r="J138">
            <v>0</v>
          </cell>
          <cell r="M138">
            <v>0</v>
          </cell>
          <cell r="N138">
            <v>0</v>
          </cell>
          <cell r="R138">
            <v>0</v>
          </cell>
          <cell r="V138" t="str">
            <v>Embedded</v>
          </cell>
          <cell r="W138" t="str">
            <v>Supply Services</v>
          </cell>
          <cell r="AA138" t="str">
            <v>[10601]  Commonwealth Edison CompanyEmbeddedSupply Services</v>
          </cell>
          <cell r="AB138" t="str">
            <v>[10601]  Commonwealth Edison CompanyEmbedded (Supply Services)Materials and Supplies</v>
          </cell>
          <cell r="AC138" t="str">
            <v>[10601]  Commonwealth Edison CompanyEmbedded (Supply Services)Southern Region Stores (06560)</v>
          </cell>
          <cell r="AF138" t="e">
            <v>#N/A</v>
          </cell>
        </row>
        <row r="139">
          <cell r="E139">
            <v>0</v>
          </cell>
          <cell r="H139">
            <v>0</v>
          </cell>
          <cell r="I139">
            <v>0</v>
          </cell>
          <cell r="J139">
            <v>0</v>
          </cell>
          <cell r="M139">
            <v>0</v>
          </cell>
          <cell r="N139">
            <v>0</v>
          </cell>
          <cell r="O139">
            <v>0</v>
          </cell>
          <cell r="R139">
            <v>0</v>
          </cell>
          <cell r="S139">
            <v>0</v>
          </cell>
          <cell r="V139" t="str">
            <v>Embedded</v>
          </cell>
          <cell r="W139" t="str">
            <v>Supply Services</v>
          </cell>
          <cell r="AA139" t="str">
            <v>[10601]  Commonwealth Edison CompanyEmbeddedSupply Services</v>
          </cell>
          <cell r="AB139" t="str">
            <v>[10601]  Commonwealth Edison CompanyEmbedded (Supply Services)Travel, Entertainment &amp; Reimb</v>
          </cell>
          <cell r="AC139" t="str">
            <v>[10601]  Commonwealth Edison CompanyEmbedded (Supply Services)Southern Region Stores (06560)</v>
          </cell>
          <cell r="AF139" t="e">
            <v>#N/A</v>
          </cell>
        </row>
        <row r="140">
          <cell r="E140">
            <v>386</v>
          </cell>
          <cell r="H140">
            <v>-386</v>
          </cell>
          <cell r="I140">
            <v>-386</v>
          </cell>
          <cell r="J140">
            <v>1808</v>
          </cell>
          <cell r="M140">
            <v>-1808</v>
          </cell>
          <cell r="N140">
            <v>-386</v>
          </cell>
          <cell r="O140">
            <v>1808</v>
          </cell>
          <cell r="R140">
            <v>-1808</v>
          </cell>
          <cell r="S140">
            <v>-386</v>
          </cell>
          <cell r="V140" t="str">
            <v>Embedded</v>
          </cell>
          <cell r="W140" t="str">
            <v>Supply Services</v>
          </cell>
          <cell r="AA140" t="str">
            <v>[10601]  Commonwealth Edison CompanyEmbeddedSupply Services</v>
          </cell>
          <cell r="AB140" t="str">
            <v>[10601]  Commonwealth Edison CompanyEmbedded (Supply Services)Other Operating Expenses</v>
          </cell>
          <cell r="AC140" t="str">
            <v>[10601]  Commonwealth Edison CompanyEmbedded (Supply Services)Southern Region Stores (06560)</v>
          </cell>
          <cell r="AF140" t="e">
            <v>#N/A</v>
          </cell>
        </row>
        <row r="141">
          <cell r="E141">
            <v>0</v>
          </cell>
          <cell r="H141">
            <v>0</v>
          </cell>
          <cell r="I141">
            <v>0</v>
          </cell>
          <cell r="J141">
            <v>-1658</v>
          </cell>
          <cell r="M141">
            <v>1658</v>
          </cell>
          <cell r="N141">
            <v>0</v>
          </cell>
          <cell r="O141">
            <v>-1658</v>
          </cell>
          <cell r="R141">
            <v>1658</v>
          </cell>
          <cell r="S141">
            <v>0</v>
          </cell>
          <cell r="V141" t="str">
            <v>Embedded</v>
          </cell>
          <cell r="W141" t="str">
            <v>Supply Services</v>
          </cell>
          <cell r="AA141" t="str">
            <v>[10601]  Commonwealth Edison CompanyEmbeddedSupply Services</v>
          </cell>
          <cell r="AB141" t="str">
            <v>[10601]  Commonwealth Edison CompanyEmbedded (Supply Services)Other Operating Expenses</v>
          </cell>
          <cell r="AC141" t="str">
            <v>[10601]  Commonwealth Edison CompanyEmbedded (Supply Services)Southern Region Stores (06560)</v>
          </cell>
          <cell r="AF141" t="e">
            <v>#N/A</v>
          </cell>
        </row>
        <row r="142">
          <cell r="E142">
            <v>0</v>
          </cell>
          <cell r="H142">
            <v>0</v>
          </cell>
          <cell r="I142">
            <v>0</v>
          </cell>
          <cell r="J142">
            <v>0</v>
          </cell>
          <cell r="M142">
            <v>0</v>
          </cell>
          <cell r="N142">
            <v>0</v>
          </cell>
          <cell r="O142">
            <v>0</v>
          </cell>
          <cell r="R142">
            <v>0</v>
          </cell>
          <cell r="S142">
            <v>0</v>
          </cell>
          <cell r="V142" t="str">
            <v>Embedded</v>
          </cell>
          <cell r="W142" t="str">
            <v>Supply Services</v>
          </cell>
          <cell r="AA142" t="str">
            <v>[10601]  Commonwealth Edison CompanyEmbeddedSupply Services</v>
          </cell>
          <cell r="AB142" t="str">
            <v>[10601]  Commonwealth Edison CompanyEmbedded (Supply Services)Other Operating Expenses</v>
          </cell>
          <cell r="AC142" t="str">
            <v>[10601]  Commonwealth Edison CompanyEmbedded (Supply Services)Southern Region Stores (06560)</v>
          </cell>
          <cell r="AF142" t="e">
            <v>#N/A</v>
          </cell>
        </row>
        <row r="143">
          <cell r="E143">
            <v>0</v>
          </cell>
          <cell r="H143">
            <v>0</v>
          </cell>
          <cell r="I143">
            <v>0</v>
          </cell>
          <cell r="J143">
            <v>0</v>
          </cell>
          <cell r="M143">
            <v>0</v>
          </cell>
          <cell r="N143">
            <v>0</v>
          </cell>
          <cell r="R143">
            <v>0</v>
          </cell>
          <cell r="V143" t="str">
            <v>Embedded</v>
          </cell>
          <cell r="W143" t="str">
            <v>Supply Services</v>
          </cell>
          <cell r="AA143" t="str">
            <v>[10601]  Commonwealth Edison CompanyEmbeddedSupply Services</v>
          </cell>
          <cell r="AB143" t="str">
            <v>[10601]  Commonwealth Edison CompanyEmbedded (Supply Services)Transportation</v>
          </cell>
          <cell r="AC143" t="str">
            <v>[10601]  Commonwealth Edison CompanyEmbedded (Supply Services)Southern Region Stores (06560)</v>
          </cell>
          <cell r="AF143" t="e">
            <v>#N/A</v>
          </cell>
        </row>
        <row r="144">
          <cell r="E144">
            <v>0</v>
          </cell>
          <cell r="H144">
            <v>0</v>
          </cell>
          <cell r="I144">
            <v>0</v>
          </cell>
          <cell r="J144">
            <v>0</v>
          </cell>
          <cell r="M144">
            <v>0</v>
          </cell>
          <cell r="N144">
            <v>0</v>
          </cell>
          <cell r="O144">
            <v>0</v>
          </cell>
          <cell r="R144">
            <v>0</v>
          </cell>
          <cell r="S144">
            <v>0</v>
          </cell>
          <cell r="V144" t="str">
            <v>Embedded</v>
          </cell>
          <cell r="W144" t="str">
            <v>Supply Services</v>
          </cell>
          <cell r="AA144" t="str">
            <v>[10601]  Commonwealth Edison CompanyEmbeddedSupply Services</v>
          </cell>
          <cell r="AB144" t="str">
            <v>[10601]  Commonwealth Edison CompanyEmbedded (Supply Services)Contracting</v>
          </cell>
          <cell r="AC144" t="str">
            <v>[10601]  Commonwealth Edison CompanyEmbedded (Supply Services)CTEAM (06566)</v>
          </cell>
          <cell r="AF144" t="e">
            <v>#N/A</v>
          </cell>
        </row>
        <row r="145">
          <cell r="E145">
            <v>0</v>
          </cell>
          <cell r="H145">
            <v>0</v>
          </cell>
          <cell r="I145">
            <v>0</v>
          </cell>
          <cell r="J145">
            <v>75</v>
          </cell>
          <cell r="M145">
            <v>-75</v>
          </cell>
          <cell r="N145">
            <v>0</v>
          </cell>
          <cell r="O145">
            <v>75</v>
          </cell>
          <cell r="R145">
            <v>-75</v>
          </cell>
          <cell r="S145">
            <v>0</v>
          </cell>
          <cell r="V145" t="str">
            <v>Embedded</v>
          </cell>
          <cell r="W145" t="str">
            <v>Supply Services</v>
          </cell>
          <cell r="AA145" t="str">
            <v>[10601]  Commonwealth Edison CompanyEmbeddedSupply Services</v>
          </cell>
          <cell r="AB145" t="str">
            <v>[10601]  Commonwealth Edison CompanyEmbedded (Supply Services)Contracting</v>
          </cell>
          <cell r="AC145" t="str">
            <v>[10601]  Commonwealth Edison CompanyEmbedded (Supply Services)Rock River Region Stores (07560)</v>
          </cell>
          <cell r="AF145" t="e">
            <v>#N/A</v>
          </cell>
        </row>
        <row r="146">
          <cell r="E146">
            <v>0</v>
          </cell>
          <cell r="H146">
            <v>0</v>
          </cell>
          <cell r="I146">
            <v>0</v>
          </cell>
          <cell r="J146">
            <v>0</v>
          </cell>
          <cell r="M146">
            <v>0</v>
          </cell>
          <cell r="N146">
            <v>0</v>
          </cell>
          <cell r="O146">
            <v>0</v>
          </cell>
          <cell r="R146">
            <v>0</v>
          </cell>
          <cell r="S146">
            <v>0</v>
          </cell>
          <cell r="V146" t="str">
            <v>Embedded</v>
          </cell>
          <cell r="W146" t="str">
            <v>Supply Services</v>
          </cell>
          <cell r="AA146" t="str">
            <v>[10601]  Commonwealth Edison CompanyEmbeddedSupply Services</v>
          </cell>
          <cell r="AB146" t="str">
            <v>[10601]  Commonwealth Edison CompanyEmbedded (Supply Services)Business Services</v>
          </cell>
          <cell r="AC146" t="str">
            <v>[10601]  Commonwealth Edison CompanyEmbedded (Supply Services)Rock River Region Stores (07560)</v>
          </cell>
          <cell r="AF146" t="e">
            <v>#N/A</v>
          </cell>
        </row>
        <row r="147">
          <cell r="E147">
            <v>0</v>
          </cell>
          <cell r="H147">
            <v>0</v>
          </cell>
          <cell r="I147">
            <v>0</v>
          </cell>
          <cell r="J147">
            <v>0</v>
          </cell>
          <cell r="M147">
            <v>0</v>
          </cell>
          <cell r="N147">
            <v>0</v>
          </cell>
          <cell r="R147">
            <v>0</v>
          </cell>
          <cell r="V147" t="str">
            <v>Embedded</v>
          </cell>
          <cell r="W147" t="str">
            <v>Supply Services</v>
          </cell>
          <cell r="AA147" t="str">
            <v>[10601]  Commonwealth Edison CompanyEmbeddedSupply Services</v>
          </cell>
          <cell r="AB147" t="str">
            <v>[10601]  Commonwealth Edison CompanyEmbedded (Supply Services)Materials and Supplies</v>
          </cell>
          <cell r="AC147" t="str">
            <v>[10601]  Commonwealth Edison CompanyEmbedded (Supply Services)Rock River Region Stores (07560)</v>
          </cell>
          <cell r="AF147" t="e">
            <v>#N/A</v>
          </cell>
        </row>
        <row r="148">
          <cell r="E148">
            <v>0</v>
          </cell>
          <cell r="H148">
            <v>0</v>
          </cell>
          <cell r="I148">
            <v>0</v>
          </cell>
          <cell r="J148">
            <v>0</v>
          </cell>
          <cell r="M148">
            <v>0</v>
          </cell>
          <cell r="N148">
            <v>0</v>
          </cell>
          <cell r="O148">
            <v>0</v>
          </cell>
          <cell r="R148">
            <v>0</v>
          </cell>
          <cell r="S148">
            <v>0</v>
          </cell>
          <cell r="V148" t="str">
            <v>Embedded</v>
          </cell>
          <cell r="W148" t="str">
            <v>Supply Services</v>
          </cell>
          <cell r="AA148" t="str">
            <v>[10601]  Commonwealth Edison CompanyEmbeddedSupply Services</v>
          </cell>
          <cell r="AB148" t="str">
            <v>[10601]  Commonwealth Edison CompanyEmbedded (Supply Services)Travel, Entertainment &amp; Reimb</v>
          </cell>
          <cell r="AC148" t="str">
            <v>[10601]  Commonwealth Edison CompanyEmbedded (Supply Services)Rock River Region Stores (07560)</v>
          </cell>
          <cell r="AF148" t="e">
            <v>#N/A</v>
          </cell>
        </row>
        <row r="149">
          <cell r="E149">
            <v>0</v>
          </cell>
          <cell r="H149">
            <v>0</v>
          </cell>
          <cell r="I149">
            <v>0</v>
          </cell>
          <cell r="J149">
            <v>0</v>
          </cell>
          <cell r="M149">
            <v>0</v>
          </cell>
          <cell r="N149">
            <v>0</v>
          </cell>
          <cell r="O149">
            <v>0</v>
          </cell>
          <cell r="R149">
            <v>0</v>
          </cell>
          <cell r="S149">
            <v>0</v>
          </cell>
          <cell r="V149" t="str">
            <v>Embedded</v>
          </cell>
          <cell r="W149" t="str">
            <v>Supply Services</v>
          </cell>
          <cell r="AA149" t="str">
            <v>[10601]  Commonwealth Edison CompanyEmbeddedSupply Services</v>
          </cell>
          <cell r="AB149" t="str">
            <v>[10601]  Commonwealth Edison CompanyEmbedded (Supply Services)Other Operating Expenses</v>
          </cell>
          <cell r="AC149" t="str">
            <v>[10601]  Commonwealth Edison CompanyEmbedded (Supply Services)Rock River Region Stores (07560)</v>
          </cell>
          <cell r="AF149" t="e">
            <v>#N/A</v>
          </cell>
        </row>
        <row r="150">
          <cell r="E150">
            <v>0</v>
          </cell>
          <cell r="H150">
            <v>0</v>
          </cell>
          <cell r="I150">
            <v>0</v>
          </cell>
          <cell r="J150">
            <v>1433</v>
          </cell>
          <cell r="M150">
            <v>-1433</v>
          </cell>
          <cell r="N150">
            <v>0</v>
          </cell>
          <cell r="O150">
            <v>1433</v>
          </cell>
          <cell r="R150">
            <v>-1433</v>
          </cell>
          <cell r="S150">
            <v>0</v>
          </cell>
          <cell r="V150" t="str">
            <v>Embedded</v>
          </cell>
          <cell r="W150" t="str">
            <v>Supply Services</v>
          </cell>
          <cell r="AA150" t="str">
            <v>[10601]  Commonwealth Edison CompanyEmbeddedSupply Services</v>
          </cell>
          <cell r="AB150" t="str">
            <v>[10601]  Commonwealth Edison CompanyEmbedded (Supply Services)Overtime</v>
          </cell>
          <cell r="AC150" t="str">
            <v>[10601]  Commonwealth Edison CompanyEmbedded (Supply Services)Rock River Region Stores (07560)</v>
          </cell>
          <cell r="AF150" t="e">
            <v>#N/A</v>
          </cell>
        </row>
        <row r="151">
          <cell r="E151">
            <v>0</v>
          </cell>
          <cell r="H151">
            <v>0</v>
          </cell>
          <cell r="I151">
            <v>0</v>
          </cell>
          <cell r="J151">
            <v>0</v>
          </cell>
          <cell r="M151">
            <v>0</v>
          </cell>
          <cell r="N151">
            <v>0</v>
          </cell>
          <cell r="R151">
            <v>0</v>
          </cell>
          <cell r="V151" t="str">
            <v>Embedded</v>
          </cell>
          <cell r="W151" t="str">
            <v>Supply Services</v>
          </cell>
          <cell r="AA151" t="str">
            <v>[10601]  Commonwealth Edison CompanyEmbeddedSupply Services</v>
          </cell>
          <cell r="AB151" t="str">
            <v>[10601]  Commonwealth Edison CompanyEmbedded (Supply Services)Transportation</v>
          </cell>
          <cell r="AC151" t="str">
            <v>[10601]  Commonwealth Edison CompanyEmbedded (Supply Services)Rock River Region Stores (07560)</v>
          </cell>
          <cell r="AF151" t="e">
            <v>#N/A</v>
          </cell>
        </row>
        <row r="152">
          <cell r="E152">
            <v>0</v>
          </cell>
          <cell r="H152">
            <v>0</v>
          </cell>
          <cell r="I152">
            <v>0</v>
          </cell>
          <cell r="J152">
            <v>0</v>
          </cell>
          <cell r="M152">
            <v>0</v>
          </cell>
          <cell r="N152">
            <v>0</v>
          </cell>
          <cell r="O152">
            <v>0</v>
          </cell>
          <cell r="R152">
            <v>0</v>
          </cell>
          <cell r="S152">
            <v>0</v>
          </cell>
          <cell r="V152" t="str">
            <v>Embedded</v>
          </cell>
          <cell r="W152" t="str">
            <v>IT</v>
          </cell>
          <cell r="AA152" t="str">
            <v>[10601]  Commonwealth Edison CompanyEmbeddedIT</v>
          </cell>
          <cell r="AB152" t="str">
            <v>[10601]  Commonwealth Edison CompanyEmbedded (IT)Business Services</v>
          </cell>
          <cell r="AC152" t="str">
            <v>[10601]  Commonwealth Edison CompanyEmbedded (IT)Office of VP (08107)</v>
          </cell>
          <cell r="AF152" t="e">
            <v>#N/A</v>
          </cell>
        </row>
        <row r="153">
          <cell r="E153">
            <v>0</v>
          </cell>
          <cell r="H153">
            <v>0</v>
          </cell>
          <cell r="I153">
            <v>0</v>
          </cell>
          <cell r="J153">
            <v>582</v>
          </cell>
          <cell r="M153">
            <v>-582</v>
          </cell>
          <cell r="N153">
            <v>0</v>
          </cell>
          <cell r="O153">
            <v>582</v>
          </cell>
          <cell r="R153">
            <v>-582</v>
          </cell>
          <cell r="S153">
            <v>0</v>
          </cell>
          <cell r="V153" t="str">
            <v>Embedded</v>
          </cell>
          <cell r="W153" t="str">
            <v>IT</v>
          </cell>
          <cell r="AA153" t="str">
            <v>[10601]  Commonwealth Edison CompanyEmbeddedIT</v>
          </cell>
          <cell r="AB153" t="str">
            <v>[10601]  Commonwealth Edison CompanyEmbedded (IT)Other Operating Expenses</v>
          </cell>
          <cell r="AC153" t="str">
            <v>[10601]  Commonwealth Edison CompanyEmbedded (IT)Office of VP (08107)</v>
          </cell>
          <cell r="AF153" t="e">
            <v>#N/A</v>
          </cell>
        </row>
        <row r="154">
          <cell r="E154">
            <v>0</v>
          </cell>
          <cell r="H154">
            <v>0</v>
          </cell>
          <cell r="I154">
            <v>0</v>
          </cell>
          <cell r="J154">
            <v>0</v>
          </cell>
          <cell r="M154">
            <v>0</v>
          </cell>
          <cell r="N154">
            <v>0</v>
          </cell>
          <cell r="O154">
            <v>0</v>
          </cell>
          <cell r="R154">
            <v>0</v>
          </cell>
          <cell r="S154">
            <v>0</v>
          </cell>
          <cell r="V154" t="str">
            <v>Embedded</v>
          </cell>
          <cell r="W154" t="str">
            <v>IT</v>
          </cell>
          <cell r="AA154" t="str">
            <v>[10601]  Commonwealth Edison CompanyEmbeddedIT</v>
          </cell>
          <cell r="AB154" t="str">
            <v>[10601]  Commonwealth Edison CompanyEmbedded (IT)Other Operating Expenses</v>
          </cell>
          <cell r="AC154" t="str">
            <v>[10601]  Commonwealth Edison CompanyEmbedded (IT)Office of VP (08107)</v>
          </cell>
          <cell r="AF154" t="e">
            <v>#N/A</v>
          </cell>
        </row>
        <row r="155">
          <cell r="E155">
            <v>0</v>
          </cell>
          <cell r="H155">
            <v>0</v>
          </cell>
          <cell r="I155">
            <v>0</v>
          </cell>
          <cell r="J155">
            <v>0</v>
          </cell>
          <cell r="M155">
            <v>0</v>
          </cell>
          <cell r="N155">
            <v>0</v>
          </cell>
          <cell r="R155">
            <v>0</v>
          </cell>
          <cell r="V155" t="str">
            <v>Embedded</v>
          </cell>
          <cell r="W155" t="str">
            <v>Supply Services</v>
          </cell>
          <cell r="AA155" t="str">
            <v>[10601]  Commonwealth Edison CompanyEmbeddedSupply Services</v>
          </cell>
          <cell r="AB155" t="str">
            <v>[10601]  Commonwealth Edison CompanyEmbedded (Supply Services)Contracting</v>
          </cell>
          <cell r="AC155" t="str">
            <v>[10601]  Commonwealth Edison CompanyEmbedded (Supply Services)Supply T&amp;S Work Management (08506)</v>
          </cell>
          <cell r="AF155" t="e">
            <v>#N/A</v>
          </cell>
        </row>
        <row r="156">
          <cell r="E156">
            <v>0</v>
          </cell>
          <cell r="H156">
            <v>0</v>
          </cell>
          <cell r="I156">
            <v>0</v>
          </cell>
          <cell r="J156">
            <v>0</v>
          </cell>
          <cell r="M156">
            <v>0</v>
          </cell>
          <cell r="N156">
            <v>0</v>
          </cell>
          <cell r="O156">
            <v>0</v>
          </cell>
          <cell r="R156">
            <v>0</v>
          </cell>
          <cell r="S156">
            <v>0</v>
          </cell>
          <cell r="V156" t="str">
            <v>Embedded</v>
          </cell>
          <cell r="W156" t="str">
            <v>Supply Services</v>
          </cell>
          <cell r="AA156" t="str">
            <v>[10601]  Commonwealth Edison CompanyEmbeddedSupply Services</v>
          </cell>
          <cell r="AB156" t="str">
            <v>[10601]  Commonwealth Edison CompanyEmbedded (Supply Services)Other Operating Expenses</v>
          </cell>
          <cell r="AC156" t="str">
            <v>[10601]  Commonwealth Edison CompanyEmbedded (Supply Services)Supply T&amp;S Work Management (08506)</v>
          </cell>
          <cell r="AF156" t="e">
            <v>#N/A</v>
          </cell>
        </row>
        <row r="157">
          <cell r="E157">
            <v>0</v>
          </cell>
          <cell r="H157">
            <v>0</v>
          </cell>
          <cell r="I157">
            <v>0</v>
          </cell>
          <cell r="J157">
            <v>0</v>
          </cell>
          <cell r="M157">
            <v>0</v>
          </cell>
          <cell r="N157">
            <v>0</v>
          </cell>
          <cell r="R157">
            <v>0</v>
          </cell>
          <cell r="V157" t="str">
            <v>Embedded</v>
          </cell>
          <cell r="W157" t="str">
            <v>Supply Services</v>
          </cell>
          <cell r="AA157" t="str">
            <v>[10601]  Commonwealth Edison CompanyEmbeddedSupply Services</v>
          </cell>
          <cell r="AB157" t="str">
            <v>[10601]  Commonwealth Edison CompanyEmbedded (Supply Services)Travel, Entertainment &amp; Reimb</v>
          </cell>
          <cell r="AC157" t="str">
            <v>[10601]  Commonwealth Edison CompanyEmbedded (Supply Services)Supply T&amp;S Work Management (08506)</v>
          </cell>
          <cell r="AF157" t="e">
            <v>#N/A</v>
          </cell>
        </row>
        <row r="158">
          <cell r="E158">
            <v>108663</v>
          </cell>
          <cell r="H158">
            <v>17705</v>
          </cell>
          <cell r="I158">
            <v>10107</v>
          </cell>
          <cell r="J158">
            <v>481494</v>
          </cell>
          <cell r="M158">
            <v>21377</v>
          </cell>
          <cell r="N158">
            <v>10107</v>
          </cell>
          <cell r="O158">
            <v>1442987</v>
          </cell>
          <cell r="R158">
            <v>112950</v>
          </cell>
          <cell r="S158">
            <v>33659</v>
          </cell>
          <cell r="V158" t="str">
            <v>Embedded</v>
          </cell>
          <cell r="W158" t="str">
            <v>Supply Services</v>
          </cell>
          <cell r="AA158" t="str">
            <v>[10601]  Commonwealth Edison CompanyEmbeddedSupply Services</v>
          </cell>
          <cell r="AB158" t="str">
            <v>[10601]  Commonwealth Edison CompanyEmbedded (Supply Services)Salaries and Wages</v>
          </cell>
          <cell r="AC158" t="str">
            <v>[10601]  Commonwealth Edison CompanyEmbedded (Supply Services)Fabrication (08509)</v>
          </cell>
          <cell r="AF158" t="e">
            <v>#N/A</v>
          </cell>
        </row>
        <row r="159">
          <cell r="E159">
            <v>283</v>
          </cell>
          <cell r="H159">
            <v>328</v>
          </cell>
          <cell r="I159">
            <v>328</v>
          </cell>
          <cell r="J159">
            <v>1110</v>
          </cell>
          <cell r="M159">
            <v>1331</v>
          </cell>
          <cell r="N159">
            <v>328</v>
          </cell>
          <cell r="O159">
            <v>3331</v>
          </cell>
          <cell r="R159">
            <v>3994</v>
          </cell>
          <cell r="S159">
            <v>2991</v>
          </cell>
          <cell r="V159" t="str">
            <v>Embedded</v>
          </cell>
          <cell r="W159" t="str">
            <v>Supply Services</v>
          </cell>
          <cell r="AA159" t="str">
            <v>[10601]  Commonwealth Edison CompanyEmbeddedSupply Services</v>
          </cell>
          <cell r="AB159" t="str">
            <v>[10601]  Commonwealth Edison CompanyEmbedded (Supply Services)Travel, Entertainment &amp; Reimb</v>
          </cell>
          <cell r="AC159" t="str">
            <v>[10601]  Commonwealth Edison CompanyEmbedded (Supply Services)Fabrication (08509)</v>
          </cell>
          <cell r="AF159" t="e">
            <v>#N/A</v>
          </cell>
        </row>
        <row r="160">
          <cell r="E160">
            <v>18925</v>
          </cell>
          <cell r="H160">
            <v>-8092</v>
          </cell>
          <cell r="I160">
            <v>18003</v>
          </cell>
          <cell r="J160">
            <v>77622</v>
          </cell>
          <cell r="M160">
            <v>-34289</v>
          </cell>
          <cell r="N160">
            <v>18003</v>
          </cell>
          <cell r="O160">
            <v>549834</v>
          </cell>
          <cell r="R160">
            <v>-169834</v>
          </cell>
          <cell r="S160">
            <v>80384</v>
          </cell>
          <cell r="V160" t="str">
            <v>Embedded</v>
          </cell>
          <cell r="W160" t="str">
            <v>Supply Services</v>
          </cell>
          <cell r="AA160" t="str">
            <v>[10601]  Commonwealth Edison CompanyEmbeddedSupply Services</v>
          </cell>
          <cell r="AB160" t="str">
            <v>[10601]  Commonwealth Edison CompanyEmbedded (Supply Services)Contracting</v>
          </cell>
          <cell r="AC160" t="str">
            <v>[10601]  Commonwealth Edison CompanyEmbedded (Supply Services)Fabrication (08509)</v>
          </cell>
          <cell r="AF160" t="e">
            <v>#N/A</v>
          </cell>
        </row>
        <row r="161">
          <cell r="E161">
            <v>2504</v>
          </cell>
          <cell r="H161">
            <v>1796</v>
          </cell>
          <cell r="I161">
            <v>74</v>
          </cell>
          <cell r="J161">
            <v>10238</v>
          </cell>
          <cell r="M161">
            <v>6960</v>
          </cell>
          <cell r="N161">
            <v>74</v>
          </cell>
          <cell r="O161">
            <v>30715</v>
          </cell>
          <cell r="R161">
            <v>20879</v>
          </cell>
          <cell r="S161">
            <v>222</v>
          </cell>
          <cell r="V161" t="str">
            <v>Embedded</v>
          </cell>
          <cell r="W161" t="str">
            <v>Supply Services</v>
          </cell>
          <cell r="AA161" t="str">
            <v>[10601]  Commonwealth Edison CompanyEmbeddedSupply Services</v>
          </cell>
          <cell r="AB161" t="str">
            <v>[10601]  Commonwealth Edison CompanyEmbedded (Supply Services)Business Services</v>
          </cell>
          <cell r="AC161" t="str">
            <v>[10601]  Commonwealth Edison CompanyEmbedded (Supply Services)Fabrication (08509)</v>
          </cell>
          <cell r="AF161" t="e">
            <v>#N/A</v>
          </cell>
        </row>
        <row r="162">
          <cell r="E162">
            <v>99282</v>
          </cell>
          <cell r="H162">
            <v>-25311</v>
          </cell>
          <cell r="I162">
            <v>-47770</v>
          </cell>
          <cell r="J162">
            <v>64475</v>
          </cell>
          <cell r="M162">
            <v>231409</v>
          </cell>
          <cell r="N162">
            <v>-47770</v>
          </cell>
          <cell r="O162">
            <v>432130</v>
          </cell>
          <cell r="R162">
            <v>455524</v>
          </cell>
          <cell r="S162">
            <v>-3325</v>
          </cell>
          <cell r="V162" t="str">
            <v>Embedded</v>
          </cell>
          <cell r="W162" t="str">
            <v>Supply Services</v>
          </cell>
          <cell r="AA162" t="str">
            <v>[10601]  Commonwealth Edison CompanyEmbeddedSupply Services</v>
          </cell>
          <cell r="AB162" t="str">
            <v>[10601]  Commonwealth Edison CompanyEmbedded (Supply Services)Materials and Supplies</v>
          </cell>
          <cell r="AC162" t="str">
            <v>[10601]  Commonwealth Edison CompanyEmbedded (Supply Services)Fabrication (08509)</v>
          </cell>
          <cell r="AF162" t="e">
            <v>#N/A</v>
          </cell>
        </row>
        <row r="163">
          <cell r="E163">
            <v>0</v>
          </cell>
          <cell r="H163">
            <v>60</v>
          </cell>
          <cell r="I163">
            <v>474</v>
          </cell>
          <cell r="J163">
            <v>0</v>
          </cell>
          <cell r="M163">
            <v>241</v>
          </cell>
          <cell r="N163">
            <v>474</v>
          </cell>
          <cell r="O163">
            <v>3617</v>
          </cell>
          <cell r="R163">
            <v>-2894</v>
          </cell>
          <cell r="S163">
            <v>649</v>
          </cell>
          <cell r="V163" t="str">
            <v>Embedded</v>
          </cell>
          <cell r="W163" t="str">
            <v>Supply Services</v>
          </cell>
          <cell r="AA163" t="str">
            <v>[10601]  Commonwealth Edison CompanyEmbeddedSupply Services</v>
          </cell>
          <cell r="AB163" t="str">
            <v>[10601]  Commonwealth Edison CompanyEmbedded (Supply Services)Other Operating Expenses</v>
          </cell>
          <cell r="AC163" t="str">
            <v>[10601]  Commonwealth Edison CompanyEmbedded (Supply Services)Fabrication (08509)</v>
          </cell>
          <cell r="AF163" t="e">
            <v>#N/A</v>
          </cell>
        </row>
        <row r="164">
          <cell r="E164">
            <v>0</v>
          </cell>
          <cell r="H164">
            <v>0</v>
          </cell>
          <cell r="I164">
            <v>0</v>
          </cell>
          <cell r="J164">
            <v>3300</v>
          </cell>
          <cell r="M164">
            <v>-3300</v>
          </cell>
          <cell r="N164">
            <v>0</v>
          </cell>
          <cell r="O164">
            <v>3300</v>
          </cell>
          <cell r="R164">
            <v>-3300</v>
          </cell>
          <cell r="S164">
            <v>0</v>
          </cell>
          <cell r="V164" t="str">
            <v>Embedded</v>
          </cell>
          <cell r="W164" t="str">
            <v>Supply Services</v>
          </cell>
          <cell r="AA164" t="str">
            <v>[10601]  Commonwealth Edison CompanyEmbeddedSupply Services</v>
          </cell>
          <cell r="AB164" t="str">
            <v>[10601]  Commonwealth Edison CompanyEmbedded (Supply Services)Travel, Entertainment &amp; Reimb</v>
          </cell>
          <cell r="AC164" t="str">
            <v>[10601]  Commonwealth Edison CompanyEmbedded (Supply Services)Fabrication (08509)</v>
          </cell>
          <cell r="AF164" t="e">
            <v>#N/A</v>
          </cell>
        </row>
        <row r="165">
          <cell r="E165">
            <v>504</v>
          </cell>
          <cell r="H165">
            <v>-504</v>
          </cell>
          <cell r="I165">
            <v>36</v>
          </cell>
          <cell r="J165">
            <v>2125</v>
          </cell>
          <cell r="M165">
            <v>-2125</v>
          </cell>
          <cell r="N165">
            <v>36</v>
          </cell>
          <cell r="O165">
            <v>6376</v>
          </cell>
          <cell r="R165">
            <v>-6376</v>
          </cell>
          <cell r="S165">
            <v>109</v>
          </cell>
          <cell r="V165" t="str">
            <v>Embedded</v>
          </cell>
          <cell r="W165" t="str">
            <v>Supply Services</v>
          </cell>
          <cell r="AA165" t="str">
            <v>[10601]  Commonwealth Edison CompanyEmbeddedSupply Services</v>
          </cell>
          <cell r="AB165" t="str">
            <v>[10601]  Commonwealth Edison CompanyEmbedded (Supply Services)Other Operating Expenses</v>
          </cell>
          <cell r="AC165" t="str">
            <v>[10601]  Commonwealth Edison CompanyEmbedded (Supply Services)Fabrication (08509)</v>
          </cell>
          <cell r="AF165" t="e">
            <v>#N/A</v>
          </cell>
        </row>
        <row r="166">
          <cell r="E166">
            <v>8148</v>
          </cell>
          <cell r="H166">
            <v>3730</v>
          </cell>
          <cell r="I166">
            <v>3023</v>
          </cell>
          <cell r="J166">
            <v>34196</v>
          </cell>
          <cell r="M166">
            <v>13314</v>
          </cell>
          <cell r="N166">
            <v>3023</v>
          </cell>
          <cell r="O166">
            <v>104486</v>
          </cell>
          <cell r="R166">
            <v>38044</v>
          </cell>
          <cell r="S166">
            <v>22094</v>
          </cell>
          <cell r="V166" t="str">
            <v>Embedded</v>
          </cell>
          <cell r="W166" t="str">
            <v>Supply Services</v>
          </cell>
          <cell r="AA166" t="str">
            <v>[10601]  Commonwealth Edison CompanyEmbeddedSupply Services</v>
          </cell>
          <cell r="AB166" t="str">
            <v>[10601]  Commonwealth Edison CompanyEmbedded (Supply Services)Other Operating Expenses</v>
          </cell>
          <cell r="AC166" t="str">
            <v>[10601]  Commonwealth Edison CompanyEmbedded (Supply Services)Fabrication (08509)</v>
          </cell>
          <cell r="AF166" t="e">
            <v>#N/A</v>
          </cell>
        </row>
        <row r="167">
          <cell r="E167">
            <v>62</v>
          </cell>
          <cell r="H167">
            <v>-62</v>
          </cell>
          <cell r="I167">
            <v>1092</v>
          </cell>
          <cell r="J167">
            <v>1174</v>
          </cell>
          <cell r="M167">
            <v>-1174</v>
          </cell>
          <cell r="N167">
            <v>1092</v>
          </cell>
          <cell r="O167">
            <v>8222</v>
          </cell>
          <cell r="R167">
            <v>-8222</v>
          </cell>
          <cell r="S167">
            <v>3277</v>
          </cell>
          <cell r="V167" t="str">
            <v>Embedded</v>
          </cell>
          <cell r="W167" t="str">
            <v>Supply Services</v>
          </cell>
          <cell r="AA167" t="str">
            <v>[10601]  Commonwealth Edison CompanyEmbeddedSupply Services</v>
          </cell>
          <cell r="AB167" t="str">
            <v>[10601]  Commonwealth Edison CompanyEmbedded (Supply Services)Salaries and Wages</v>
          </cell>
          <cell r="AC167" t="str">
            <v>[10601]  Commonwealth Edison CompanyEmbedded (Supply Services)Fabrication (08509)</v>
          </cell>
          <cell r="AF167" t="e">
            <v>#N/A</v>
          </cell>
        </row>
        <row r="168">
          <cell r="E168">
            <v>1417</v>
          </cell>
          <cell r="H168">
            <v>9957</v>
          </cell>
          <cell r="I168">
            <v>13088</v>
          </cell>
          <cell r="J168">
            <v>9190</v>
          </cell>
          <cell r="M168">
            <v>36068</v>
          </cell>
          <cell r="N168">
            <v>13088</v>
          </cell>
          <cell r="O168">
            <v>125223</v>
          </cell>
          <cell r="R168">
            <v>14811</v>
          </cell>
          <cell r="S168">
            <v>13088</v>
          </cell>
          <cell r="V168" t="str">
            <v>Embedded</v>
          </cell>
          <cell r="W168" t="str">
            <v>Supply Services</v>
          </cell>
          <cell r="AA168" t="str">
            <v>[10601]  Commonwealth Edison CompanyEmbeddedSupply Services</v>
          </cell>
          <cell r="AB168" t="str">
            <v>[10601]  Commonwealth Edison CompanyEmbedded (Supply Services)Overtime</v>
          </cell>
          <cell r="AC168" t="str">
            <v>[10601]  Commonwealth Edison CompanyEmbedded (Supply Services)Fabrication (08509)</v>
          </cell>
          <cell r="AF168" t="e">
            <v>#N/A</v>
          </cell>
        </row>
        <row r="169">
          <cell r="E169">
            <v>64097</v>
          </cell>
          <cell r="H169">
            <v>10619</v>
          </cell>
          <cell r="I169">
            <v>5199</v>
          </cell>
          <cell r="J169">
            <v>280977</v>
          </cell>
          <cell r="M169">
            <v>16350</v>
          </cell>
          <cell r="N169">
            <v>5199</v>
          </cell>
          <cell r="O169">
            <v>841395</v>
          </cell>
          <cell r="R169">
            <v>78568</v>
          </cell>
          <cell r="S169">
            <v>23409</v>
          </cell>
          <cell r="V169" t="str">
            <v>Embedded</v>
          </cell>
          <cell r="W169" t="str">
            <v>Supply Services</v>
          </cell>
          <cell r="AA169" t="str">
            <v>[10601]  Commonwealth Edison CompanyEmbeddedSupply Services</v>
          </cell>
          <cell r="AB169" t="str">
            <v>[10601]  Commonwealth Edison CompanyEmbedded (Supply Services)Pension and Benefits</v>
          </cell>
          <cell r="AC169" t="str">
            <v>[10601]  Commonwealth Edison CompanyEmbedded (Supply Services)Fabrication (08509)</v>
          </cell>
          <cell r="AF169" t="e">
            <v>#N/A</v>
          </cell>
        </row>
        <row r="170">
          <cell r="E170">
            <v>12712</v>
          </cell>
          <cell r="H170">
            <v>-5021</v>
          </cell>
          <cell r="I170">
            <v>-5026</v>
          </cell>
          <cell r="J170">
            <v>35771</v>
          </cell>
          <cell r="M170">
            <v>-5008</v>
          </cell>
          <cell r="N170">
            <v>-5026</v>
          </cell>
          <cell r="O170">
            <v>107312</v>
          </cell>
          <cell r="R170">
            <v>-15023</v>
          </cell>
          <cell r="S170">
            <v>-15077</v>
          </cell>
          <cell r="V170" t="str">
            <v>Embedded</v>
          </cell>
          <cell r="W170" t="str">
            <v>Supply Services</v>
          </cell>
          <cell r="AA170" t="str">
            <v>[10601]  Commonwealth Edison CompanyEmbeddedSupply Services</v>
          </cell>
          <cell r="AB170" t="str">
            <v>[10601]  Commonwealth Edison CompanyEmbedded (Supply Services)Transportation</v>
          </cell>
          <cell r="AC170" t="str">
            <v>[10601]  Commonwealth Edison CompanyEmbedded (Supply Services)Fabrication (08509)</v>
          </cell>
          <cell r="AF170" t="e">
            <v>#N/A</v>
          </cell>
        </row>
        <row r="171">
          <cell r="E171">
            <v>0</v>
          </cell>
          <cell r="H171">
            <v>0</v>
          </cell>
          <cell r="I171">
            <v>0</v>
          </cell>
          <cell r="J171">
            <v>0</v>
          </cell>
          <cell r="M171">
            <v>0</v>
          </cell>
          <cell r="N171">
            <v>0</v>
          </cell>
          <cell r="R171">
            <v>0</v>
          </cell>
          <cell r="V171" t="str">
            <v>Embedded</v>
          </cell>
          <cell r="W171" t="str">
            <v>Supply Services</v>
          </cell>
          <cell r="AA171" t="str">
            <v>[10601]  Commonwealth Edison CompanyEmbeddedSupply Services</v>
          </cell>
          <cell r="AB171" t="str">
            <v>[10601]  Commonwealth Edison CompanyEmbedded (Supply Services)Travel, Entertainment &amp; Reimb</v>
          </cell>
          <cell r="AC171" t="str">
            <v>[10601]  Commonwealth Edison CompanyEmbedded (Supply Services)Material Availability - ComEd (08515)</v>
          </cell>
          <cell r="AF171" t="e">
            <v>#N/A</v>
          </cell>
        </row>
        <row r="172">
          <cell r="E172">
            <v>0</v>
          </cell>
          <cell r="H172">
            <v>0</v>
          </cell>
          <cell r="I172">
            <v>0</v>
          </cell>
          <cell r="J172">
            <v>0</v>
          </cell>
          <cell r="M172">
            <v>0</v>
          </cell>
          <cell r="N172">
            <v>0</v>
          </cell>
          <cell r="R172">
            <v>0</v>
          </cell>
          <cell r="V172" t="str">
            <v>Embedded</v>
          </cell>
          <cell r="W172" t="str">
            <v>Supply Services</v>
          </cell>
          <cell r="AA172" t="str">
            <v>[10601]  Commonwealth Edison CompanyEmbeddedSupply Services</v>
          </cell>
          <cell r="AB172" t="str">
            <v>[10601]  Commonwealth Edison CompanyEmbedded (Supply Services)Materials and Supplies</v>
          </cell>
          <cell r="AC172" t="str">
            <v>[10601]  Commonwealth Edison CompanyEmbedded (Supply Services)Material Availability - ComEd (08515)</v>
          </cell>
          <cell r="AF172" t="e">
            <v>#N/A</v>
          </cell>
        </row>
        <row r="173">
          <cell r="E173">
            <v>0</v>
          </cell>
          <cell r="H173">
            <v>0</v>
          </cell>
          <cell r="I173">
            <v>0</v>
          </cell>
          <cell r="J173">
            <v>0</v>
          </cell>
          <cell r="M173">
            <v>0</v>
          </cell>
          <cell r="N173">
            <v>0</v>
          </cell>
          <cell r="O173">
            <v>0</v>
          </cell>
          <cell r="R173">
            <v>0</v>
          </cell>
          <cell r="S173">
            <v>0</v>
          </cell>
          <cell r="V173" t="str">
            <v>Embedded</v>
          </cell>
          <cell r="W173" t="str">
            <v>Supply Services</v>
          </cell>
          <cell r="AA173" t="str">
            <v>[10601]  Commonwealth Edison CompanyEmbeddedSupply Services</v>
          </cell>
          <cell r="AB173" t="str">
            <v>[10601]  Commonwealth Edison CompanyEmbedded (Supply Services)Other Operating Expenses</v>
          </cell>
          <cell r="AC173" t="str">
            <v>[10601]  Commonwealth Edison CompanyEmbedded (Supply Services)Material Availability - ComEd (08515)</v>
          </cell>
          <cell r="AF173" t="e">
            <v>#N/A</v>
          </cell>
        </row>
        <row r="174">
          <cell r="E174">
            <v>0</v>
          </cell>
          <cell r="H174">
            <v>0</v>
          </cell>
          <cell r="I174">
            <v>0</v>
          </cell>
          <cell r="J174">
            <v>0</v>
          </cell>
          <cell r="M174">
            <v>0</v>
          </cell>
          <cell r="N174">
            <v>0</v>
          </cell>
          <cell r="R174">
            <v>0</v>
          </cell>
          <cell r="V174" t="str">
            <v>Embedded</v>
          </cell>
          <cell r="W174" t="str">
            <v>Supply Services</v>
          </cell>
          <cell r="AA174" t="str">
            <v>[10601]  Commonwealth Edison CompanyEmbeddedSupply Services</v>
          </cell>
          <cell r="AB174" t="str">
            <v>[10601]  Commonwealth Edison CompanyEmbedded (Supply Services)Other Operating Expenses</v>
          </cell>
          <cell r="AC174" t="str">
            <v>[10601]  Commonwealth Edison CompanyEmbedded (Supply Services)Material Availability - ComEd (08515)</v>
          </cell>
          <cell r="AF174" t="e">
            <v>#N/A</v>
          </cell>
        </row>
        <row r="175">
          <cell r="E175">
            <v>66140</v>
          </cell>
          <cell r="H175">
            <v>-66140</v>
          </cell>
          <cell r="I175">
            <v>-66140</v>
          </cell>
          <cell r="J175">
            <v>239186</v>
          </cell>
          <cell r="M175">
            <v>-239186</v>
          </cell>
          <cell r="N175">
            <v>-66140</v>
          </cell>
          <cell r="O175">
            <v>239186</v>
          </cell>
          <cell r="R175">
            <v>-239186</v>
          </cell>
          <cell r="S175">
            <v>-66140</v>
          </cell>
          <cell r="V175" t="str">
            <v>Corporate Allocated</v>
          </cell>
          <cell r="W175" t="str">
            <v>Executive Services</v>
          </cell>
          <cell r="AA175" t="str">
            <v>[10601]  Commonwealth Edison CompanyCorporate AllocatedExecutive Services</v>
          </cell>
          <cell r="AB175" t="str">
            <v>[10601]  Commonwealth Edison CompanyCorporate Allocated (Executive Services)Business Services</v>
          </cell>
          <cell r="AC175" t="str">
            <v>[10601]  Commonwealth Edison CompanyCorporate Allocated (Executive Services)Srvc Lev Agreements-Operations (08591)</v>
          </cell>
          <cell r="AF175" t="e">
            <v>#N/A</v>
          </cell>
        </row>
        <row r="176">
          <cell r="E176">
            <v>15564</v>
          </cell>
          <cell r="H176">
            <v>-15564</v>
          </cell>
          <cell r="I176">
            <v>-15564</v>
          </cell>
          <cell r="J176">
            <v>98324</v>
          </cell>
          <cell r="M176">
            <v>-98324</v>
          </cell>
          <cell r="N176">
            <v>-15564</v>
          </cell>
          <cell r="O176">
            <v>98324</v>
          </cell>
          <cell r="R176">
            <v>-98324</v>
          </cell>
          <cell r="S176">
            <v>-15564</v>
          </cell>
          <cell r="V176" t="str">
            <v>Corporate Allocated</v>
          </cell>
          <cell r="W176" t="str">
            <v>Executive Services</v>
          </cell>
          <cell r="AA176" t="str">
            <v>[10601]  Commonwealth Edison CompanyCorporate AllocatedExecutive Services</v>
          </cell>
          <cell r="AB176" t="str">
            <v>[10601]  Commonwealth Edison CompanyCorporate Allocated (Executive Services)Business Services</v>
          </cell>
          <cell r="AC176" t="str">
            <v>[10601]  Commonwealth Edison CompanyCorporate Allocated (Executive Services)Srvc Lev Agreements-Cust Serv (08593)</v>
          </cell>
          <cell r="AF176" t="e">
            <v>#N/A</v>
          </cell>
        </row>
        <row r="177">
          <cell r="E177">
            <v>41833</v>
          </cell>
          <cell r="H177">
            <v>3131</v>
          </cell>
          <cell r="I177">
            <v>3131</v>
          </cell>
          <cell r="J177">
            <v>157155</v>
          </cell>
          <cell r="M177">
            <v>21778</v>
          </cell>
          <cell r="N177">
            <v>3131</v>
          </cell>
          <cell r="O177">
            <v>531860</v>
          </cell>
          <cell r="R177">
            <v>21778</v>
          </cell>
          <cell r="S177">
            <v>3131</v>
          </cell>
          <cell r="V177" t="str">
            <v>Embedded</v>
          </cell>
          <cell r="W177" t="str">
            <v>Human Resources</v>
          </cell>
          <cell r="AA177" t="str">
            <v>[10200]  PECO Energy CompanyEmbeddedHuman Resources</v>
          </cell>
          <cell r="AB177" t="str">
            <v>[10200]  PECO Energy CompanyEmbedded (Human Resources)Salaries and Wages</v>
          </cell>
          <cell r="AC177" t="str">
            <v>[10200]  PECO Energy CompanyEmbedded (Human Resources)HR Operations PED (00125)</v>
          </cell>
          <cell r="AF177" t="e">
            <v>#N/A</v>
          </cell>
        </row>
        <row r="178">
          <cell r="E178">
            <v>2339</v>
          </cell>
          <cell r="H178">
            <v>461</v>
          </cell>
          <cell r="I178">
            <v>461</v>
          </cell>
          <cell r="J178">
            <v>5803</v>
          </cell>
          <cell r="M178">
            <v>5397</v>
          </cell>
          <cell r="N178">
            <v>461</v>
          </cell>
          <cell r="O178">
            <v>28203</v>
          </cell>
          <cell r="R178">
            <v>5397</v>
          </cell>
          <cell r="S178">
            <v>461</v>
          </cell>
          <cell r="V178" t="str">
            <v>Embedded</v>
          </cell>
          <cell r="W178" t="str">
            <v>Human Resources</v>
          </cell>
          <cell r="AA178" t="str">
            <v>[10200]  PECO Energy CompanyEmbeddedHuman Resources</v>
          </cell>
          <cell r="AB178" t="str">
            <v>[10200]  PECO Energy CompanyEmbedded (Human Resources)Travel, Entertainment &amp; Reimb</v>
          </cell>
          <cell r="AC178" t="str">
            <v>[10200]  PECO Energy CompanyEmbedded (Human Resources)HR Operations PED (00125)</v>
          </cell>
          <cell r="AF178" t="e">
            <v>#N/A</v>
          </cell>
        </row>
        <row r="179">
          <cell r="E179">
            <v>-5514</v>
          </cell>
          <cell r="H179">
            <v>7230</v>
          </cell>
          <cell r="I179">
            <v>7230</v>
          </cell>
          <cell r="J179">
            <v>1901</v>
          </cell>
          <cell r="M179">
            <v>4965</v>
          </cell>
          <cell r="N179">
            <v>7230</v>
          </cell>
          <cell r="O179">
            <v>15635</v>
          </cell>
          <cell r="R179">
            <v>4965</v>
          </cell>
          <cell r="S179">
            <v>7230</v>
          </cell>
          <cell r="V179" t="str">
            <v>Embedded</v>
          </cell>
          <cell r="W179" t="str">
            <v>Human Resources</v>
          </cell>
          <cell r="AA179" t="str">
            <v>[10200]  PECO Energy CompanyEmbeddedHuman Resources</v>
          </cell>
          <cell r="AB179" t="str">
            <v>[10200]  PECO Energy CompanyEmbedded (Human Resources)Contracting</v>
          </cell>
          <cell r="AC179" t="str">
            <v>[10200]  PECO Energy CompanyEmbedded (Human Resources)HR Operations PED (00125)</v>
          </cell>
          <cell r="AF179" t="e">
            <v>#N/A</v>
          </cell>
        </row>
        <row r="180">
          <cell r="E180">
            <v>5102</v>
          </cell>
          <cell r="H180">
            <v>-3185</v>
          </cell>
          <cell r="I180">
            <v>-3185</v>
          </cell>
          <cell r="J180">
            <v>12670</v>
          </cell>
          <cell r="M180">
            <v>-5003</v>
          </cell>
          <cell r="N180">
            <v>-3185</v>
          </cell>
          <cell r="O180">
            <v>28003</v>
          </cell>
          <cell r="R180">
            <v>-5003</v>
          </cell>
          <cell r="S180">
            <v>-3185</v>
          </cell>
          <cell r="V180" t="str">
            <v>Embedded</v>
          </cell>
          <cell r="W180" t="str">
            <v>Human Resources</v>
          </cell>
          <cell r="AA180" t="str">
            <v>[10200]  PECO Energy CompanyEmbeddedHuman Resources</v>
          </cell>
          <cell r="AB180" t="str">
            <v>[10200]  PECO Energy CompanyEmbedded (Human Resources)Business Services</v>
          </cell>
          <cell r="AC180" t="str">
            <v>[10200]  PECO Energy CompanyEmbedded (Human Resources)HR Operations PED (00125)</v>
          </cell>
          <cell r="AF180" t="e">
            <v>#N/A</v>
          </cell>
        </row>
        <row r="181">
          <cell r="E181">
            <v>0</v>
          </cell>
          <cell r="H181">
            <v>100</v>
          </cell>
          <cell r="I181">
            <v>100</v>
          </cell>
          <cell r="J181">
            <v>0</v>
          </cell>
          <cell r="M181">
            <v>200</v>
          </cell>
          <cell r="N181">
            <v>100</v>
          </cell>
          <cell r="O181">
            <v>400</v>
          </cell>
          <cell r="R181">
            <v>200</v>
          </cell>
          <cell r="S181">
            <v>100</v>
          </cell>
          <cell r="V181" t="str">
            <v>Embedded</v>
          </cell>
          <cell r="W181" t="str">
            <v>Human Resources</v>
          </cell>
          <cell r="AA181" t="str">
            <v>[10200]  PECO Energy CompanyEmbeddedHuman Resources</v>
          </cell>
          <cell r="AB181" t="str">
            <v>[10200]  PECO Energy CompanyEmbedded (Human Resources)Materials and Supplies</v>
          </cell>
          <cell r="AC181" t="str">
            <v>[10200]  PECO Energy CompanyEmbedded (Human Resources)HR Operations PED (00125)</v>
          </cell>
          <cell r="AF181" t="e">
            <v>#N/A</v>
          </cell>
        </row>
        <row r="182">
          <cell r="E182">
            <v>54</v>
          </cell>
          <cell r="H182">
            <v>1046</v>
          </cell>
          <cell r="I182">
            <v>1046</v>
          </cell>
          <cell r="J182">
            <v>1666</v>
          </cell>
          <cell r="M182">
            <v>2734</v>
          </cell>
          <cell r="N182">
            <v>1046</v>
          </cell>
          <cell r="O182">
            <v>55466</v>
          </cell>
          <cell r="R182">
            <v>2734</v>
          </cell>
          <cell r="S182">
            <v>1046</v>
          </cell>
          <cell r="V182" t="str">
            <v>Embedded</v>
          </cell>
          <cell r="W182" t="str">
            <v>Human Resources</v>
          </cell>
          <cell r="AA182" t="str">
            <v>[10200]  PECO Energy CompanyEmbeddedHuman Resources</v>
          </cell>
          <cell r="AB182" t="str">
            <v>[10200]  PECO Energy CompanyEmbedded (Human Resources)Travel, Entertainment &amp; Reimb</v>
          </cell>
          <cell r="AC182" t="str">
            <v>[10200]  PECO Energy CompanyEmbedded (Human Resources)HR Operations PED (00125)</v>
          </cell>
          <cell r="AF182" t="e">
            <v>#N/A</v>
          </cell>
        </row>
        <row r="183">
          <cell r="E183">
            <v>3101</v>
          </cell>
          <cell r="H183">
            <v>-758</v>
          </cell>
          <cell r="I183">
            <v>-758</v>
          </cell>
          <cell r="J183">
            <v>4847</v>
          </cell>
          <cell r="M183">
            <v>4125</v>
          </cell>
          <cell r="N183">
            <v>-758</v>
          </cell>
          <cell r="O183">
            <v>22789</v>
          </cell>
          <cell r="R183">
            <v>4125</v>
          </cell>
          <cell r="S183">
            <v>-758</v>
          </cell>
          <cell r="V183" t="str">
            <v>Embedded</v>
          </cell>
          <cell r="W183" t="str">
            <v>Human Resources</v>
          </cell>
          <cell r="AA183" t="str">
            <v>[10200]  PECO Energy CompanyEmbeddedHuman Resources</v>
          </cell>
          <cell r="AB183" t="str">
            <v>[10200]  PECO Energy CompanyEmbedded (Human Resources)Other Operating Expenses</v>
          </cell>
          <cell r="AC183" t="str">
            <v>[10200]  PECO Energy CompanyEmbedded (Human Resources)HR Operations PED (00125)</v>
          </cell>
          <cell r="AF183" t="e">
            <v>#N/A</v>
          </cell>
        </row>
        <row r="184">
          <cell r="E184">
            <v>0</v>
          </cell>
          <cell r="H184">
            <v>0</v>
          </cell>
          <cell r="I184">
            <v>0</v>
          </cell>
          <cell r="J184">
            <v>370</v>
          </cell>
          <cell r="M184">
            <v>-370</v>
          </cell>
          <cell r="N184">
            <v>0</v>
          </cell>
          <cell r="O184">
            <v>370</v>
          </cell>
          <cell r="R184">
            <v>-370</v>
          </cell>
          <cell r="S184">
            <v>0</v>
          </cell>
          <cell r="V184" t="str">
            <v>Embedded</v>
          </cell>
          <cell r="W184" t="str">
            <v>Human Resources</v>
          </cell>
          <cell r="AA184" t="str">
            <v>[10200]  PECO Energy CompanyEmbeddedHuman Resources</v>
          </cell>
          <cell r="AB184" t="str">
            <v>[10200]  PECO Energy CompanyEmbedded (Human Resources)Travel, Entertainment &amp; Reimb</v>
          </cell>
          <cell r="AC184" t="str">
            <v>[10200]  PECO Energy CompanyEmbedded (Human Resources)HR Operations PED (00125)</v>
          </cell>
          <cell r="AF184" t="e">
            <v>#N/A</v>
          </cell>
        </row>
        <row r="185">
          <cell r="E185">
            <v>1568</v>
          </cell>
          <cell r="H185">
            <v>-968</v>
          </cell>
          <cell r="I185">
            <v>-968</v>
          </cell>
          <cell r="J185">
            <v>5687</v>
          </cell>
          <cell r="M185">
            <v>-3287</v>
          </cell>
          <cell r="N185">
            <v>-968</v>
          </cell>
          <cell r="O185">
            <v>10487</v>
          </cell>
          <cell r="R185">
            <v>-3287</v>
          </cell>
          <cell r="S185">
            <v>-968</v>
          </cell>
          <cell r="V185" t="str">
            <v>Embedded</v>
          </cell>
          <cell r="W185" t="str">
            <v>Human Resources</v>
          </cell>
          <cell r="AA185" t="str">
            <v>[10200]  PECO Energy CompanyEmbeddedHuman Resources</v>
          </cell>
          <cell r="AB185" t="str">
            <v>[10200]  PECO Energy CompanyEmbedded (Human Resources)Other Operating Expenses</v>
          </cell>
          <cell r="AC185" t="str">
            <v>[10200]  PECO Energy CompanyEmbedded (Human Resources)HR Operations PED (00125)</v>
          </cell>
          <cell r="AF185" t="e">
            <v>#N/A</v>
          </cell>
        </row>
        <row r="186">
          <cell r="E186">
            <v>0</v>
          </cell>
          <cell r="H186">
            <v>417</v>
          </cell>
          <cell r="I186">
            <v>417</v>
          </cell>
          <cell r="J186">
            <v>410</v>
          </cell>
          <cell r="M186">
            <v>2057</v>
          </cell>
          <cell r="N186">
            <v>417</v>
          </cell>
          <cell r="O186">
            <v>3744</v>
          </cell>
          <cell r="R186">
            <v>4457</v>
          </cell>
          <cell r="S186">
            <v>417</v>
          </cell>
          <cell r="V186" t="str">
            <v>Embedded</v>
          </cell>
          <cell r="W186" t="str">
            <v>Human Resources</v>
          </cell>
          <cell r="AA186" t="str">
            <v>[10200]  PECO Energy CompanyEmbeddedHuman Resources</v>
          </cell>
          <cell r="AB186" t="str">
            <v>[10200]  PECO Energy CompanyEmbedded (Human Resources)Other Operating Expenses</v>
          </cell>
          <cell r="AC186" t="str">
            <v>[10200]  PECO Energy CompanyEmbedded (Human Resources)HR Operations PED (00125)</v>
          </cell>
          <cell r="AF186" t="e">
            <v>#N/A</v>
          </cell>
        </row>
        <row r="187">
          <cell r="E187">
            <v>0</v>
          </cell>
          <cell r="H187">
            <v>-1225</v>
          </cell>
          <cell r="I187">
            <v>-1225</v>
          </cell>
          <cell r="J187">
            <v>0</v>
          </cell>
          <cell r="M187">
            <v>-4900</v>
          </cell>
          <cell r="N187">
            <v>-1225</v>
          </cell>
          <cell r="O187">
            <v>-9800</v>
          </cell>
          <cell r="R187">
            <v>-4900</v>
          </cell>
          <cell r="S187">
            <v>-1225</v>
          </cell>
          <cell r="V187" t="str">
            <v>Embedded</v>
          </cell>
          <cell r="W187" t="str">
            <v>Human Resources</v>
          </cell>
          <cell r="AA187" t="str">
            <v>[10200]  PECO Energy CompanyEmbeddedHuman Resources</v>
          </cell>
          <cell r="AB187" t="str">
            <v>[10200]  PECO Energy CompanyEmbedded (Human Resources)Salaries and Wages</v>
          </cell>
          <cell r="AC187" t="str">
            <v>[10200]  PECO Energy CompanyEmbedded (Human Resources)HR Operations PED (00125)</v>
          </cell>
          <cell r="AF187" t="e">
            <v>#N/A</v>
          </cell>
        </row>
        <row r="188">
          <cell r="E188">
            <v>0</v>
          </cell>
          <cell r="H188">
            <v>833</v>
          </cell>
          <cell r="I188">
            <v>833</v>
          </cell>
          <cell r="J188">
            <v>0</v>
          </cell>
          <cell r="M188">
            <v>3333</v>
          </cell>
          <cell r="N188">
            <v>833</v>
          </cell>
          <cell r="O188">
            <v>6667</v>
          </cell>
          <cell r="R188">
            <v>3333</v>
          </cell>
          <cell r="S188">
            <v>833</v>
          </cell>
          <cell r="V188" t="str">
            <v>Embedded</v>
          </cell>
          <cell r="W188" t="str">
            <v>Human Resources</v>
          </cell>
          <cell r="AA188" t="str">
            <v>[10200]  PECO Energy CompanyEmbeddedHuman Resources</v>
          </cell>
          <cell r="AB188" t="str">
            <v>[10200]  PECO Energy CompanyEmbedded (Human Resources)Overtime</v>
          </cell>
          <cell r="AC188" t="str">
            <v>[10200]  PECO Energy CompanyEmbedded (Human Resources)HR Operations PED (00125)</v>
          </cell>
          <cell r="AF188" t="e">
            <v>#N/A</v>
          </cell>
        </row>
        <row r="189">
          <cell r="E189">
            <v>24925</v>
          </cell>
          <cell r="H189">
            <v>4412</v>
          </cell>
          <cell r="I189">
            <v>4412</v>
          </cell>
          <cell r="J189">
            <v>90316</v>
          </cell>
          <cell r="M189">
            <v>26431</v>
          </cell>
          <cell r="N189">
            <v>4412</v>
          </cell>
          <cell r="O189">
            <v>334796</v>
          </cell>
          <cell r="R189">
            <v>26431</v>
          </cell>
          <cell r="S189">
            <v>4412</v>
          </cell>
          <cell r="V189" t="str">
            <v>Embedded</v>
          </cell>
          <cell r="W189" t="str">
            <v>Human Resources</v>
          </cell>
          <cell r="AA189" t="str">
            <v>[10200]  PECO Energy CompanyEmbeddedHuman Resources</v>
          </cell>
          <cell r="AB189" t="str">
            <v>[10200]  PECO Energy CompanyEmbedded (Human Resources)Pension and Benefits</v>
          </cell>
          <cell r="AC189" t="str">
            <v>[10200]  PECO Energy CompanyEmbedded (Human Resources)HR Operations PED (00125)</v>
          </cell>
          <cell r="AF189" t="e">
            <v>#N/A</v>
          </cell>
        </row>
        <row r="190">
          <cell r="E190">
            <v>570602</v>
          </cell>
          <cell r="H190">
            <v>-73964</v>
          </cell>
          <cell r="I190">
            <v>-3923</v>
          </cell>
          <cell r="J190">
            <v>2195748</v>
          </cell>
          <cell r="M190">
            <v>-233099</v>
          </cell>
          <cell r="N190">
            <v>-3923</v>
          </cell>
          <cell r="O190">
            <v>6108150</v>
          </cell>
          <cell r="R190">
            <v>21997</v>
          </cell>
          <cell r="S190">
            <v>75729</v>
          </cell>
          <cell r="V190" t="str">
            <v>Corporate Allocated</v>
          </cell>
          <cell r="W190" t="str">
            <v>Human Resources</v>
          </cell>
          <cell r="AA190" t="str">
            <v>[10200]  PECO Energy CompanyCorporate AllocatedHuman Resources</v>
          </cell>
          <cell r="AB190" t="str">
            <v>[10200]  PECO Energy CompanyCorporate Allocated (Human Resources)Business Services</v>
          </cell>
          <cell r="AC190" t="str">
            <v>[10200]  PECO Energy CompanyCorporate Allocated (Human Resources)EBSC HR Ops PED (00183)</v>
          </cell>
          <cell r="AF190" t="e">
            <v>#N/A</v>
          </cell>
        </row>
        <row r="191">
          <cell r="E191">
            <v>41370</v>
          </cell>
          <cell r="H191">
            <v>1225</v>
          </cell>
          <cell r="I191">
            <v>1225</v>
          </cell>
          <cell r="J191">
            <v>163595</v>
          </cell>
          <cell r="M191">
            <v>5905</v>
          </cell>
          <cell r="N191">
            <v>1225</v>
          </cell>
          <cell r="O191">
            <v>518548</v>
          </cell>
          <cell r="R191">
            <v>5905</v>
          </cell>
          <cell r="S191">
            <v>1225</v>
          </cell>
          <cell r="V191" t="str">
            <v>Embedded</v>
          </cell>
          <cell r="W191" t="str">
            <v>Communications</v>
          </cell>
          <cell r="AA191" t="str">
            <v>[10200]  PECO Energy CompanyEmbeddedCommunications</v>
          </cell>
          <cell r="AB191" t="str">
            <v>[10200]  PECO Energy CompanyEmbedded (Communications)Salaries and Wages</v>
          </cell>
          <cell r="AC191" t="str">
            <v>[10200]  PECO Energy CompanyEmbedded (Communications)Communications - PECO (00190)</v>
          </cell>
          <cell r="AF191" t="e">
            <v>#N/A</v>
          </cell>
        </row>
        <row r="192">
          <cell r="E192">
            <v>1215</v>
          </cell>
          <cell r="H192">
            <v>3785</v>
          </cell>
          <cell r="I192">
            <v>3931</v>
          </cell>
          <cell r="J192">
            <v>2527</v>
          </cell>
          <cell r="M192">
            <v>3973</v>
          </cell>
          <cell r="N192">
            <v>3931</v>
          </cell>
          <cell r="O192">
            <v>13693</v>
          </cell>
          <cell r="R192">
            <v>2807</v>
          </cell>
          <cell r="S192">
            <v>3931</v>
          </cell>
          <cell r="V192" t="str">
            <v>Embedded</v>
          </cell>
          <cell r="W192" t="str">
            <v>Communications</v>
          </cell>
          <cell r="AA192" t="str">
            <v>[10200]  PECO Energy CompanyEmbeddedCommunications</v>
          </cell>
          <cell r="AB192" t="str">
            <v>[10200]  PECO Energy CompanyEmbedded (Communications)Travel, Entertainment &amp; Reimb</v>
          </cell>
          <cell r="AC192" t="str">
            <v>[10200]  PECO Energy CompanyEmbedded (Communications)Communications - PECO (00190)</v>
          </cell>
          <cell r="AF192" t="e">
            <v>#N/A</v>
          </cell>
        </row>
        <row r="193">
          <cell r="E193">
            <v>5800</v>
          </cell>
          <cell r="H193">
            <v>6533</v>
          </cell>
          <cell r="I193">
            <v>-1993</v>
          </cell>
          <cell r="J193">
            <v>18420</v>
          </cell>
          <cell r="M193">
            <v>36414</v>
          </cell>
          <cell r="N193">
            <v>-1993</v>
          </cell>
          <cell r="O193">
            <v>102631</v>
          </cell>
          <cell r="R193">
            <v>65869</v>
          </cell>
          <cell r="S193">
            <v>-1993</v>
          </cell>
          <cell r="V193" t="str">
            <v>Embedded</v>
          </cell>
          <cell r="W193" t="str">
            <v>Communications</v>
          </cell>
          <cell r="AA193" t="str">
            <v>[10200]  PECO Energy CompanyEmbeddedCommunications</v>
          </cell>
          <cell r="AB193" t="str">
            <v>[10200]  PECO Energy CompanyEmbedded (Communications)Contracting</v>
          </cell>
          <cell r="AC193" t="str">
            <v>[10200]  PECO Energy CompanyEmbedded (Communications)Communications - PECO (00190)</v>
          </cell>
          <cell r="AF193" t="e">
            <v>#N/A</v>
          </cell>
        </row>
        <row r="194">
          <cell r="E194">
            <v>1631</v>
          </cell>
          <cell r="H194">
            <v>-1631</v>
          </cell>
          <cell r="I194">
            <v>-1631</v>
          </cell>
          <cell r="J194">
            <v>6155</v>
          </cell>
          <cell r="M194">
            <v>-6155</v>
          </cell>
          <cell r="N194">
            <v>-1631</v>
          </cell>
          <cell r="O194">
            <v>6155</v>
          </cell>
          <cell r="R194">
            <v>-6155</v>
          </cell>
          <cell r="S194">
            <v>-1631</v>
          </cell>
          <cell r="V194" t="str">
            <v>Embedded</v>
          </cell>
          <cell r="W194" t="str">
            <v>Communications</v>
          </cell>
          <cell r="AA194" t="str">
            <v>[10200]  PECO Energy CompanyEmbeddedCommunications</v>
          </cell>
          <cell r="AB194" t="str">
            <v>[10200]  PECO Energy CompanyEmbedded (Communications)Business Services</v>
          </cell>
          <cell r="AC194" t="str">
            <v>[10200]  PECO Energy CompanyEmbedded (Communications)Communications - PECO (00190)</v>
          </cell>
          <cell r="AF194" t="e">
            <v>#N/A</v>
          </cell>
        </row>
        <row r="195">
          <cell r="E195">
            <v>673</v>
          </cell>
          <cell r="H195">
            <v>-473</v>
          </cell>
          <cell r="I195">
            <v>-317</v>
          </cell>
          <cell r="J195">
            <v>2341</v>
          </cell>
          <cell r="M195">
            <v>-1141</v>
          </cell>
          <cell r="N195">
            <v>-317</v>
          </cell>
          <cell r="O195">
            <v>5185</v>
          </cell>
          <cell r="R195">
            <v>-1935</v>
          </cell>
          <cell r="S195">
            <v>-317</v>
          </cell>
          <cell r="V195" t="str">
            <v>Embedded</v>
          </cell>
          <cell r="W195" t="str">
            <v>Communications</v>
          </cell>
          <cell r="AA195" t="str">
            <v>[10200]  PECO Energy CompanyEmbeddedCommunications</v>
          </cell>
          <cell r="AB195" t="str">
            <v>[10200]  PECO Energy CompanyEmbedded (Communications)Travel, Entertainment &amp; Reimb</v>
          </cell>
          <cell r="AC195" t="str">
            <v>[10200]  PECO Energy CompanyEmbedded (Communications)Communications - PECO (00190)</v>
          </cell>
          <cell r="AF195" t="e">
            <v>#N/A</v>
          </cell>
        </row>
        <row r="196">
          <cell r="E196">
            <v>2702</v>
          </cell>
          <cell r="H196">
            <v>-2552</v>
          </cell>
          <cell r="I196">
            <v>-2212</v>
          </cell>
          <cell r="J196">
            <v>10186</v>
          </cell>
          <cell r="M196">
            <v>-9786</v>
          </cell>
          <cell r="N196">
            <v>-2212</v>
          </cell>
          <cell r="O196">
            <v>14105</v>
          </cell>
          <cell r="R196">
            <v>-13405</v>
          </cell>
          <cell r="S196">
            <v>-2212</v>
          </cell>
          <cell r="V196" t="str">
            <v>Embedded</v>
          </cell>
          <cell r="W196" t="str">
            <v>Communications</v>
          </cell>
          <cell r="AA196" t="str">
            <v>[10200]  PECO Energy CompanyEmbeddedCommunications</v>
          </cell>
          <cell r="AB196" t="str">
            <v>[10200]  PECO Energy CompanyEmbedded (Communications)Other Operating Expenses</v>
          </cell>
          <cell r="AC196" t="str">
            <v>[10200]  PECO Energy CompanyEmbedded (Communications)Communications - PECO (00190)</v>
          </cell>
          <cell r="AF196" t="e">
            <v>#N/A</v>
          </cell>
        </row>
        <row r="197">
          <cell r="E197">
            <v>72</v>
          </cell>
          <cell r="H197">
            <v>-72</v>
          </cell>
          <cell r="I197">
            <v>-72</v>
          </cell>
          <cell r="J197">
            <v>352</v>
          </cell>
          <cell r="M197">
            <v>-352</v>
          </cell>
          <cell r="N197">
            <v>-72</v>
          </cell>
          <cell r="O197">
            <v>352</v>
          </cell>
          <cell r="R197">
            <v>-352</v>
          </cell>
          <cell r="S197">
            <v>-72</v>
          </cell>
          <cell r="V197" t="str">
            <v>Embedded</v>
          </cell>
          <cell r="W197" t="str">
            <v>Communications</v>
          </cell>
          <cell r="AA197" t="str">
            <v>[10200]  PECO Energy CompanyEmbeddedCommunications</v>
          </cell>
          <cell r="AB197" t="str">
            <v>[10200]  PECO Energy CompanyEmbedded (Communications)Travel, Entertainment &amp; Reimb</v>
          </cell>
          <cell r="AC197" t="str">
            <v>[10200]  PECO Energy CompanyEmbedded (Communications)Communications - PECO (00190)</v>
          </cell>
          <cell r="AF197" t="e">
            <v>#N/A</v>
          </cell>
        </row>
        <row r="198">
          <cell r="E198">
            <v>340</v>
          </cell>
          <cell r="H198">
            <v>2910</v>
          </cell>
          <cell r="I198">
            <v>1243</v>
          </cell>
          <cell r="J198">
            <v>1662</v>
          </cell>
          <cell r="M198">
            <v>11338</v>
          </cell>
          <cell r="N198">
            <v>1243</v>
          </cell>
          <cell r="O198">
            <v>14329</v>
          </cell>
          <cell r="R198">
            <v>24672</v>
          </cell>
          <cell r="S198">
            <v>1243</v>
          </cell>
          <cell r="V198" t="str">
            <v>Embedded</v>
          </cell>
          <cell r="W198" t="str">
            <v>Communications</v>
          </cell>
          <cell r="AA198" t="str">
            <v>[10200]  PECO Energy CompanyEmbeddedCommunications</v>
          </cell>
          <cell r="AB198" t="str">
            <v>[10200]  PECO Energy CompanyEmbedded (Communications)Other Operating Expenses</v>
          </cell>
          <cell r="AC198" t="str">
            <v>[10200]  PECO Energy CompanyEmbedded (Communications)Communications - PECO (00190)</v>
          </cell>
          <cell r="AF198" t="e">
            <v>#N/A</v>
          </cell>
        </row>
        <row r="199">
          <cell r="E199">
            <v>5534</v>
          </cell>
          <cell r="H199">
            <v>-4034</v>
          </cell>
          <cell r="I199">
            <v>-2272</v>
          </cell>
          <cell r="J199">
            <v>14744</v>
          </cell>
          <cell r="M199">
            <v>3256</v>
          </cell>
          <cell r="N199">
            <v>-2272</v>
          </cell>
          <cell r="O199">
            <v>40842</v>
          </cell>
          <cell r="R199">
            <v>-3342</v>
          </cell>
          <cell r="S199">
            <v>-2272</v>
          </cell>
          <cell r="V199" t="str">
            <v>Embedded</v>
          </cell>
          <cell r="W199" t="str">
            <v>Communications</v>
          </cell>
          <cell r="AA199" t="str">
            <v>[10200]  PECO Energy CompanyEmbeddedCommunications</v>
          </cell>
          <cell r="AB199" t="str">
            <v>[10200]  PECO Energy CompanyEmbedded (Communications)Other Operating Expenses</v>
          </cell>
          <cell r="AC199" t="str">
            <v>[10200]  PECO Energy CompanyEmbedded (Communications)Communications - PECO (00190)</v>
          </cell>
          <cell r="AF199" t="e">
            <v>#N/A</v>
          </cell>
        </row>
        <row r="200">
          <cell r="E200">
            <v>0</v>
          </cell>
          <cell r="H200">
            <v>0</v>
          </cell>
          <cell r="I200">
            <v>0</v>
          </cell>
          <cell r="J200">
            <v>38</v>
          </cell>
          <cell r="M200">
            <v>-38</v>
          </cell>
          <cell r="N200">
            <v>0</v>
          </cell>
          <cell r="O200">
            <v>38</v>
          </cell>
          <cell r="R200">
            <v>-38</v>
          </cell>
          <cell r="S200">
            <v>0</v>
          </cell>
          <cell r="V200" t="str">
            <v>Embedded</v>
          </cell>
          <cell r="W200" t="str">
            <v>Communications</v>
          </cell>
          <cell r="AA200" t="str">
            <v>[10200]  PECO Energy CompanyEmbeddedCommunications</v>
          </cell>
          <cell r="AB200" t="str">
            <v>[10200]  PECO Energy CompanyEmbedded (Communications)Overtime</v>
          </cell>
          <cell r="AC200" t="str">
            <v>[10200]  PECO Energy CompanyEmbedded (Communications)Communications - PECO (00190)</v>
          </cell>
          <cell r="AF200" t="e">
            <v>#N/A</v>
          </cell>
        </row>
        <row r="201">
          <cell r="E201">
            <v>24467</v>
          </cell>
          <cell r="H201">
            <v>3324</v>
          </cell>
          <cell r="I201">
            <v>3324</v>
          </cell>
          <cell r="J201">
            <v>91988</v>
          </cell>
          <cell r="M201">
            <v>18604</v>
          </cell>
          <cell r="N201">
            <v>3324</v>
          </cell>
          <cell r="O201">
            <v>323580</v>
          </cell>
          <cell r="R201">
            <v>18604</v>
          </cell>
          <cell r="S201">
            <v>3324</v>
          </cell>
          <cell r="V201" t="str">
            <v>Embedded</v>
          </cell>
          <cell r="W201" t="str">
            <v>Communications</v>
          </cell>
          <cell r="AA201" t="str">
            <v>[10200]  PECO Energy CompanyEmbeddedCommunications</v>
          </cell>
          <cell r="AB201" t="str">
            <v>[10200]  PECO Energy CompanyEmbedded (Communications)Pension and Benefits</v>
          </cell>
          <cell r="AC201" t="str">
            <v>[10200]  PECO Energy CompanyEmbedded (Communications)Communications - PECO (00190)</v>
          </cell>
          <cell r="AF201" t="e">
            <v>#N/A</v>
          </cell>
        </row>
        <row r="202">
          <cell r="E202">
            <v>242070</v>
          </cell>
          <cell r="H202">
            <v>48119</v>
          </cell>
          <cell r="I202">
            <v>38917</v>
          </cell>
          <cell r="J202">
            <v>836474</v>
          </cell>
          <cell r="M202">
            <v>319722</v>
          </cell>
          <cell r="N202">
            <v>38917</v>
          </cell>
          <cell r="O202">
            <v>2694985</v>
          </cell>
          <cell r="R202">
            <v>865265</v>
          </cell>
          <cell r="S202">
            <v>521521</v>
          </cell>
          <cell r="V202" t="str">
            <v>Embedded</v>
          </cell>
          <cell r="W202" t="str">
            <v>Finance</v>
          </cell>
          <cell r="AA202" t="str">
            <v>[10200]  PECO Energy CompanyEmbeddedFinance</v>
          </cell>
          <cell r="AB202" t="str">
            <v>[10200]  PECO Energy CompanyEmbedded (Finance)EDSS</v>
          </cell>
          <cell r="AC202" t="str">
            <v>[10200]  PECO Energy CompanyEmbedded (Finance)EDSS Business Ops PED (00198)</v>
          </cell>
          <cell r="AF202" t="str">
            <v>EEDFinanceEDSS</v>
          </cell>
        </row>
        <row r="203">
          <cell r="E203">
            <v>88248</v>
          </cell>
          <cell r="H203">
            <v>8754</v>
          </cell>
          <cell r="I203">
            <v>12462</v>
          </cell>
          <cell r="J203">
            <v>395559</v>
          </cell>
          <cell r="M203">
            <v>-22630</v>
          </cell>
          <cell r="N203">
            <v>12462</v>
          </cell>
          <cell r="O203">
            <v>1149533</v>
          </cell>
          <cell r="R203">
            <v>-39814</v>
          </cell>
          <cell r="S203">
            <v>8963</v>
          </cell>
          <cell r="V203" t="str">
            <v>Embedded</v>
          </cell>
          <cell r="W203" t="str">
            <v>IT</v>
          </cell>
          <cell r="AA203" t="str">
            <v>[10200]  PECO Energy CompanyEmbeddedIT</v>
          </cell>
          <cell r="AB203" t="str">
            <v>[10200]  PECO Energy CompanyEmbedded (IT)Salaries and Wages</v>
          </cell>
          <cell r="AC203" t="str">
            <v>[10200]  PECO Energy CompanyEmbedded (IT)IT Cust Serv Regulatory -PED (00315)</v>
          </cell>
          <cell r="AF203" t="e">
            <v>#N/A</v>
          </cell>
        </row>
        <row r="204">
          <cell r="E204">
            <v>0</v>
          </cell>
          <cell r="H204">
            <v>1200</v>
          </cell>
          <cell r="I204">
            <v>1200</v>
          </cell>
          <cell r="J204">
            <v>746</v>
          </cell>
          <cell r="M204">
            <v>454</v>
          </cell>
          <cell r="N204">
            <v>1200</v>
          </cell>
          <cell r="O204">
            <v>11546</v>
          </cell>
          <cell r="R204">
            <v>454</v>
          </cell>
          <cell r="S204">
            <v>1200</v>
          </cell>
          <cell r="V204" t="str">
            <v>Embedded</v>
          </cell>
          <cell r="W204" t="str">
            <v>IT</v>
          </cell>
          <cell r="AA204" t="str">
            <v>[10200]  PECO Energy CompanyEmbeddedIT</v>
          </cell>
          <cell r="AB204" t="str">
            <v>[10200]  PECO Energy CompanyEmbedded (IT)Travel, Entertainment &amp; Reimb</v>
          </cell>
          <cell r="AC204" t="str">
            <v>[10200]  PECO Energy CompanyEmbedded (IT)IT Cust Serv Regulatory -PED (00315)</v>
          </cell>
          <cell r="AF204" t="e">
            <v>#N/A</v>
          </cell>
        </row>
        <row r="205">
          <cell r="E205">
            <v>57312</v>
          </cell>
          <cell r="H205">
            <v>36566</v>
          </cell>
          <cell r="I205">
            <v>65417</v>
          </cell>
          <cell r="J205">
            <v>502451</v>
          </cell>
          <cell r="M205">
            <v>-131292</v>
          </cell>
          <cell r="N205">
            <v>65417</v>
          </cell>
          <cell r="O205">
            <v>1410151</v>
          </cell>
          <cell r="R205">
            <v>-460493</v>
          </cell>
          <cell r="S205">
            <v>-54393</v>
          </cell>
          <cell r="V205" t="str">
            <v>Embedded</v>
          </cell>
          <cell r="W205" t="str">
            <v>IT</v>
          </cell>
          <cell r="AA205" t="str">
            <v>[10200]  PECO Energy CompanyEmbeddedIT</v>
          </cell>
          <cell r="AB205" t="str">
            <v>[10200]  PECO Energy CompanyEmbedded (IT)Contracting</v>
          </cell>
          <cell r="AC205" t="str">
            <v>[10200]  PECO Energy CompanyEmbedded (IT)IT Cust Serv Regulatory -PED (00315)</v>
          </cell>
          <cell r="AF205" t="e">
            <v>#N/A</v>
          </cell>
        </row>
        <row r="206">
          <cell r="E206">
            <v>53820</v>
          </cell>
          <cell r="H206">
            <v>-50016</v>
          </cell>
          <cell r="I206">
            <v>-49870</v>
          </cell>
          <cell r="J206">
            <v>-48982</v>
          </cell>
          <cell r="M206">
            <v>63606</v>
          </cell>
          <cell r="N206">
            <v>-49870</v>
          </cell>
          <cell r="O206">
            <v>-19414</v>
          </cell>
          <cell r="R206">
            <v>62933</v>
          </cell>
          <cell r="S206">
            <v>-50007</v>
          </cell>
          <cell r="V206" t="str">
            <v>Embedded</v>
          </cell>
          <cell r="W206" t="str">
            <v>IT</v>
          </cell>
          <cell r="AA206" t="str">
            <v>[10200]  PECO Energy CompanyEmbeddedIT</v>
          </cell>
          <cell r="AB206" t="str">
            <v>[10200]  PECO Energy CompanyEmbedded (IT)Business Services</v>
          </cell>
          <cell r="AC206" t="str">
            <v>[10200]  PECO Energy CompanyEmbedded (IT)IT Cust Serv Regulatory -PED (00315)</v>
          </cell>
          <cell r="AF206" t="e">
            <v>#N/A</v>
          </cell>
        </row>
        <row r="207">
          <cell r="E207">
            <v>0</v>
          </cell>
          <cell r="H207">
            <v>0</v>
          </cell>
          <cell r="I207">
            <v>0</v>
          </cell>
          <cell r="J207">
            <v>100</v>
          </cell>
          <cell r="M207">
            <v>-100</v>
          </cell>
          <cell r="N207">
            <v>0</v>
          </cell>
          <cell r="O207">
            <v>100</v>
          </cell>
          <cell r="R207">
            <v>-100</v>
          </cell>
          <cell r="S207">
            <v>0</v>
          </cell>
          <cell r="V207" t="str">
            <v>Embedded</v>
          </cell>
          <cell r="W207" t="str">
            <v>IT</v>
          </cell>
          <cell r="AA207" t="str">
            <v>[10200]  PECO Energy CompanyEmbeddedIT</v>
          </cell>
          <cell r="AB207" t="str">
            <v>[10200]  PECO Energy CompanyEmbedded (IT)Travel, Entertainment &amp; Reimb</v>
          </cell>
          <cell r="AC207" t="str">
            <v>[10200]  PECO Energy CompanyEmbedded (IT)IT Cust Serv Regulatory -PED (00315)</v>
          </cell>
          <cell r="AF207" t="e">
            <v>#N/A</v>
          </cell>
        </row>
        <row r="208">
          <cell r="E208">
            <v>106</v>
          </cell>
          <cell r="H208">
            <v>-106</v>
          </cell>
          <cell r="I208">
            <v>-106</v>
          </cell>
          <cell r="J208">
            <v>106</v>
          </cell>
          <cell r="M208">
            <v>-106</v>
          </cell>
          <cell r="N208">
            <v>-106</v>
          </cell>
          <cell r="O208">
            <v>106</v>
          </cell>
          <cell r="R208">
            <v>-106</v>
          </cell>
          <cell r="S208">
            <v>-106</v>
          </cell>
          <cell r="V208" t="str">
            <v>Embedded</v>
          </cell>
          <cell r="W208" t="str">
            <v>IT</v>
          </cell>
          <cell r="AA208" t="str">
            <v>[10200]  PECO Energy CompanyEmbeddedIT</v>
          </cell>
          <cell r="AB208" t="str">
            <v>[10200]  PECO Energy CompanyEmbedded (IT)Other Operating Expenses</v>
          </cell>
          <cell r="AC208" t="str">
            <v>[10200]  PECO Energy CompanyEmbedded (IT)IT Cust Serv Regulatory -PED (00315)</v>
          </cell>
          <cell r="AF208" t="e">
            <v>#N/A</v>
          </cell>
        </row>
        <row r="209">
          <cell r="E209">
            <v>2400</v>
          </cell>
          <cell r="H209">
            <v>-2400</v>
          </cell>
          <cell r="I209">
            <v>-2400</v>
          </cell>
          <cell r="J209">
            <v>11553</v>
          </cell>
          <cell r="M209">
            <v>-11553</v>
          </cell>
          <cell r="N209">
            <v>-2400</v>
          </cell>
          <cell r="O209">
            <v>11553</v>
          </cell>
          <cell r="R209">
            <v>-11553</v>
          </cell>
          <cell r="S209">
            <v>-2400</v>
          </cell>
          <cell r="V209" t="str">
            <v>Embedded</v>
          </cell>
          <cell r="W209" t="str">
            <v>IT</v>
          </cell>
          <cell r="AA209" t="str">
            <v>[10200]  PECO Energy CompanyEmbeddedIT</v>
          </cell>
          <cell r="AB209" t="str">
            <v>[10200]  PECO Energy CompanyEmbedded (IT)Travel, Entertainment &amp; Reimb</v>
          </cell>
          <cell r="AC209" t="str">
            <v>[10200]  PECO Energy CompanyEmbedded (IT)IT Cust Serv Regulatory -PED (00315)</v>
          </cell>
          <cell r="AF209" t="e">
            <v>#N/A</v>
          </cell>
        </row>
        <row r="210">
          <cell r="E210">
            <v>109201</v>
          </cell>
          <cell r="H210">
            <v>33677</v>
          </cell>
          <cell r="I210">
            <v>86310</v>
          </cell>
          <cell r="J210">
            <v>309878</v>
          </cell>
          <cell r="M210">
            <v>-158751</v>
          </cell>
          <cell r="N210">
            <v>86310</v>
          </cell>
          <cell r="O210">
            <v>1240955</v>
          </cell>
          <cell r="R210">
            <v>366985</v>
          </cell>
          <cell r="S210">
            <v>672990</v>
          </cell>
          <cell r="V210" t="str">
            <v>Embedded</v>
          </cell>
          <cell r="W210" t="str">
            <v>IT</v>
          </cell>
          <cell r="AA210" t="str">
            <v>[10200]  PECO Energy CompanyEmbeddedIT</v>
          </cell>
          <cell r="AB210" t="str">
            <v>[10200]  PECO Energy CompanyEmbedded (IT)Other Operating Expenses</v>
          </cell>
          <cell r="AC210" t="str">
            <v>[10200]  PECO Energy CompanyEmbedded (IT)IT Cust Serv Regulatory -PED (00315)</v>
          </cell>
          <cell r="AF210" t="e">
            <v>#N/A</v>
          </cell>
        </row>
        <row r="211">
          <cell r="E211">
            <v>0</v>
          </cell>
          <cell r="H211">
            <v>7200</v>
          </cell>
          <cell r="I211">
            <v>7200</v>
          </cell>
          <cell r="J211">
            <v>0</v>
          </cell>
          <cell r="M211">
            <v>31200</v>
          </cell>
          <cell r="N211">
            <v>7200</v>
          </cell>
          <cell r="O211">
            <v>43200</v>
          </cell>
          <cell r="R211">
            <v>31200</v>
          </cell>
          <cell r="S211">
            <v>7200</v>
          </cell>
          <cell r="V211" t="str">
            <v>Embedded</v>
          </cell>
          <cell r="W211" t="str">
            <v>IT</v>
          </cell>
          <cell r="AA211" t="str">
            <v>[10200]  PECO Energy CompanyEmbeddedIT</v>
          </cell>
          <cell r="AB211" t="str">
            <v>[10200]  PECO Energy CompanyEmbedded (IT)Other Operating Expenses</v>
          </cell>
          <cell r="AC211" t="str">
            <v>[10200]  PECO Energy CompanyEmbedded (IT)IT Cust Serv Regulatory -PED (00315)</v>
          </cell>
          <cell r="AF211" t="e">
            <v>#N/A</v>
          </cell>
        </row>
        <row r="212">
          <cell r="E212">
            <v>70944</v>
          </cell>
          <cell r="H212">
            <v>7037</v>
          </cell>
          <cell r="I212">
            <v>-70944</v>
          </cell>
          <cell r="J212">
            <v>317978</v>
          </cell>
          <cell r="M212">
            <v>-18173</v>
          </cell>
          <cell r="N212">
            <v>-70944</v>
          </cell>
          <cell r="O212">
            <v>924114</v>
          </cell>
          <cell r="R212">
            <v>-31987</v>
          </cell>
          <cell r="S212">
            <v>-677080</v>
          </cell>
          <cell r="V212" t="str">
            <v>Embedded</v>
          </cell>
          <cell r="W212" t="str">
            <v>IT</v>
          </cell>
          <cell r="AA212" t="str">
            <v>[10200]  PECO Energy CompanyEmbeddedIT</v>
          </cell>
          <cell r="AB212" t="str">
            <v>[10200]  PECO Energy CompanyEmbedded (IT)Pension and Benefits</v>
          </cell>
          <cell r="AC212" t="str">
            <v>[10200]  PECO Energy CompanyEmbedded (IT)IT Cust Serv Regulatory -PED (00315)</v>
          </cell>
          <cell r="AF212" t="e">
            <v>#N/A</v>
          </cell>
        </row>
        <row r="213">
          <cell r="E213">
            <v>0</v>
          </cell>
          <cell r="H213">
            <v>0</v>
          </cell>
          <cell r="I213">
            <v>0</v>
          </cell>
          <cell r="J213">
            <v>317</v>
          </cell>
          <cell r="M213">
            <v>-317</v>
          </cell>
          <cell r="N213">
            <v>0</v>
          </cell>
          <cell r="O213">
            <v>317</v>
          </cell>
          <cell r="R213">
            <v>2083</v>
          </cell>
          <cell r="S213">
            <v>0</v>
          </cell>
          <cell r="V213" t="str">
            <v>Embedded</v>
          </cell>
          <cell r="W213" t="str">
            <v>IT</v>
          </cell>
          <cell r="AA213" t="str">
            <v>[10200]  PECO Energy CompanyEmbeddedIT</v>
          </cell>
          <cell r="AB213" t="str">
            <v>[10200]  PECO Energy CompanyEmbedded (IT)Travel, Entertainment &amp; Reimb</v>
          </cell>
          <cell r="AC213" t="str">
            <v>[10200]  PECO Energy CompanyEmbedded (IT)IT Ops Asset Mgmt Supp -PED (00316)</v>
          </cell>
          <cell r="AF213" t="e">
            <v>#N/A</v>
          </cell>
        </row>
        <row r="214">
          <cell r="E214">
            <v>52535</v>
          </cell>
          <cell r="H214">
            <v>6409</v>
          </cell>
          <cell r="I214">
            <v>21646</v>
          </cell>
          <cell r="J214">
            <v>120349</v>
          </cell>
          <cell r="M214">
            <v>124306</v>
          </cell>
          <cell r="N214">
            <v>21646</v>
          </cell>
          <cell r="O214">
            <v>543330</v>
          </cell>
          <cell r="R214">
            <v>161839</v>
          </cell>
          <cell r="S214">
            <v>16236</v>
          </cell>
          <cell r="V214" t="str">
            <v>Embedded</v>
          </cell>
          <cell r="W214" t="str">
            <v>IT</v>
          </cell>
          <cell r="AA214" t="str">
            <v>[10200]  PECO Energy CompanyEmbeddedIT</v>
          </cell>
          <cell r="AB214" t="str">
            <v>[10200]  PECO Energy CompanyEmbedded (IT)Contracting</v>
          </cell>
          <cell r="AC214" t="str">
            <v>[10200]  PECO Energy CompanyEmbedded (IT)IT Ops Asset Mgmt Supp -PED (00316)</v>
          </cell>
          <cell r="AF214" t="e">
            <v>#N/A</v>
          </cell>
        </row>
        <row r="215">
          <cell r="E215">
            <v>0</v>
          </cell>
          <cell r="H215">
            <v>4411</v>
          </cell>
          <cell r="I215">
            <v>5982</v>
          </cell>
          <cell r="J215">
            <v>0</v>
          </cell>
          <cell r="M215">
            <v>26143</v>
          </cell>
          <cell r="N215">
            <v>5982</v>
          </cell>
          <cell r="O215">
            <v>81006</v>
          </cell>
          <cell r="R215">
            <v>7422</v>
          </cell>
          <cell r="S215">
            <v>5982</v>
          </cell>
          <cell r="V215" t="str">
            <v>Embedded</v>
          </cell>
          <cell r="W215" t="str">
            <v>IT</v>
          </cell>
          <cell r="AA215" t="str">
            <v>[10200]  PECO Energy CompanyEmbeddedIT</v>
          </cell>
          <cell r="AB215" t="str">
            <v>[10200]  PECO Energy CompanyEmbedded (IT)Business Services</v>
          </cell>
          <cell r="AC215" t="str">
            <v>[10200]  PECO Energy CompanyEmbedded (IT)IT Ops Asset Mgmt Supp -PED (00316)</v>
          </cell>
          <cell r="AF215" t="e">
            <v>#N/A</v>
          </cell>
        </row>
        <row r="216">
          <cell r="E216">
            <v>0</v>
          </cell>
          <cell r="H216">
            <v>0</v>
          </cell>
          <cell r="I216">
            <v>0</v>
          </cell>
          <cell r="J216">
            <v>16</v>
          </cell>
          <cell r="M216">
            <v>-16</v>
          </cell>
          <cell r="N216">
            <v>0</v>
          </cell>
          <cell r="O216">
            <v>16</v>
          </cell>
          <cell r="R216">
            <v>-16</v>
          </cell>
          <cell r="S216">
            <v>0</v>
          </cell>
          <cell r="V216" t="str">
            <v>Embedded</v>
          </cell>
          <cell r="W216" t="str">
            <v>IT</v>
          </cell>
          <cell r="AA216" t="str">
            <v>[10200]  PECO Energy CompanyEmbeddedIT</v>
          </cell>
          <cell r="AB216" t="str">
            <v>[10200]  PECO Energy CompanyEmbedded (IT)Travel, Entertainment &amp; Reimb</v>
          </cell>
          <cell r="AC216" t="str">
            <v>[10200]  PECO Energy CompanyEmbedded (IT)IT Ops Asset Mgmt Supp -PED (00316)</v>
          </cell>
          <cell r="AF216" t="e">
            <v>#N/A</v>
          </cell>
        </row>
        <row r="217">
          <cell r="E217">
            <v>0</v>
          </cell>
          <cell r="H217">
            <v>0</v>
          </cell>
          <cell r="I217">
            <v>0</v>
          </cell>
          <cell r="J217">
            <v>425</v>
          </cell>
          <cell r="M217">
            <v>-425</v>
          </cell>
          <cell r="N217">
            <v>0</v>
          </cell>
          <cell r="O217">
            <v>425</v>
          </cell>
          <cell r="R217">
            <v>-425</v>
          </cell>
          <cell r="S217">
            <v>0</v>
          </cell>
          <cell r="V217" t="str">
            <v>Embedded</v>
          </cell>
          <cell r="W217" t="str">
            <v>IT</v>
          </cell>
          <cell r="AA217" t="str">
            <v>[10200]  PECO Energy CompanyEmbeddedIT</v>
          </cell>
          <cell r="AB217" t="str">
            <v>[10200]  PECO Energy CompanyEmbedded (IT)Other Operating Expenses</v>
          </cell>
          <cell r="AC217" t="str">
            <v>[10200]  PECO Energy CompanyEmbedded (IT)IT Ops Asset Mgmt Supp -PED (00316)</v>
          </cell>
          <cell r="AF217" t="e">
            <v>#N/A</v>
          </cell>
        </row>
        <row r="218">
          <cell r="E218">
            <v>0</v>
          </cell>
          <cell r="H218">
            <v>0</v>
          </cell>
          <cell r="I218">
            <v>0</v>
          </cell>
          <cell r="J218">
            <v>32</v>
          </cell>
          <cell r="M218">
            <v>-32</v>
          </cell>
          <cell r="N218">
            <v>0</v>
          </cell>
          <cell r="O218">
            <v>32</v>
          </cell>
          <cell r="R218">
            <v>-32</v>
          </cell>
          <cell r="S218">
            <v>0</v>
          </cell>
          <cell r="V218" t="str">
            <v>Embedded</v>
          </cell>
          <cell r="W218" t="str">
            <v>IT</v>
          </cell>
          <cell r="AA218" t="str">
            <v>[10200]  PECO Energy CompanyEmbeddedIT</v>
          </cell>
          <cell r="AB218" t="str">
            <v>[10200]  PECO Energy CompanyEmbedded (IT)Travel, Entertainment &amp; Reimb</v>
          </cell>
          <cell r="AC218" t="str">
            <v>[10200]  PECO Energy CompanyEmbedded (IT)IT Ops Asset Mgmt Supp -PED (00316)</v>
          </cell>
          <cell r="AF218" t="e">
            <v>#N/A</v>
          </cell>
        </row>
        <row r="219">
          <cell r="E219">
            <v>176807</v>
          </cell>
          <cell r="H219">
            <v>-28624</v>
          </cell>
          <cell r="I219">
            <v>-40758</v>
          </cell>
          <cell r="J219">
            <v>862759</v>
          </cell>
          <cell r="M219">
            <v>-269300</v>
          </cell>
          <cell r="N219">
            <v>-40758</v>
          </cell>
          <cell r="O219">
            <v>2073510</v>
          </cell>
          <cell r="R219">
            <v>-117860</v>
          </cell>
          <cell r="S219">
            <v>42089</v>
          </cell>
          <cell r="V219" t="str">
            <v>Embedded</v>
          </cell>
          <cell r="W219" t="str">
            <v>IT</v>
          </cell>
          <cell r="AA219" t="str">
            <v>[10200]  PECO Energy CompanyEmbeddedIT</v>
          </cell>
          <cell r="AB219" t="str">
            <v>[10200]  PECO Energy CompanyEmbedded (IT)Other Operating Expenses</v>
          </cell>
          <cell r="AC219" t="str">
            <v>[10200]  PECO Energy CompanyEmbedded (IT)IT Ops Asset Mgmt Supp -PED (00316)</v>
          </cell>
          <cell r="AF219" t="e">
            <v>#N/A</v>
          </cell>
        </row>
        <row r="220">
          <cell r="E220">
            <v>0</v>
          </cell>
          <cell r="H220">
            <v>4000</v>
          </cell>
          <cell r="I220">
            <v>4000</v>
          </cell>
          <cell r="J220">
            <v>1704</v>
          </cell>
          <cell r="M220">
            <v>14296</v>
          </cell>
          <cell r="N220">
            <v>4000</v>
          </cell>
          <cell r="O220">
            <v>37704</v>
          </cell>
          <cell r="R220">
            <v>15296</v>
          </cell>
          <cell r="S220">
            <v>4000</v>
          </cell>
          <cell r="V220" t="str">
            <v>Embedded</v>
          </cell>
          <cell r="W220" t="str">
            <v>IT</v>
          </cell>
          <cell r="AA220" t="str">
            <v>[10200]  PECO Energy CompanyEmbeddedIT</v>
          </cell>
          <cell r="AB220" t="str">
            <v>[10200]  PECO Energy CompanyEmbedded (IT)Other Operating Expenses</v>
          </cell>
          <cell r="AC220" t="str">
            <v>[10200]  PECO Energy CompanyEmbedded (IT)IT Ops Asset Mgmt Supp -PED (00316)</v>
          </cell>
          <cell r="AF220" t="e">
            <v>#N/A</v>
          </cell>
        </row>
        <row r="221">
          <cell r="E221">
            <v>16222</v>
          </cell>
          <cell r="H221">
            <v>287</v>
          </cell>
          <cell r="I221">
            <v>2580</v>
          </cell>
          <cell r="J221">
            <v>63575</v>
          </cell>
          <cell r="M221">
            <v>-291</v>
          </cell>
          <cell r="N221">
            <v>2580</v>
          </cell>
          <cell r="O221">
            <v>210319</v>
          </cell>
          <cell r="R221">
            <v>-14965</v>
          </cell>
          <cell r="S221">
            <v>7739</v>
          </cell>
          <cell r="V221" t="str">
            <v>Embedded</v>
          </cell>
          <cell r="W221" t="str">
            <v>IT</v>
          </cell>
          <cell r="AA221" t="str">
            <v>[10200]  PECO Energy CompanyEmbeddedIT</v>
          </cell>
          <cell r="AB221" t="str">
            <v>[10200]  PECO Energy CompanyEmbedded (IT)Salaries and Wages</v>
          </cell>
          <cell r="AC221" t="str">
            <v>[10200]  PECO Energy CompanyEmbedded (IT)IT Real Time -PED (00317)</v>
          </cell>
          <cell r="AF221" t="e">
            <v>#N/A</v>
          </cell>
        </row>
        <row r="222">
          <cell r="E222">
            <v>0</v>
          </cell>
          <cell r="H222">
            <v>0</v>
          </cell>
          <cell r="I222">
            <v>0</v>
          </cell>
          <cell r="J222">
            <v>403</v>
          </cell>
          <cell r="M222">
            <v>-403</v>
          </cell>
          <cell r="N222">
            <v>0</v>
          </cell>
          <cell r="O222">
            <v>1403</v>
          </cell>
          <cell r="R222">
            <v>597</v>
          </cell>
          <cell r="S222">
            <v>0</v>
          </cell>
          <cell r="V222" t="str">
            <v>Embedded</v>
          </cell>
          <cell r="W222" t="str">
            <v>IT</v>
          </cell>
          <cell r="AA222" t="str">
            <v>[10200]  PECO Energy CompanyEmbeddedIT</v>
          </cell>
          <cell r="AB222" t="str">
            <v>[10200]  PECO Energy CompanyEmbedded (IT)Travel, Entertainment &amp; Reimb</v>
          </cell>
          <cell r="AC222" t="str">
            <v>[10200]  PECO Energy CompanyEmbedded (IT)IT Real Time -PED (00317)</v>
          </cell>
          <cell r="AF222" t="e">
            <v>#N/A</v>
          </cell>
        </row>
        <row r="223">
          <cell r="E223">
            <v>0</v>
          </cell>
          <cell r="H223">
            <v>2083</v>
          </cell>
          <cell r="I223">
            <v>2083</v>
          </cell>
          <cell r="J223">
            <v>-153064</v>
          </cell>
          <cell r="M223">
            <v>161397</v>
          </cell>
          <cell r="N223">
            <v>2083</v>
          </cell>
          <cell r="O223">
            <v>-136397</v>
          </cell>
          <cell r="R223">
            <v>161397</v>
          </cell>
          <cell r="S223">
            <v>2083</v>
          </cell>
          <cell r="V223" t="str">
            <v>Embedded</v>
          </cell>
          <cell r="W223" t="str">
            <v>IT</v>
          </cell>
          <cell r="AA223" t="str">
            <v>[10200]  PECO Energy CompanyEmbeddedIT</v>
          </cell>
          <cell r="AB223" t="str">
            <v>[10200]  PECO Energy CompanyEmbedded (IT)Contracting</v>
          </cell>
          <cell r="AC223" t="str">
            <v>[10200]  PECO Energy CompanyEmbedded (IT)IT Real Time -PED (00317)</v>
          </cell>
          <cell r="AF223" t="e">
            <v>#N/A</v>
          </cell>
        </row>
        <row r="224">
          <cell r="E224">
            <v>636</v>
          </cell>
          <cell r="H224">
            <v>11</v>
          </cell>
          <cell r="I224">
            <v>101</v>
          </cell>
          <cell r="J224">
            <v>2493</v>
          </cell>
          <cell r="M224">
            <v>-11</v>
          </cell>
          <cell r="N224">
            <v>101</v>
          </cell>
          <cell r="O224">
            <v>8248</v>
          </cell>
          <cell r="R224">
            <v>-587</v>
          </cell>
          <cell r="S224">
            <v>304</v>
          </cell>
          <cell r="V224" t="str">
            <v>Embedded</v>
          </cell>
          <cell r="W224" t="str">
            <v>IT</v>
          </cell>
          <cell r="AA224" t="str">
            <v>[10200]  PECO Energy CompanyEmbeddedIT</v>
          </cell>
          <cell r="AB224" t="str">
            <v>[10200]  PECO Energy CompanyEmbedded (IT)Business Services</v>
          </cell>
          <cell r="AC224" t="str">
            <v>[10200]  PECO Energy CompanyEmbedded (IT)IT Real Time -PED (00317)</v>
          </cell>
          <cell r="AF224" t="e">
            <v>#N/A</v>
          </cell>
        </row>
        <row r="225">
          <cell r="E225">
            <v>1691</v>
          </cell>
          <cell r="H225">
            <v>-1691</v>
          </cell>
          <cell r="I225">
            <v>-1691</v>
          </cell>
          <cell r="J225">
            <v>1795</v>
          </cell>
          <cell r="M225">
            <v>-1795</v>
          </cell>
          <cell r="N225">
            <v>-1691</v>
          </cell>
          <cell r="O225">
            <v>1795</v>
          </cell>
          <cell r="R225">
            <v>-1795</v>
          </cell>
          <cell r="S225">
            <v>-1691</v>
          </cell>
          <cell r="V225" t="str">
            <v>Embedded</v>
          </cell>
          <cell r="W225" t="str">
            <v>IT</v>
          </cell>
          <cell r="AA225" t="str">
            <v>[10200]  PECO Energy CompanyEmbeddedIT</v>
          </cell>
          <cell r="AB225" t="str">
            <v>[10200]  PECO Energy CompanyEmbedded (IT)Materials and Supplies</v>
          </cell>
          <cell r="AC225" t="str">
            <v>[10200]  PECO Energy CompanyEmbedded (IT)IT Real Time -PED (00317)</v>
          </cell>
          <cell r="AF225" t="e">
            <v>#N/A</v>
          </cell>
        </row>
        <row r="226">
          <cell r="E226">
            <v>0</v>
          </cell>
          <cell r="H226">
            <v>0</v>
          </cell>
          <cell r="I226">
            <v>0</v>
          </cell>
          <cell r="J226">
            <v>128</v>
          </cell>
          <cell r="M226">
            <v>-128</v>
          </cell>
          <cell r="N226">
            <v>0</v>
          </cell>
          <cell r="O226">
            <v>128</v>
          </cell>
          <cell r="R226">
            <v>-128</v>
          </cell>
          <cell r="S226">
            <v>0</v>
          </cell>
          <cell r="V226" t="str">
            <v>Embedded</v>
          </cell>
          <cell r="W226" t="str">
            <v>IT</v>
          </cell>
          <cell r="AA226" t="str">
            <v>[10200]  PECO Energy CompanyEmbeddedIT</v>
          </cell>
          <cell r="AB226" t="str">
            <v>[10200]  PECO Energy CompanyEmbedded (IT)Travel, Entertainment &amp; Reimb</v>
          </cell>
          <cell r="AC226" t="str">
            <v>[10200]  PECO Energy CompanyEmbedded (IT)IT Real Time -PED (00317)</v>
          </cell>
          <cell r="AF226" t="e">
            <v>#N/A</v>
          </cell>
        </row>
        <row r="227">
          <cell r="E227">
            <v>349</v>
          </cell>
          <cell r="H227">
            <v>-349</v>
          </cell>
          <cell r="I227">
            <v>-349</v>
          </cell>
          <cell r="J227">
            <v>349</v>
          </cell>
          <cell r="M227">
            <v>-349</v>
          </cell>
          <cell r="N227">
            <v>-349</v>
          </cell>
          <cell r="O227">
            <v>349</v>
          </cell>
          <cell r="R227">
            <v>-349</v>
          </cell>
          <cell r="S227">
            <v>-349</v>
          </cell>
          <cell r="V227" t="str">
            <v>Embedded</v>
          </cell>
          <cell r="W227" t="str">
            <v>IT</v>
          </cell>
          <cell r="AA227" t="str">
            <v>[10200]  PECO Energy CompanyEmbeddedIT</v>
          </cell>
          <cell r="AB227" t="str">
            <v>[10200]  PECO Energy CompanyEmbedded (IT)Other Operating Expenses</v>
          </cell>
          <cell r="AC227" t="str">
            <v>[10200]  PECO Energy CompanyEmbedded (IT)IT Real Time -PED (00317)</v>
          </cell>
          <cell r="AF227" t="e">
            <v>#N/A</v>
          </cell>
        </row>
        <row r="228">
          <cell r="E228">
            <v>0</v>
          </cell>
          <cell r="H228">
            <v>0</v>
          </cell>
          <cell r="I228">
            <v>0</v>
          </cell>
          <cell r="J228">
            <v>38</v>
          </cell>
          <cell r="M228">
            <v>-38</v>
          </cell>
          <cell r="N228">
            <v>0</v>
          </cell>
          <cell r="O228">
            <v>38</v>
          </cell>
          <cell r="R228">
            <v>-38</v>
          </cell>
          <cell r="S228">
            <v>0</v>
          </cell>
          <cell r="V228" t="str">
            <v>Embedded</v>
          </cell>
          <cell r="W228" t="str">
            <v>IT</v>
          </cell>
          <cell r="AA228" t="str">
            <v>[10200]  PECO Energy CompanyEmbeddedIT</v>
          </cell>
          <cell r="AB228" t="str">
            <v>[10200]  PECO Energy CompanyEmbedded (IT)Travel, Entertainment &amp; Reimb</v>
          </cell>
          <cell r="AC228" t="str">
            <v>[10200]  PECO Energy CompanyEmbedded (IT)IT Real Time -PED (00317)</v>
          </cell>
          <cell r="AF228" t="e">
            <v>#N/A</v>
          </cell>
        </row>
        <row r="229">
          <cell r="E229">
            <v>18569</v>
          </cell>
          <cell r="H229">
            <v>30404</v>
          </cell>
          <cell r="I229">
            <v>35955</v>
          </cell>
          <cell r="J229">
            <v>49616</v>
          </cell>
          <cell r="M229">
            <v>184033</v>
          </cell>
          <cell r="N229">
            <v>35955</v>
          </cell>
          <cell r="O229">
            <v>1014049</v>
          </cell>
          <cell r="R229">
            <v>71321</v>
          </cell>
          <cell r="S229">
            <v>159956</v>
          </cell>
          <cell r="V229" t="str">
            <v>Embedded</v>
          </cell>
          <cell r="W229" t="str">
            <v>IT</v>
          </cell>
          <cell r="AA229" t="str">
            <v>[10200]  PECO Energy CompanyEmbeddedIT</v>
          </cell>
          <cell r="AB229" t="str">
            <v>[10200]  PECO Energy CompanyEmbedded (IT)Other Operating Expenses</v>
          </cell>
          <cell r="AC229" t="str">
            <v>[10200]  PECO Energy CompanyEmbedded (IT)IT Real Time -PED (00317)</v>
          </cell>
          <cell r="AF229" t="e">
            <v>#N/A</v>
          </cell>
        </row>
        <row r="230">
          <cell r="E230">
            <v>11551</v>
          </cell>
          <cell r="H230">
            <v>-11551</v>
          </cell>
          <cell r="I230">
            <v>-11551</v>
          </cell>
          <cell r="J230">
            <v>28771</v>
          </cell>
          <cell r="M230">
            <v>-28771</v>
          </cell>
          <cell r="N230">
            <v>-11551</v>
          </cell>
          <cell r="O230">
            <v>28771</v>
          </cell>
          <cell r="R230">
            <v>-28771</v>
          </cell>
          <cell r="S230">
            <v>-11551</v>
          </cell>
          <cell r="V230" t="str">
            <v>Embedded</v>
          </cell>
          <cell r="W230" t="str">
            <v>IT</v>
          </cell>
          <cell r="AA230" t="str">
            <v>[10200]  PECO Energy CompanyEmbeddedIT</v>
          </cell>
          <cell r="AB230" t="str">
            <v>[10200]  PECO Energy CompanyEmbedded (IT)Other Operating Expenses</v>
          </cell>
          <cell r="AC230" t="str">
            <v>[10200]  PECO Energy CompanyEmbedded (IT)IT Real Time -PED (00317)</v>
          </cell>
          <cell r="AF230" t="e">
            <v>#N/A</v>
          </cell>
        </row>
        <row r="231">
          <cell r="E231">
            <v>13041</v>
          </cell>
          <cell r="H231">
            <v>230</v>
          </cell>
          <cell r="I231">
            <v>-13041</v>
          </cell>
          <cell r="J231">
            <v>51109</v>
          </cell>
          <cell r="M231">
            <v>-234</v>
          </cell>
          <cell r="N231">
            <v>-13041</v>
          </cell>
          <cell r="O231">
            <v>169080</v>
          </cell>
          <cell r="R231">
            <v>-12031</v>
          </cell>
          <cell r="S231">
            <v>-131012</v>
          </cell>
          <cell r="V231" t="str">
            <v>Embedded</v>
          </cell>
          <cell r="W231" t="str">
            <v>IT</v>
          </cell>
          <cell r="AA231" t="str">
            <v>[10200]  PECO Energy CompanyEmbeddedIT</v>
          </cell>
          <cell r="AB231" t="str">
            <v>[10200]  PECO Energy CompanyEmbedded (IT)Pension and Benefits</v>
          </cell>
          <cell r="AC231" t="str">
            <v>[10200]  PECO Energy CompanyEmbedded (IT)IT Real Time -PED (00317)</v>
          </cell>
          <cell r="AF231" t="e">
            <v>#N/A</v>
          </cell>
        </row>
        <row r="232">
          <cell r="E232">
            <v>1592</v>
          </cell>
          <cell r="H232">
            <v>-1592</v>
          </cell>
          <cell r="I232">
            <v>-1592</v>
          </cell>
          <cell r="J232">
            <v>6396</v>
          </cell>
          <cell r="M232">
            <v>-6396</v>
          </cell>
          <cell r="N232">
            <v>-1592</v>
          </cell>
          <cell r="O232">
            <v>6396</v>
          </cell>
          <cell r="R232">
            <v>-6396</v>
          </cell>
          <cell r="S232">
            <v>-1592</v>
          </cell>
          <cell r="V232" t="str">
            <v>Embedded</v>
          </cell>
          <cell r="W232" t="str">
            <v>IT</v>
          </cell>
          <cell r="AA232" t="str">
            <v>[10200]  PECO Energy CompanyEmbeddedIT</v>
          </cell>
          <cell r="AB232" t="str">
            <v>[10200]  PECO Energy CompanyEmbedded (IT)Transportation</v>
          </cell>
          <cell r="AC232" t="str">
            <v>[10200]  PECO Energy CompanyEmbedded (IT)IT Real Time -PED (00317)</v>
          </cell>
          <cell r="AF232" t="e">
            <v>#N/A</v>
          </cell>
        </row>
        <row r="233">
          <cell r="E233">
            <v>1850326</v>
          </cell>
          <cell r="H233">
            <v>-237514</v>
          </cell>
          <cell r="I233">
            <v>-237514</v>
          </cell>
          <cell r="J233">
            <v>6468555</v>
          </cell>
          <cell r="M233">
            <v>-17308</v>
          </cell>
          <cell r="N233">
            <v>-237514</v>
          </cell>
          <cell r="O233">
            <v>20749524</v>
          </cell>
          <cell r="R233">
            <v>-1395784</v>
          </cell>
          <cell r="S233">
            <v>-1090711</v>
          </cell>
          <cell r="V233" t="str">
            <v>EBSC Transactional</v>
          </cell>
          <cell r="W233" t="str">
            <v>IT</v>
          </cell>
          <cell r="AA233" t="str">
            <v>[10200]  PECO Energy CompanyEBSC TransactionalIT</v>
          </cell>
          <cell r="AB233" t="str">
            <v>[10200]  PECO Energy CompanyEBSC Transactional (IT)Business Services</v>
          </cell>
          <cell r="AC233" t="str">
            <v>[10200]  PECO Energy CompanyEBSC Transactional (IT)EBSC IT Serv - PED (00318)</v>
          </cell>
          <cell r="AF233" t="e">
            <v>#N/A</v>
          </cell>
        </row>
        <row r="234">
          <cell r="E234">
            <v>856</v>
          </cell>
          <cell r="H234">
            <v>-856</v>
          </cell>
          <cell r="I234">
            <v>-856</v>
          </cell>
          <cell r="J234">
            <v>3442</v>
          </cell>
          <cell r="M234">
            <v>-3442</v>
          </cell>
          <cell r="N234">
            <v>-856</v>
          </cell>
          <cell r="O234">
            <v>3442</v>
          </cell>
          <cell r="R234">
            <v>-3442</v>
          </cell>
          <cell r="S234">
            <v>-856</v>
          </cell>
          <cell r="V234" t="str">
            <v>EBSC Transactional</v>
          </cell>
          <cell r="W234" t="str">
            <v>IT</v>
          </cell>
          <cell r="AA234" t="str">
            <v>[10200]  PECO Energy CompanyEBSC TransactionalIT</v>
          </cell>
          <cell r="AB234" t="str">
            <v>[10200]  PECO Energy CompanyEBSC Transactional (IT)Other Operating Expenses</v>
          </cell>
          <cell r="AC234" t="str">
            <v>[10200]  PECO Energy CompanyEBSC Transactional (IT)EBSC IT Serv - PED (00318)</v>
          </cell>
          <cell r="AF234" t="e">
            <v>#N/A</v>
          </cell>
        </row>
        <row r="235">
          <cell r="E235">
            <v>0</v>
          </cell>
          <cell r="H235">
            <v>0</v>
          </cell>
          <cell r="I235">
            <v>0</v>
          </cell>
          <cell r="J235">
            <v>0</v>
          </cell>
          <cell r="M235">
            <v>0</v>
          </cell>
          <cell r="N235">
            <v>0</v>
          </cell>
          <cell r="O235">
            <v>0</v>
          </cell>
          <cell r="R235">
            <v>0</v>
          </cell>
          <cell r="S235">
            <v>-307659</v>
          </cell>
          <cell r="V235" t="str">
            <v>EBSC Transactional</v>
          </cell>
          <cell r="W235" t="str">
            <v>IT</v>
          </cell>
          <cell r="AA235" t="str">
            <v>[10200]  PECO Energy CompanyEBSC TransactionalIT</v>
          </cell>
          <cell r="AB235" t="str">
            <v>[10200]  PECO Energy CompanyEBSC Transactional (IT)Other Operating Expenses</v>
          </cell>
          <cell r="AC235" t="str">
            <v>[10200]  PECO Energy CompanyEBSC Transactional (IT)EBSC IT Serv - PED (00318)</v>
          </cell>
          <cell r="AF235" t="e">
            <v>#N/A</v>
          </cell>
        </row>
        <row r="236">
          <cell r="E236">
            <v>14351</v>
          </cell>
          <cell r="H236">
            <v>56548</v>
          </cell>
          <cell r="I236">
            <v>33519</v>
          </cell>
          <cell r="J236">
            <v>313140</v>
          </cell>
          <cell r="M236">
            <v>-30725</v>
          </cell>
          <cell r="N236">
            <v>33519</v>
          </cell>
          <cell r="O236">
            <v>709776</v>
          </cell>
          <cell r="R236">
            <v>161186</v>
          </cell>
          <cell r="S236">
            <v>33519</v>
          </cell>
          <cell r="V236" t="str">
            <v>Embedded</v>
          </cell>
          <cell r="W236" t="str">
            <v>Finance</v>
          </cell>
          <cell r="AA236" t="str">
            <v>[10200]  PECO Energy CompanyEmbeddedFinance</v>
          </cell>
          <cell r="AB236" t="str">
            <v>[10200]  PECO Energy CompanyEmbedded (Finance)Salaries and Wages</v>
          </cell>
          <cell r="AC236" t="str">
            <v>[10200]  PECO Energy CompanyEmbedded (Finance)Finance - PECO (00338)</v>
          </cell>
          <cell r="AF236" t="str">
            <v>EEDFinanceSalaries and Wages</v>
          </cell>
        </row>
        <row r="237">
          <cell r="E237">
            <v>30</v>
          </cell>
          <cell r="H237">
            <v>2703</v>
          </cell>
          <cell r="I237">
            <v>2703</v>
          </cell>
          <cell r="J237">
            <v>1715</v>
          </cell>
          <cell r="M237">
            <v>9218</v>
          </cell>
          <cell r="N237">
            <v>2703</v>
          </cell>
          <cell r="O237">
            <v>23582</v>
          </cell>
          <cell r="R237">
            <v>9218</v>
          </cell>
          <cell r="S237">
            <v>2703</v>
          </cell>
          <cell r="V237" t="str">
            <v>Embedded</v>
          </cell>
          <cell r="W237" t="str">
            <v>Finance</v>
          </cell>
          <cell r="AA237" t="str">
            <v>[10200]  PECO Energy CompanyEmbeddedFinance</v>
          </cell>
          <cell r="AB237" t="str">
            <v>[10200]  PECO Energy CompanyEmbedded (Finance)Travel, Entertainment &amp; Reimb</v>
          </cell>
          <cell r="AC237" t="str">
            <v>[10200]  PECO Energy CompanyEmbedded (Finance)Finance - PECO (00338)</v>
          </cell>
          <cell r="AF237" t="str">
            <v>EEDFinanceTravel, Entertainment &amp; Reimb</v>
          </cell>
        </row>
        <row r="238">
          <cell r="E238">
            <v>3127</v>
          </cell>
          <cell r="H238">
            <v>625</v>
          </cell>
          <cell r="I238">
            <v>625</v>
          </cell>
          <cell r="J238">
            <v>14890</v>
          </cell>
          <cell r="M238">
            <v>118</v>
          </cell>
          <cell r="N238">
            <v>625</v>
          </cell>
          <cell r="O238">
            <v>44906</v>
          </cell>
          <cell r="R238">
            <v>118</v>
          </cell>
          <cell r="S238">
            <v>625</v>
          </cell>
          <cell r="V238" t="str">
            <v>Embedded</v>
          </cell>
          <cell r="W238" t="str">
            <v>Finance</v>
          </cell>
          <cell r="AA238" t="str">
            <v>[10200]  PECO Energy CompanyEmbeddedFinance</v>
          </cell>
          <cell r="AB238" t="str">
            <v>[10200]  PECO Energy CompanyEmbedded (Finance)Business Services</v>
          </cell>
          <cell r="AC238" t="str">
            <v>[10200]  PECO Energy CompanyEmbedded (Finance)Finance - PECO (00338)</v>
          </cell>
          <cell r="AF238" t="str">
            <v>EEDFinanceBusiness Services</v>
          </cell>
        </row>
        <row r="239">
          <cell r="E239">
            <v>0</v>
          </cell>
          <cell r="H239">
            <v>0</v>
          </cell>
          <cell r="I239">
            <v>0</v>
          </cell>
          <cell r="J239">
            <v>3</v>
          </cell>
          <cell r="M239">
            <v>-3</v>
          </cell>
          <cell r="N239">
            <v>0</v>
          </cell>
          <cell r="O239">
            <v>3</v>
          </cell>
          <cell r="R239">
            <v>-3</v>
          </cell>
          <cell r="S239">
            <v>0</v>
          </cell>
          <cell r="V239" t="str">
            <v>Embedded</v>
          </cell>
          <cell r="W239" t="str">
            <v>Finance</v>
          </cell>
          <cell r="AA239" t="str">
            <v>[10200]  PECO Energy CompanyEmbeddedFinance</v>
          </cell>
          <cell r="AB239" t="str">
            <v>[10200]  PECO Energy CompanyEmbedded (Finance)Materials and Supplies</v>
          </cell>
          <cell r="AC239" t="str">
            <v>[10200]  PECO Energy CompanyEmbedded (Finance)Finance - PECO (00338)</v>
          </cell>
          <cell r="AF239" t="str">
            <v>EEDFinanceMaterials and Supplies</v>
          </cell>
        </row>
        <row r="240">
          <cell r="E240">
            <v>1117</v>
          </cell>
          <cell r="H240">
            <v>-1117</v>
          </cell>
          <cell r="I240">
            <v>-1117</v>
          </cell>
          <cell r="J240">
            <v>6542</v>
          </cell>
          <cell r="M240">
            <v>-6542</v>
          </cell>
          <cell r="N240">
            <v>-1117</v>
          </cell>
          <cell r="O240">
            <v>6542</v>
          </cell>
          <cell r="R240">
            <v>-6542</v>
          </cell>
          <cell r="S240">
            <v>-1117</v>
          </cell>
          <cell r="V240" t="str">
            <v>Embedded</v>
          </cell>
          <cell r="W240" t="str">
            <v>Finance</v>
          </cell>
          <cell r="AA240" t="str">
            <v>[10200]  PECO Energy CompanyEmbeddedFinance</v>
          </cell>
          <cell r="AB240" t="str">
            <v>[10200]  PECO Energy CompanyEmbedded (Finance)Travel, Entertainment &amp; Reimb</v>
          </cell>
          <cell r="AC240" t="str">
            <v>[10200]  PECO Energy CompanyEmbedded (Finance)Finance - PECO (00338)</v>
          </cell>
          <cell r="AF240" t="str">
            <v>EEDFinanceTravel, Entertainment &amp; Reimb</v>
          </cell>
        </row>
        <row r="241">
          <cell r="E241">
            <v>2642</v>
          </cell>
          <cell r="H241">
            <v>-1751</v>
          </cell>
          <cell r="I241">
            <v>-1751</v>
          </cell>
          <cell r="J241">
            <v>8996</v>
          </cell>
          <cell r="M241">
            <v>-5430</v>
          </cell>
          <cell r="N241">
            <v>-1751</v>
          </cell>
          <cell r="O241">
            <v>16126</v>
          </cell>
          <cell r="R241">
            <v>-5430</v>
          </cell>
          <cell r="S241">
            <v>-1751</v>
          </cell>
          <cell r="V241" t="str">
            <v>Embedded</v>
          </cell>
          <cell r="W241" t="str">
            <v>Finance</v>
          </cell>
          <cell r="AA241" t="str">
            <v>[10200]  PECO Energy CompanyEmbeddedFinance</v>
          </cell>
          <cell r="AB241" t="str">
            <v>[10200]  PECO Energy CompanyEmbedded (Finance)Other Operating Expenses</v>
          </cell>
          <cell r="AC241" t="str">
            <v>[10200]  PECO Energy CompanyEmbedded (Finance)Finance - PECO (00338)</v>
          </cell>
          <cell r="AF241" t="str">
            <v>EEDFinanceOther Operating Expenses</v>
          </cell>
        </row>
        <row r="242">
          <cell r="E242">
            <v>0</v>
          </cell>
          <cell r="H242">
            <v>0</v>
          </cell>
          <cell r="I242">
            <v>0</v>
          </cell>
          <cell r="J242">
            <v>4546</v>
          </cell>
          <cell r="M242">
            <v>-4546</v>
          </cell>
          <cell r="N242">
            <v>0</v>
          </cell>
          <cell r="O242">
            <v>4546</v>
          </cell>
          <cell r="R242">
            <v>-4546</v>
          </cell>
          <cell r="S242">
            <v>0</v>
          </cell>
          <cell r="V242" t="str">
            <v>Embedded</v>
          </cell>
          <cell r="W242" t="str">
            <v>Finance</v>
          </cell>
          <cell r="AA242" t="str">
            <v>[10200]  PECO Energy CompanyEmbeddedFinance</v>
          </cell>
          <cell r="AB242" t="str">
            <v>[10200]  PECO Energy CompanyEmbedded (Finance)Travel, Entertainment &amp; Reimb</v>
          </cell>
          <cell r="AC242" t="str">
            <v>[10200]  PECO Energy CompanyEmbedded (Finance)Finance - PECO (00338)</v>
          </cell>
          <cell r="AF242" t="str">
            <v>EEDFinanceTravel, Entertainment &amp; Reimb</v>
          </cell>
        </row>
        <row r="243">
          <cell r="E243">
            <v>451</v>
          </cell>
          <cell r="H243">
            <v>473</v>
          </cell>
          <cell r="I243">
            <v>473</v>
          </cell>
          <cell r="J243">
            <v>1647</v>
          </cell>
          <cell r="M243">
            <v>2049</v>
          </cell>
          <cell r="N243">
            <v>473</v>
          </cell>
          <cell r="O243">
            <v>9039</v>
          </cell>
          <cell r="R243">
            <v>2049</v>
          </cell>
          <cell r="S243">
            <v>473</v>
          </cell>
          <cell r="V243" t="str">
            <v>Embedded</v>
          </cell>
          <cell r="W243" t="str">
            <v>Finance</v>
          </cell>
          <cell r="AA243" t="str">
            <v>[10200]  PECO Energy CompanyEmbeddedFinance</v>
          </cell>
          <cell r="AB243" t="str">
            <v>[10200]  PECO Energy CompanyEmbedded (Finance)Other Operating Expenses</v>
          </cell>
          <cell r="AC243" t="str">
            <v>[10200]  PECO Energy CompanyEmbedded (Finance)Finance - PECO (00338)</v>
          </cell>
          <cell r="AF243" t="str">
            <v>EEDFinanceOther Operating Expenses</v>
          </cell>
        </row>
        <row r="244">
          <cell r="E244">
            <v>46474</v>
          </cell>
          <cell r="H244">
            <v>-43674</v>
          </cell>
          <cell r="I244">
            <v>-43674</v>
          </cell>
          <cell r="J244">
            <v>47024</v>
          </cell>
          <cell r="M244">
            <v>-35824</v>
          </cell>
          <cell r="N244">
            <v>-43674</v>
          </cell>
          <cell r="O244">
            <v>69424</v>
          </cell>
          <cell r="R244">
            <v>-35824</v>
          </cell>
          <cell r="S244">
            <v>-43674</v>
          </cell>
          <cell r="V244" t="str">
            <v>Embedded</v>
          </cell>
          <cell r="W244" t="str">
            <v>Finance</v>
          </cell>
          <cell r="AA244" t="str">
            <v>[10200]  PECO Energy CompanyEmbeddedFinance</v>
          </cell>
          <cell r="AB244" t="str">
            <v>[10200]  PECO Energy CompanyEmbedded (Finance)Other Operating Expenses</v>
          </cell>
          <cell r="AC244" t="str">
            <v>[10200]  PECO Energy CompanyEmbedded (Finance)Finance - PECO (00338)</v>
          </cell>
          <cell r="AF244" t="str">
            <v>EEDFinanceOther Operating Expenses</v>
          </cell>
        </row>
        <row r="245">
          <cell r="E245">
            <v>0</v>
          </cell>
          <cell r="H245">
            <v>0</v>
          </cell>
          <cell r="I245">
            <v>0</v>
          </cell>
          <cell r="J245">
            <v>-594</v>
          </cell>
          <cell r="M245">
            <v>594</v>
          </cell>
          <cell r="N245">
            <v>0</v>
          </cell>
          <cell r="O245">
            <v>-594</v>
          </cell>
          <cell r="R245">
            <v>594</v>
          </cell>
          <cell r="S245">
            <v>0</v>
          </cell>
          <cell r="V245" t="str">
            <v>Embedded</v>
          </cell>
          <cell r="W245" t="str">
            <v>Finance</v>
          </cell>
          <cell r="AA245" t="str">
            <v>[10200]  PECO Energy CompanyEmbeddedFinance</v>
          </cell>
          <cell r="AB245" t="str">
            <v>[10200]  PECO Energy CompanyEmbedded (Finance)Overtime</v>
          </cell>
          <cell r="AC245" t="str">
            <v>[10200]  PECO Energy CompanyEmbedded (Finance)Finance - PECO (00338)</v>
          </cell>
          <cell r="AF245" t="str">
            <v>EEDFinanceOvertime</v>
          </cell>
        </row>
        <row r="246">
          <cell r="E246">
            <v>10529</v>
          </cell>
          <cell r="H246">
            <v>35729</v>
          </cell>
          <cell r="I246">
            <v>18051</v>
          </cell>
          <cell r="J246">
            <v>198099</v>
          </cell>
          <cell r="M246">
            <v>-13837</v>
          </cell>
          <cell r="N246">
            <v>18051</v>
          </cell>
          <cell r="O246">
            <v>434790</v>
          </cell>
          <cell r="R246">
            <v>133474</v>
          </cell>
          <cell r="S246">
            <v>18051</v>
          </cell>
          <cell r="V246" t="str">
            <v>Embedded</v>
          </cell>
          <cell r="W246" t="str">
            <v>Finance</v>
          </cell>
          <cell r="AA246" t="str">
            <v>[10200]  PECO Energy CompanyEmbeddedFinance</v>
          </cell>
          <cell r="AB246" t="str">
            <v>[10200]  PECO Energy CompanyEmbedded (Finance)Pension and Benefits</v>
          </cell>
          <cell r="AC246" t="str">
            <v>[10200]  PECO Energy CompanyEmbedded (Finance)Finance - PECO (00338)</v>
          </cell>
          <cell r="AF246" t="str">
            <v>EEDFinancePension and Benefits</v>
          </cell>
        </row>
        <row r="247">
          <cell r="E247">
            <v>1599774</v>
          </cell>
          <cell r="H247">
            <v>-10396</v>
          </cell>
          <cell r="I247">
            <v>-19599</v>
          </cell>
          <cell r="J247">
            <v>5847346</v>
          </cell>
          <cell r="M247">
            <v>502557</v>
          </cell>
          <cell r="N247">
            <v>-19599</v>
          </cell>
          <cell r="O247">
            <v>19709849</v>
          </cell>
          <cell r="R247">
            <v>487806</v>
          </cell>
          <cell r="S247">
            <v>140412</v>
          </cell>
          <cell r="V247" t="str">
            <v>Corporate Allocated</v>
          </cell>
          <cell r="W247" t="str">
            <v>Finance</v>
          </cell>
          <cell r="AA247" t="str">
            <v>[10200]  PECO Energy CompanyCorporate AllocatedFinance</v>
          </cell>
          <cell r="AB247" t="str">
            <v>[10200]  PECO Energy CompanyCorporate Allocated (Finance)Business Services</v>
          </cell>
          <cell r="AC247" t="str">
            <v>[10200]  PECO Energy CompanyCorporate Allocated (Finance)EBSC Fin Srvcs PED (00339)</v>
          </cell>
          <cell r="AF247" t="e">
            <v>#N/A</v>
          </cell>
        </row>
        <row r="248">
          <cell r="E248">
            <v>67533</v>
          </cell>
          <cell r="H248">
            <v>-19202</v>
          </cell>
          <cell r="I248">
            <v>-18399</v>
          </cell>
          <cell r="J248">
            <v>231624</v>
          </cell>
          <cell r="M248">
            <v>-39127</v>
          </cell>
          <cell r="N248">
            <v>-18399</v>
          </cell>
          <cell r="O248">
            <v>744378</v>
          </cell>
          <cell r="R248">
            <v>-87129</v>
          </cell>
          <cell r="S248">
            <v>-140792</v>
          </cell>
          <cell r="V248" t="str">
            <v>Embedded</v>
          </cell>
          <cell r="W248" t="str">
            <v>Finance</v>
          </cell>
          <cell r="AA248" t="str">
            <v>[10200]  PECO Energy CompanyEmbeddedFinance</v>
          </cell>
          <cell r="AB248" t="str">
            <v>[10200]  PECO Energy CompanyEmbedded (Finance)EDSS</v>
          </cell>
          <cell r="AC248" t="str">
            <v>[10200]  PECO Energy CompanyEmbedded (Finance)EDSS Fin Srvcs PED (00340)</v>
          </cell>
          <cell r="AF248" t="str">
            <v>EEDControllerEDSS</v>
          </cell>
        </row>
        <row r="249">
          <cell r="E249">
            <v>664866</v>
          </cell>
          <cell r="H249">
            <v>-346261</v>
          </cell>
          <cell r="I249">
            <v>-302827</v>
          </cell>
          <cell r="J249">
            <v>1895096</v>
          </cell>
          <cell r="M249">
            <v>-104298</v>
          </cell>
          <cell r="N249">
            <v>-302827</v>
          </cell>
          <cell r="O249">
            <v>5533005</v>
          </cell>
          <cell r="R249">
            <v>-459280</v>
          </cell>
          <cell r="S249">
            <v>-647485</v>
          </cell>
          <cell r="V249" t="str">
            <v>Corporate Allocated</v>
          </cell>
          <cell r="W249" t="str">
            <v>Communications</v>
          </cell>
          <cell r="AA249" t="str">
            <v>[10200]  PECO Energy CompanyCorporate AllocatedCommunications</v>
          </cell>
          <cell r="AB249" t="str">
            <v>[10200]  PECO Energy CompanyCorporate Allocated (Communications)Business Services</v>
          </cell>
          <cell r="AC249" t="str">
            <v>[10200]  PECO Energy CompanyCorporate Allocated (Communications)EBSC Comm Srvcs - PECO (00346)</v>
          </cell>
          <cell r="AF249" t="e">
            <v>#N/A</v>
          </cell>
        </row>
        <row r="250">
          <cell r="E250">
            <v>347010</v>
          </cell>
          <cell r="H250">
            <v>94024</v>
          </cell>
          <cell r="I250">
            <v>88522</v>
          </cell>
          <cell r="J250">
            <v>1370362</v>
          </cell>
          <cell r="M250">
            <v>395191</v>
          </cell>
          <cell r="N250">
            <v>88522</v>
          </cell>
          <cell r="O250">
            <v>5076560</v>
          </cell>
          <cell r="R250">
            <v>423885</v>
          </cell>
          <cell r="S250">
            <v>151425</v>
          </cell>
          <cell r="V250" t="str">
            <v>Corporate Allocated</v>
          </cell>
          <cell r="W250" t="str">
            <v>Legal Governance</v>
          </cell>
          <cell r="AA250" t="str">
            <v>[10200]  PECO Energy CompanyCorporate AllocatedLegal Governance</v>
          </cell>
          <cell r="AB250" t="str">
            <v>[10200]  PECO Energy CompanyCorporate Allocated (Legal Governance)Business Services</v>
          </cell>
          <cell r="AC250" t="str">
            <v>[10200]  PECO Energy CompanyCorporate Allocated (Legal Governance)EBSC Leg Gov - PECO (00355)</v>
          </cell>
          <cell r="AF250" t="e">
            <v>#N/A</v>
          </cell>
        </row>
        <row r="251">
          <cell r="E251">
            <v>2129860</v>
          </cell>
          <cell r="H251">
            <v>-1450805</v>
          </cell>
          <cell r="I251">
            <v>-1355279</v>
          </cell>
          <cell r="J251">
            <v>4573135</v>
          </cell>
          <cell r="M251">
            <v>-1493012</v>
          </cell>
          <cell r="N251">
            <v>-1355279</v>
          </cell>
          <cell r="O251">
            <v>9780935</v>
          </cell>
          <cell r="R251">
            <v>57286</v>
          </cell>
          <cell r="S251">
            <v>558240</v>
          </cell>
          <cell r="V251" t="str">
            <v>Corporate Allocated</v>
          </cell>
          <cell r="W251" t="str">
            <v>Executive Services</v>
          </cell>
          <cell r="AA251" t="str">
            <v>[10200]  PECO Energy CompanyCorporate AllocatedExecutive Services</v>
          </cell>
          <cell r="AB251" t="str">
            <v>[10200]  PECO Energy CompanyCorporate Allocated (Executive Services)Business Services</v>
          </cell>
          <cell r="AC251" t="str">
            <v>[10200]  PECO Energy CompanyCorporate Allocated (Executive Services)EBSC Exec Srvcs - PECO (00366)</v>
          </cell>
          <cell r="AF251" t="e">
            <v>#N/A</v>
          </cell>
        </row>
        <row r="252">
          <cell r="E252">
            <v>224916</v>
          </cell>
          <cell r="H252">
            <v>38306</v>
          </cell>
          <cell r="I252">
            <v>38306</v>
          </cell>
          <cell r="J252">
            <v>978905</v>
          </cell>
          <cell r="M252">
            <v>73984</v>
          </cell>
          <cell r="N252">
            <v>38306</v>
          </cell>
          <cell r="O252">
            <v>3084683</v>
          </cell>
          <cell r="R252">
            <v>73984</v>
          </cell>
          <cell r="S252">
            <v>38306</v>
          </cell>
          <cell r="V252" t="str">
            <v>EBSC Transactional</v>
          </cell>
          <cell r="W252" t="str">
            <v>HR &amp; Fin Srvcs</v>
          </cell>
          <cell r="AA252" t="str">
            <v>[10200]  PECO Energy CompanyEBSC TransactionalHR &amp; Fin Srvcs</v>
          </cell>
          <cell r="AB252" t="str">
            <v>[10200]  PECO Energy CompanyEBSC Transactional (HR &amp; Fin Srvcs)Business Services</v>
          </cell>
          <cell r="AC252" t="str">
            <v>[10200]  PECO Energy CompanyEBSC Transactional (HR &amp; Fin Srvcs)EBSC Hr &amp; Fin Srvcs - PECO (00373)</v>
          </cell>
          <cell r="AF252" t="e">
            <v>#N/A</v>
          </cell>
        </row>
        <row r="253">
          <cell r="E253">
            <v>38959</v>
          </cell>
          <cell r="H253">
            <v>4767</v>
          </cell>
          <cell r="I253">
            <v>1415</v>
          </cell>
          <cell r="J253">
            <v>155417</v>
          </cell>
          <cell r="M253">
            <v>20833</v>
          </cell>
          <cell r="N253">
            <v>1415</v>
          </cell>
          <cell r="O253">
            <v>533366</v>
          </cell>
          <cell r="R253">
            <v>8917</v>
          </cell>
          <cell r="S253">
            <v>1415</v>
          </cell>
          <cell r="V253" t="str">
            <v>Corporate Allocated</v>
          </cell>
          <cell r="W253" t="str">
            <v>Security</v>
          </cell>
          <cell r="AA253" t="str">
            <v>[10200]  PECO Energy CompanyCorporate AllocatedSecurity</v>
          </cell>
          <cell r="AB253" t="str">
            <v>[10200]  PECO Energy CompanyCorporate Allocated (Security)Business Services</v>
          </cell>
          <cell r="AC253" t="str">
            <v>[10200]  PECO Energy CompanyCorporate Allocated (Security)EBSC Security Srvcs - PED (00380)</v>
          </cell>
          <cell r="AF253" t="e">
            <v>#N/A</v>
          </cell>
        </row>
        <row r="254">
          <cell r="E254">
            <v>311092</v>
          </cell>
          <cell r="H254">
            <v>204024</v>
          </cell>
          <cell r="I254">
            <v>194024</v>
          </cell>
          <cell r="J254">
            <v>1691557</v>
          </cell>
          <cell r="M254">
            <v>368907</v>
          </cell>
          <cell r="N254">
            <v>194024</v>
          </cell>
          <cell r="O254">
            <v>5381390</v>
          </cell>
          <cell r="R254">
            <v>800000</v>
          </cell>
          <cell r="S254">
            <v>500000</v>
          </cell>
          <cell r="V254" t="str">
            <v>EBSC Transactional</v>
          </cell>
          <cell r="W254" t="str">
            <v>Legal Services</v>
          </cell>
          <cell r="AA254" t="str">
            <v>[10200]  PECO Energy CompanyEBSC TransactionalLegal Services</v>
          </cell>
          <cell r="AB254" t="str">
            <v>[10200]  PECO Energy CompanyEBSC Transactional (Legal Services)Business Services</v>
          </cell>
          <cell r="AC254" t="str">
            <v>[10200]  PECO Energy CompanyEBSC Transactional (Legal Services)EBSC Legal Srvcs - PED (00385)</v>
          </cell>
          <cell r="AF254" t="e">
            <v>#N/A</v>
          </cell>
        </row>
        <row r="255">
          <cell r="E255">
            <v>82070</v>
          </cell>
          <cell r="H255">
            <v>-24760</v>
          </cell>
          <cell r="I255">
            <v>-14931</v>
          </cell>
          <cell r="J255">
            <v>334320</v>
          </cell>
          <cell r="M255">
            <v>-103514</v>
          </cell>
          <cell r="N255">
            <v>-14931</v>
          </cell>
          <cell r="O255">
            <v>791232</v>
          </cell>
          <cell r="R255">
            <v>-65446</v>
          </cell>
          <cell r="S255">
            <v>-17169</v>
          </cell>
          <cell r="V255" t="str">
            <v>Corporate Allocated</v>
          </cell>
          <cell r="W255" t="str">
            <v>Supply Services</v>
          </cell>
          <cell r="AA255" t="str">
            <v>[10200]  PECO Energy CompanyCorporate AllocatedSupply Services</v>
          </cell>
          <cell r="AB255" t="str">
            <v>[10200]  PECO Energy CompanyCorporate Allocated (Supply Services)Business Services</v>
          </cell>
          <cell r="AC255" t="str">
            <v>[10200]  PECO Energy CompanyCorporate Allocated (Supply Services)EBSC Sup Srvcs -PED (00394)</v>
          </cell>
          <cell r="AF255" t="e">
            <v>#N/A</v>
          </cell>
        </row>
        <row r="256">
          <cell r="E256">
            <v>2344</v>
          </cell>
          <cell r="H256">
            <v>-2344</v>
          </cell>
          <cell r="I256">
            <v>3790</v>
          </cell>
          <cell r="J256">
            <v>10146</v>
          </cell>
          <cell r="M256">
            <v>-10146</v>
          </cell>
          <cell r="N256">
            <v>3790</v>
          </cell>
          <cell r="O256">
            <v>29356</v>
          </cell>
          <cell r="R256">
            <v>-29356</v>
          </cell>
          <cell r="S256">
            <v>-2676</v>
          </cell>
          <cell r="V256" t="str">
            <v>EBSC Transactional</v>
          </cell>
          <cell r="W256" t="str">
            <v>IT</v>
          </cell>
          <cell r="AA256" t="str">
            <v>[10200]  PECO Energy CompanyEBSC TransactionalIT</v>
          </cell>
          <cell r="AB256" t="str">
            <v>[10200]  PECO Energy CompanyEBSC Transactional (IT)Salaries and Wages</v>
          </cell>
          <cell r="AC256" t="str">
            <v>[10200]  PECO Energy CompanyEBSC Transactional (IT)IT Projects - PECO (00396)</v>
          </cell>
          <cell r="AF256" t="e">
            <v>#N/A</v>
          </cell>
        </row>
        <row r="257">
          <cell r="E257">
            <v>14</v>
          </cell>
          <cell r="H257">
            <v>-14</v>
          </cell>
          <cell r="I257">
            <v>-14</v>
          </cell>
          <cell r="J257">
            <v>7815</v>
          </cell>
          <cell r="M257">
            <v>-7815</v>
          </cell>
          <cell r="N257">
            <v>-14</v>
          </cell>
          <cell r="O257">
            <v>7815</v>
          </cell>
          <cell r="R257">
            <v>-7815</v>
          </cell>
          <cell r="S257">
            <v>-14</v>
          </cell>
          <cell r="V257" t="str">
            <v>EBSC Transactional</v>
          </cell>
          <cell r="W257" t="str">
            <v>IT</v>
          </cell>
          <cell r="AA257" t="str">
            <v>[10200]  PECO Energy CompanyEBSC TransactionalIT</v>
          </cell>
          <cell r="AB257" t="str">
            <v>[10200]  PECO Energy CompanyEBSC Transactional (IT)Travel, Entertainment &amp; Reimb</v>
          </cell>
          <cell r="AC257" t="str">
            <v>[10200]  PECO Energy CompanyEBSC Transactional (IT)IT Projects - PECO (00396)</v>
          </cell>
          <cell r="AF257" t="e">
            <v>#N/A</v>
          </cell>
        </row>
        <row r="258">
          <cell r="E258">
            <v>30054</v>
          </cell>
          <cell r="H258">
            <v>-30054</v>
          </cell>
          <cell r="I258">
            <v>-26694</v>
          </cell>
          <cell r="J258">
            <v>35330</v>
          </cell>
          <cell r="M258">
            <v>-35330</v>
          </cell>
          <cell r="N258">
            <v>-26694</v>
          </cell>
          <cell r="O258">
            <v>37570</v>
          </cell>
          <cell r="R258">
            <v>-37570</v>
          </cell>
          <cell r="S258">
            <v>-18854</v>
          </cell>
          <cell r="V258" t="str">
            <v>EBSC Transactional</v>
          </cell>
          <cell r="W258" t="str">
            <v>IT</v>
          </cell>
          <cell r="AA258" t="str">
            <v>[10200]  PECO Energy CompanyEBSC TransactionalIT</v>
          </cell>
          <cell r="AB258" t="str">
            <v>[10200]  PECO Energy CompanyEBSC Transactional (IT)Contracting</v>
          </cell>
          <cell r="AC258" t="str">
            <v>[10200]  PECO Energy CompanyEBSC Transactional (IT)IT Projects - PECO (00396)</v>
          </cell>
          <cell r="AF258" t="e">
            <v>#N/A</v>
          </cell>
        </row>
        <row r="259">
          <cell r="E259">
            <v>173415</v>
          </cell>
          <cell r="H259">
            <v>-123215</v>
          </cell>
          <cell r="I259">
            <v>-33855</v>
          </cell>
          <cell r="J259">
            <v>239784</v>
          </cell>
          <cell r="M259">
            <v>-139384</v>
          </cell>
          <cell r="N259">
            <v>-33855</v>
          </cell>
          <cell r="O259">
            <v>617664</v>
          </cell>
          <cell r="R259">
            <v>482336</v>
          </cell>
          <cell r="S259">
            <v>-285525</v>
          </cell>
          <cell r="V259" t="str">
            <v>EBSC Transactional</v>
          </cell>
          <cell r="W259" t="str">
            <v>IT</v>
          </cell>
          <cell r="AA259" t="str">
            <v>[10200]  PECO Energy CompanyEBSC TransactionalIT</v>
          </cell>
          <cell r="AB259" t="str">
            <v>[10200]  PECO Energy CompanyEBSC Transactional (IT)Business Services</v>
          </cell>
          <cell r="AC259" t="str">
            <v>[10200]  PECO Energy CompanyEBSC Transactional (IT)IT Projects - PECO (00396)</v>
          </cell>
          <cell r="AF259" t="e">
            <v>#N/A</v>
          </cell>
        </row>
        <row r="260">
          <cell r="E260">
            <v>0</v>
          </cell>
          <cell r="H260">
            <v>0</v>
          </cell>
          <cell r="I260">
            <v>0</v>
          </cell>
          <cell r="J260">
            <v>0</v>
          </cell>
          <cell r="M260">
            <v>0</v>
          </cell>
          <cell r="N260">
            <v>0</v>
          </cell>
          <cell r="O260">
            <v>196000</v>
          </cell>
          <cell r="R260">
            <v>-196000</v>
          </cell>
          <cell r="S260">
            <v>0</v>
          </cell>
          <cell r="V260" t="str">
            <v>EBSC Transactional</v>
          </cell>
          <cell r="W260" t="str">
            <v>IT</v>
          </cell>
          <cell r="AA260" t="str">
            <v>[10200]  PECO Energy CompanyEBSC TransactionalIT</v>
          </cell>
          <cell r="AB260" t="str">
            <v>[10200]  PECO Energy CompanyEBSC Transactional (IT)Materials and Supplies</v>
          </cell>
          <cell r="AC260" t="str">
            <v>[10200]  PECO Energy CompanyEBSC Transactional (IT)IT Projects - PECO (00396)</v>
          </cell>
          <cell r="AF260" t="e">
            <v>#N/A</v>
          </cell>
        </row>
        <row r="261">
          <cell r="E261">
            <v>329</v>
          </cell>
          <cell r="H261">
            <v>-329</v>
          </cell>
          <cell r="I261">
            <v>-329</v>
          </cell>
          <cell r="J261">
            <v>394</v>
          </cell>
          <cell r="M261">
            <v>-394</v>
          </cell>
          <cell r="N261">
            <v>-329</v>
          </cell>
          <cell r="O261">
            <v>394</v>
          </cell>
          <cell r="R261">
            <v>-394</v>
          </cell>
          <cell r="S261">
            <v>-329</v>
          </cell>
          <cell r="V261" t="str">
            <v>EBSC Transactional</v>
          </cell>
          <cell r="W261" t="str">
            <v>IT</v>
          </cell>
          <cell r="AA261" t="str">
            <v>[10200]  PECO Energy CompanyEBSC TransactionalIT</v>
          </cell>
          <cell r="AB261" t="str">
            <v>[10200]  PECO Energy CompanyEBSC Transactional (IT)Travel, Entertainment &amp; Reimb</v>
          </cell>
          <cell r="AC261" t="str">
            <v>[10200]  PECO Energy CompanyEBSC Transactional (IT)IT Projects - PECO (00396)</v>
          </cell>
          <cell r="AF261" t="e">
            <v>#N/A</v>
          </cell>
        </row>
        <row r="262">
          <cell r="E262">
            <v>283</v>
          </cell>
          <cell r="H262">
            <v>-283</v>
          </cell>
          <cell r="I262">
            <v>-283</v>
          </cell>
          <cell r="J262">
            <v>283</v>
          </cell>
          <cell r="M262">
            <v>-283</v>
          </cell>
          <cell r="N262">
            <v>-283</v>
          </cell>
          <cell r="O262">
            <v>283</v>
          </cell>
          <cell r="R262">
            <v>-283</v>
          </cell>
          <cell r="S262">
            <v>-283</v>
          </cell>
          <cell r="V262" t="str">
            <v>EBSC Transactional</v>
          </cell>
          <cell r="W262" t="str">
            <v>IT</v>
          </cell>
          <cell r="AA262" t="str">
            <v>[10200]  PECO Energy CompanyEBSC TransactionalIT</v>
          </cell>
          <cell r="AB262" t="str">
            <v>[10200]  PECO Energy CompanyEBSC Transactional (IT)Other Operating Expenses</v>
          </cell>
          <cell r="AC262" t="str">
            <v>[10200]  PECO Energy CompanyEBSC Transactional (IT)IT Projects - PECO (00396)</v>
          </cell>
          <cell r="AF262" t="e">
            <v>#N/A</v>
          </cell>
        </row>
        <row r="263">
          <cell r="E263">
            <v>-6935</v>
          </cell>
          <cell r="H263">
            <v>6935</v>
          </cell>
          <cell r="I263">
            <v>6935</v>
          </cell>
          <cell r="J263">
            <v>-89123</v>
          </cell>
          <cell r="M263">
            <v>89123</v>
          </cell>
          <cell r="N263">
            <v>6935</v>
          </cell>
          <cell r="O263">
            <v>-62123</v>
          </cell>
          <cell r="R263">
            <v>62123</v>
          </cell>
          <cell r="S263">
            <v>573694</v>
          </cell>
          <cell r="V263" t="str">
            <v>EBSC Transactional</v>
          </cell>
          <cell r="W263" t="str">
            <v>IT</v>
          </cell>
          <cell r="AA263" t="str">
            <v>[10200]  PECO Energy CompanyEBSC TransactionalIT</v>
          </cell>
          <cell r="AB263" t="str">
            <v>[10200]  PECO Energy CompanyEBSC Transactional (IT)Other Operating Expenses</v>
          </cell>
          <cell r="AC263" t="str">
            <v>[10200]  PECO Energy CompanyEBSC Transactional (IT)IT Projects - PECO (00396)</v>
          </cell>
          <cell r="AF263" t="e">
            <v>#N/A</v>
          </cell>
        </row>
        <row r="264">
          <cell r="E264">
            <v>376</v>
          </cell>
          <cell r="H264">
            <v>-376</v>
          </cell>
          <cell r="I264">
            <v>-376</v>
          </cell>
          <cell r="J264">
            <v>376</v>
          </cell>
          <cell r="M264">
            <v>-376</v>
          </cell>
          <cell r="N264">
            <v>-376</v>
          </cell>
          <cell r="O264">
            <v>376</v>
          </cell>
          <cell r="R264">
            <v>-376</v>
          </cell>
          <cell r="S264">
            <v>-376</v>
          </cell>
          <cell r="V264" t="str">
            <v>EBSC Transactional</v>
          </cell>
          <cell r="W264" t="str">
            <v>IT</v>
          </cell>
          <cell r="AA264" t="str">
            <v>[10200]  PECO Energy CompanyEBSC TransactionalIT</v>
          </cell>
          <cell r="AB264" t="str">
            <v>[10200]  PECO Energy CompanyEBSC Transactional (IT)Other Operating Expenses</v>
          </cell>
          <cell r="AC264" t="str">
            <v>[10200]  PECO Energy CompanyEBSC Transactional (IT)IT Projects - PECO (00396)</v>
          </cell>
          <cell r="AF264" t="e">
            <v>#N/A</v>
          </cell>
        </row>
        <row r="265">
          <cell r="E265">
            <v>1884</v>
          </cell>
          <cell r="H265">
            <v>-1884</v>
          </cell>
          <cell r="I265">
            <v>-1884</v>
          </cell>
          <cell r="J265">
            <v>8006</v>
          </cell>
          <cell r="M265">
            <v>-8006</v>
          </cell>
          <cell r="N265">
            <v>-1884</v>
          </cell>
          <cell r="O265">
            <v>219155</v>
          </cell>
          <cell r="R265">
            <v>-219155</v>
          </cell>
          <cell r="S265">
            <v>-213033</v>
          </cell>
          <cell r="V265" t="str">
            <v>EBSC Transactional</v>
          </cell>
          <cell r="W265" t="str">
            <v>IT</v>
          </cell>
          <cell r="AA265" t="str">
            <v>[10200]  PECO Energy CompanyEBSC TransactionalIT</v>
          </cell>
          <cell r="AB265" t="str">
            <v>[10200]  PECO Energy CompanyEBSC Transactional (IT)Pension and Benefits</v>
          </cell>
          <cell r="AC265" t="str">
            <v>[10200]  PECO Energy CompanyEBSC Transactional (IT)IT Projects - PECO (00396)</v>
          </cell>
          <cell r="AF265" t="e">
            <v>#N/A</v>
          </cell>
        </row>
        <row r="266">
          <cell r="E266">
            <v>-81916</v>
          </cell>
          <cell r="H266">
            <v>266800</v>
          </cell>
          <cell r="I266">
            <v>262316</v>
          </cell>
          <cell r="J266">
            <v>300433</v>
          </cell>
          <cell r="M266">
            <v>439103</v>
          </cell>
          <cell r="N266">
            <v>262316</v>
          </cell>
          <cell r="O266">
            <v>2066237</v>
          </cell>
          <cell r="R266">
            <v>152368</v>
          </cell>
          <cell r="S266">
            <v>459</v>
          </cell>
          <cell r="V266" t="str">
            <v>Embedded</v>
          </cell>
          <cell r="W266" t="str">
            <v>Legal Services</v>
          </cell>
          <cell r="AA266" t="str">
            <v>[10200]  PECO Energy CompanyEmbeddedLegal Services</v>
          </cell>
          <cell r="AB266" t="str">
            <v>[10200]  PECO Energy CompanyEmbedded (Legal Services)Contracting</v>
          </cell>
          <cell r="AC266" t="str">
            <v>[10200]  PECO Energy CompanyEmbedded (Legal Services)Legal Ext. Srvcs - PECO (00403)</v>
          </cell>
          <cell r="AF266" t="e">
            <v>#N/A</v>
          </cell>
        </row>
        <row r="267">
          <cell r="E267">
            <v>435</v>
          </cell>
          <cell r="H267">
            <v>-435</v>
          </cell>
          <cell r="I267">
            <v>-435</v>
          </cell>
          <cell r="J267">
            <v>1441</v>
          </cell>
          <cell r="M267">
            <v>-1441</v>
          </cell>
          <cell r="N267">
            <v>-435</v>
          </cell>
          <cell r="O267">
            <v>1441</v>
          </cell>
          <cell r="R267">
            <v>-1441</v>
          </cell>
          <cell r="S267">
            <v>-435</v>
          </cell>
          <cell r="V267" t="str">
            <v>Embedded</v>
          </cell>
          <cell r="W267" t="str">
            <v>Legal Services</v>
          </cell>
          <cell r="AA267" t="str">
            <v>[10200]  PECO Energy CompanyEmbeddedLegal Services</v>
          </cell>
          <cell r="AB267" t="str">
            <v>[10200]  PECO Energy CompanyEmbedded (Legal Services)Business Services</v>
          </cell>
          <cell r="AC267" t="str">
            <v>[10200]  PECO Energy CompanyEmbedded (Legal Services)Legal Ext. Srvcs - PECO (00403)</v>
          </cell>
          <cell r="AF267" t="e">
            <v>#N/A</v>
          </cell>
        </row>
        <row r="268">
          <cell r="E268">
            <v>24</v>
          </cell>
          <cell r="H268">
            <v>-24</v>
          </cell>
          <cell r="I268">
            <v>-24</v>
          </cell>
          <cell r="J268">
            <v>47</v>
          </cell>
          <cell r="M268">
            <v>-47</v>
          </cell>
          <cell r="N268">
            <v>-24</v>
          </cell>
          <cell r="O268">
            <v>47</v>
          </cell>
          <cell r="R268">
            <v>-47</v>
          </cell>
          <cell r="S268">
            <v>-24</v>
          </cell>
          <cell r="V268" t="str">
            <v>Embedded</v>
          </cell>
          <cell r="W268" t="str">
            <v>Legal Services</v>
          </cell>
          <cell r="AA268" t="str">
            <v>[10200]  PECO Energy CompanyEmbeddedLegal Services</v>
          </cell>
          <cell r="AB268" t="str">
            <v>[10200]  PECO Energy CompanyEmbedded (Legal Services)Other Operating Expenses</v>
          </cell>
          <cell r="AC268" t="str">
            <v>[10200]  PECO Energy CompanyEmbedded (Legal Services)Legal Ext. Srvcs - PECO (00403)</v>
          </cell>
          <cell r="AF268" t="e">
            <v>#N/A</v>
          </cell>
        </row>
        <row r="269">
          <cell r="E269">
            <v>0</v>
          </cell>
          <cell r="H269">
            <v>0</v>
          </cell>
          <cell r="I269">
            <v>0</v>
          </cell>
          <cell r="J269">
            <v>881</v>
          </cell>
          <cell r="M269">
            <v>-881</v>
          </cell>
          <cell r="N269">
            <v>0</v>
          </cell>
          <cell r="O269">
            <v>881</v>
          </cell>
          <cell r="R269">
            <v>-881</v>
          </cell>
          <cell r="S269">
            <v>0</v>
          </cell>
          <cell r="V269" t="str">
            <v>Embedded</v>
          </cell>
          <cell r="W269" t="str">
            <v>Legal Services</v>
          </cell>
          <cell r="AA269" t="str">
            <v>[10200]  PECO Energy CompanyEmbeddedLegal Services</v>
          </cell>
          <cell r="AB269" t="str">
            <v>[10200]  PECO Energy CompanyEmbedded (Legal Services)Other Operating Expenses</v>
          </cell>
          <cell r="AC269" t="str">
            <v>[10200]  PECO Energy CompanyEmbedded (Legal Services)Legal Ext. Srvcs - PECO (00403)</v>
          </cell>
          <cell r="AF269" t="e">
            <v>#N/A</v>
          </cell>
        </row>
        <row r="270">
          <cell r="E270">
            <v>843</v>
          </cell>
          <cell r="H270">
            <v>560973</v>
          </cell>
          <cell r="I270">
            <v>560973</v>
          </cell>
          <cell r="J270">
            <v>3373</v>
          </cell>
          <cell r="M270">
            <v>2243892</v>
          </cell>
          <cell r="N270">
            <v>560973</v>
          </cell>
          <cell r="O270">
            <v>3373</v>
          </cell>
          <cell r="R270">
            <v>6738423</v>
          </cell>
          <cell r="S270">
            <v>5358687</v>
          </cell>
          <cell r="V270" t="str">
            <v>Embedded</v>
          </cell>
          <cell r="W270" t="str">
            <v>IT</v>
          </cell>
          <cell r="AA270" t="str">
            <v>[10200]  PECO Energy CompanyEmbeddedIT</v>
          </cell>
          <cell r="AB270" t="str">
            <v>[10200]  PECO Energy CompanyEmbedded (IT)Business Services</v>
          </cell>
          <cell r="AC270" t="str">
            <v>[10200]  PECO Energy CompanyEmbedded (IT)IT passthrough-PECO (00417)</v>
          </cell>
          <cell r="AF270" t="e">
            <v>#N/A</v>
          </cell>
        </row>
        <row r="271">
          <cell r="E271">
            <v>312580</v>
          </cell>
          <cell r="H271">
            <v>-312580</v>
          </cell>
          <cell r="I271">
            <v>-312580</v>
          </cell>
          <cell r="J271">
            <v>1264811</v>
          </cell>
          <cell r="M271">
            <v>-1264811</v>
          </cell>
          <cell r="N271">
            <v>-312580</v>
          </cell>
          <cell r="O271">
            <v>6012525</v>
          </cell>
          <cell r="R271">
            <v>-6012525</v>
          </cell>
          <cell r="S271">
            <v>-5060295</v>
          </cell>
          <cell r="V271" t="str">
            <v>Embedded</v>
          </cell>
          <cell r="W271" t="str">
            <v>IT</v>
          </cell>
          <cell r="AA271" t="str">
            <v>[10200]  PECO Energy CompanyEmbeddedIT</v>
          </cell>
          <cell r="AB271" t="str">
            <v>[10200]  PECO Energy CompanyEmbedded (IT)Other Operating Expenses</v>
          </cell>
          <cell r="AC271" t="str">
            <v>[10200]  PECO Energy CompanyEmbedded (IT)IT passthrough-PECO (00417)</v>
          </cell>
          <cell r="AF271" t="e">
            <v>#N/A</v>
          </cell>
        </row>
        <row r="272">
          <cell r="E272">
            <v>176908</v>
          </cell>
          <cell r="H272">
            <v>-176908</v>
          </cell>
          <cell r="I272">
            <v>-176908</v>
          </cell>
          <cell r="J272">
            <v>707968</v>
          </cell>
          <cell r="M272">
            <v>-707968</v>
          </cell>
          <cell r="N272">
            <v>-176908</v>
          </cell>
          <cell r="O272">
            <v>707968</v>
          </cell>
          <cell r="R272">
            <v>-707968</v>
          </cell>
          <cell r="S272">
            <v>-280463</v>
          </cell>
          <cell r="V272" t="str">
            <v>Embedded</v>
          </cell>
          <cell r="W272" t="str">
            <v>IT</v>
          </cell>
          <cell r="AA272" t="str">
            <v>[10200]  PECO Energy CompanyEmbeddedIT</v>
          </cell>
          <cell r="AB272" t="str">
            <v>[10200]  PECO Energy CompanyEmbedded (IT)Other Operating Expenses</v>
          </cell>
          <cell r="AC272" t="str">
            <v>[10200]  PECO Energy CompanyEmbedded (IT)IT passthrough-PECO (00417)</v>
          </cell>
          <cell r="AF272" t="e">
            <v>#N/A</v>
          </cell>
        </row>
        <row r="273">
          <cell r="E273">
            <v>176154</v>
          </cell>
          <cell r="H273">
            <v>22619</v>
          </cell>
          <cell r="I273">
            <v>15453</v>
          </cell>
          <cell r="J273">
            <v>620702</v>
          </cell>
          <cell r="M273">
            <v>190487</v>
          </cell>
          <cell r="N273">
            <v>15453</v>
          </cell>
          <cell r="O273">
            <v>2476073</v>
          </cell>
          <cell r="R273">
            <v>116129</v>
          </cell>
          <cell r="S273">
            <v>89531</v>
          </cell>
          <cell r="V273" t="str">
            <v>Corporate Allocated</v>
          </cell>
          <cell r="W273" t="str">
            <v>Gov Env &amp; Pub Affairs</v>
          </cell>
          <cell r="AA273" t="str">
            <v>[10200]  PECO Energy CompanyCorporate AllocatedGov Env &amp; Pub Affairs</v>
          </cell>
          <cell r="AB273" t="str">
            <v>[10200]  PECO Energy CompanyCorporate Allocated (Gov Env &amp; Pub Affairs)Business Services</v>
          </cell>
          <cell r="AC273" t="str">
            <v>[10200]  PECO Energy CompanyCorporate Allocated (Gov Env &amp; Pub Affairs)EBSC Gov Env &amp; Pub Affairs PED (00776)</v>
          </cell>
          <cell r="AF273" t="e">
            <v>#N/A</v>
          </cell>
        </row>
        <row r="274">
          <cell r="E274">
            <v>30684</v>
          </cell>
          <cell r="H274">
            <v>-1791</v>
          </cell>
          <cell r="I274">
            <v>-1791</v>
          </cell>
          <cell r="J274">
            <v>104731</v>
          </cell>
          <cell r="M274">
            <v>3107</v>
          </cell>
          <cell r="N274">
            <v>-1791</v>
          </cell>
          <cell r="O274">
            <v>385193</v>
          </cell>
          <cell r="R274">
            <v>3107</v>
          </cell>
          <cell r="S274">
            <v>-1791</v>
          </cell>
          <cell r="V274" t="str">
            <v>Embedded</v>
          </cell>
          <cell r="W274" t="str">
            <v>Finance</v>
          </cell>
          <cell r="AA274" t="str">
            <v>[10200]  PECO Energy CompanyEmbeddedFinance</v>
          </cell>
          <cell r="AB274" t="str">
            <v>[10200]  PECO Energy CompanyEmbedded (Finance)Salaries and Wages</v>
          </cell>
          <cell r="AC274" t="str">
            <v>[10200]  PECO Energy CompanyEmbedded (Finance)Tax-PECO (00817)</v>
          </cell>
          <cell r="AF274" t="str">
            <v>EEDTaxSalaries and Wages</v>
          </cell>
        </row>
        <row r="275">
          <cell r="E275">
            <v>2014</v>
          </cell>
          <cell r="H275">
            <v>-14</v>
          </cell>
          <cell r="I275">
            <v>-14</v>
          </cell>
          <cell r="J275">
            <v>3001</v>
          </cell>
          <cell r="M275">
            <v>4999</v>
          </cell>
          <cell r="N275">
            <v>-14</v>
          </cell>
          <cell r="O275">
            <v>19001</v>
          </cell>
          <cell r="R275">
            <v>4999</v>
          </cell>
          <cell r="S275">
            <v>-14</v>
          </cell>
          <cell r="V275" t="str">
            <v>Embedded</v>
          </cell>
          <cell r="W275" t="str">
            <v>Finance</v>
          </cell>
          <cell r="AA275" t="str">
            <v>[10200]  PECO Energy CompanyEmbeddedFinance</v>
          </cell>
          <cell r="AB275" t="str">
            <v>[10200]  PECO Energy CompanyEmbedded (Finance)Travel, Entertainment &amp; Reimb</v>
          </cell>
          <cell r="AC275" t="str">
            <v>[10200]  PECO Energy CompanyEmbedded (Finance)Tax-PECO (00817)</v>
          </cell>
          <cell r="AF275" t="str">
            <v>EEDTaxTravel, Entertainment &amp; Reimb</v>
          </cell>
        </row>
        <row r="276">
          <cell r="E276">
            <v>8733872</v>
          </cell>
          <cell r="H276">
            <v>-8719722</v>
          </cell>
          <cell r="I276">
            <v>-8719722</v>
          </cell>
          <cell r="J276">
            <v>8736925</v>
          </cell>
          <cell r="M276">
            <v>-8680325</v>
          </cell>
          <cell r="N276">
            <v>-8719722</v>
          </cell>
          <cell r="O276">
            <v>8850125</v>
          </cell>
          <cell r="R276">
            <v>-8680325</v>
          </cell>
          <cell r="S276">
            <v>-8719722</v>
          </cell>
          <cell r="V276" t="str">
            <v>Embedded</v>
          </cell>
          <cell r="W276" t="str">
            <v>Finance</v>
          </cell>
          <cell r="AA276" t="str">
            <v>[10200]  PECO Energy CompanyEmbeddedFinance</v>
          </cell>
          <cell r="AB276" t="str">
            <v>[10200]  PECO Energy CompanyEmbedded (Finance)Contracting</v>
          </cell>
          <cell r="AC276" t="str">
            <v>[10200]  PECO Energy CompanyEmbedded (Finance)Tax-PECO (00817)</v>
          </cell>
          <cell r="AF276" t="str">
            <v>EEDTaxContracting</v>
          </cell>
        </row>
        <row r="277">
          <cell r="E277">
            <v>1937</v>
          </cell>
          <cell r="H277">
            <v>-1537</v>
          </cell>
          <cell r="I277">
            <v>-1537</v>
          </cell>
          <cell r="J277">
            <v>7979</v>
          </cell>
          <cell r="M277">
            <v>-6379</v>
          </cell>
          <cell r="N277">
            <v>-1537</v>
          </cell>
          <cell r="O277">
            <v>11179</v>
          </cell>
          <cell r="R277">
            <v>-6379</v>
          </cell>
          <cell r="S277">
            <v>-1537</v>
          </cell>
          <cell r="V277" t="str">
            <v>Embedded</v>
          </cell>
          <cell r="W277" t="str">
            <v>Finance</v>
          </cell>
          <cell r="AA277" t="str">
            <v>[10200]  PECO Energy CompanyEmbeddedFinance</v>
          </cell>
          <cell r="AB277" t="str">
            <v>[10200]  PECO Energy CompanyEmbedded (Finance)Business Services</v>
          </cell>
          <cell r="AC277" t="str">
            <v>[10200]  PECO Energy CompanyEmbedded (Finance)Tax-PECO (00817)</v>
          </cell>
          <cell r="AF277" t="str">
            <v>EEDTaxBusiness Services</v>
          </cell>
        </row>
        <row r="278">
          <cell r="E278">
            <v>1</v>
          </cell>
          <cell r="H278">
            <v>749</v>
          </cell>
          <cell r="I278">
            <v>749</v>
          </cell>
          <cell r="J278">
            <v>141</v>
          </cell>
          <cell r="M278">
            <v>2859</v>
          </cell>
          <cell r="N278">
            <v>749</v>
          </cell>
          <cell r="O278">
            <v>6141</v>
          </cell>
          <cell r="R278">
            <v>2859</v>
          </cell>
          <cell r="S278">
            <v>749</v>
          </cell>
          <cell r="V278" t="str">
            <v>Embedded</v>
          </cell>
          <cell r="W278" t="str">
            <v>Finance</v>
          </cell>
          <cell r="AA278" t="str">
            <v>[10200]  PECO Energy CompanyEmbeddedFinance</v>
          </cell>
          <cell r="AB278" t="str">
            <v>[10200]  PECO Energy CompanyEmbedded (Finance)Materials and Supplies</v>
          </cell>
          <cell r="AC278" t="str">
            <v>[10200]  PECO Energy CompanyEmbedded (Finance)Tax-PECO (00817)</v>
          </cell>
          <cell r="AF278" t="str">
            <v>EEDTaxMaterials and Supplies</v>
          </cell>
        </row>
        <row r="279">
          <cell r="E279">
            <v>68</v>
          </cell>
          <cell r="H279">
            <v>-68</v>
          </cell>
          <cell r="I279">
            <v>-68</v>
          </cell>
          <cell r="J279">
            <v>402</v>
          </cell>
          <cell r="M279">
            <v>-402</v>
          </cell>
          <cell r="N279">
            <v>-68</v>
          </cell>
          <cell r="O279">
            <v>402</v>
          </cell>
          <cell r="R279">
            <v>-402</v>
          </cell>
          <cell r="S279">
            <v>-68</v>
          </cell>
          <cell r="V279" t="str">
            <v>Embedded</v>
          </cell>
          <cell r="W279" t="str">
            <v>Finance</v>
          </cell>
          <cell r="AA279" t="str">
            <v>[10200]  PECO Energy CompanyEmbeddedFinance</v>
          </cell>
          <cell r="AB279" t="str">
            <v>[10200]  PECO Energy CompanyEmbedded (Finance)Travel, Entertainment &amp; Reimb</v>
          </cell>
          <cell r="AC279" t="str">
            <v>[10200]  PECO Energy CompanyEmbedded (Finance)Tax-PECO (00817)</v>
          </cell>
          <cell r="AF279" t="str">
            <v>EEDTaxTravel, Entertainment &amp; Reimb</v>
          </cell>
        </row>
        <row r="280">
          <cell r="E280">
            <v>240</v>
          </cell>
          <cell r="H280">
            <v>10</v>
          </cell>
          <cell r="I280">
            <v>10</v>
          </cell>
          <cell r="J280">
            <v>341</v>
          </cell>
          <cell r="M280">
            <v>12500659</v>
          </cell>
          <cell r="N280">
            <v>10</v>
          </cell>
          <cell r="O280">
            <v>2341</v>
          </cell>
          <cell r="R280">
            <v>12500659</v>
          </cell>
          <cell r="S280">
            <v>10</v>
          </cell>
          <cell r="V280" t="str">
            <v>Embedded</v>
          </cell>
          <cell r="W280" t="str">
            <v>Finance</v>
          </cell>
          <cell r="AA280" t="str">
            <v>[10200]  PECO Energy CompanyEmbeddedFinance</v>
          </cell>
          <cell r="AB280" t="str">
            <v>[10200]  PECO Energy CompanyEmbedded (Finance)Other Operating Expenses</v>
          </cell>
          <cell r="AC280" t="str">
            <v>[10200]  PECO Energy CompanyEmbedded (Finance)Tax-PECO (00817)</v>
          </cell>
          <cell r="AF280" t="str">
            <v>EEDTaxOther Operating Expenses</v>
          </cell>
        </row>
        <row r="281">
          <cell r="E281">
            <v>2445</v>
          </cell>
          <cell r="H281">
            <v>-2445</v>
          </cell>
          <cell r="I281">
            <v>-2445</v>
          </cell>
          <cell r="J281">
            <v>2437</v>
          </cell>
          <cell r="M281">
            <v>-2437</v>
          </cell>
          <cell r="N281">
            <v>-2445</v>
          </cell>
          <cell r="O281">
            <v>2437</v>
          </cell>
          <cell r="R281">
            <v>-2437</v>
          </cell>
          <cell r="S281">
            <v>-2445</v>
          </cell>
          <cell r="V281" t="str">
            <v>Embedded</v>
          </cell>
          <cell r="W281" t="str">
            <v>Finance</v>
          </cell>
          <cell r="AA281" t="str">
            <v>[10200]  PECO Energy CompanyEmbeddedFinance</v>
          </cell>
          <cell r="AB281" t="str">
            <v>[10200]  PECO Energy CompanyEmbedded (Finance)Travel, Entertainment &amp; Reimb</v>
          </cell>
          <cell r="AC281" t="str">
            <v>[10200]  PECO Energy CompanyEmbedded (Finance)Tax-PECO (00817)</v>
          </cell>
          <cell r="AF281" t="str">
            <v>EEDTaxTravel, Entertainment &amp; Reimb</v>
          </cell>
        </row>
        <row r="282">
          <cell r="E282">
            <v>178</v>
          </cell>
          <cell r="H282">
            <v>-178</v>
          </cell>
          <cell r="I282">
            <v>-178</v>
          </cell>
          <cell r="J282">
            <v>517</v>
          </cell>
          <cell r="M282">
            <v>-517</v>
          </cell>
          <cell r="N282">
            <v>-178</v>
          </cell>
          <cell r="O282">
            <v>517</v>
          </cell>
          <cell r="R282">
            <v>-517</v>
          </cell>
          <cell r="S282">
            <v>-178</v>
          </cell>
          <cell r="V282" t="str">
            <v>Embedded</v>
          </cell>
          <cell r="W282" t="str">
            <v>Finance</v>
          </cell>
          <cell r="AA282" t="str">
            <v>[10200]  PECO Energy CompanyEmbeddedFinance</v>
          </cell>
          <cell r="AB282" t="str">
            <v>[10200]  PECO Energy CompanyEmbedded (Finance)Other Operating Expenses</v>
          </cell>
          <cell r="AC282" t="str">
            <v>[10200]  PECO Energy CompanyEmbedded (Finance)Tax-PECO (00817)</v>
          </cell>
          <cell r="AF282" t="str">
            <v>EEDTaxOther Operating Expenses</v>
          </cell>
        </row>
        <row r="283">
          <cell r="E283">
            <v>1806</v>
          </cell>
          <cell r="H283">
            <v>594</v>
          </cell>
          <cell r="I283">
            <v>594</v>
          </cell>
          <cell r="J283">
            <v>2087</v>
          </cell>
          <cell r="M283">
            <v>7513</v>
          </cell>
          <cell r="N283">
            <v>594</v>
          </cell>
          <cell r="O283">
            <v>21287</v>
          </cell>
          <cell r="R283">
            <v>7513</v>
          </cell>
          <cell r="S283">
            <v>594</v>
          </cell>
          <cell r="V283" t="str">
            <v>Embedded</v>
          </cell>
          <cell r="W283" t="str">
            <v>Finance</v>
          </cell>
          <cell r="AA283" t="str">
            <v>[10200]  PECO Energy CompanyEmbeddedFinance</v>
          </cell>
          <cell r="AB283" t="str">
            <v>[10200]  PECO Energy CompanyEmbedded (Finance)Other Operating Expenses</v>
          </cell>
          <cell r="AC283" t="str">
            <v>[10200]  PECO Energy CompanyEmbedded (Finance)Tax-PECO (00817)</v>
          </cell>
          <cell r="AF283" t="str">
            <v>EEDTaxOther Operating Expenses</v>
          </cell>
        </row>
        <row r="284">
          <cell r="E284">
            <v>19217</v>
          </cell>
          <cell r="H284">
            <v>-2043</v>
          </cell>
          <cell r="I284">
            <v>-2043</v>
          </cell>
          <cell r="J284">
            <v>65401</v>
          </cell>
          <cell r="M284">
            <v>2945</v>
          </cell>
          <cell r="N284">
            <v>-2043</v>
          </cell>
          <cell r="O284">
            <v>193171</v>
          </cell>
          <cell r="R284">
            <v>2945</v>
          </cell>
          <cell r="S284">
            <v>-2043</v>
          </cell>
          <cell r="V284" t="str">
            <v>Embedded</v>
          </cell>
          <cell r="W284" t="str">
            <v>Finance</v>
          </cell>
          <cell r="AA284" t="str">
            <v>[10200]  PECO Energy CompanyEmbeddedFinance</v>
          </cell>
          <cell r="AB284" t="str">
            <v>[10200]  PECO Energy CompanyEmbedded (Finance)Pension and Benefits</v>
          </cell>
          <cell r="AC284" t="str">
            <v>[10200]  PECO Energy CompanyEmbedded (Finance)Tax-PECO (00817)</v>
          </cell>
          <cell r="AF284" t="str">
            <v>EEDTaxPension and Benefits</v>
          </cell>
        </row>
        <row r="285">
          <cell r="E285">
            <v>108882</v>
          </cell>
          <cell r="H285">
            <v>1620</v>
          </cell>
          <cell r="I285">
            <v>1620</v>
          </cell>
          <cell r="J285">
            <v>384360</v>
          </cell>
          <cell r="M285">
            <v>55373</v>
          </cell>
          <cell r="N285">
            <v>1620</v>
          </cell>
          <cell r="O285">
            <v>1304169</v>
          </cell>
          <cell r="R285">
            <v>49501</v>
          </cell>
          <cell r="S285">
            <v>51496</v>
          </cell>
          <cell r="V285" t="str">
            <v>Embedded</v>
          </cell>
          <cell r="W285" t="str">
            <v>Finance</v>
          </cell>
          <cell r="AA285" t="str">
            <v>[10200]  PECO Energy CompanyEmbeddedFinance</v>
          </cell>
          <cell r="AB285" t="str">
            <v>[10200]  PECO Energy CompanyEmbedded (Finance)Salaries and Wages</v>
          </cell>
          <cell r="AC285" t="str">
            <v>[10200]  PECO Energy CompanyEmbedded (Finance)Controller EED PECO (00825)</v>
          </cell>
          <cell r="AF285" t="str">
            <v>EEDControllerSalaries and Wages</v>
          </cell>
        </row>
        <row r="286">
          <cell r="E286">
            <v>2914</v>
          </cell>
          <cell r="H286">
            <v>-1414</v>
          </cell>
          <cell r="I286">
            <v>-1574</v>
          </cell>
          <cell r="J286">
            <v>9171</v>
          </cell>
          <cell r="M286">
            <v>-3171</v>
          </cell>
          <cell r="N286">
            <v>-1574</v>
          </cell>
          <cell r="O286">
            <v>19891</v>
          </cell>
          <cell r="R286">
            <v>-1891</v>
          </cell>
          <cell r="S286">
            <v>-1574</v>
          </cell>
          <cell r="V286" t="str">
            <v>Embedded</v>
          </cell>
          <cell r="W286" t="str">
            <v>Finance</v>
          </cell>
          <cell r="AA286" t="str">
            <v>[10200]  PECO Energy CompanyEmbeddedFinance</v>
          </cell>
          <cell r="AB286" t="str">
            <v>[10200]  PECO Energy CompanyEmbedded (Finance)Travel, Entertainment &amp; Reimb</v>
          </cell>
          <cell r="AC286" t="str">
            <v>[10200]  PECO Energy CompanyEmbedded (Finance)Controller EED PECO (00825)</v>
          </cell>
          <cell r="AF286" t="str">
            <v>EEDControllerTravel, Entertainment &amp; Reimb</v>
          </cell>
        </row>
        <row r="287">
          <cell r="E287">
            <v>32828</v>
          </cell>
          <cell r="H287">
            <v>-14855</v>
          </cell>
          <cell r="I287">
            <v>-19826</v>
          </cell>
          <cell r="J287">
            <v>143788</v>
          </cell>
          <cell r="M287">
            <v>-71281</v>
          </cell>
          <cell r="N287">
            <v>-19826</v>
          </cell>
          <cell r="O287">
            <v>182487</v>
          </cell>
          <cell r="R287">
            <v>-42502</v>
          </cell>
          <cell r="S287">
            <v>-19826</v>
          </cell>
          <cell r="V287" t="str">
            <v>Embedded</v>
          </cell>
          <cell r="W287" t="str">
            <v>Finance</v>
          </cell>
          <cell r="AA287" t="str">
            <v>[10200]  PECO Energy CompanyEmbeddedFinance</v>
          </cell>
          <cell r="AB287" t="str">
            <v>[10200]  PECO Energy CompanyEmbedded (Finance)Contracting</v>
          </cell>
          <cell r="AC287" t="str">
            <v>[10200]  PECO Energy CompanyEmbedded (Finance)Controller EED PECO (00825)</v>
          </cell>
          <cell r="AF287" t="str">
            <v>EEDControllerContracting</v>
          </cell>
        </row>
        <row r="288">
          <cell r="E288">
            <v>0</v>
          </cell>
          <cell r="H288">
            <v>0</v>
          </cell>
          <cell r="I288">
            <v>0</v>
          </cell>
          <cell r="J288">
            <v>0</v>
          </cell>
          <cell r="M288">
            <v>0</v>
          </cell>
          <cell r="N288">
            <v>0</v>
          </cell>
          <cell r="R288">
            <v>0</v>
          </cell>
          <cell r="V288" t="str">
            <v>Embedded</v>
          </cell>
          <cell r="W288" t="str">
            <v>Finance</v>
          </cell>
          <cell r="AA288" t="str">
            <v>[10200]  PECO Energy CompanyEmbeddedFinance</v>
          </cell>
          <cell r="AB288" t="str">
            <v>[10200]  PECO Energy CompanyEmbedded (Finance)EDSS</v>
          </cell>
          <cell r="AC288" t="str">
            <v>[10200]  PECO Energy CompanyEmbedded (Finance)Controller EED PECO (00825)</v>
          </cell>
          <cell r="AF288" t="str">
            <v>EEDControllerEDSS</v>
          </cell>
        </row>
        <row r="289">
          <cell r="E289">
            <v>6795</v>
          </cell>
          <cell r="H289">
            <v>-495</v>
          </cell>
          <cell r="I289">
            <v>-495</v>
          </cell>
          <cell r="J289">
            <v>26986</v>
          </cell>
          <cell r="M289">
            <v>-1786</v>
          </cell>
          <cell r="N289">
            <v>-495</v>
          </cell>
          <cell r="O289">
            <v>77386</v>
          </cell>
          <cell r="R289">
            <v>-1786</v>
          </cell>
          <cell r="S289">
            <v>-495</v>
          </cell>
          <cell r="V289" t="str">
            <v>Embedded</v>
          </cell>
          <cell r="W289" t="str">
            <v>Finance</v>
          </cell>
          <cell r="AA289" t="str">
            <v>[10200]  PECO Energy CompanyEmbeddedFinance</v>
          </cell>
          <cell r="AB289" t="str">
            <v>[10200]  PECO Energy CompanyEmbedded (Finance)Business Services</v>
          </cell>
          <cell r="AC289" t="str">
            <v>[10200]  PECO Energy CompanyEmbedded (Finance)Controller EED PECO (00825)</v>
          </cell>
          <cell r="AF289" t="str">
            <v>EEDControllerBusiness Services</v>
          </cell>
        </row>
        <row r="290">
          <cell r="E290">
            <v>28</v>
          </cell>
          <cell r="H290">
            <v>-28</v>
          </cell>
          <cell r="I290">
            <v>-28</v>
          </cell>
          <cell r="J290">
            <v>206</v>
          </cell>
          <cell r="M290">
            <v>-206</v>
          </cell>
          <cell r="N290">
            <v>-28</v>
          </cell>
          <cell r="O290">
            <v>206</v>
          </cell>
          <cell r="R290">
            <v>-206</v>
          </cell>
          <cell r="S290">
            <v>-28</v>
          </cell>
          <cell r="V290" t="str">
            <v>Embedded</v>
          </cell>
          <cell r="W290" t="str">
            <v>Finance</v>
          </cell>
          <cell r="AA290" t="str">
            <v>[10200]  PECO Energy CompanyEmbeddedFinance</v>
          </cell>
          <cell r="AB290" t="str">
            <v>[10200]  PECO Energy CompanyEmbedded (Finance)Materials and Supplies</v>
          </cell>
          <cell r="AC290" t="str">
            <v>[10200]  PECO Energy CompanyEmbedded (Finance)Controller EED PECO (00825)</v>
          </cell>
          <cell r="AF290" t="str">
            <v>EEDControllerMaterials and Supplies</v>
          </cell>
        </row>
        <row r="291">
          <cell r="E291">
            <v>4197</v>
          </cell>
          <cell r="H291">
            <v>-3497</v>
          </cell>
          <cell r="I291">
            <v>-3660</v>
          </cell>
          <cell r="J291">
            <v>10484</v>
          </cell>
          <cell r="M291">
            <v>-7684</v>
          </cell>
          <cell r="N291">
            <v>-3660</v>
          </cell>
          <cell r="O291">
            <v>14780</v>
          </cell>
          <cell r="R291">
            <v>-6380</v>
          </cell>
          <cell r="S291">
            <v>-3660</v>
          </cell>
          <cell r="V291" t="str">
            <v>Embedded</v>
          </cell>
          <cell r="W291" t="str">
            <v>Finance</v>
          </cell>
          <cell r="AA291" t="str">
            <v>[10200]  PECO Energy CompanyEmbeddedFinance</v>
          </cell>
          <cell r="AB291" t="str">
            <v>[10200]  PECO Energy CompanyEmbedded (Finance)Travel, Entertainment &amp; Reimb</v>
          </cell>
          <cell r="AC291" t="str">
            <v>[10200]  PECO Energy CompanyEmbedded (Finance)Controller EED PECO (00825)</v>
          </cell>
          <cell r="AF291" t="str">
            <v>EEDControllerTravel, Entertainment &amp; Reimb</v>
          </cell>
        </row>
        <row r="292">
          <cell r="E292">
            <v>2404</v>
          </cell>
          <cell r="H292">
            <v>-1304</v>
          </cell>
          <cell r="I292">
            <v>-1172</v>
          </cell>
          <cell r="J292">
            <v>8661</v>
          </cell>
          <cell r="M292">
            <v>-4261</v>
          </cell>
          <cell r="N292">
            <v>-1172</v>
          </cell>
          <cell r="O292">
            <v>18518</v>
          </cell>
          <cell r="R292">
            <v>-5318</v>
          </cell>
          <cell r="S292">
            <v>-1172</v>
          </cell>
          <cell r="V292" t="str">
            <v>Embedded</v>
          </cell>
          <cell r="W292" t="str">
            <v>Finance</v>
          </cell>
          <cell r="AA292" t="str">
            <v>[10200]  PECO Energy CompanyEmbeddedFinance</v>
          </cell>
          <cell r="AB292" t="str">
            <v>[10200]  PECO Energy CompanyEmbedded (Finance)Other Operating Expenses</v>
          </cell>
          <cell r="AC292" t="str">
            <v>[10200]  PECO Energy CompanyEmbedded (Finance)Controller EED PECO (00825)</v>
          </cell>
          <cell r="AF292" t="str">
            <v>EEDControllerOther Operating Expenses</v>
          </cell>
        </row>
        <row r="293">
          <cell r="E293">
            <v>960</v>
          </cell>
          <cell r="H293">
            <v>-160</v>
          </cell>
          <cell r="I293">
            <v>-192</v>
          </cell>
          <cell r="J293">
            <v>3840</v>
          </cell>
          <cell r="M293">
            <v>-640</v>
          </cell>
          <cell r="N293">
            <v>-192</v>
          </cell>
          <cell r="O293">
            <v>9984</v>
          </cell>
          <cell r="R293">
            <v>-384</v>
          </cell>
          <cell r="S293">
            <v>-192</v>
          </cell>
          <cell r="V293" t="str">
            <v>Embedded</v>
          </cell>
          <cell r="W293" t="str">
            <v>Finance</v>
          </cell>
          <cell r="AA293" t="str">
            <v>[10200]  PECO Energy CompanyEmbeddedFinance</v>
          </cell>
          <cell r="AB293" t="str">
            <v>[10200]  PECO Energy CompanyEmbedded (Finance)Travel, Entertainment &amp; Reimb</v>
          </cell>
          <cell r="AC293" t="str">
            <v>[10200]  PECO Energy CompanyEmbedded (Finance)Controller EED PECO (00825)</v>
          </cell>
          <cell r="AF293" t="str">
            <v>EEDControllerTravel, Entertainment &amp; Reimb</v>
          </cell>
        </row>
        <row r="294">
          <cell r="E294">
            <v>474</v>
          </cell>
          <cell r="H294">
            <v>526</v>
          </cell>
          <cell r="I294">
            <v>663</v>
          </cell>
          <cell r="J294">
            <v>1779</v>
          </cell>
          <cell r="M294">
            <v>2221</v>
          </cell>
          <cell r="N294">
            <v>663</v>
          </cell>
          <cell r="O294">
            <v>10875</v>
          </cell>
          <cell r="R294">
            <v>1125</v>
          </cell>
          <cell r="S294">
            <v>663</v>
          </cell>
          <cell r="V294" t="str">
            <v>Embedded</v>
          </cell>
          <cell r="W294" t="str">
            <v>Finance</v>
          </cell>
          <cell r="AA294" t="str">
            <v>[10200]  PECO Energy CompanyEmbeddedFinance</v>
          </cell>
          <cell r="AB294" t="str">
            <v>[10200]  PECO Energy CompanyEmbedded (Finance)Other Operating Expenses</v>
          </cell>
          <cell r="AC294" t="str">
            <v>[10200]  PECO Energy CompanyEmbedded (Finance)Controller EED PECO (00825)</v>
          </cell>
          <cell r="AF294" t="str">
            <v>EEDControllerOther Operating Expenses</v>
          </cell>
        </row>
        <row r="295">
          <cell r="E295">
            <v>-1289</v>
          </cell>
          <cell r="H295">
            <v>4689</v>
          </cell>
          <cell r="I295">
            <v>4655</v>
          </cell>
          <cell r="J295">
            <v>6176</v>
          </cell>
          <cell r="M295">
            <v>7424</v>
          </cell>
          <cell r="N295">
            <v>4655</v>
          </cell>
          <cell r="O295">
            <v>33104</v>
          </cell>
          <cell r="R295">
            <v>7696</v>
          </cell>
          <cell r="S295">
            <v>4655</v>
          </cell>
          <cell r="V295" t="str">
            <v>Embedded</v>
          </cell>
          <cell r="W295" t="str">
            <v>Finance</v>
          </cell>
          <cell r="AA295" t="str">
            <v>[10200]  PECO Energy CompanyEmbeddedFinance</v>
          </cell>
          <cell r="AB295" t="str">
            <v>[10200]  PECO Energy CompanyEmbedded (Finance)Other Operating Expenses</v>
          </cell>
          <cell r="AC295" t="str">
            <v>[10200]  PECO Energy CompanyEmbedded (Finance)Controller EED PECO (00825)</v>
          </cell>
          <cell r="AF295" t="str">
            <v>EEDControllerOther Operating Expenses</v>
          </cell>
        </row>
        <row r="296">
          <cell r="E296">
            <v>0</v>
          </cell>
          <cell r="H296">
            <v>0</v>
          </cell>
          <cell r="I296">
            <v>0</v>
          </cell>
          <cell r="J296">
            <v>1539</v>
          </cell>
          <cell r="M296">
            <v>-1539</v>
          </cell>
          <cell r="N296">
            <v>0</v>
          </cell>
          <cell r="O296">
            <v>1539</v>
          </cell>
          <cell r="R296">
            <v>-1539</v>
          </cell>
          <cell r="S296">
            <v>0</v>
          </cell>
          <cell r="V296" t="str">
            <v>Embedded</v>
          </cell>
          <cell r="W296" t="str">
            <v>Finance</v>
          </cell>
          <cell r="AA296" t="str">
            <v>[10200]  PECO Energy CompanyEmbeddedFinance</v>
          </cell>
          <cell r="AB296" t="str">
            <v>[10200]  PECO Energy CompanyEmbedded (Finance)Salaries and Wages</v>
          </cell>
          <cell r="AC296" t="str">
            <v>[10200]  PECO Energy CompanyEmbedded (Finance)Controller EED PECO (00825)</v>
          </cell>
          <cell r="AF296" t="str">
            <v>EEDControllerSalaries and Wages</v>
          </cell>
        </row>
        <row r="297">
          <cell r="E297">
            <v>143</v>
          </cell>
          <cell r="H297">
            <v>-143</v>
          </cell>
          <cell r="I297">
            <v>-143</v>
          </cell>
          <cell r="J297">
            <v>667</v>
          </cell>
          <cell r="M297">
            <v>-667</v>
          </cell>
          <cell r="N297">
            <v>-143</v>
          </cell>
          <cell r="O297">
            <v>667</v>
          </cell>
          <cell r="R297">
            <v>-667</v>
          </cell>
          <cell r="S297">
            <v>-143</v>
          </cell>
          <cell r="V297" t="str">
            <v>Embedded</v>
          </cell>
          <cell r="W297" t="str">
            <v>Finance</v>
          </cell>
          <cell r="AA297" t="str">
            <v>[10200]  PECO Energy CompanyEmbeddedFinance</v>
          </cell>
          <cell r="AB297" t="str">
            <v>[10200]  PECO Energy CompanyEmbedded (Finance)Overtime</v>
          </cell>
          <cell r="AC297" t="str">
            <v>[10200]  PECO Energy CompanyEmbedded (Finance)Controller EED PECO (00825)</v>
          </cell>
          <cell r="AF297" t="str">
            <v>EEDControllerOvertime</v>
          </cell>
        </row>
        <row r="298">
          <cell r="E298">
            <v>68122</v>
          </cell>
          <cell r="H298">
            <v>1086</v>
          </cell>
          <cell r="I298">
            <v>1086</v>
          </cell>
          <cell r="J298">
            <v>240656</v>
          </cell>
          <cell r="M298">
            <v>34752</v>
          </cell>
          <cell r="N298">
            <v>1086</v>
          </cell>
          <cell r="O298">
            <v>818213</v>
          </cell>
          <cell r="R298">
            <v>29598</v>
          </cell>
          <cell r="S298">
            <v>30843</v>
          </cell>
          <cell r="V298" t="str">
            <v>Embedded</v>
          </cell>
          <cell r="W298" t="str">
            <v>Finance</v>
          </cell>
          <cell r="AA298" t="str">
            <v>[10200]  PECO Energy CompanyEmbeddedFinance</v>
          </cell>
          <cell r="AB298" t="str">
            <v>[10200]  PECO Energy CompanyEmbedded (Finance)Pension and Benefits</v>
          </cell>
          <cell r="AC298" t="str">
            <v>[10200]  PECO Energy CompanyEmbedded (Finance)Controller EED PECO (00825)</v>
          </cell>
          <cell r="AF298" t="str">
            <v>EEDControllerPension and Benefits</v>
          </cell>
        </row>
        <row r="299">
          <cell r="E299">
            <v>66302</v>
          </cell>
          <cell r="H299">
            <v>58698</v>
          </cell>
          <cell r="I299">
            <v>58698</v>
          </cell>
          <cell r="J299">
            <v>349887</v>
          </cell>
          <cell r="M299">
            <v>150113</v>
          </cell>
          <cell r="N299">
            <v>58698</v>
          </cell>
          <cell r="O299">
            <v>1349887</v>
          </cell>
          <cell r="R299">
            <v>150113</v>
          </cell>
          <cell r="S299">
            <v>58698</v>
          </cell>
          <cell r="V299" t="str">
            <v>Embedded</v>
          </cell>
          <cell r="W299" t="str">
            <v>Finance</v>
          </cell>
          <cell r="AA299" t="str">
            <v>[10200]  PECO Energy CompanyEmbeddedFinance</v>
          </cell>
          <cell r="AB299" t="str">
            <v>[10200]  PECO Energy CompanyEmbedded (Finance)Other Operating Expenses</v>
          </cell>
          <cell r="AC299" t="str">
            <v>[10200]  PECO Energy CompanyEmbedded (Finance)Bank Fees PECO (00880)</v>
          </cell>
          <cell r="AF299" t="str">
            <v>EEDBank FeesOther Operating Expenses</v>
          </cell>
        </row>
        <row r="300">
          <cell r="E300">
            <v>67</v>
          </cell>
          <cell r="H300">
            <v>-67</v>
          </cell>
          <cell r="I300">
            <v>-67</v>
          </cell>
          <cell r="J300">
            <v>290</v>
          </cell>
          <cell r="M300">
            <v>-290</v>
          </cell>
          <cell r="N300">
            <v>-67</v>
          </cell>
          <cell r="O300">
            <v>290</v>
          </cell>
          <cell r="R300">
            <v>-290</v>
          </cell>
          <cell r="S300">
            <v>-67</v>
          </cell>
          <cell r="V300" t="str">
            <v>Embedded</v>
          </cell>
          <cell r="W300" t="str">
            <v>Supply Services</v>
          </cell>
          <cell r="AA300" t="str">
            <v>[10200]  PECO Energy CompanyEmbeddedSupply Services</v>
          </cell>
          <cell r="AB300" t="str">
            <v>[10200]  PECO Energy CompanyEmbedded (Supply Services)Business Services</v>
          </cell>
          <cell r="AC300" t="str">
            <v>[10200]  PECO Energy CompanyEmbedded (Supply Services)Material Management (20880)</v>
          </cell>
          <cell r="AF300" t="e">
            <v>#N/A</v>
          </cell>
        </row>
        <row r="301">
          <cell r="E301">
            <v>0</v>
          </cell>
          <cell r="H301">
            <v>0</v>
          </cell>
          <cell r="I301">
            <v>0</v>
          </cell>
          <cell r="J301">
            <v>3</v>
          </cell>
          <cell r="M301">
            <v>-3</v>
          </cell>
          <cell r="N301">
            <v>0</v>
          </cell>
          <cell r="O301">
            <v>3</v>
          </cell>
          <cell r="R301">
            <v>-3</v>
          </cell>
          <cell r="S301">
            <v>0</v>
          </cell>
          <cell r="V301" t="str">
            <v>Embedded</v>
          </cell>
          <cell r="W301" t="str">
            <v>Supply Services</v>
          </cell>
          <cell r="AA301" t="str">
            <v>[10200]  PECO Energy CompanyEmbeddedSupply Services</v>
          </cell>
          <cell r="AB301" t="str">
            <v>[10200]  PECO Energy CompanyEmbedded (Supply Services)Travel, Entertainment &amp; Reimb</v>
          </cell>
          <cell r="AC301" t="str">
            <v>[10200]  PECO Energy CompanyEmbedded (Supply Services)Transportation Operations (20890)</v>
          </cell>
          <cell r="AF301" t="e">
            <v>#N/A</v>
          </cell>
        </row>
        <row r="302">
          <cell r="E302">
            <v>153</v>
          </cell>
          <cell r="H302">
            <v>-153</v>
          </cell>
          <cell r="I302">
            <v>-153</v>
          </cell>
          <cell r="J302">
            <v>293</v>
          </cell>
          <cell r="M302">
            <v>-293</v>
          </cell>
          <cell r="N302">
            <v>-153</v>
          </cell>
          <cell r="O302">
            <v>293</v>
          </cell>
          <cell r="R302">
            <v>-293</v>
          </cell>
          <cell r="S302">
            <v>-153</v>
          </cell>
          <cell r="V302" t="str">
            <v>Embedded</v>
          </cell>
          <cell r="W302" t="str">
            <v>Supply Services</v>
          </cell>
          <cell r="AA302" t="str">
            <v>[10200]  PECO Energy CompanyEmbeddedSupply Services</v>
          </cell>
          <cell r="AB302" t="str">
            <v>[10200]  PECO Energy CompanyEmbedded (Supply Services)Travel, Entertainment &amp; Reimb</v>
          </cell>
          <cell r="AC302" t="str">
            <v>[10200]  PECO Energy CompanyEmbedded (Supply Services)Transportation Operations (20890)</v>
          </cell>
          <cell r="AF302" t="e">
            <v>#N/A</v>
          </cell>
        </row>
        <row r="303">
          <cell r="E303">
            <v>0</v>
          </cell>
          <cell r="H303">
            <v>0</v>
          </cell>
          <cell r="I303">
            <v>0</v>
          </cell>
          <cell r="J303">
            <v>0</v>
          </cell>
          <cell r="M303">
            <v>0</v>
          </cell>
          <cell r="N303">
            <v>0</v>
          </cell>
          <cell r="O303">
            <v>0</v>
          </cell>
          <cell r="R303">
            <v>0</v>
          </cell>
          <cell r="S303">
            <v>0</v>
          </cell>
          <cell r="V303" t="str">
            <v>Embedded</v>
          </cell>
          <cell r="W303" t="str">
            <v>Supply Services</v>
          </cell>
          <cell r="AA303" t="str">
            <v>[10200]  PECO Energy CompanyEmbeddedSupply Services</v>
          </cell>
          <cell r="AB303" t="str">
            <v>[10200]  PECO Energy CompanyEmbedded (Supply Services)Other Operating Expenses</v>
          </cell>
          <cell r="AC303" t="str">
            <v>[10200]  PECO Energy CompanyEmbedded (Supply Services)Transportation Operations (20890)</v>
          </cell>
          <cell r="AF303" t="e">
            <v>#N/A</v>
          </cell>
        </row>
        <row r="304">
          <cell r="E304">
            <v>5143</v>
          </cell>
          <cell r="H304">
            <v>-5143</v>
          </cell>
          <cell r="I304">
            <v>-5143</v>
          </cell>
          <cell r="J304">
            <v>4110</v>
          </cell>
          <cell r="M304">
            <v>-4110</v>
          </cell>
          <cell r="N304">
            <v>-5143</v>
          </cell>
          <cell r="O304">
            <v>4110</v>
          </cell>
          <cell r="R304">
            <v>-4110</v>
          </cell>
          <cell r="S304">
            <v>-5143</v>
          </cell>
          <cell r="V304" t="str">
            <v>Embedded</v>
          </cell>
          <cell r="W304" t="str">
            <v>Supply Services</v>
          </cell>
          <cell r="AA304" t="str">
            <v>[10200]  PECO Energy CompanyEmbeddedSupply Services</v>
          </cell>
          <cell r="AB304" t="str">
            <v>[10200]  PECO Energy CompanyEmbedded (Supply Services)Overtime</v>
          </cell>
          <cell r="AC304" t="str">
            <v>[10200]  PECO Energy CompanyEmbedded (Supply Services)Transportation Operations (20890)</v>
          </cell>
          <cell r="AF304" t="e">
            <v>#N/A</v>
          </cell>
        </row>
        <row r="305">
          <cell r="E305">
            <v>5484</v>
          </cell>
          <cell r="H305">
            <v>-5484</v>
          </cell>
          <cell r="I305">
            <v>-5484</v>
          </cell>
          <cell r="J305">
            <v>4891</v>
          </cell>
          <cell r="M305">
            <v>-4891</v>
          </cell>
          <cell r="N305">
            <v>-5484</v>
          </cell>
          <cell r="O305">
            <v>4891</v>
          </cell>
          <cell r="R305">
            <v>-4891</v>
          </cell>
          <cell r="S305">
            <v>-5484</v>
          </cell>
          <cell r="V305" t="str">
            <v>Embedded</v>
          </cell>
          <cell r="W305" t="str">
            <v>Supply Services</v>
          </cell>
          <cell r="AA305" t="str">
            <v>[10200]  PECO Energy CompanyEmbeddedSupply Services</v>
          </cell>
          <cell r="AB305" t="str">
            <v>[10200]  PECO Energy CompanyEmbedded (Supply Services)Salaries and Wages</v>
          </cell>
          <cell r="AC305" t="str">
            <v>[10200]  PECO Energy CompanyEmbedded (Supply Services)Material &amp; Logistics (20892)</v>
          </cell>
          <cell r="AF305" t="e">
            <v>#N/A</v>
          </cell>
        </row>
        <row r="306">
          <cell r="E306">
            <v>12</v>
          </cell>
          <cell r="H306">
            <v>-12</v>
          </cell>
          <cell r="I306">
            <v>-12</v>
          </cell>
          <cell r="J306">
            <v>12</v>
          </cell>
          <cell r="M306">
            <v>-12</v>
          </cell>
          <cell r="N306">
            <v>-12</v>
          </cell>
          <cell r="O306">
            <v>12</v>
          </cell>
          <cell r="R306">
            <v>-12</v>
          </cell>
          <cell r="S306">
            <v>-12</v>
          </cell>
          <cell r="V306" t="str">
            <v>Embedded</v>
          </cell>
          <cell r="W306" t="str">
            <v>Supply Services</v>
          </cell>
          <cell r="AA306" t="str">
            <v>[10200]  PECO Energy CompanyEmbeddedSupply Services</v>
          </cell>
          <cell r="AB306" t="str">
            <v>[10200]  PECO Energy CompanyEmbedded (Supply Services)Travel, Entertainment &amp; Reimb</v>
          </cell>
          <cell r="AC306" t="str">
            <v>[10200]  PECO Energy CompanyEmbedded (Supply Services)Material &amp; Logistics (20892)</v>
          </cell>
          <cell r="AF306" t="e">
            <v>#N/A</v>
          </cell>
        </row>
        <row r="307">
          <cell r="E307">
            <v>0</v>
          </cell>
          <cell r="H307">
            <v>0</v>
          </cell>
          <cell r="I307">
            <v>0</v>
          </cell>
          <cell r="J307">
            <v>0</v>
          </cell>
          <cell r="M307">
            <v>0</v>
          </cell>
          <cell r="N307">
            <v>0</v>
          </cell>
          <cell r="R307">
            <v>0</v>
          </cell>
          <cell r="V307" t="str">
            <v>Embedded</v>
          </cell>
          <cell r="W307" t="str">
            <v>Supply Services</v>
          </cell>
          <cell r="AA307" t="str">
            <v>[10200]  PECO Energy CompanyEmbeddedSupply Services</v>
          </cell>
          <cell r="AB307" t="str">
            <v>[10200]  PECO Energy CompanyEmbedded (Supply Services)Materials and Supplies</v>
          </cell>
          <cell r="AC307" t="str">
            <v>[10200]  PECO Energy CompanyEmbedded (Supply Services)Material &amp; Logistics (20892)</v>
          </cell>
          <cell r="AF307" t="e">
            <v>#N/A</v>
          </cell>
        </row>
        <row r="308">
          <cell r="E308">
            <v>27</v>
          </cell>
          <cell r="H308">
            <v>-27</v>
          </cell>
          <cell r="I308">
            <v>-27</v>
          </cell>
          <cell r="J308">
            <v>27</v>
          </cell>
          <cell r="M308">
            <v>-27</v>
          </cell>
          <cell r="N308">
            <v>-27</v>
          </cell>
          <cell r="O308">
            <v>27</v>
          </cell>
          <cell r="R308">
            <v>-27</v>
          </cell>
          <cell r="S308">
            <v>-27</v>
          </cell>
          <cell r="V308" t="str">
            <v>Embedded</v>
          </cell>
          <cell r="W308" t="str">
            <v>Supply Services</v>
          </cell>
          <cell r="AA308" t="str">
            <v>[10200]  PECO Energy CompanyEmbeddedSupply Services</v>
          </cell>
          <cell r="AB308" t="str">
            <v>[10200]  PECO Energy CompanyEmbedded (Supply Services)Travel, Entertainment &amp; Reimb</v>
          </cell>
          <cell r="AC308" t="str">
            <v>[10200]  PECO Energy CompanyEmbedded (Supply Services)Material &amp; Logistics (20892)</v>
          </cell>
          <cell r="AF308" t="e">
            <v>#N/A</v>
          </cell>
        </row>
        <row r="309">
          <cell r="E309">
            <v>0</v>
          </cell>
          <cell r="H309">
            <v>0</v>
          </cell>
          <cell r="I309">
            <v>0</v>
          </cell>
          <cell r="J309">
            <v>4</v>
          </cell>
          <cell r="M309">
            <v>-4</v>
          </cell>
          <cell r="N309">
            <v>0</v>
          </cell>
          <cell r="O309">
            <v>4</v>
          </cell>
          <cell r="R309">
            <v>-4</v>
          </cell>
          <cell r="S309">
            <v>0</v>
          </cell>
          <cell r="V309" t="str">
            <v>Embedded</v>
          </cell>
          <cell r="W309" t="str">
            <v>Supply Services</v>
          </cell>
          <cell r="AA309" t="str">
            <v>[10200]  PECO Energy CompanyEmbeddedSupply Services</v>
          </cell>
          <cell r="AB309" t="str">
            <v>[10200]  PECO Energy CompanyEmbedded (Supply Services)Other Operating Expenses</v>
          </cell>
          <cell r="AC309" t="str">
            <v>[10200]  PECO Energy CompanyEmbedded (Supply Services)Material &amp; Logistics (20892)</v>
          </cell>
          <cell r="AF309" t="e">
            <v>#N/A</v>
          </cell>
        </row>
        <row r="310">
          <cell r="E310">
            <v>3435</v>
          </cell>
          <cell r="H310">
            <v>-3435</v>
          </cell>
          <cell r="I310">
            <v>-3435</v>
          </cell>
          <cell r="J310">
            <v>3063</v>
          </cell>
          <cell r="M310">
            <v>-3063</v>
          </cell>
          <cell r="N310">
            <v>-3435</v>
          </cell>
          <cell r="O310">
            <v>3063</v>
          </cell>
          <cell r="R310">
            <v>-3063</v>
          </cell>
          <cell r="S310">
            <v>-3435</v>
          </cell>
          <cell r="V310" t="str">
            <v>Embedded</v>
          </cell>
          <cell r="W310" t="str">
            <v>Supply Services</v>
          </cell>
          <cell r="AA310" t="str">
            <v>[10200]  PECO Energy CompanyEmbeddedSupply Services</v>
          </cell>
          <cell r="AB310" t="str">
            <v>[10200]  PECO Energy CompanyEmbedded (Supply Services)Pension and Benefits</v>
          </cell>
          <cell r="AC310" t="str">
            <v>[10200]  PECO Energy CompanyEmbedded (Supply Services)Material &amp; Logistics (20892)</v>
          </cell>
          <cell r="AF310" t="e">
            <v>#N/A</v>
          </cell>
        </row>
        <row r="311">
          <cell r="E311">
            <v>0</v>
          </cell>
          <cell r="H311">
            <v>0</v>
          </cell>
          <cell r="I311">
            <v>0</v>
          </cell>
          <cell r="J311">
            <v>56</v>
          </cell>
          <cell r="M311">
            <v>-56</v>
          </cell>
          <cell r="N311">
            <v>0</v>
          </cell>
          <cell r="O311">
            <v>56</v>
          </cell>
          <cell r="R311">
            <v>-56</v>
          </cell>
          <cell r="S311">
            <v>0</v>
          </cell>
          <cell r="V311" t="str">
            <v>Embedded</v>
          </cell>
          <cell r="W311" t="str">
            <v>Supply Services</v>
          </cell>
          <cell r="AA311" t="str">
            <v>[10200]  PECO Energy CompanyEmbeddedSupply Services</v>
          </cell>
          <cell r="AB311" t="str">
            <v>[10200]  PECO Energy CompanyEmbedded (Supply Services)Salaries and Wages</v>
          </cell>
          <cell r="AC311" t="str">
            <v>[10200]  PECO Energy CompanyEmbedded (Supply Services)Berwyn Central Warehouse (20894)</v>
          </cell>
          <cell r="AF311" t="e">
            <v>#N/A</v>
          </cell>
        </row>
        <row r="312">
          <cell r="E312">
            <v>0</v>
          </cell>
          <cell r="H312">
            <v>0</v>
          </cell>
          <cell r="I312">
            <v>0</v>
          </cell>
          <cell r="J312">
            <v>428</v>
          </cell>
          <cell r="M312">
            <v>-428</v>
          </cell>
          <cell r="N312">
            <v>0</v>
          </cell>
          <cell r="O312">
            <v>428</v>
          </cell>
          <cell r="R312">
            <v>-428</v>
          </cell>
          <cell r="S312">
            <v>0</v>
          </cell>
          <cell r="V312" t="str">
            <v>Embedded</v>
          </cell>
          <cell r="W312" t="str">
            <v>Supply Services</v>
          </cell>
          <cell r="AA312" t="str">
            <v>[10200]  PECO Energy CompanyEmbeddedSupply Services</v>
          </cell>
          <cell r="AB312" t="str">
            <v>[10200]  PECO Energy CompanyEmbedded (Supply Services)Materials and Supplies</v>
          </cell>
          <cell r="AC312" t="str">
            <v>[10200]  PECO Energy CompanyEmbedded (Supply Services)Berwyn Central Warehouse (20894)</v>
          </cell>
          <cell r="AF312" t="e">
            <v>#N/A</v>
          </cell>
        </row>
        <row r="313">
          <cell r="E313">
            <v>0</v>
          </cell>
          <cell r="H313">
            <v>0</v>
          </cell>
          <cell r="I313">
            <v>0</v>
          </cell>
          <cell r="J313">
            <v>107</v>
          </cell>
          <cell r="M313">
            <v>-107</v>
          </cell>
          <cell r="N313">
            <v>0</v>
          </cell>
          <cell r="O313">
            <v>107</v>
          </cell>
          <cell r="R313">
            <v>-107</v>
          </cell>
          <cell r="S313">
            <v>0</v>
          </cell>
          <cell r="V313" t="str">
            <v>Embedded</v>
          </cell>
          <cell r="W313" t="str">
            <v>Supply Services</v>
          </cell>
          <cell r="AA313" t="str">
            <v>[10200]  PECO Energy CompanyEmbeddedSupply Services</v>
          </cell>
          <cell r="AB313" t="str">
            <v>[10200]  PECO Energy CompanyEmbedded (Supply Services)Travel, Entertainment &amp; Reimb</v>
          </cell>
          <cell r="AC313" t="str">
            <v>[10200]  PECO Energy CompanyEmbedded (Supply Services)Berwyn Central Warehouse (20894)</v>
          </cell>
          <cell r="AF313" t="e">
            <v>#N/A</v>
          </cell>
        </row>
        <row r="314">
          <cell r="E314">
            <v>0</v>
          </cell>
          <cell r="H314">
            <v>0</v>
          </cell>
          <cell r="I314">
            <v>0</v>
          </cell>
          <cell r="J314">
            <v>0</v>
          </cell>
          <cell r="M314">
            <v>0</v>
          </cell>
          <cell r="N314">
            <v>0</v>
          </cell>
          <cell r="O314">
            <v>0</v>
          </cell>
          <cell r="R314">
            <v>0</v>
          </cell>
          <cell r="S314">
            <v>0</v>
          </cell>
          <cell r="V314" t="str">
            <v>Embedded</v>
          </cell>
          <cell r="W314" t="str">
            <v>Supply Services</v>
          </cell>
          <cell r="AA314" t="str">
            <v>[10200]  PECO Energy CompanyEmbeddedSupply Services</v>
          </cell>
          <cell r="AB314" t="str">
            <v>[10200]  PECO Energy CompanyEmbedded (Supply Services)Other Operating Expenses</v>
          </cell>
          <cell r="AC314" t="str">
            <v>[10200]  PECO Energy CompanyEmbedded (Supply Services)Berwyn Central Warehouse (20894)</v>
          </cell>
          <cell r="AF314" t="e">
            <v>#N/A</v>
          </cell>
        </row>
        <row r="315">
          <cell r="E315">
            <v>0</v>
          </cell>
          <cell r="H315">
            <v>0</v>
          </cell>
          <cell r="I315">
            <v>0</v>
          </cell>
          <cell r="J315">
            <v>0</v>
          </cell>
          <cell r="M315">
            <v>0</v>
          </cell>
          <cell r="N315">
            <v>0</v>
          </cell>
          <cell r="O315">
            <v>0</v>
          </cell>
          <cell r="R315">
            <v>0</v>
          </cell>
          <cell r="S315">
            <v>0</v>
          </cell>
          <cell r="V315" t="str">
            <v>Embedded</v>
          </cell>
          <cell r="W315" t="str">
            <v>Supply Services</v>
          </cell>
          <cell r="AA315" t="str">
            <v>[10200]  PECO Energy CompanyEmbeddedSupply Services</v>
          </cell>
          <cell r="AB315" t="str">
            <v>[10200]  PECO Energy CompanyEmbedded (Supply Services)Travel, Entertainment &amp; Reimb</v>
          </cell>
          <cell r="AC315" t="str">
            <v>[10200]  PECO Energy CompanyEmbedded (Supply Services)Berwyn Central Warehouse (20894)</v>
          </cell>
          <cell r="AF315" t="e">
            <v>#N/A</v>
          </cell>
        </row>
        <row r="316">
          <cell r="E316">
            <v>0</v>
          </cell>
          <cell r="H316">
            <v>0</v>
          </cell>
          <cell r="I316">
            <v>0</v>
          </cell>
          <cell r="J316">
            <v>45</v>
          </cell>
          <cell r="M316">
            <v>-45</v>
          </cell>
          <cell r="N316">
            <v>0</v>
          </cell>
          <cell r="O316">
            <v>45</v>
          </cell>
          <cell r="R316">
            <v>-45</v>
          </cell>
          <cell r="S316">
            <v>0</v>
          </cell>
          <cell r="V316" t="str">
            <v>Embedded</v>
          </cell>
          <cell r="W316" t="str">
            <v>Supply Services</v>
          </cell>
          <cell r="AA316" t="str">
            <v>[10200]  PECO Energy CompanyEmbeddedSupply Services</v>
          </cell>
          <cell r="AB316" t="str">
            <v>[10200]  PECO Energy CompanyEmbedded (Supply Services)Other Operating Expenses</v>
          </cell>
          <cell r="AC316" t="str">
            <v>[10200]  PECO Energy CompanyEmbedded (Supply Services)Berwyn Central Warehouse (20894)</v>
          </cell>
          <cell r="AF316" t="e">
            <v>#N/A</v>
          </cell>
        </row>
        <row r="317">
          <cell r="E317">
            <v>-276</v>
          </cell>
          <cell r="H317">
            <v>276</v>
          </cell>
          <cell r="I317">
            <v>276</v>
          </cell>
          <cell r="J317">
            <v>-32</v>
          </cell>
          <cell r="M317">
            <v>32</v>
          </cell>
          <cell r="N317">
            <v>276</v>
          </cell>
          <cell r="O317">
            <v>-32</v>
          </cell>
          <cell r="R317">
            <v>32</v>
          </cell>
          <cell r="S317">
            <v>276</v>
          </cell>
          <cell r="V317" t="str">
            <v>Embedded</v>
          </cell>
          <cell r="W317" t="str">
            <v>Supply Services</v>
          </cell>
          <cell r="AA317" t="str">
            <v>[10200]  PECO Energy CompanyEmbeddedSupply Services</v>
          </cell>
          <cell r="AB317" t="str">
            <v>[10200]  PECO Energy CompanyEmbedded (Supply Services)Overtime</v>
          </cell>
          <cell r="AC317" t="str">
            <v>[10200]  PECO Energy CompanyEmbedded (Supply Services)Berwyn Central Warehouse (20894)</v>
          </cell>
          <cell r="AF317" t="e">
            <v>#N/A</v>
          </cell>
        </row>
        <row r="318">
          <cell r="E318">
            <v>0</v>
          </cell>
          <cell r="H318">
            <v>0</v>
          </cell>
          <cell r="I318">
            <v>0</v>
          </cell>
          <cell r="J318">
            <v>35</v>
          </cell>
          <cell r="M318">
            <v>-35</v>
          </cell>
          <cell r="N318">
            <v>0</v>
          </cell>
          <cell r="O318">
            <v>35</v>
          </cell>
          <cell r="R318">
            <v>-35</v>
          </cell>
          <cell r="S318">
            <v>0</v>
          </cell>
          <cell r="V318" t="str">
            <v>Embedded</v>
          </cell>
          <cell r="W318" t="str">
            <v>Supply Services</v>
          </cell>
          <cell r="AA318" t="str">
            <v>[10200]  PECO Energy CompanyEmbeddedSupply Services</v>
          </cell>
          <cell r="AB318" t="str">
            <v>[10200]  PECO Energy CompanyEmbedded (Supply Services)Pension and Benefits</v>
          </cell>
          <cell r="AC318" t="str">
            <v>[10200]  PECO Energy CompanyEmbedded (Supply Services)Berwyn Central Warehouse (20894)</v>
          </cell>
          <cell r="AF318" t="e">
            <v>#N/A</v>
          </cell>
        </row>
        <row r="319">
          <cell r="E319">
            <v>0</v>
          </cell>
          <cell r="H319">
            <v>0</v>
          </cell>
          <cell r="I319">
            <v>0</v>
          </cell>
          <cell r="J319">
            <v>111</v>
          </cell>
          <cell r="M319">
            <v>-111</v>
          </cell>
          <cell r="N319">
            <v>0</v>
          </cell>
          <cell r="O319">
            <v>111</v>
          </cell>
          <cell r="R319">
            <v>-111</v>
          </cell>
          <cell r="S319">
            <v>0</v>
          </cell>
          <cell r="V319" t="str">
            <v>Embedded</v>
          </cell>
          <cell r="W319" t="str">
            <v>Supply Services</v>
          </cell>
          <cell r="AA319" t="str">
            <v>[10200]  PECO Energy CompanyEmbeddedSupply Services</v>
          </cell>
          <cell r="AB319" t="str">
            <v>[10200]  PECO Energy CompanyEmbedded (Supply Services)Salaries and Wages</v>
          </cell>
          <cell r="AC319" t="str">
            <v>[10200]  PECO Energy CompanyEmbedded (Supply Services)BM Storeroom (20895)</v>
          </cell>
          <cell r="AF319" t="e">
            <v>#N/A</v>
          </cell>
        </row>
        <row r="320">
          <cell r="E320">
            <v>0</v>
          </cell>
          <cell r="H320">
            <v>0</v>
          </cell>
          <cell r="I320">
            <v>0</v>
          </cell>
          <cell r="J320">
            <v>37</v>
          </cell>
          <cell r="M320">
            <v>-37</v>
          </cell>
          <cell r="N320">
            <v>0</v>
          </cell>
          <cell r="O320">
            <v>37</v>
          </cell>
          <cell r="R320">
            <v>-37</v>
          </cell>
          <cell r="S320">
            <v>0</v>
          </cell>
          <cell r="V320" t="str">
            <v>Embedded</v>
          </cell>
          <cell r="W320" t="str">
            <v>Supply Services</v>
          </cell>
          <cell r="AA320" t="str">
            <v>[10200]  PECO Energy CompanyEmbeddedSupply Services</v>
          </cell>
          <cell r="AB320" t="str">
            <v>[10200]  PECO Energy CompanyEmbedded (Supply Services)Travel, Entertainment &amp; Reimb</v>
          </cell>
          <cell r="AC320" t="str">
            <v>[10200]  PECO Energy CompanyEmbedded (Supply Services)BM Storeroom (20895)</v>
          </cell>
          <cell r="AF320" t="e">
            <v>#N/A</v>
          </cell>
        </row>
        <row r="321">
          <cell r="E321">
            <v>0</v>
          </cell>
          <cell r="H321">
            <v>0</v>
          </cell>
          <cell r="I321">
            <v>0</v>
          </cell>
          <cell r="J321">
            <v>7196</v>
          </cell>
          <cell r="M321">
            <v>-7196</v>
          </cell>
          <cell r="N321">
            <v>0</v>
          </cell>
          <cell r="O321">
            <v>7196</v>
          </cell>
          <cell r="R321">
            <v>-7196</v>
          </cell>
          <cell r="S321">
            <v>0</v>
          </cell>
          <cell r="V321" t="str">
            <v>Embedded</v>
          </cell>
          <cell r="W321" t="str">
            <v>Supply Services</v>
          </cell>
          <cell r="AA321" t="str">
            <v>[10200]  PECO Energy CompanyEmbeddedSupply Services</v>
          </cell>
          <cell r="AB321" t="str">
            <v>[10200]  PECO Energy CompanyEmbedded (Supply Services)Materials and Supplies</v>
          </cell>
          <cell r="AC321" t="str">
            <v>[10200]  PECO Energy CompanyEmbedded (Supply Services)BM Storeroom (20895)</v>
          </cell>
          <cell r="AF321" t="e">
            <v>#N/A</v>
          </cell>
        </row>
        <row r="322">
          <cell r="E322">
            <v>0</v>
          </cell>
          <cell r="H322">
            <v>0</v>
          </cell>
          <cell r="I322">
            <v>0</v>
          </cell>
          <cell r="J322">
            <v>92</v>
          </cell>
          <cell r="M322">
            <v>-92</v>
          </cell>
          <cell r="N322">
            <v>0</v>
          </cell>
          <cell r="O322">
            <v>92</v>
          </cell>
          <cell r="R322">
            <v>-92</v>
          </cell>
          <cell r="S322">
            <v>0</v>
          </cell>
          <cell r="V322" t="str">
            <v>Embedded</v>
          </cell>
          <cell r="W322" t="str">
            <v>Supply Services</v>
          </cell>
          <cell r="AA322" t="str">
            <v>[10200]  PECO Energy CompanyEmbeddedSupply Services</v>
          </cell>
          <cell r="AB322" t="str">
            <v>[10200]  PECO Energy CompanyEmbedded (Supply Services)Travel, Entertainment &amp; Reimb</v>
          </cell>
          <cell r="AC322" t="str">
            <v>[10200]  PECO Energy CompanyEmbedded (Supply Services)BM Storeroom (20895)</v>
          </cell>
          <cell r="AF322" t="e">
            <v>#N/A</v>
          </cell>
        </row>
        <row r="323">
          <cell r="E323">
            <v>0</v>
          </cell>
          <cell r="H323">
            <v>0</v>
          </cell>
          <cell r="I323">
            <v>0</v>
          </cell>
          <cell r="J323">
            <v>0</v>
          </cell>
          <cell r="M323">
            <v>0</v>
          </cell>
          <cell r="N323">
            <v>0</v>
          </cell>
          <cell r="R323">
            <v>0</v>
          </cell>
          <cell r="V323" t="str">
            <v>Embedded</v>
          </cell>
          <cell r="W323" t="str">
            <v>Supply Services</v>
          </cell>
          <cell r="AA323" t="str">
            <v>[10200]  PECO Energy CompanyEmbeddedSupply Services</v>
          </cell>
          <cell r="AB323" t="str">
            <v>[10200]  PECO Energy CompanyEmbedded (Supply Services)Other Operating Expenses</v>
          </cell>
          <cell r="AC323" t="str">
            <v>[10200]  PECO Energy CompanyEmbedded (Supply Services)BM Storeroom (20895)</v>
          </cell>
          <cell r="AF323" t="e">
            <v>#N/A</v>
          </cell>
        </row>
        <row r="324">
          <cell r="E324">
            <v>0</v>
          </cell>
          <cell r="H324">
            <v>0</v>
          </cell>
          <cell r="I324">
            <v>0</v>
          </cell>
          <cell r="J324">
            <v>9</v>
          </cell>
          <cell r="M324">
            <v>-9</v>
          </cell>
          <cell r="N324">
            <v>0</v>
          </cell>
          <cell r="O324">
            <v>9</v>
          </cell>
          <cell r="R324">
            <v>-9</v>
          </cell>
          <cell r="S324">
            <v>0</v>
          </cell>
          <cell r="V324" t="str">
            <v>Embedded</v>
          </cell>
          <cell r="W324" t="str">
            <v>Supply Services</v>
          </cell>
          <cell r="AA324" t="str">
            <v>[10200]  PECO Energy CompanyEmbeddedSupply Services</v>
          </cell>
          <cell r="AB324" t="str">
            <v>[10200]  PECO Energy CompanyEmbedded (Supply Services)Other Operating Expenses</v>
          </cell>
          <cell r="AC324" t="str">
            <v>[10200]  PECO Energy CompanyEmbedded (Supply Services)BM Storeroom (20895)</v>
          </cell>
          <cell r="AF324" t="e">
            <v>#N/A</v>
          </cell>
        </row>
        <row r="325">
          <cell r="E325">
            <v>986</v>
          </cell>
          <cell r="H325">
            <v>-986</v>
          </cell>
          <cell r="I325">
            <v>-986</v>
          </cell>
          <cell r="J325">
            <v>3580</v>
          </cell>
          <cell r="M325">
            <v>-3580</v>
          </cell>
          <cell r="N325">
            <v>-986</v>
          </cell>
          <cell r="O325">
            <v>3580</v>
          </cell>
          <cell r="R325">
            <v>-3580</v>
          </cell>
          <cell r="S325">
            <v>-986</v>
          </cell>
          <cell r="V325" t="str">
            <v>Embedded</v>
          </cell>
          <cell r="W325" t="str">
            <v>Supply Services</v>
          </cell>
          <cell r="AA325" t="str">
            <v>[10200]  PECO Energy CompanyEmbeddedSupply Services</v>
          </cell>
          <cell r="AB325" t="str">
            <v>[10200]  PECO Energy CompanyEmbedded (Supply Services)Overtime</v>
          </cell>
          <cell r="AC325" t="str">
            <v>[10200]  PECO Energy CompanyEmbedded (Supply Services)BM Storeroom (20895)</v>
          </cell>
          <cell r="AF325" t="e">
            <v>#N/A</v>
          </cell>
        </row>
        <row r="326">
          <cell r="E326">
            <v>0</v>
          </cell>
          <cell r="H326">
            <v>0</v>
          </cell>
          <cell r="I326">
            <v>0</v>
          </cell>
          <cell r="J326">
            <v>70</v>
          </cell>
          <cell r="M326">
            <v>-70</v>
          </cell>
          <cell r="N326">
            <v>0</v>
          </cell>
          <cell r="O326">
            <v>70</v>
          </cell>
          <cell r="R326">
            <v>-70</v>
          </cell>
          <cell r="S326">
            <v>0</v>
          </cell>
          <cell r="V326" t="str">
            <v>Embedded</v>
          </cell>
          <cell r="W326" t="str">
            <v>Supply Services</v>
          </cell>
          <cell r="AA326" t="str">
            <v>[10200]  PECO Energy CompanyEmbeddedSupply Services</v>
          </cell>
          <cell r="AB326" t="str">
            <v>[10200]  PECO Energy CompanyEmbedded (Supply Services)Pension and Benefits</v>
          </cell>
          <cell r="AC326" t="str">
            <v>[10200]  PECO Energy CompanyEmbedded (Supply Services)BM Storeroom (20895)</v>
          </cell>
          <cell r="AF326" t="e">
            <v>#N/A</v>
          </cell>
        </row>
        <row r="327">
          <cell r="E327">
            <v>0</v>
          </cell>
          <cell r="H327">
            <v>0</v>
          </cell>
          <cell r="I327">
            <v>0</v>
          </cell>
          <cell r="J327">
            <v>-147</v>
          </cell>
          <cell r="M327">
            <v>147</v>
          </cell>
          <cell r="N327">
            <v>0</v>
          </cell>
          <cell r="O327">
            <v>-147</v>
          </cell>
          <cell r="R327">
            <v>147</v>
          </cell>
          <cell r="S327">
            <v>0</v>
          </cell>
          <cell r="V327" t="str">
            <v>Embedded</v>
          </cell>
          <cell r="W327" t="str">
            <v>Supply Services</v>
          </cell>
          <cell r="AA327" t="str">
            <v>[10200]  PECO Energy CompanyEmbeddedSupply Services</v>
          </cell>
          <cell r="AB327" t="str">
            <v>[10200]  PECO Energy CompanyEmbedded (Supply Services)Salaries and Wages</v>
          </cell>
          <cell r="AC327" t="str">
            <v>[10200]  PECO Energy CompanyEmbedded (Supply Services)Electrical Shops (20900)</v>
          </cell>
          <cell r="AF327" t="e">
            <v>#N/A</v>
          </cell>
        </row>
        <row r="328">
          <cell r="E328">
            <v>0</v>
          </cell>
          <cell r="H328">
            <v>0</v>
          </cell>
          <cell r="I328">
            <v>0</v>
          </cell>
          <cell r="J328">
            <v>-275</v>
          </cell>
          <cell r="M328">
            <v>275</v>
          </cell>
          <cell r="N328">
            <v>0</v>
          </cell>
          <cell r="O328">
            <v>-275</v>
          </cell>
          <cell r="R328">
            <v>275</v>
          </cell>
          <cell r="S328">
            <v>0</v>
          </cell>
          <cell r="V328" t="str">
            <v>Embedded</v>
          </cell>
          <cell r="W328" t="str">
            <v>Supply Services</v>
          </cell>
          <cell r="AA328" t="str">
            <v>[10200]  PECO Energy CompanyEmbeddedSupply Services</v>
          </cell>
          <cell r="AB328" t="str">
            <v>[10200]  PECO Energy CompanyEmbedded (Supply Services)Travel, Entertainment &amp; Reimb</v>
          </cell>
          <cell r="AC328" t="str">
            <v>[10200]  PECO Energy CompanyEmbedded (Supply Services)Electrical Shops (20900)</v>
          </cell>
          <cell r="AF328" t="e">
            <v>#N/A</v>
          </cell>
        </row>
        <row r="329">
          <cell r="E329">
            <v>0</v>
          </cell>
          <cell r="H329">
            <v>0</v>
          </cell>
          <cell r="I329">
            <v>0</v>
          </cell>
          <cell r="J329">
            <v>0</v>
          </cell>
          <cell r="M329">
            <v>0</v>
          </cell>
          <cell r="N329">
            <v>0</v>
          </cell>
          <cell r="R329">
            <v>0</v>
          </cell>
          <cell r="V329" t="str">
            <v>Embedded</v>
          </cell>
          <cell r="W329" t="str">
            <v>Supply Services</v>
          </cell>
          <cell r="AA329" t="str">
            <v>[10200]  PECO Energy CompanyEmbeddedSupply Services</v>
          </cell>
          <cell r="AB329" t="str">
            <v>[10200]  PECO Energy CompanyEmbedded (Supply Services)Business Services</v>
          </cell>
          <cell r="AC329" t="str">
            <v>[10200]  PECO Energy CompanyEmbedded (Supply Services)Electrical Shops (20900)</v>
          </cell>
          <cell r="AF329" t="e">
            <v>#N/A</v>
          </cell>
        </row>
        <row r="330">
          <cell r="E330">
            <v>0</v>
          </cell>
          <cell r="H330">
            <v>0</v>
          </cell>
          <cell r="I330">
            <v>0</v>
          </cell>
          <cell r="J330">
            <v>0</v>
          </cell>
          <cell r="M330">
            <v>0</v>
          </cell>
          <cell r="N330">
            <v>0</v>
          </cell>
          <cell r="R330">
            <v>0</v>
          </cell>
          <cell r="V330" t="str">
            <v>Embedded</v>
          </cell>
          <cell r="W330" t="str">
            <v>Supply Services</v>
          </cell>
          <cell r="AA330" t="str">
            <v>[10200]  PECO Energy CompanyEmbeddedSupply Services</v>
          </cell>
          <cell r="AB330" t="str">
            <v>[10200]  PECO Energy CompanyEmbedded (Supply Services)Materials and Supplies</v>
          </cell>
          <cell r="AC330" t="str">
            <v>[10200]  PECO Energy CompanyEmbedded (Supply Services)Electrical Shops (20900)</v>
          </cell>
          <cell r="AF330" t="e">
            <v>#N/A</v>
          </cell>
        </row>
        <row r="331">
          <cell r="E331">
            <v>0</v>
          </cell>
          <cell r="H331">
            <v>0</v>
          </cell>
          <cell r="I331">
            <v>0</v>
          </cell>
          <cell r="J331">
            <v>47</v>
          </cell>
          <cell r="M331">
            <v>-47</v>
          </cell>
          <cell r="N331">
            <v>0</v>
          </cell>
          <cell r="O331">
            <v>47</v>
          </cell>
          <cell r="R331">
            <v>-47</v>
          </cell>
          <cell r="S331">
            <v>0</v>
          </cell>
          <cell r="V331" t="str">
            <v>Embedded</v>
          </cell>
          <cell r="W331" t="str">
            <v>Supply Services</v>
          </cell>
          <cell r="AA331" t="str">
            <v>[10200]  PECO Energy CompanyEmbeddedSupply Services</v>
          </cell>
          <cell r="AB331" t="str">
            <v>[10200]  PECO Energy CompanyEmbedded (Supply Services)Other Operating Expenses</v>
          </cell>
          <cell r="AC331" t="str">
            <v>[10200]  PECO Energy CompanyEmbedded (Supply Services)Electrical Shops (20900)</v>
          </cell>
          <cell r="AF331" t="e">
            <v>#N/A</v>
          </cell>
        </row>
        <row r="332">
          <cell r="E332">
            <v>120</v>
          </cell>
          <cell r="H332">
            <v>-120</v>
          </cell>
          <cell r="I332">
            <v>-120</v>
          </cell>
          <cell r="J332">
            <v>-2248</v>
          </cell>
          <cell r="M332">
            <v>2248</v>
          </cell>
          <cell r="N332">
            <v>-120</v>
          </cell>
          <cell r="O332">
            <v>-2248</v>
          </cell>
          <cell r="R332">
            <v>2248</v>
          </cell>
          <cell r="S332">
            <v>-120</v>
          </cell>
          <cell r="V332" t="str">
            <v>Embedded</v>
          </cell>
          <cell r="W332" t="str">
            <v>Supply Services</v>
          </cell>
          <cell r="AA332" t="str">
            <v>[10200]  PECO Energy CompanyEmbeddedSupply Services</v>
          </cell>
          <cell r="AB332" t="str">
            <v>[10200]  PECO Energy CompanyEmbedded (Supply Services)Overtime</v>
          </cell>
          <cell r="AC332" t="str">
            <v>[10200]  PECO Energy CompanyEmbedded (Supply Services)Electrical Shops (20900)</v>
          </cell>
          <cell r="AF332" t="e">
            <v>#N/A</v>
          </cell>
        </row>
        <row r="333">
          <cell r="E333">
            <v>0</v>
          </cell>
          <cell r="H333">
            <v>0</v>
          </cell>
          <cell r="I333">
            <v>0</v>
          </cell>
          <cell r="J333">
            <v>-92</v>
          </cell>
          <cell r="M333">
            <v>92</v>
          </cell>
          <cell r="N333">
            <v>0</v>
          </cell>
          <cell r="O333">
            <v>-92</v>
          </cell>
          <cell r="R333">
            <v>92</v>
          </cell>
          <cell r="S333">
            <v>0</v>
          </cell>
          <cell r="V333" t="str">
            <v>Embedded</v>
          </cell>
          <cell r="W333" t="str">
            <v>Supply Services</v>
          </cell>
          <cell r="AA333" t="str">
            <v>[10200]  PECO Energy CompanyEmbeddedSupply Services</v>
          </cell>
          <cell r="AB333" t="str">
            <v>[10200]  PECO Energy CompanyEmbedded (Supply Services)Pension and Benefits</v>
          </cell>
          <cell r="AC333" t="str">
            <v>[10200]  PECO Energy CompanyEmbedded (Supply Services)Electrical Shops (20900)</v>
          </cell>
          <cell r="AF333" t="e">
            <v>#N/A</v>
          </cell>
        </row>
        <row r="334">
          <cell r="E334">
            <v>0</v>
          </cell>
          <cell r="H334">
            <v>0</v>
          </cell>
          <cell r="I334">
            <v>0</v>
          </cell>
          <cell r="J334">
            <v>0</v>
          </cell>
          <cell r="M334">
            <v>0</v>
          </cell>
          <cell r="N334">
            <v>0</v>
          </cell>
          <cell r="O334">
            <v>0</v>
          </cell>
          <cell r="R334">
            <v>0</v>
          </cell>
          <cell r="S334">
            <v>0</v>
          </cell>
          <cell r="V334" t="str">
            <v>Embedded</v>
          </cell>
          <cell r="W334" t="str">
            <v>Supply Services</v>
          </cell>
          <cell r="AA334" t="str">
            <v>[10200]  PECO Energy CompanyEmbeddedSupply Services</v>
          </cell>
          <cell r="AB334" t="str">
            <v>[10200]  PECO Energy CompanyEmbedded (Supply Services)Materials and Supplies</v>
          </cell>
          <cell r="AC334" t="str">
            <v>[10200]  PECO Energy CompanyEmbedded (Supply Services)Tool Repair Shop (20907)</v>
          </cell>
          <cell r="AF334" t="e">
            <v>#N/A</v>
          </cell>
        </row>
        <row r="335">
          <cell r="E335">
            <v>364</v>
          </cell>
          <cell r="H335">
            <v>-364</v>
          </cell>
          <cell r="I335">
            <v>-364</v>
          </cell>
          <cell r="J335">
            <v>364</v>
          </cell>
          <cell r="M335">
            <v>-364</v>
          </cell>
          <cell r="N335">
            <v>-364</v>
          </cell>
          <cell r="O335">
            <v>364</v>
          </cell>
          <cell r="R335">
            <v>-364</v>
          </cell>
          <cell r="S335">
            <v>-364</v>
          </cell>
          <cell r="V335" t="str">
            <v>Embedded</v>
          </cell>
          <cell r="W335" t="str">
            <v>Supply Services</v>
          </cell>
          <cell r="AA335" t="str">
            <v>[10200]  PECO Energy CompanyEmbeddedSupply Services</v>
          </cell>
          <cell r="AB335" t="str">
            <v>[10200]  PECO Energy CompanyEmbedded (Supply Services)Overtime</v>
          </cell>
          <cell r="AC335" t="str">
            <v>[10200]  PECO Energy CompanyEmbedded (Supply Services)Tool Repair Shop (20907)</v>
          </cell>
          <cell r="AF335" t="e">
            <v>#N/A</v>
          </cell>
        </row>
        <row r="336">
          <cell r="E336">
            <v>986</v>
          </cell>
          <cell r="H336">
            <v>-986</v>
          </cell>
          <cell r="I336">
            <v>-986</v>
          </cell>
          <cell r="J336">
            <v>3425</v>
          </cell>
          <cell r="M336">
            <v>-3425</v>
          </cell>
          <cell r="N336">
            <v>-986</v>
          </cell>
          <cell r="O336">
            <v>3425</v>
          </cell>
          <cell r="R336">
            <v>-3425</v>
          </cell>
          <cell r="S336">
            <v>-986</v>
          </cell>
          <cell r="V336" t="str">
            <v>Embedded</v>
          </cell>
          <cell r="W336" t="str">
            <v>Supply Services</v>
          </cell>
          <cell r="AA336" t="str">
            <v>[10200]  PECO Energy CompanyEmbeddedSupply Services</v>
          </cell>
          <cell r="AB336" t="str">
            <v>[10200]  PECO Energy CompanyEmbedded (Supply Services)Salaries and Wages</v>
          </cell>
          <cell r="AC336" t="str">
            <v>[10200]  PECO Energy CompanyEmbedded (Supply Services)T&amp;S Parts Team (20910)</v>
          </cell>
          <cell r="AF336" t="e">
            <v>#N/A</v>
          </cell>
        </row>
        <row r="337">
          <cell r="E337">
            <v>912</v>
          </cell>
          <cell r="H337">
            <v>-912</v>
          </cell>
          <cell r="I337">
            <v>-912</v>
          </cell>
          <cell r="J337">
            <v>912</v>
          </cell>
          <cell r="M337">
            <v>-912</v>
          </cell>
          <cell r="N337">
            <v>-912</v>
          </cell>
          <cell r="O337">
            <v>912</v>
          </cell>
          <cell r="R337">
            <v>-912</v>
          </cell>
          <cell r="S337">
            <v>-912</v>
          </cell>
          <cell r="V337" t="str">
            <v>Embedded</v>
          </cell>
          <cell r="W337" t="str">
            <v>Supply Services</v>
          </cell>
          <cell r="AA337" t="str">
            <v>[10200]  PECO Energy CompanyEmbeddedSupply Services</v>
          </cell>
          <cell r="AB337" t="str">
            <v>[10200]  PECO Energy CompanyEmbedded (Supply Services)Travel, Entertainment &amp; Reimb</v>
          </cell>
          <cell r="AC337" t="str">
            <v>[10200]  PECO Energy CompanyEmbedded (Supply Services)T&amp;S Parts Team (20910)</v>
          </cell>
          <cell r="AF337" t="e">
            <v>#N/A</v>
          </cell>
        </row>
        <row r="338">
          <cell r="E338">
            <v>38</v>
          </cell>
          <cell r="H338">
            <v>-38</v>
          </cell>
          <cell r="I338">
            <v>-38</v>
          </cell>
          <cell r="J338">
            <v>-444</v>
          </cell>
          <cell r="M338">
            <v>444</v>
          </cell>
          <cell r="N338">
            <v>-38</v>
          </cell>
          <cell r="O338">
            <v>-444</v>
          </cell>
          <cell r="R338">
            <v>444</v>
          </cell>
          <cell r="S338">
            <v>-38</v>
          </cell>
          <cell r="V338" t="str">
            <v>Embedded</v>
          </cell>
          <cell r="W338" t="str">
            <v>Supply Services</v>
          </cell>
          <cell r="AA338" t="str">
            <v>[10200]  PECO Energy CompanyEmbeddedSupply Services</v>
          </cell>
          <cell r="AB338" t="str">
            <v>[10200]  PECO Energy CompanyEmbedded (Supply Services)Materials and Supplies</v>
          </cell>
          <cell r="AC338" t="str">
            <v>[10200]  PECO Energy CompanyEmbedded (Supply Services)T&amp;S Parts Team (20910)</v>
          </cell>
          <cell r="AF338" t="e">
            <v>#N/A</v>
          </cell>
        </row>
        <row r="339">
          <cell r="E339">
            <v>0</v>
          </cell>
          <cell r="H339">
            <v>0</v>
          </cell>
          <cell r="I339">
            <v>0</v>
          </cell>
          <cell r="J339">
            <v>13</v>
          </cell>
          <cell r="M339">
            <v>-13</v>
          </cell>
          <cell r="N339">
            <v>0</v>
          </cell>
          <cell r="O339">
            <v>13</v>
          </cell>
          <cell r="R339">
            <v>-13</v>
          </cell>
          <cell r="S339">
            <v>0</v>
          </cell>
          <cell r="V339" t="str">
            <v>Embedded</v>
          </cell>
          <cell r="W339" t="str">
            <v>Supply Services</v>
          </cell>
          <cell r="AA339" t="str">
            <v>[10200]  PECO Energy CompanyEmbeddedSupply Services</v>
          </cell>
          <cell r="AB339" t="str">
            <v>[10200]  PECO Energy CompanyEmbedded (Supply Services)Other Operating Expenses</v>
          </cell>
          <cell r="AC339" t="str">
            <v>[10200]  PECO Energy CompanyEmbedded (Supply Services)T&amp;S Parts Team (20910)</v>
          </cell>
          <cell r="AF339" t="e">
            <v>#N/A</v>
          </cell>
        </row>
        <row r="340">
          <cell r="E340">
            <v>0</v>
          </cell>
          <cell r="H340">
            <v>0</v>
          </cell>
          <cell r="I340">
            <v>0</v>
          </cell>
          <cell r="J340">
            <v>29</v>
          </cell>
          <cell r="M340">
            <v>-29</v>
          </cell>
          <cell r="N340">
            <v>0</v>
          </cell>
          <cell r="O340">
            <v>29</v>
          </cell>
          <cell r="R340">
            <v>-29</v>
          </cell>
          <cell r="S340">
            <v>0</v>
          </cell>
          <cell r="V340" t="str">
            <v>Embedded</v>
          </cell>
          <cell r="W340" t="str">
            <v>Supply Services</v>
          </cell>
          <cell r="AA340" t="str">
            <v>[10200]  PECO Energy CompanyEmbeddedSupply Services</v>
          </cell>
          <cell r="AB340" t="str">
            <v>[10200]  PECO Energy CompanyEmbedded (Supply Services)Other Operating Expenses</v>
          </cell>
          <cell r="AC340" t="str">
            <v>[10200]  PECO Energy CompanyEmbedded (Supply Services)T&amp;S Parts Team (20910)</v>
          </cell>
          <cell r="AF340" t="e">
            <v>#N/A</v>
          </cell>
        </row>
        <row r="341">
          <cell r="E341">
            <v>1204</v>
          </cell>
          <cell r="H341">
            <v>-1204</v>
          </cell>
          <cell r="I341">
            <v>-1204</v>
          </cell>
          <cell r="J341">
            <v>5633</v>
          </cell>
          <cell r="M341">
            <v>-5633</v>
          </cell>
          <cell r="N341">
            <v>-1204</v>
          </cell>
          <cell r="O341">
            <v>5633</v>
          </cell>
          <cell r="R341">
            <v>-5633</v>
          </cell>
          <cell r="S341">
            <v>-1204</v>
          </cell>
          <cell r="V341" t="str">
            <v>Embedded</v>
          </cell>
          <cell r="W341" t="str">
            <v>Supply Services</v>
          </cell>
          <cell r="AA341" t="str">
            <v>[10200]  PECO Energy CompanyEmbeddedSupply Services</v>
          </cell>
          <cell r="AB341" t="str">
            <v>[10200]  PECO Energy CompanyEmbedded (Supply Services)Other Operating Expenses</v>
          </cell>
          <cell r="AC341" t="str">
            <v>[10200]  PECO Energy CompanyEmbedded (Supply Services)T&amp;S Parts Team (20910)</v>
          </cell>
          <cell r="AF341" t="e">
            <v>#N/A</v>
          </cell>
        </row>
        <row r="342">
          <cell r="E342">
            <v>617</v>
          </cell>
          <cell r="H342">
            <v>-617</v>
          </cell>
          <cell r="I342">
            <v>-617</v>
          </cell>
          <cell r="J342">
            <v>2145</v>
          </cell>
          <cell r="M342">
            <v>-2145</v>
          </cell>
          <cell r="N342">
            <v>-617</v>
          </cell>
          <cell r="O342">
            <v>2145</v>
          </cell>
          <cell r="R342">
            <v>-2145</v>
          </cell>
          <cell r="S342">
            <v>-617</v>
          </cell>
          <cell r="V342" t="str">
            <v>Embedded</v>
          </cell>
          <cell r="W342" t="str">
            <v>Supply Services</v>
          </cell>
          <cell r="AA342" t="str">
            <v>[10200]  PECO Energy CompanyEmbeddedSupply Services</v>
          </cell>
          <cell r="AB342" t="str">
            <v>[10200]  PECO Energy CompanyEmbedded (Supply Services)Pension and Benefits</v>
          </cell>
          <cell r="AC342" t="str">
            <v>[10200]  PECO Energy CompanyEmbedded (Supply Services)T&amp;S Parts Team (20910)</v>
          </cell>
          <cell r="AF342" t="e">
            <v>#N/A</v>
          </cell>
        </row>
        <row r="343">
          <cell r="E343">
            <v>515</v>
          </cell>
          <cell r="H343">
            <v>-515</v>
          </cell>
          <cell r="I343">
            <v>-515</v>
          </cell>
          <cell r="J343">
            <v>739</v>
          </cell>
          <cell r="M343">
            <v>-739</v>
          </cell>
          <cell r="N343">
            <v>-515</v>
          </cell>
          <cell r="O343">
            <v>739</v>
          </cell>
          <cell r="R343">
            <v>-739</v>
          </cell>
          <cell r="S343">
            <v>-515</v>
          </cell>
          <cell r="V343" t="str">
            <v>Embedded</v>
          </cell>
          <cell r="W343" t="str">
            <v>Supply Services</v>
          </cell>
          <cell r="AA343" t="str">
            <v>[10200]  PECO Energy CompanyEmbeddedSupply Services</v>
          </cell>
          <cell r="AB343" t="str">
            <v>[10200]  PECO Energy CompanyEmbedded (Supply Services)Salaries and Wages</v>
          </cell>
          <cell r="AC343" t="str">
            <v>[10200]  PECO Energy CompanyEmbedded (Supply Services)Material Availability - PECO (20930)</v>
          </cell>
          <cell r="AF343" t="e">
            <v>#N/A</v>
          </cell>
        </row>
        <row r="344">
          <cell r="E344">
            <v>0</v>
          </cell>
          <cell r="H344">
            <v>0</v>
          </cell>
          <cell r="I344">
            <v>0</v>
          </cell>
          <cell r="J344">
            <v>0</v>
          </cell>
          <cell r="M344">
            <v>0</v>
          </cell>
          <cell r="N344">
            <v>0</v>
          </cell>
          <cell r="O344">
            <v>0</v>
          </cell>
          <cell r="R344">
            <v>0</v>
          </cell>
          <cell r="S344">
            <v>0</v>
          </cell>
          <cell r="V344" t="str">
            <v>Embedded</v>
          </cell>
          <cell r="W344" t="str">
            <v>Supply Services</v>
          </cell>
          <cell r="AA344" t="str">
            <v>[10200]  PECO Energy CompanyEmbeddedSupply Services</v>
          </cell>
          <cell r="AB344" t="str">
            <v>[10200]  PECO Energy CompanyEmbedded (Supply Services)Materials and Supplies</v>
          </cell>
          <cell r="AC344" t="str">
            <v>[10200]  PECO Energy CompanyEmbedded (Supply Services)Material Availability - PECO (20930)</v>
          </cell>
          <cell r="AF344" t="e">
            <v>#N/A</v>
          </cell>
        </row>
        <row r="345">
          <cell r="E345">
            <v>0</v>
          </cell>
          <cell r="H345">
            <v>0</v>
          </cell>
          <cell r="I345">
            <v>0</v>
          </cell>
          <cell r="J345">
            <v>0</v>
          </cell>
          <cell r="M345">
            <v>0</v>
          </cell>
          <cell r="N345">
            <v>0</v>
          </cell>
          <cell r="O345">
            <v>0</v>
          </cell>
          <cell r="R345">
            <v>0</v>
          </cell>
          <cell r="S345">
            <v>0</v>
          </cell>
          <cell r="V345" t="str">
            <v>Embedded</v>
          </cell>
          <cell r="W345" t="str">
            <v>Supply Services</v>
          </cell>
          <cell r="AA345" t="str">
            <v>[10200]  PECO Energy CompanyEmbeddedSupply Services</v>
          </cell>
          <cell r="AB345" t="str">
            <v>[10200]  PECO Energy CompanyEmbedded (Supply Services)Travel, Entertainment &amp; Reimb</v>
          </cell>
          <cell r="AC345" t="str">
            <v>[10200]  PECO Energy CompanyEmbedded (Supply Services)Material Availability - PECO (20930)</v>
          </cell>
          <cell r="AF345" t="e">
            <v>#N/A</v>
          </cell>
        </row>
        <row r="346">
          <cell r="E346">
            <v>0</v>
          </cell>
          <cell r="H346">
            <v>0</v>
          </cell>
          <cell r="I346">
            <v>0</v>
          </cell>
          <cell r="J346">
            <v>8</v>
          </cell>
          <cell r="M346">
            <v>-8</v>
          </cell>
          <cell r="N346">
            <v>0</v>
          </cell>
          <cell r="O346">
            <v>8</v>
          </cell>
          <cell r="R346">
            <v>-8</v>
          </cell>
          <cell r="S346">
            <v>0</v>
          </cell>
          <cell r="V346" t="str">
            <v>Embedded</v>
          </cell>
          <cell r="W346" t="str">
            <v>Supply Services</v>
          </cell>
          <cell r="AA346" t="str">
            <v>[10200]  PECO Energy CompanyEmbeddedSupply Services</v>
          </cell>
          <cell r="AB346" t="str">
            <v>[10200]  PECO Energy CompanyEmbedded (Supply Services)Other Operating Expenses</v>
          </cell>
          <cell r="AC346" t="str">
            <v>[10200]  PECO Energy CompanyEmbedded (Supply Services)Material Availability - PECO (20930)</v>
          </cell>
          <cell r="AF346" t="e">
            <v>#N/A</v>
          </cell>
        </row>
        <row r="347">
          <cell r="E347">
            <v>322</v>
          </cell>
          <cell r="H347">
            <v>-322</v>
          </cell>
          <cell r="I347">
            <v>-322</v>
          </cell>
          <cell r="J347">
            <v>463</v>
          </cell>
          <cell r="M347">
            <v>-463</v>
          </cell>
          <cell r="N347">
            <v>-322</v>
          </cell>
          <cell r="O347">
            <v>463</v>
          </cell>
          <cell r="R347">
            <v>-463</v>
          </cell>
          <cell r="S347">
            <v>-322</v>
          </cell>
          <cell r="V347" t="str">
            <v>Embedded</v>
          </cell>
          <cell r="W347" t="str">
            <v>Supply Services</v>
          </cell>
          <cell r="AA347" t="str">
            <v>[10200]  PECO Energy CompanyEmbeddedSupply Services</v>
          </cell>
          <cell r="AB347" t="str">
            <v>[10200]  PECO Energy CompanyEmbedded (Supply Services)Pension and Benefits</v>
          </cell>
          <cell r="AC347" t="str">
            <v>[10200]  PECO Energy CompanyEmbedded (Supply Services)Material Availability - PECO (20930)</v>
          </cell>
          <cell r="AF347" t="e">
            <v>#N/A</v>
          </cell>
        </row>
        <row r="348">
          <cell r="E348">
            <v>810</v>
          </cell>
          <cell r="H348">
            <v>-810</v>
          </cell>
          <cell r="I348">
            <v>-810</v>
          </cell>
          <cell r="J348">
            <v>3314</v>
          </cell>
          <cell r="M348">
            <v>-3314</v>
          </cell>
          <cell r="N348">
            <v>-810</v>
          </cell>
          <cell r="O348">
            <v>3314</v>
          </cell>
          <cell r="R348">
            <v>-3314</v>
          </cell>
          <cell r="S348">
            <v>-810</v>
          </cell>
          <cell r="V348" t="str">
            <v>Embedded</v>
          </cell>
          <cell r="W348" t="str">
            <v>Communications</v>
          </cell>
          <cell r="AA348" t="str">
            <v>[10200]  PECO Energy CompanyEmbeddedCommunications</v>
          </cell>
          <cell r="AB348" t="str">
            <v>[10200]  PECO Energy CompanyEmbedded (Communications)Business Services</v>
          </cell>
          <cell r="AC348" t="str">
            <v>[10200]  PECO Energy CompanyEmbedded (Communications)Communications &amp; External Rela (21060)</v>
          </cell>
          <cell r="AF348" t="e">
            <v>#N/A</v>
          </cell>
        </row>
        <row r="349">
          <cell r="E349">
            <v>171</v>
          </cell>
          <cell r="H349">
            <v>-171</v>
          </cell>
          <cell r="I349">
            <v>-171</v>
          </cell>
          <cell r="J349">
            <v>549</v>
          </cell>
          <cell r="M349">
            <v>-549</v>
          </cell>
          <cell r="N349">
            <v>-171</v>
          </cell>
          <cell r="O349">
            <v>549</v>
          </cell>
          <cell r="R349">
            <v>-549</v>
          </cell>
          <cell r="S349">
            <v>-171</v>
          </cell>
          <cell r="V349" t="str">
            <v>Embedded</v>
          </cell>
          <cell r="W349" t="str">
            <v>Communications</v>
          </cell>
          <cell r="AA349" t="str">
            <v>[10200]  PECO Energy CompanyEmbeddedCommunications</v>
          </cell>
          <cell r="AB349" t="str">
            <v>[10200]  PECO Energy CompanyEmbedded (Communications)Other Operating Expenses</v>
          </cell>
          <cell r="AC349" t="str">
            <v>[10200]  PECO Energy CompanyEmbedded (Communications)Communications &amp; External Rela (21060)</v>
          </cell>
          <cell r="AF349" t="e">
            <v>#N/A</v>
          </cell>
        </row>
        <row r="350">
          <cell r="E350">
            <v>37332572</v>
          </cell>
          <cell r="H350">
            <v>-13597715</v>
          </cell>
          <cell r="I350">
            <v>-12763699</v>
          </cell>
          <cell r="J350">
            <v>106682059</v>
          </cell>
          <cell r="M350">
            <v>2310331</v>
          </cell>
          <cell r="N350">
            <v>-12763699</v>
          </cell>
          <cell r="O350">
            <v>309929946</v>
          </cell>
          <cell r="R350">
            <v>3649415</v>
          </cell>
          <cell r="S350">
            <v>-9587746</v>
          </cell>
          <cell r="V350" t="e">
            <v>#N/A</v>
          </cell>
          <cell r="W350" t="e">
            <v>#N/A</v>
          </cell>
          <cell r="AA350" t="e">
            <v>#N/A</v>
          </cell>
          <cell r="AB350" t="e">
            <v>#N/A</v>
          </cell>
          <cell r="AC350" t="e">
            <v>#N/A</v>
          </cell>
          <cell r="AF350" t="e">
            <v>#N/A</v>
          </cell>
        </row>
        <row r="351">
          <cell r="V351" t="e">
            <v>#N/A</v>
          </cell>
          <cell r="W351" t="e">
            <v>#N/A</v>
          </cell>
          <cell r="AA351" t="e">
            <v>#N/A</v>
          </cell>
          <cell r="AB351" t="e">
            <v>#N/A</v>
          </cell>
          <cell r="AC351" t="e">
            <v>#N/A</v>
          </cell>
          <cell r="AF351" t="e">
            <v>#N/A</v>
          </cell>
        </row>
        <row r="352">
          <cell r="V352" t="e">
            <v>#N/A</v>
          </cell>
          <cell r="W352" t="e">
            <v>#N/A</v>
          </cell>
          <cell r="AA352" t="e">
            <v>#N/A</v>
          </cell>
          <cell r="AB352" t="e">
            <v>#N/A</v>
          </cell>
          <cell r="AC352" t="e">
            <v>#N/A</v>
          </cell>
          <cell r="AF352" t="e">
            <v>#N/A</v>
          </cell>
        </row>
        <row r="353">
          <cell r="V353" t="e">
            <v>#N/A</v>
          </cell>
          <cell r="W353" t="e">
            <v>#N/A</v>
          </cell>
          <cell r="AA353" t="e">
            <v>#N/A</v>
          </cell>
          <cell r="AB353" t="e">
            <v>#N/A</v>
          </cell>
          <cell r="AC353" t="e">
            <v>#N/A</v>
          </cell>
          <cell r="AF353" t="e">
            <v>#N/A</v>
          </cell>
        </row>
        <row r="354">
          <cell r="V354" t="e">
            <v>#N/A</v>
          </cell>
          <cell r="W354" t="e">
            <v>#N/A</v>
          </cell>
          <cell r="AA354" t="e">
            <v>#N/A</v>
          </cell>
          <cell r="AB354" t="e">
            <v>#N/A</v>
          </cell>
          <cell r="AC354" t="e">
            <v>#N/A</v>
          </cell>
          <cell r="AF354" t="e">
            <v>#N/A</v>
          </cell>
        </row>
        <row r="355">
          <cell r="V355" t="e">
            <v>#N/A</v>
          </cell>
          <cell r="W355" t="e">
            <v>#N/A</v>
          </cell>
          <cell r="AA355" t="e">
            <v>#N/A</v>
          </cell>
          <cell r="AB355" t="e">
            <v>#N/A</v>
          </cell>
          <cell r="AC355" t="e">
            <v>#N/A</v>
          </cell>
          <cell r="AF355" t="e">
            <v>#N/A</v>
          </cell>
        </row>
        <row r="356">
          <cell r="V356" t="e">
            <v>#N/A</v>
          </cell>
          <cell r="W356" t="e">
            <v>#N/A</v>
          </cell>
          <cell r="AA356" t="e">
            <v>#N/A</v>
          </cell>
          <cell r="AB356" t="e">
            <v>#N/A</v>
          </cell>
          <cell r="AC356" t="e">
            <v>#N/A</v>
          </cell>
          <cell r="AF356" t="e">
            <v>#N/A</v>
          </cell>
        </row>
        <row r="357">
          <cell r="V357" t="e">
            <v>#N/A</v>
          </cell>
          <cell r="W357" t="e">
            <v>#N/A</v>
          </cell>
          <cell r="AA357" t="e">
            <v>#N/A</v>
          </cell>
          <cell r="AB357" t="e">
            <v>#N/A</v>
          </cell>
          <cell r="AC357" t="e">
            <v>#N/A</v>
          </cell>
          <cell r="AF357" t="e">
            <v>#N/A</v>
          </cell>
        </row>
        <row r="358">
          <cell r="V358" t="e">
            <v>#N/A</v>
          </cell>
          <cell r="W358" t="e">
            <v>#N/A</v>
          </cell>
          <cell r="AA358" t="e">
            <v>#N/A</v>
          </cell>
          <cell r="AB358" t="e">
            <v>#N/A</v>
          </cell>
          <cell r="AC358" t="e">
            <v>#N/A</v>
          </cell>
          <cell r="AF358" t="e">
            <v>#N/A</v>
          </cell>
        </row>
        <row r="359">
          <cell r="E359">
            <v>-8700000</v>
          </cell>
          <cell r="H359">
            <v>8700000</v>
          </cell>
          <cell r="I359">
            <v>8700000</v>
          </cell>
          <cell r="J359">
            <v>0</v>
          </cell>
          <cell r="M359">
            <v>0</v>
          </cell>
          <cell r="N359">
            <v>8700000</v>
          </cell>
          <cell r="O359">
            <v>0</v>
          </cell>
          <cell r="R359">
            <v>0</v>
          </cell>
          <cell r="S359">
            <v>8700000</v>
          </cell>
          <cell r="V359" t="str">
            <v>Embedded</v>
          </cell>
          <cell r="W359" t="str">
            <v>Finance</v>
          </cell>
          <cell r="AA359" t="str">
            <v>[10200]  PECO Energy CompanyEmbeddedFinance</v>
          </cell>
          <cell r="AB359" t="str">
            <v>[10200]  PECO Energy CompanyEmbedded (Finance)Contracting</v>
          </cell>
          <cell r="AC359" t="str">
            <v>[10200]  PECO Energy CompanyEmbedded (Finance)Tax-PECO (00817)</v>
          </cell>
          <cell r="AF359" t="str">
            <v>EEDTaxContracting</v>
          </cell>
        </row>
        <row r="360">
          <cell r="V360" t="e">
            <v>#N/A</v>
          </cell>
          <cell r="W360" t="e">
            <v>#N/A</v>
          </cell>
          <cell r="AA360" t="e">
            <v>#N/A</v>
          </cell>
          <cell r="AB360" t="e">
            <v>#N/A</v>
          </cell>
          <cell r="AC360" t="e">
            <v>#N/A</v>
          </cell>
          <cell r="AF360" t="e">
            <v>#N/A</v>
          </cell>
        </row>
        <row r="361">
          <cell r="E361">
            <v>0</v>
          </cell>
          <cell r="H361">
            <v>0</v>
          </cell>
          <cell r="I361">
            <v>0</v>
          </cell>
          <cell r="J361">
            <v>0</v>
          </cell>
          <cell r="M361">
            <v>0</v>
          </cell>
          <cell r="N361">
            <v>0</v>
          </cell>
          <cell r="O361">
            <v>0</v>
          </cell>
          <cell r="R361">
            <v>0</v>
          </cell>
          <cell r="S361">
            <v>3083600</v>
          </cell>
          <cell r="V361" t="str">
            <v>EBSC Transactional2</v>
          </cell>
          <cell r="W361" t="str">
            <v>Tools For People</v>
          </cell>
          <cell r="AA361" t="str">
            <v>[10200]  PECO Energy CompanyEBSC TransactionalTools For People</v>
          </cell>
          <cell r="AB361" t="str">
            <v>[10200]  PECO Energy CompanyEBSC Transactional (Tools For People)Business Services</v>
          </cell>
          <cell r="AC361" t="str">
            <v>[10200]  PECO Energy CompanyEBSC Transactional (Tools For People)Cust&amp;Mrkt Svcs&amp;Fleet Mgmt-PECO (Peco Customer Service Systems)</v>
          </cell>
          <cell r="AF361" t="e">
            <v>#N/A</v>
          </cell>
        </row>
        <row r="362">
          <cell r="V362" t="e">
            <v>#N/A</v>
          </cell>
          <cell r="W362" t="e">
            <v>#N/A</v>
          </cell>
          <cell r="AA362" t="e">
            <v>#N/A</v>
          </cell>
          <cell r="AB362" t="e">
            <v>#N/A</v>
          </cell>
          <cell r="AC362" t="e">
            <v>#N/A</v>
          </cell>
          <cell r="AF362" t="e">
            <v>#N/A</v>
          </cell>
        </row>
        <row r="363">
          <cell r="E363" t="str">
            <v>Actual Activity Amount</v>
          </cell>
          <cell r="H363" t="str">
            <v>Variance to Mon Budget</v>
          </cell>
          <cell r="I363" t="str">
            <v>Variance to Mo QtrLE</v>
          </cell>
          <cell r="J363" t="str">
            <v>Actual YTD Activity Amount</v>
          </cell>
          <cell r="M363" t="str">
            <v>Variance to YTD Budget</v>
          </cell>
          <cell r="N363" t="str">
            <v>Variance to YTD Qtr LE</v>
          </cell>
          <cell r="O363" t="str">
            <v>YEND Planning Amount(EED O&amp;M FY LE)</v>
          </cell>
          <cell r="R363" t="str">
            <v>Variance YE Budget</v>
          </cell>
          <cell r="S363" t="str">
            <v>Variance YE Qtr LE</v>
          </cell>
          <cell r="V363" t="e">
            <v>#N/A</v>
          </cell>
          <cell r="W363" t="e">
            <v>#N/A</v>
          </cell>
          <cell r="AA363" t="e">
            <v>#N/A</v>
          </cell>
          <cell r="AB363" t="e">
            <v>#N/A</v>
          </cell>
          <cell r="AC363" t="e">
            <v>#N/A</v>
          </cell>
          <cell r="AF363" t="e">
            <v>#N/A</v>
          </cell>
        </row>
        <row r="364">
          <cell r="E364">
            <v>-632000</v>
          </cell>
          <cell r="H364">
            <v>632000</v>
          </cell>
          <cell r="I364">
            <v>632000</v>
          </cell>
          <cell r="J364">
            <v>-2064764</v>
          </cell>
          <cell r="M364">
            <v>2064764</v>
          </cell>
          <cell r="N364">
            <v>632000</v>
          </cell>
          <cell r="O364">
            <v>-2064764</v>
          </cell>
          <cell r="R364">
            <v>2064764</v>
          </cell>
          <cell r="S364">
            <v>632000</v>
          </cell>
          <cell r="V364" t="str">
            <v>EBSC Transactional2</v>
          </cell>
          <cell r="W364" t="str">
            <v>Tools For People</v>
          </cell>
          <cell r="AA364" t="str">
            <v>[10601]  Commonwealth Edison CompanyEBSC TransactionalTools For People</v>
          </cell>
          <cell r="AB364" t="str">
            <v>[10601]  Commonwealth Edison CompanyEBSC Transactional (Tools For People)Business Services</v>
          </cell>
          <cell r="AC364" t="str">
            <v>[10601]  Commonwealth Edison CompanyEBSC Transactional (Tools For People)Capitalized Overheads - ComEd (00412 - Capitalzed Overheads-CED)</v>
          </cell>
          <cell r="AF364" t="e">
            <v>#N/A</v>
          </cell>
        </row>
        <row r="365">
          <cell r="E365">
            <v>0</v>
          </cell>
          <cell r="H365">
            <v>0</v>
          </cell>
          <cell r="I365">
            <v>0</v>
          </cell>
          <cell r="J365">
            <v>0</v>
          </cell>
          <cell r="M365">
            <v>0</v>
          </cell>
          <cell r="N365">
            <v>0</v>
          </cell>
          <cell r="O365">
            <v>0</v>
          </cell>
          <cell r="R365">
            <v>0</v>
          </cell>
          <cell r="S365">
            <v>0</v>
          </cell>
          <cell r="V365" t="str">
            <v>EBSC Transactional2</v>
          </cell>
          <cell r="W365" t="str">
            <v>Passthroughs</v>
          </cell>
          <cell r="AA365" t="str">
            <v>[10601]  Commonwealth Edison CompanyEBSC TransactionalPassthroughs</v>
          </cell>
          <cell r="AB365" t="str">
            <v>[10601]  Commonwealth Edison CompanyEBSC Transactional (Passthroughs)Other Operating Expenses</v>
          </cell>
          <cell r="AC365" t="str">
            <v>[10601]  Commonwealth Edison CompanyEBSC Transactional (Passthroughs)Capitalized Overheads - ComEd (00412 - Capitalzed Overheads-CED)</v>
          </cell>
          <cell r="AF365" t="e">
            <v>#N/A</v>
          </cell>
        </row>
        <row r="366">
          <cell r="E366">
            <v>121266</v>
          </cell>
          <cell r="H366">
            <v>9034</v>
          </cell>
          <cell r="I366">
            <v>9034</v>
          </cell>
          <cell r="J366">
            <v>497888</v>
          </cell>
          <cell r="M366">
            <v>23312</v>
          </cell>
          <cell r="N366">
            <v>9034</v>
          </cell>
          <cell r="O366">
            <v>1540288</v>
          </cell>
          <cell r="R366">
            <v>23312</v>
          </cell>
          <cell r="S366">
            <v>9034</v>
          </cell>
          <cell r="V366" t="str">
            <v>EBSC Transactional2</v>
          </cell>
          <cell r="W366" t="str">
            <v>Tools For People</v>
          </cell>
          <cell r="AA366" t="str">
            <v>[10601]  Commonwealth Edison CompanyEBSC TransactionalTools For People</v>
          </cell>
          <cell r="AB366" t="str">
            <v>[10601]  Commonwealth Edison CompanyEBSC Transactional (Tools For People)Business Services</v>
          </cell>
          <cell r="AC366" t="str">
            <v>[10601]  Commonwealth Edison CompanyEBSC Transactional (Tools For People)Cust&amp;Mrkt Srvcs Fleet Mgmt-CED (ComEd Customer Contact Center)</v>
          </cell>
          <cell r="AF366" t="e">
            <v>#N/A</v>
          </cell>
        </row>
        <row r="367">
          <cell r="E367">
            <v>165077</v>
          </cell>
          <cell r="H367">
            <v>25105</v>
          </cell>
          <cell r="I367">
            <v>25105</v>
          </cell>
          <cell r="J367">
            <v>602035</v>
          </cell>
          <cell r="M367">
            <v>22349</v>
          </cell>
          <cell r="N367">
            <v>25105</v>
          </cell>
          <cell r="O367">
            <v>2174650</v>
          </cell>
          <cell r="R367">
            <v>22349</v>
          </cell>
          <cell r="S367">
            <v>25105</v>
          </cell>
          <cell r="V367" t="str">
            <v>EBSC Transactional2</v>
          </cell>
          <cell r="W367" t="str">
            <v>Passthroughs</v>
          </cell>
          <cell r="AA367" t="str">
            <v>[10601]  Commonwealth Edison CompanyEBSC TransactionalPassthroughs</v>
          </cell>
          <cell r="AB367" t="str">
            <v>[10601]  Commonwealth Edison CompanyEBSC Transactional (Passthroughs)Other Operating Expenses</v>
          </cell>
          <cell r="AC367" t="str">
            <v>[10601]  Commonwealth Edison CompanyEBSC Transactional (Passthroughs)Cust&amp;Mrkt Srvcs Fleet Mgmt-CED (ComEd Customer Contact Center)</v>
          </cell>
          <cell r="AF367" t="e">
            <v>#N/A</v>
          </cell>
        </row>
        <row r="368">
          <cell r="E368">
            <v>39944</v>
          </cell>
          <cell r="H368">
            <v>9935</v>
          </cell>
          <cell r="I368">
            <v>9686</v>
          </cell>
          <cell r="J368">
            <v>173209</v>
          </cell>
          <cell r="M368">
            <v>26309</v>
          </cell>
          <cell r="N368">
            <v>9686</v>
          </cell>
          <cell r="O368">
            <v>575471</v>
          </cell>
          <cell r="R368">
            <v>24573</v>
          </cell>
          <cell r="S368">
            <v>9686</v>
          </cell>
          <cell r="V368" t="str">
            <v>EBSC Transactional2</v>
          </cell>
          <cell r="W368" t="str">
            <v>Tools For People</v>
          </cell>
          <cell r="AA368" t="str">
            <v>[10601]  Commonwealth Edison CompanyEBSC TransactionalTools For People</v>
          </cell>
          <cell r="AB368" t="str">
            <v>[10601]  Commonwealth Edison CompanyEBSC Transactional (Tools For People)Business Services</v>
          </cell>
          <cell r="AC368" t="str">
            <v>[10601]  Commonwealth Edison CompanyEBSC Transactional (Tools For People)Cust&amp;Mrkt Srvcs Fleet Mgmt-CED (ComEd Customer Financial Ops)</v>
          </cell>
          <cell r="AF368" t="e">
            <v>#N/A</v>
          </cell>
        </row>
        <row r="369">
          <cell r="E369">
            <v>10497</v>
          </cell>
          <cell r="H369">
            <v>-9912</v>
          </cell>
          <cell r="I369">
            <v>-9912</v>
          </cell>
          <cell r="J369">
            <v>22616</v>
          </cell>
          <cell r="M369">
            <v>-20276</v>
          </cell>
          <cell r="N369">
            <v>-9912</v>
          </cell>
          <cell r="O369">
            <v>28286</v>
          </cell>
          <cell r="R369">
            <v>-20469</v>
          </cell>
          <cell r="S369">
            <v>-9912</v>
          </cell>
          <cell r="V369" t="str">
            <v>EBSC Transactional2</v>
          </cell>
          <cell r="W369" t="str">
            <v>Passthroughs</v>
          </cell>
          <cell r="AA369" t="str">
            <v>[10601]  Commonwealth Edison CompanyEBSC TransactionalPassthroughs</v>
          </cell>
          <cell r="AB369" t="str">
            <v>[10601]  Commonwealth Edison CompanyEBSC Transactional (Passthroughs)Other Operating Expenses</v>
          </cell>
          <cell r="AC369" t="str">
            <v>[10601]  Commonwealth Edison CompanyEBSC Transactional (Passthroughs)Cust&amp;Mrkt Srvcs Fleet Mgmt-CED (ComEd Customer Financial Ops)</v>
          </cell>
          <cell r="AF369" t="e">
            <v>#N/A</v>
          </cell>
        </row>
        <row r="370">
          <cell r="E370">
            <v>0</v>
          </cell>
          <cell r="H370">
            <v>1200</v>
          </cell>
          <cell r="I370">
            <v>1200</v>
          </cell>
          <cell r="J370">
            <v>0</v>
          </cell>
          <cell r="M370">
            <v>4800</v>
          </cell>
          <cell r="N370">
            <v>1200</v>
          </cell>
          <cell r="O370">
            <v>9600</v>
          </cell>
          <cell r="R370">
            <v>4800</v>
          </cell>
          <cell r="S370">
            <v>1200</v>
          </cell>
          <cell r="V370" t="str">
            <v>EBSC Transactional2</v>
          </cell>
          <cell r="W370" t="str">
            <v>Passthroughs</v>
          </cell>
          <cell r="AA370" t="str">
            <v>[10601]  Commonwealth Edison CompanyEBSC TransactionalPassthroughs</v>
          </cell>
          <cell r="AB370" t="str">
            <v>[10601]  Commonwealth Edison CompanyEBSC Transactional (Passthroughs)Contracting</v>
          </cell>
          <cell r="AC370" t="str">
            <v>[10601]  Commonwealth Edison CompanyEBSC Transactional (Passthroughs)Cust&amp;Mrkt Srvcs Fleet Mgmt-CED (ComEd Cust Strategies &amp; Supprt)</v>
          </cell>
          <cell r="AF370" t="e">
            <v>#N/A</v>
          </cell>
        </row>
        <row r="371">
          <cell r="E371">
            <v>520660</v>
          </cell>
          <cell r="H371">
            <v>131336</v>
          </cell>
          <cell r="I371">
            <v>131336</v>
          </cell>
          <cell r="J371">
            <v>2326289</v>
          </cell>
          <cell r="M371">
            <v>281695</v>
          </cell>
          <cell r="N371">
            <v>131336</v>
          </cell>
          <cell r="O371">
            <v>7542257</v>
          </cell>
          <cell r="R371">
            <v>281695</v>
          </cell>
          <cell r="S371">
            <v>131336</v>
          </cell>
          <cell r="V371" t="str">
            <v>EBSC Transactional2</v>
          </cell>
          <cell r="W371" t="str">
            <v>Tools For People</v>
          </cell>
          <cell r="AA371" t="str">
            <v>[10601]  Commonwealth Edison CompanyEBSC TransactionalTools For People</v>
          </cell>
          <cell r="AB371" t="str">
            <v>[10601]  Commonwealth Edison CompanyEBSC Transactional (Tools For People)Business Services</v>
          </cell>
          <cell r="AC371" t="str">
            <v>[10601]  Commonwealth Edison CompanyEBSC Transactional (Tools For People)Cust&amp;Mrkt Srvcs Fleet Mgmt-CED (ComEd Cust Strategies &amp; Supprt)</v>
          </cell>
          <cell r="AF371" t="e">
            <v>#N/A</v>
          </cell>
        </row>
        <row r="372">
          <cell r="E372">
            <v>860</v>
          </cell>
          <cell r="H372">
            <v>1341</v>
          </cell>
          <cell r="I372">
            <v>1341</v>
          </cell>
          <cell r="J372">
            <v>4086</v>
          </cell>
          <cell r="M372">
            <v>4718</v>
          </cell>
          <cell r="N372">
            <v>1341</v>
          </cell>
          <cell r="O372">
            <v>21694</v>
          </cell>
          <cell r="R372">
            <v>4718</v>
          </cell>
          <cell r="S372">
            <v>1341</v>
          </cell>
          <cell r="V372" t="str">
            <v>EBSC Transactional2</v>
          </cell>
          <cell r="W372" t="str">
            <v>Passthroughs</v>
          </cell>
          <cell r="AA372" t="str">
            <v>[10601]  Commonwealth Edison CompanyEBSC TransactionalPassthroughs</v>
          </cell>
          <cell r="AB372" t="str">
            <v>[10601]  Commonwealth Edison CompanyEBSC Transactional (Passthroughs)Other Operating Expenses</v>
          </cell>
          <cell r="AC372" t="str">
            <v>[10601]  Commonwealth Edison CompanyEBSC Transactional (Passthroughs)Cust&amp;Mrkt Srvcs Fleet Mgmt-CED (ComEd Cust Strategies &amp; Supprt)</v>
          </cell>
          <cell r="AF372" t="e">
            <v>#N/A</v>
          </cell>
        </row>
        <row r="373">
          <cell r="E373">
            <v>673</v>
          </cell>
          <cell r="H373">
            <v>-673</v>
          </cell>
          <cell r="I373">
            <v>-673</v>
          </cell>
          <cell r="J373">
            <v>819</v>
          </cell>
          <cell r="M373">
            <v>-819</v>
          </cell>
          <cell r="N373">
            <v>-673</v>
          </cell>
          <cell r="O373">
            <v>819</v>
          </cell>
          <cell r="R373">
            <v>-819</v>
          </cell>
          <cell r="S373">
            <v>-673</v>
          </cell>
          <cell r="V373" t="str">
            <v>EBSC Transactional2</v>
          </cell>
          <cell r="W373" t="str">
            <v>Passthroughs</v>
          </cell>
          <cell r="AA373" t="str">
            <v>[10601]  Commonwealth Edison CompanyEBSC TransactionalPassthroughs</v>
          </cell>
          <cell r="AB373" t="str">
            <v>[10601]  Commonwealth Edison CompanyEBSC Transactional (Passthroughs)Contracting</v>
          </cell>
          <cell r="AC373" t="str">
            <v>[10601]  Commonwealth Edison CompanyEBSC Transactional (Passthroughs)Cust&amp;Mrkt Srvcs Fleet Mgmt-CED (ComEd Energy &amp; Marketing Srvcs)</v>
          </cell>
          <cell r="AF373" t="e">
            <v>#N/A</v>
          </cell>
        </row>
        <row r="374">
          <cell r="E374">
            <v>64602</v>
          </cell>
          <cell r="H374">
            <v>3747</v>
          </cell>
          <cell r="I374">
            <v>3747</v>
          </cell>
          <cell r="J374">
            <v>271044</v>
          </cell>
          <cell r="M374">
            <v>2352</v>
          </cell>
          <cell r="N374">
            <v>3747</v>
          </cell>
          <cell r="O374">
            <v>831850</v>
          </cell>
          <cell r="R374">
            <v>2350</v>
          </cell>
          <cell r="S374">
            <v>3747</v>
          </cell>
          <cell r="V374" t="str">
            <v>EBSC Transactional2</v>
          </cell>
          <cell r="W374" t="str">
            <v>Tools For People</v>
          </cell>
          <cell r="AA374" t="str">
            <v>[10601]  Commonwealth Edison CompanyEBSC TransactionalTools For People</v>
          </cell>
          <cell r="AB374" t="str">
            <v>[10601]  Commonwealth Edison CompanyEBSC Transactional (Tools For People)Business Services</v>
          </cell>
          <cell r="AC374" t="str">
            <v>[10601]  Commonwealth Edison CompanyEBSC Transactional (Tools For People)Cust&amp;Mrkt Srvcs Fleet Mgmt-CED (ComEd Energy &amp; Marketing Srvcs)</v>
          </cell>
          <cell r="AF374" t="e">
            <v>#N/A</v>
          </cell>
        </row>
        <row r="375">
          <cell r="E375">
            <v>8007</v>
          </cell>
          <cell r="H375">
            <v>-8007</v>
          </cell>
          <cell r="I375">
            <v>-8007</v>
          </cell>
          <cell r="J375">
            <v>27547</v>
          </cell>
          <cell r="M375">
            <v>-27547</v>
          </cell>
          <cell r="N375">
            <v>-8007</v>
          </cell>
          <cell r="O375">
            <v>27547</v>
          </cell>
          <cell r="R375">
            <v>-27547</v>
          </cell>
          <cell r="S375">
            <v>-8007</v>
          </cell>
          <cell r="V375" t="str">
            <v>EBSC Transactional2</v>
          </cell>
          <cell r="W375" t="str">
            <v>Passthroughs</v>
          </cell>
          <cell r="AA375" t="str">
            <v>[10601]  Commonwealth Edison CompanyEBSC TransactionalPassthroughs</v>
          </cell>
          <cell r="AB375" t="str">
            <v>[10601]  Commonwealth Edison CompanyEBSC Transactional (Passthroughs)Other Operating Expenses</v>
          </cell>
          <cell r="AC375" t="str">
            <v>[10601]  Commonwealth Edison CompanyEBSC Transactional (Passthroughs)Cust&amp;Mrkt Srvcs Fleet Mgmt-CED (ComEd Energy &amp; Marketing Srvcs)</v>
          </cell>
          <cell r="AF375" t="e">
            <v>#N/A</v>
          </cell>
        </row>
        <row r="376">
          <cell r="E376">
            <v>59401</v>
          </cell>
          <cell r="H376">
            <v>21599</v>
          </cell>
          <cell r="I376">
            <v>2924</v>
          </cell>
          <cell r="J376">
            <v>245504</v>
          </cell>
          <cell r="M376">
            <v>78496</v>
          </cell>
          <cell r="N376">
            <v>2924</v>
          </cell>
          <cell r="O376">
            <v>744104</v>
          </cell>
          <cell r="R376">
            <v>228896</v>
          </cell>
          <cell r="S376">
            <v>2924</v>
          </cell>
          <cell r="V376" t="str">
            <v>EBSC Transactional2</v>
          </cell>
          <cell r="W376" t="str">
            <v>Tools For People</v>
          </cell>
          <cell r="AA376" t="str">
            <v>[10601]  Commonwealth Edison CompanyEBSC TransactionalTools For People</v>
          </cell>
          <cell r="AB376" t="str">
            <v>[10601]  Commonwealth Edison CompanyEBSC Transactional (Tools For People)Business Services</v>
          </cell>
          <cell r="AC376" t="str">
            <v>[10601]  Commonwealth Edison CompanyEBSC Transactional (Tools For People)Cust&amp;Mrkt Srvcs Fleet Mgmt-CED (ComEd Field Operations)</v>
          </cell>
          <cell r="AF376" t="e">
            <v>#N/A</v>
          </cell>
        </row>
        <row r="377">
          <cell r="E377">
            <v>24627</v>
          </cell>
          <cell r="H377">
            <v>-24627</v>
          </cell>
          <cell r="I377">
            <v>-24627</v>
          </cell>
          <cell r="J377">
            <v>98104</v>
          </cell>
          <cell r="M377">
            <v>-98104</v>
          </cell>
          <cell r="N377">
            <v>-24627</v>
          </cell>
          <cell r="O377">
            <v>98104</v>
          </cell>
          <cell r="R377">
            <v>-98104</v>
          </cell>
          <cell r="S377">
            <v>-24627</v>
          </cell>
          <cell r="V377" t="str">
            <v>EBSC Transactional2</v>
          </cell>
          <cell r="W377" t="str">
            <v>Passthroughs</v>
          </cell>
          <cell r="AA377" t="str">
            <v>[10601]  Commonwealth Edison CompanyEBSC TransactionalPassthroughs</v>
          </cell>
          <cell r="AB377" t="str">
            <v>[10601]  Commonwealth Edison CompanyEBSC Transactional (Passthroughs)Other Operating Expenses</v>
          </cell>
          <cell r="AC377" t="str">
            <v>[10601]  Commonwealth Edison CompanyEBSC Transactional (Passthroughs)Cust&amp;Mrkt Srvcs Fleet Mgmt-CED (ComEd Field Operations)</v>
          </cell>
          <cell r="AF377" t="e">
            <v>#N/A</v>
          </cell>
        </row>
        <row r="378">
          <cell r="E378">
            <v>113</v>
          </cell>
          <cell r="H378">
            <v>-113</v>
          </cell>
          <cell r="I378">
            <v>-113</v>
          </cell>
          <cell r="J378">
            <v>453</v>
          </cell>
          <cell r="M378">
            <v>-453</v>
          </cell>
          <cell r="N378">
            <v>-113</v>
          </cell>
          <cell r="O378">
            <v>453</v>
          </cell>
          <cell r="R378">
            <v>-453</v>
          </cell>
          <cell r="S378">
            <v>-113</v>
          </cell>
          <cell r="V378" t="str">
            <v>EBSC Transactional2</v>
          </cell>
          <cell r="W378" t="str">
            <v>Tools For People</v>
          </cell>
          <cell r="AA378" t="str">
            <v>[10601]  Commonwealth Edison CompanyEBSC TransactionalTools For People</v>
          </cell>
          <cell r="AB378" t="str">
            <v>[10601]  Commonwealth Edison CompanyEBSC Transactional (Tools For People)Business Services</v>
          </cell>
          <cell r="AC378" t="str">
            <v>[10601]  Commonwealth Edison CompanyEBSC Transactional (Tools For People)Cust&amp;Mrkt Srvcs Fleet Mgmt-CED (Office of the VP)</v>
          </cell>
          <cell r="AF378" t="e">
            <v>#N/A</v>
          </cell>
        </row>
        <row r="379">
          <cell r="E379">
            <v>34</v>
          </cell>
          <cell r="H379">
            <v>-34</v>
          </cell>
          <cell r="I379">
            <v>-34</v>
          </cell>
          <cell r="J379">
            <v>111</v>
          </cell>
          <cell r="M379">
            <v>-111</v>
          </cell>
          <cell r="N379">
            <v>-34</v>
          </cell>
          <cell r="O379">
            <v>111</v>
          </cell>
          <cell r="R379">
            <v>-111</v>
          </cell>
          <cell r="S379">
            <v>-34</v>
          </cell>
          <cell r="V379" t="str">
            <v>EBSC Transactional2</v>
          </cell>
          <cell r="W379" t="str">
            <v>Passthroughs</v>
          </cell>
          <cell r="AA379" t="str">
            <v>[10601]  Commonwealth Edison CompanyEBSC TransactionalPassthroughs</v>
          </cell>
          <cell r="AB379" t="str">
            <v>[10601]  Commonwealth Edison CompanyEBSC Transactional (Passthroughs)Other Operating Expenses</v>
          </cell>
          <cell r="AC379" t="str">
            <v>[10601]  Commonwealth Edison CompanyEBSC Transactional (Passthroughs)Cust&amp;Mrkt Srvcs Fleet Mgmt-CED (Office of the VP)</v>
          </cell>
          <cell r="AF379" t="e">
            <v>#N/A</v>
          </cell>
        </row>
        <row r="380">
          <cell r="E380">
            <v>57</v>
          </cell>
          <cell r="H380">
            <v>-57</v>
          </cell>
          <cell r="I380">
            <v>-57</v>
          </cell>
          <cell r="J380">
            <v>61</v>
          </cell>
          <cell r="M380">
            <v>-61</v>
          </cell>
          <cell r="N380">
            <v>-57</v>
          </cell>
          <cell r="O380">
            <v>61</v>
          </cell>
          <cell r="R380">
            <v>-61</v>
          </cell>
          <cell r="S380">
            <v>-57</v>
          </cell>
          <cell r="V380" t="str">
            <v>EBSC Transactional2</v>
          </cell>
          <cell r="W380" t="str">
            <v>Tools For People</v>
          </cell>
          <cell r="AA380" t="str">
            <v>[10601]  Commonwealth Edison CompanyEBSC TransactionalTools For People</v>
          </cell>
          <cell r="AB380" t="str">
            <v>[10601]  Commonwealth Edison CompanyEBSC Transactional (Tools For People)Business Services</v>
          </cell>
          <cell r="AC380" t="str">
            <v>[10601]  Commonwealth Edison CompanyEBSC Transactional (Tools For People)Gen Company Activities-ComEd (01485 - Team Edison)</v>
          </cell>
          <cell r="AF380" t="e">
            <v>#N/A</v>
          </cell>
        </row>
        <row r="381">
          <cell r="E381">
            <v>179</v>
          </cell>
          <cell r="H381">
            <v>-179</v>
          </cell>
          <cell r="I381">
            <v>-179</v>
          </cell>
          <cell r="J381">
            <v>179</v>
          </cell>
          <cell r="M381">
            <v>-179</v>
          </cell>
          <cell r="N381">
            <v>-179</v>
          </cell>
          <cell r="O381">
            <v>179</v>
          </cell>
          <cell r="R381">
            <v>-179</v>
          </cell>
          <cell r="S381">
            <v>-179</v>
          </cell>
          <cell r="V381" t="str">
            <v>EBSC Transactional2</v>
          </cell>
          <cell r="W381" t="str">
            <v>Tools For People</v>
          </cell>
          <cell r="AA381" t="str">
            <v>[10601]  Commonwealth Edison CompanyEBSC TransactionalTools For People</v>
          </cell>
          <cell r="AB381" t="str">
            <v>[10601]  Commonwealth Edison CompanyEBSC Transactional (Tools For People)Business Services</v>
          </cell>
          <cell r="AC381" t="str">
            <v>[10601]  Commonwealth Edison CompanyEBSC Transactional (Tools For People)Gen Company Activities-ComEd (03603 - Region Lead-Chicago South)</v>
          </cell>
          <cell r="AF381" t="e">
            <v>#N/A</v>
          </cell>
        </row>
        <row r="382">
          <cell r="E382">
            <v>0</v>
          </cell>
          <cell r="H382">
            <v>0</v>
          </cell>
          <cell r="I382">
            <v>0</v>
          </cell>
          <cell r="J382">
            <v>0</v>
          </cell>
          <cell r="M382">
            <v>0</v>
          </cell>
          <cell r="N382">
            <v>0</v>
          </cell>
          <cell r="O382">
            <v>0</v>
          </cell>
          <cell r="R382">
            <v>0</v>
          </cell>
          <cell r="S382">
            <v>0</v>
          </cell>
          <cell r="V382" t="str">
            <v>EBSC Transactional2</v>
          </cell>
          <cell r="W382" t="str">
            <v>Passthroughs</v>
          </cell>
          <cell r="AA382" t="str">
            <v>[10601]  Commonwealth Edison CompanyEBSC TransactionalPassthroughs</v>
          </cell>
          <cell r="AB382" t="str">
            <v>[10601]  Commonwealth Edison CompanyEBSC Transactional (Passthroughs)Other Operating Expenses</v>
          </cell>
          <cell r="AC382" t="str">
            <v>[10601]  Commonwealth Edison CompanyEBSC Transactional (Passthroughs)Gen Company Activities-ComEd (03603 - Region Lead-Chicago South)</v>
          </cell>
          <cell r="AF382" t="e">
            <v>#N/A</v>
          </cell>
        </row>
        <row r="383">
          <cell r="E383">
            <v>74</v>
          </cell>
          <cell r="H383">
            <v>-74</v>
          </cell>
          <cell r="I383">
            <v>-74</v>
          </cell>
          <cell r="J383">
            <v>150</v>
          </cell>
          <cell r="M383">
            <v>-150</v>
          </cell>
          <cell r="N383">
            <v>-74</v>
          </cell>
          <cell r="O383">
            <v>150</v>
          </cell>
          <cell r="R383">
            <v>-150</v>
          </cell>
          <cell r="S383">
            <v>-74</v>
          </cell>
          <cell r="V383" t="str">
            <v>EBSC Transactional2</v>
          </cell>
          <cell r="W383" t="str">
            <v>Tools For People</v>
          </cell>
          <cell r="AA383" t="str">
            <v>[10601]  Commonwealth Edison CompanyEBSC TransactionalTools For People</v>
          </cell>
          <cell r="AB383" t="str">
            <v>[10601]  Commonwealth Edison CompanyEBSC Transactional (Tools For People)Business Services</v>
          </cell>
          <cell r="AC383" t="str">
            <v>[10601]  Commonwealth Edison CompanyEBSC Transactional (Tools For People)Gen Company Activities-ComEd (07999 - T&amp;D General Co Activities)</v>
          </cell>
          <cell r="AF383" t="e">
            <v>#N/A</v>
          </cell>
        </row>
        <row r="384">
          <cell r="E384">
            <v>291</v>
          </cell>
          <cell r="H384">
            <v>-291</v>
          </cell>
          <cell r="I384">
            <v>-291</v>
          </cell>
          <cell r="J384">
            <v>396</v>
          </cell>
          <cell r="M384">
            <v>-396</v>
          </cell>
          <cell r="N384">
            <v>-291</v>
          </cell>
          <cell r="O384">
            <v>396</v>
          </cell>
          <cell r="R384">
            <v>-396</v>
          </cell>
          <cell r="S384">
            <v>-291</v>
          </cell>
          <cell r="V384" t="str">
            <v>EBSC Transactional2</v>
          </cell>
          <cell r="W384" t="str">
            <v>Passthroughs</v>
          </cell>
          <cell r="AA384" t="str">
            <v>[10601]  Commonwealth Edison CompanyEBSC TransactionalPassthroughs</v>
          </cell>
          <cell r="AB384" t="str">
            <v>[10601]  Commonwealth Edison CompanyEBSC Transactional (Passthroughs)Other Operating Expenses</v>
          </cell>
          <cell r="AC384" t="str">
            <v>[10601]  Commonwealth Edison CompanyEBSC Transactional (Passthroughs)Gen Company Activities-ComEd (07999 - T&amp;D General Co Activities)</v>
          </cell>
          <cell r="AF384" t="e">
            <v>#N/A</v>
          </cell>
        </row>
        <row r="385">
          <cell r="E385">
            <v>0</v>
          </cell>
          <cell r="H385">
            <v>0</v>
          </cell>
          <cell r="I385">
            <v>0</v>
          </cell>
          <cell r="J385">
            <v>178785</v>
          </cell>
          <cell r="M385">
            <v>-178785</v>
          </cell>
          <cell r="N385">
            <v>0</v>
          </cell>
          <cell r="O385">
            <v>178785</v>
          </cell>
          <cell r="R385">
            <v>-178785</v>
          </cell>
          <cell r="S385">
            <v>0</v>
          </cell>
          <cell r="V385" t="str">
            <v>EBSC Transactional2</v>
          </cell>
          <cell r="W385" t="str">
            <v>Tools For People</v>
          </cell>
          <cell r="AA385" t="str">
            <v>[10601]  Commonwealth Edison CompanyEBSC TransactionalTools For People</v>
          </cell>
          <cell r="AB385" t="str">
            <v>[10601]  Commonwealth Edison CompanyEBSC Transactional (Tools For People)Business Services</v>
          </cell>
          <cell r="AC385" t="str">
            <v>[10601]  Commonwealth Edison CompanyEBSC Transactional (Tools For People)Gen Company Activities-ComEd (08000 - CED Exelon Way)</v>
          </cell>
          <cell r="AF385" t="e">
            <v>#N/A</v>
          </cell>
        </row>
        <row r="386">
          <cell r="E386">
            <v>0</v>
          </cell>
          <cell r="H386">
            <v>0</v>
          </cell>
          <cell r="I386">
            <v>0</v>
          </cell>
          <cell r="J386">
            <v>3</v>
          </cell>
          <cell r="M386">
            <v>-3</v>
          </cell>
          <cell r="N386">
            <v>0</v>
          </cell>
          <cell r="O386">
            <v>3</v>
          </cell>
          <cell r="R386">
            <v>-3</v>
          </cell>
          <cell r="S386">
            <v>0</v>
          </cell>
          <cell r="V386" t="str">
            <v>EBSC Transactional2</v>
          </cell>
          <cell r="W386" t="str">
            <v>Tools For People</v>
          </cell>
          <cell r="AA386" t="str">
            <v>[10601]  Commonwealth Edison CompanyEBSC TransactionalTools For People</v>
          </cell>
          <cell r="AB386" t="str">
            <v>[10601]  Commonwealth Edison CompanyEBSC Transactional (Tools For People)Business Services</v>
          </cell>
          <cell r="AC386" t="str">
            <v>[10601]  Commonwealth Edison CompanyEBSC Transactional (Tools For People)Gen Company Activities-ComEd (08264 - CED Incentive)</v>
          </cell>
          <cell r="AF386" t="e">
            <v>#N/A</v>
          </cell>
        </row>
        <row r="387">
          <cell r="E387">
            <v>0</v>
          </cell>
          <cell r="H387">
            <v>0</v>
          </cell>
          <cell r="I387">
            <v>0</v>
          </cell>
          <cell r="J387">
            <v>17</v>
          </cell>
          <cell r="M387">
            <v>-17</v>
          </cell>
          <cell r="N387">
            <v>0</v>
          </cell>
          <cell r="O387">
            <v>17</v>
          </cell>
          <cell r="R387">
            <v>-17</v>
          </cell>
          <cell r="S387">
            <v>0</v>
          </cell>
          <cell r="V387" t="str">
            <v>EBSC Transactional2</v>
          </cell>
          <cell r="W387" t="str">
            <v>Tools For People</v>
          </cell>
          <cell r="AA387" t="str">
            <v>[10601]  Commonwealth Edison CompanyEBSC TransactionalTools For People</v>
          </cell>
          <cell r="AB387" t="str">
            <v>[10601]  Commonwealth Edison CompanyEBSC Transactional (Tools For People)Business Services</v>
          </cell>
          <cell r="AC387" t="str">
            <v>[10601]  Commonwealth Edison CompanyEBSC Transactional (Tools For People)Gen Company Activities-ComEd (09950 - DCU Retirees' spouses)</v>
          </cell>
          <cell r="AF387" t="e">
            <v>#N/A</v>
          </cell>
        </row>
        <row r="388">
          <cell r="E388">
            <v>39</v>
          </cell>
          <cell r="H388">
            <v>-39</v>
          </cell>
          <cell r="I388">
            <v>-39</v>
          </cell>
          <cell r="J388">
            <v>156</v>
          </cell>
          <cell r="M388">
            <v>-156</v>
          </cell>
          <cell r="N388">
            <v>-39</v>
          </cell>
          <cell r="O388">
            <v>156</v>
          </cell>
          <cell r="R388">
            <v>-156</v>
          </cell>
          <cell r="S388">
            <v>-39</v>
          </cell>
          <cell r="V388" t="str">
            <v>EBSC Transactional2</v>
          </cell>
          <cell r="W388" t="str">
            <v>Tools For People</v>
          </cell>
          <cell r="AA388" t="str">
            <v>[10601]  Commonwealth Edison CompanyEBSC TransactionalTools For People</v>
          </cell>
          <cell r="AB388" t="str">
            <v>[10601]  Commonwealth Edison CompanyEBSC Transactional (Tools For People)Business Services</v>
          </cell>
          <cell r="AC388" t="str">
            <v>[10601]  Commonwealth Edison CompanyEBSC Transactional (Tools For People)Gen Company Activities-ComEd (10601 Unassigned Departments)</v>
          </cell>
          <cell r="AF388" t="e">
            <v>#N/A</v>
          </cell>
        </row>
        <row r="389">
          <cell r="E389">
            <v>6375</v>
          </cell>
          <cell r="H389">
            <v>-1275</v>
          </cell>
          <cell r="I389">
            <v>-1275</v>
          </cell>
          <cell r="J389">
            <v>24109</v>
          </cell>
          <cell r="M389">
            <v>-3709</v>
          </cell>
          <cell r="N389">
            <v>-1275</v>
          </cell>
          <cell r="O389">
            <v>64909</v>
          </cell>
          <cell r="R389">
            <v>-3709</v>
          </cell>
          <cell r="S389">
            <v>-1275</v>
          </cell>
          <cell r="V389" t="str">
            <v>EBSC Transactional2</v>
          </cell>
          <cell r="W389" t="str">
            <v>Tools For People</v>
          </cell>
          <cell r="AA389" t="str">
            <v>[10601]  Commonwealth Edison CompanyEBSC TransactionalTools For People</v>
          </cell>
          <cell r="AB389" t="str">
            <v>[10601]  Commonwealth Edison CompanyEBSC Transactional (Tools For People)Business Services</v>
          </cell>
          <cell r="AC389" t="str">
            <v>[10601]  Commonwealth Edison CompanyEBSC Transactional (Tools For People)Office of the President -ComEd (CED Claims)</v>
          </cell>
          <cell r="AF389" t="e">
            <v>#N/A</v>
          </cell>
        </row>
        <row r="390">
          <cell r="E390">
            <v>2283</v>
          </cell>
          <cell r="H390">
            <v>-199</v>
          </cell>
          <cell r="I390">
            <v>-199</v>
          </cell>
          <cell r="J390">
            <v>8900</v>
          </cell>
          <cell r="M390">
            <v>-567</v>
          </cell>
          <cell r="N390">
            <v>-199</v>
          </cell>
          <cell r="O390">
            <v>25567</v>
          </cell>
          <cell r="R390">
            <v>-567</v>
          </cell>
          <cell r="S390">
            <v>-199</v>
          </cell>
          <cell r="V390" t="str">
            <v>EBSC Transactional2</v>
          </cell>
          <cell r="W390" t="str">
            <v>Passthroughs</v>
          </cell>
          <cell r="AA390" t="str">
            <v>[10601]  Commonwealth Edison CompanyEBSC TransactionalPassthroughs</v>
          </cell>
          <cell r="AB390" t="str">
            <v>[10601]  Commonwealth Edison CompanyEBSC Transactional (Passthroughs)Other Operating Expenses</v>
          </cell>
          <cell r="AC390" t="str">
            <v>[10601]  Commonwealth Edison CompanyEBSC Transactional (Passthroughs)Office of the President -ComEd (CED Claims)</v>
          </cell>
          <cell r="AF390" t="e">
            <v>#N/A</v>
          </cell>
        </row>
        <row r="391">
          <cell r="E391">
            <v>9366</v>
          </cell>
          <cell r="H391">
            <v>-384</v>
          </cell>
          <cell r="I391">
            <v>-384</v>
          </cell>
          <cell r="J391">
            <v>43818</v>
          </cell>
          <cell r="M391">
            <v>-7890</v>
          </cell>
          <cell r="N391">
            <v>-384</v>
          </cell>
          <cell r="O391">
            <v>115674</v>
          </cell>
          <cell r="R391">
            <v>-7890</v>
          </cell>
          <cell r="S391">
            <v>-384</v>
          </cell>
          <cell r="V391" t="str">
            <v>EBSC Transactional2</v>
          </cell>
          <cell r="W391" t="str">
            <v>Tools For People</v>
          </cell>
          <cell r="AA391" t="str">
            <v>[10601]  Commonwealth Edison CompanyEBSC TransactionalTools For People</v>
          </cell>
          <cell r="AB391" t="str">
            <v>[10601]  Commonwealth Edison CompanyEBSC Transactional (Tools For People)Business Services</v>
          </cell>
          <cell r="AC391" t="str">
            <v>[10601]  Commonwealth Edison CompanyEBSC Transactional (Tools For People)Office of the President -ComEd (CED External &amp; Gov't Affairs)</v>
          </cell>
          <cell r="AF391" t="e">
            <v>#N/A</v>
          </cell>
        </row>
        <row r="392">
          <cell r="E392">
            <v>4008</v>
          </cell>
          <cell r="H392">
            <v>1807</v>
          </cell>
          <cell r="I392">
            <v>1807</v>
          </cell>
          <cell r="J392">
            <v>26232</v>
          </cell>
          <cell r="M392">
            <v>-2972</v>
          </cell>
          <cell r="N392">
            <v>1807</v>
          </cell>
          <cell r="O392">
            <v>74752</v>
          </cell>
          <cell r="R392">
            <v>-2972</v>
          </cell>
          <cell r="S392">
            <v>1807</v>
          </cell>
          <cell r="V392" t="str">
            <v>EBSC Transactional2</v>
          </cell>
          <cell r="W392" t="str">
            <v>Passthroughs</v>
          </cell>
          <cell r="AA392" t="str">
            <v>[10601]  Commonwealth Edison CompanyEBSC TransactionalPassthroughs</v>
          </cell>
          <cell r="AB392" t="str">
            <v>[10601]  Commonwealth Edison CompanyEBSC Transactional (Passthroughs)Other Operating Expenses</v>
          </cell>
          <cell r="AC392" t="str">
            <v>[10601]  Commonwealth Edison CompanyEBSC Transactional (Passthroughs)Office of the President -ComEd (CED External &amp; Gov't Affairs)</v>
          </cell>
          <cell r="AF392" t="e">
            <v>#N/A</v>
          </cell>
        </row>
        <row r="393">
          <cell r="E393">
            <v>2832</v>
          </cell>
          <cell r="H393">
            <v>3918</v>
          </cell>
          <cell r="I393">
            <v>3918</v>
          </cell>
          <cell r="J393">
            <v>11801</v>
          </cell>
          <cell r="M393">
            <v>15199</v>
          </cell>
          <cell r="N393">
            <v>3918</v>
          </cell>
          <cell r="O393">
            <v>65801</v>
          </cell>
          <cell r="R393">
            <v>15199</v>
          </cell>
          <cell r="S393">
            <v>3918</v>
          </cell>
          <cell r="V393" t="str">
            <v>EBSC Transactional2</v>
          </cell>
          <cell r="W393" t="str">
            <v>Tools For People</v>
          </cell>
          <cell r="AA393" t="str">
            <v>[10601]  Commonwealth Edison CompanyEBSC TransactionalTools For People</v>
          </cell>
          <cell r="AB393" t="str">
            <v>[10601]  Commonwealth Edison CompanyEBSC Transactional (Tools For People)Business Services</v>
          </cell>
          <cell r="AC393" t="str">
            <v>[10601]  Commonwealth Edison CompanyEBSC Transactional (Tools For People)Office of the President -ComEd (CED - Office of President)</v>
          </cell>
          <cell r="AF393" t="e">
            <v>#N/A</v>
          </cell>
        </row>
        <row r="394">
          <cell r="E394">
            <v>1864</v>
          </cell>
          <cell r="H394">
            <v>-614</v>
          </cell>
          <cell r="I394">
            <v>-614</v>
          </cell>
          <cell r="J394">
            <v>6526</v>
          </cell>
          <cell r="M394">
            <v>-1526</v>
          </cell>
          <cell r="N394">
            <v>-614</v>
          </cell>
          <cell r="O394">
            <v>16526</v>
          </cell>
          <cell r="R394">
            <v>-1526</v>
          </cell>
          <cell r="S394">
            <v>-614</v>
          </cell>
          <cell r="V394" t="str">
            <v>EBSC Transactional2</v>
          </cell>
          <cell r="W394" t="str">
            <v>Passthroughs</v>
          </cell>
          <cell r="AA394" t="str">
            <v>[10601]  Commonwealth Edison CompanyEBSC TransactionalPassthroughs</v>
          </cell>
          <cell r="AB394" t="str">
            <v>[10601]  Commonwealth Edison CompanyEBSC Transactional (Passthroughs)Other Operating Expenses</v>
          </cell>
          <cell r="AC394" t="str">
            <v>[10601]  Commonwealth Edison CompanyEBSC Transactional (Passthroughs)Office of the President -ComEd (CED - Office of President)</v>
          </cell>
          <cell r="AF394" t="e">
            <v>#N/A</v>
          </cell>
        </row>
        <row r="395">
          <cell r="E395">
            <v>0</v>
          </cell>
          <cell r="H395">
            <v>1150</v>
          </cell>
          <cell r="I395">
            <v>1150</v>
          </cell>
          <cell r="J395">
            <v>0</v>
          </cell>
          <cell r="M395">
            <v>4600</v>
          </cell>
          <cell r="N395">
            <v>1150</v>
          </cell>
          <cell r="O395">
            <v>9200</v>
          </cell>
          <cell r="R395">
            <v>4600</v>
          </cell>
          <cell r="S395">
            <v>1150</v>
          </cell>
          <cell r="V395" t="str">
            <v>EBSC Transactional2</v>
          </cell>
          <cell r="W395" t="str">
            <v>Passthroughs</v>
          </cell>
          <cell r="AA395" t="str">
            <v>[10601]  Commonwealth Edison CompanyEBSC TransactionalPassthroughs</v>
          </cell>
          <cell r="AB395" t="str">
            <v>[10601]  Commonwealth Edison CompanyEBSC Transactional (Passthroughs)Contracting</v>
          </cell>
          <cell r="AC395" t="str">
            <v>[10601]  Commonwealth Edison CompanyEBSC Transactional (Passthroughs)Office of the President -ComEd (CED Real Estate &amp; Facilities)</v>
          </cell>
          <cell r="AF395" t="e">
            <v>#N/A</v>
          </cell>
        </row>
        <row r="396">
          <cell r="E396">
            <v>24744</v>
          </cell>
          <cell r="H396">
            <v>-24744</v>
          </cell>
          <cell r="I396">
            <v>-24744</v>
          </cell>
          <cell r="J396">
            <v>106796</v>
          </cell>
          <cell r="M396">
            <v>-106796</v>
          </cell>
          <cell r="N396">
            <v>-24744</v>
          </cell>
          <cell r="O396">
            <v>106796</v>
          </cell>
          <cell r="R396">
            <v>-106796</v>
          </cell>
          <cell r="S396">
            <v>-24744</v>
          </cell>
          <cell r="V396" t="str">
            <v>EBSC Transactional2</v>
          </cell>
          <cell r="W396" t="str">
            <v>Tools For People</v>
          </cell>
          <cell r="AA396" t="str">
            <v>[10601]  Commonwealth Edison CompanyEBSC TransactionalTools For People</v>
          </cell>
          <cell r="AB396" t="str">
            <v>[10601]  Commonwealth Edison CompanyEBSC Transactional (Tools For People)Business Services</v>
          </cell>
          <cell r="AC396" t="str">
            <v>[10601]  Commonwealth Edison CompanyEBSC Transactional (Tools For People)Office of the President -ComEd (CED Real Estate &amp; Facilities)</v>
          </cell>
          <cell r="AF396" t="e">
            <v>#N/A</v>
          </cell>
        </row>
        <row r="397">
          <cell r="E397">
            <v>-4251</v>
          </cell>
          <cell r="H397">
            <v>45352</v>
          </cell>
          <cell r="I397">
            <v>45352</v>
          </cell>
          <cell r="J397">
            <v>10362</v>
          </cell>
          <cell r="M397">
            <v>154042</v>
          </cell>
          <cell r="N397">
            <v>45352</v>
          </cell>
          <cell r="O397">
            <v>327670</v>
          </cell>
          <cell r="R397">
            <v>154042</v>
          </cell>
          <cell r="S397">
            <v>45352</v>
          </cell>
          <cell r="V397" t="str">
            <v>EBSC Transactional2</v>
          </cell>
          <cell r="W397" t="str">
            <v>Passthroughs</v>
          </cell>
          <cell r="AA397" t="str">
            <v>[10601]  Commonwealth Edison CompanyEBSC TransactionalPassthroughs</v>
          </cell>
          <cell r="AB397" t="str">
            <v>[10601]  Commonwealth Edison CompanyEBSC Transactional (Passthroughs)Other Operating Expenses</v>
          </cell>
          <cell r="AC397" t="str">
            <v>[10601]  Commonwealth Edison CompanyEBSC Transactional (Passthroughs)Office of the President -ComEd (CED Real Estate &amp; Facilities)</v>
          </cell>
          <cell r="AF397" t="e">
            <v>#N/A</v>
          </cell>
        </row>
        <row r="398">
          <cell r="E398">
            <v>10212</v>
          </cell>
          <cell r="H398">
            <v>5386</v>
          </cell>
          <cell r="I398">
            <v>5456</v>
          </cell>
          <cell r="J398">
            <v>41710</v>
          </cell>
          <cell r="M398">
            <v>20682</v>
          </cell>
          <cell r="N398">
            <v>5456</v>
          </cell>
          <cell r="O398">
            <v>171774</v>
          </cell>
          <cell r="R398">
            <v>15402</v>
          </cell>
          <cell r="S398">
            <v>732</v>
          </cell>
          <cell r="V398" t="str">
            <v>EBSC Transactional2</v>
          </cell>
          <cell r="W398" t="str">
            <v>Tools For People</v>
          </cell>
          <cell r="AA398" t="str">
            <v>[10601]  Commonwealth Edison CompanyEBSC TransactionalTools For People</v>
          </cell>
          <cell r="AB398" t="str">
            <v>[10601]  Commonwealth Edison CompanyEBSC Transactional (Tools For People)Business Services</v>
          </cell>
          <cell r="AC398" t="str">
            <v>[10601]  Commonwealth Edison CompanyEBSC Transactional (Tools For People)Office of the President -ComEd (CED - Reg &amp; Strategic Srvcs)</v>
          </cell>
          <cell r="AF398" t="e">
            <v>#N/A</v>
          </cell>
        </row>
        <row r="399">
          <cell r="E399">
            <v>732</v>
          </cell>
          <cell r="H399">
            <v>-732</v>
          </cell>
          <cell r="I399">
            <v>-732</v>
          </cell>
          <cell r="J399">
            <v>11552</v>
          </cell>
          <cell r="M399">
            <v>-11552</v>
          </cell>
          <cell r="N399">
            <v>-732</v>
          </cell>
          <cell r="O399">
            <v>11552</v>
          </cell>
          <cell r="R399">
            <v>-11552</v>
          </cell>
          <cell r="S399">
            <v>-732</v>
          </cell>
          <cell r="V399" t="str">
            <v>EBSC Transactional2</v>
          </cell>
          <cell r="W399" t="str">
            <v>Passthroughs</v>
          </cell>
          <cell r="AA399" t="str">
            <v>[10601]  Commonwealth Edison CompanyEBSC TransactionalPassthroughs</v>
          </cell>
          <cell r="AB399" t="str">
            <v>[10601]  Commonwealth Edison CompanyEBSC Transactional (Passthroughs)Other Operating Expenses</v>
          </cell>
          <cell r="AC399" t="str">
            <v>[10601]  Commonwealth Edison CompanyEBSC Transactional (Passthroughs)Office of the President -ComEd (CED - Reg &amp; Strategic Srvcs)</v>
          </cell>
          <cell r="AF399" t="e">
            <v>#N/A</v>
          </cell>
        </row>
        <row r="400">
          <cell r="E400">
            <v>2197</v>
          </cell>
          <cell r="H400">
            <v>-2197</v>
          </cell>
          <cell r="I400">
            <v>-2197</v>
          </cell>
          <cell r="J400">
            <v>10483</v>
          </cell>
          <cell r="M400">
            <v>-10483</v>
          </cell>
          <cell r="N400">
            <v>-2197</v>
          </cell>
          <cell r="O400">
            <v>10483</v>
          </cell>
          <cell r="R400">
            <v>-10483</v>
          </cell>
          <cell r="S400">
            <v>-2197</v>
          </cell>
          <cell r="V400" t="str">
            <v>EBSC Transactional2</v>
          </cell>
          <cell r="W400" t="str">
            <v>Tools For People</v>
          </cell>
          <cell r="AA400" t="str">
            <v>[10601]  Commonwealth Edison CompanyEBSC TransactionalTools For People</v>
          </cell>
          <cell r="AB400" t="str">
            <v>[10601]  Commonwealth Edison CompanyEBSC Transactional (Tools For People)Business Services</v>
          </cell>
          <cell r="AC400" t="str">
            <v>[10601]  Commonwealth Edison CompanyEBSC Transactional (Tools For People)Office of the President -ComEd (ComEd Energy Acquisition)</v>
          </cell>
          <cell r="AF400" t="e">
            <v>#N/A</v>
          </cell>
        </row>
        <row r="401">
          <cell r="E401">
            <v>335</v>
          </cell>
          <cell r="H401">
            <v>3915</v>
          </cell>
          <cell r="I401">
            <v>2355</v>
          </cell>
          <cell r="J401">
            <v>5906</v>
          </cell>
          <cell r="M401">
            <v>11094</v>
          </cell>
          <cell r="N401">
            <v>2355</v>
          </cell>
          <cell r="O401">
            <v>33666</v>
          </cell>
          <cell r="R401">
            <v>17334</v>
          </cell>
          <cell r="S401">
            <v>2355</v>
          </cell>
          <cell r="V401" t="str">
            <v>EBSC Transactional2</v>
          </cell>
          <cell r="W401" t="str">
            <v>Passthroughs</v>
          </cell>
          <cell r="AA401" t="str">
            <v>[10601]  Commonwealth Edison CompanyEBSC TransactionalPassthroughs</v>
          </cell>
          <cell r="AB401" t="str">
            <v>[10601]  Commonwealth Edison CompanyEBSC Transactional (Passthroughs)Other Operating Expenses</v>
          </cell>
          <cell r="AC401" t="str">
            <v>[10601]  Commonwealth Edison CompanyEBSC Transactional (Passthroughs)Office of the President -ComEd (ComEd Energy Acquisition)</v>
          </cell>
          <cell r="AF401" t="e">
            <v>#N/A</v>
          </cell>
        </row>
        <row r="402">
          <cell r="E402">
            <v>1653</v>
          </cell>
          <cell r="H402">
            <v>6780</v>
          </cell>
          <cell r="I402">
            <v>8267</v>
          </cell>
          <cell r="J402">
            <v>9664</v>
          </cell>
          <cell r="M402">
            <v>24069</v>
          </cell>
          <cell r="N402">
            <v>8267</v>
          </cell>
          <cell r="O402">
            <v>95152</v>
          </cell>
          <cell r="R402">
            <v>6048</v>
          </cell>
          <cell r="S402">
            <v>2137</v>
          </cell>
          <cell r="V402" t="str">
            <v>EBSC Transactional2</v>
          </cell>
          <cell r="W402" t="str">
            <v>Tools For People</v>
          </cell>
          <cell r="AA402" t="str">
            <v>[10601]  Commonwealth Edison CompanyEBSC TransactionalTools For People</v>
          </cell>
          <cell r="AB402" t="str">
            <v>[10601]  Commonwealth Edison CompanyEBSC Transactional (Tools For People)Business Services</v>
          </cell>
          <cell r="AC402" t="str">
            <v>[10601]  Commonwealth Edison CompanyEBSC Transactional (Tools For People)Office of the President -ComEd (Post 2006 Team)</v>
          </cell>
          <cell r="AF402" t="e">
            <v>#N/A</v>
          </cell>
        </row>
        <row r="403">
          <cell r="E403">
            <v>955</v>
          </cell>
          <cell r="H403">
            <v>-955</v>
          </cell>
          <cell r="I403">
            <v>-955</v>
          </cell>
          <cell r="J403">
            <v>2602</v>
          </cell>
          <cell r="M403">
            <v>-2602</v>
          </cell>
          <cell r="N403">
            <v>-955</v>
          </cell>
          <cell r="O403">
            <v>2602</v>
          </cell>
          <cell r="R403">
            <v>-2602</v>
          </cell>
          <cell r="S403">
            <v>-955</v>
          </cell>
          <cell r="V403" t="str">
            <v>EBSC Transactional2</v>
          </cell>
          <cell r="W403" t="str">
            <v>Passthroughs</v>
          </cell>
          <cell r="AA403" t="str">
            <v>[10601]  Commonwealth Edison CompanyEBSC TransactionalPassthroughs</v>
          </cell>
          <cell r="AB403" t="str">
            <v>[10601]  Commonwealth Edison CompanyEBSC Transactional (Passthroughs)Other Operating Expenses</v>
          </cell>
          <cell r="AC403" t="str">
            <v>[10601]  Commonwealth Edison CompanyEBSC Transactional (Passthroughs)Office of the President -ComEd (Post 2006 Team)</v>
          </cell>
          <cell r="AF403" t="e">
            <v>#N/A</v>
          </cell>
        </row>
        <row r="404">
          <cell r="E404">
            <v>2091</v>
          </cell>
          <cell r="H404">
            <v>-2091</v>
          </cell>
          <cell r="I404">
            <v>2909</v>
          </cell>
          <cell r="J404">
            <v>9840</v>
          </cell>
          <cell r="M404">
            <v>-9840</v>
          </cell>
          <cell r="N404">
            <v>2909</v>
          </cell>
          <cell r="O404">
            <v>49840</v>
          </cell>
          <cell r="R404">
            <v>-49840</v>
          </cell>
          <cell r="S404">
            <v>2909</v>
          </cell>
          <cell r="V404" t="str">
            <v>EBSC Transactional2</v>
          </cell>
          <cell r="W404" t="str">
            <v>Tools For People</v>
          </cell>
          <cell r="AA404" t="str">
            <v>[10601]  Commonwealth Edison CompanyEBSC TransactionalTools For People</v>
          </cell>
          <cell r="AB404" t="str">
            <v>[10601]  Commonwealth Edison CompanyEBSC Transactional (Tools For People)Business Services</v>
          </cell>
          <cell r="AC404" t="str">
            <v>[10601]  Commonwealth Edison CompanyEBSC Transactional (Tools For People)Operations - ComEd (00200 - Office EVP Operations)</v>
          </cell>
          <cell r="AF404" t="e">
            <v>#N/A</v>
          </cell>
        </row>
        <row r="405">
          <cell r="E405">
            <v>19</v>
          </cell>
          <cell r="H405">
            <v>-19</v>
          </cell>
          <cell r="I405">
            <v>-19</v>
          </cell>
          <cell r="J405">
            <v>22121</v>
          </cell>
          <cell r="M405">
            <v>-22121</v>
          </cell>
          <cell r="N405">
            <v>-19</v>
          </cell>
          <cell r="O405">
            <v>22121</v>
          </cell>
          <cell r="R405">
            <v>-22121</v>
          </cell>
          <cell r="S405">
            <v>-19</v>
          </cell>
          <cell r="V405" t="str">
            <v>EBSC Transactional2</v>
          </cell>
          <cell r="W405" t="str">
            <v>Passthroughs</v>
          </cell>
          <cell r="AA405" t="str">
            <v>[10601]  Commonwealth Edison CompanyEBSC TransactionalPassthroughs</v>
          </cell>
          <cell r="AB405" t="str">
            <v>[10601]  Commonwealth Edison CompanyEBSC Transactional (Passthroughs)Other Operating Expenses</v>
          </cell>
          <cell r="AC405" t="str">
            <v>[10601]  Commonwealth Edison CompanyEBSC Transactional (Passthroughs)Operations - ComEd (00200 - Office EVP Operations)</v>
          </cell>
          <cell r="AF405" t="e">
            <v>#N/A</v>
          </cell>
        </row>
        <row r="406">
          <cell r="E406">
            <v>25049</v>
          </cell>
          <cell r="H406">
            <v>-4957</v>
          </cell>
          <cell r="I406">
            <v>-4957</v>
          </cell>
          <cell r="J406">
            <v>96951</v>
          </cell>
          <cell r="M406">
            <v>-20010</v>
          </cell>
          <cell r="N406">
            <v>-4957</v>
          </cell>
          <cell r="O406">
            <v>269686</v>
          </cell>
          <cell r="R406">
            <v>-20010</v>
          </cell>
          <cell r="S406">
            <v>-4957</v>
          </cell>
          <cell r="V406" t="str">
            <v>EBSC Transactional2</v>
          </cell>
          <cell r="W406" t="str">
            <v>Tools For People</v>
          </cell>
          <cell r="AA406" t="str">
            <v>[10601]  Commonwealth Edison CompanyEBSC TransactionalTools For People</v>
          </cell>
          <cell r="AB406" t="str">
            <v>[10601]  Commonwealth Edison CompanyEBSC Transactional (Tools For People)Business Services</v>
          </cell>
          <cell r="AC406" t="str">
            <v>[10601]  Commonwealth Edison CompanyEBSC Transactional (Tools For People)Operations - ComEd (Construction&amp;Maintenance-ComEd)</v>
          </cell>
          <cell r="AF406" t="e">
            <v>#N/A</v>
          </cell>
        </row>
        <row r="407">
          <cell r="E407">
            <v>17346</v>
          </cell>
          <cell r="H407">
            <v>-17346</v>
          </cell>
          <cell r="I407">
            <v>-17346</v>
          </cell>
          <cell r="J407">
            <v>84981</v>
          </cell>
          <cell r="M407">
            <v>-84981</v>
          </cell>
          <cell r="N407">
            <v>-17346</v>
          </cell>
          <cell r="O407">
            <v>84981</v>
          </cell>
          <cell r="R407">
            <v>-84981</v>
          </cell>
          <cell r="S407">
            <v>-17346</v>
          </cell>
          <cell r="V407" t="str">
            <v>EBSC Transactional2</v>
          </cell>
          <cell r="W407" t="str">
            <v>Passthroughs</v>
          </cell>
          <cell r="AA407" t="str">
            <v>[10601]  Commonwealth Edison CompanyEBSC TransactionalPassthroughs</v>
          </cell>
          <cell r="AB407" t="str">
            <v>[10601]  Commonwealth Edison CompanyEBSC Transactional (Passthroughs)Other Operating Expenses</v>
          </cell>
          <cell r="AC407" t="str">
            <v>[10601]  Commonwealth Edison CompanyEBSC Transactional (Passthroughs)Operations - ComEd (Construction&amp;Maintenance-ComEd)</v>
          </cell>
          <cell r="AF407" t="e">
            <v>#N/A</v>
          </cell>
        </row>
        <row r="408">
          <cell r="E408">
            <v>85162</v>
          </cell>
          <cell r="H408">
            <v>10931</v>
          </cell>
          <cell r="I408">
            <v>26277</v>
          </cell>
          <cell r="J408">
            <v>324280</v>
          </cell>
          <cell r="M408">
            <v>56969</v>
          </cell>
          <cell r="N408">
            <v>26277</v>
          </cell>
          <cell r="O408">
            <v>1020296</v>
          </cell>
          <cell r="R408">
            <v>133795</v>
          </cell>
          <cell r="S408">
            <v>133795</v>
          </cell>
          <cell r="V408" t="str">
            <v>EBSC Transactional2</v>
          </cell>
          <cell r="W408" t="str">
            <v>Tools For People</v>
          </cell>
          <cell r="AA408" t="str">
            <v>[10601]  Commonwealth Edison CompanyEBSC TransactionalTools For People</v>
          </cell>
          <cell r="AB408" t="str">
            <v>[10601]  Commonwealth Edison CompanyEBSC Transactional (Tools For People)Business Services</v>
          </cell>
          <cell r="AC408" t="str">
            <v>[10601]  Commonwealth Edison CompanyEBSC Transactional (Tools For People)Operations - ComEd (Dispatch &amp; Operations - ComEd)</v>
          </cell>
          <cell r="AF408" t="e">
            <v>#N/A</v>
          </cell>
        </row>
        <row r="409">
          <cell r="E409">
            <v>65484</v>
          </cell>
          <cell r="H409">
            <v>-65484</v>
          </cell>
          <cell r="I409">
            <v>-65484</v>
          </cell>
          <cell r="J409">
            <v>264621</v>
          </cell>
          <cell r="M409">
            <v>-264621</v>
          </cell>
          <cell r="N409">
            <v>-65484</v>
          </cell>
          <cell r="O409">
            <v>264621</v>
          </cell>
          <cell r="R409">
            <v>-264621</v>
          </cell>
          <cell r="S409">
            <v>-65484</v>
          </cell>
          <cell r="V409" t="str">
            <v>EBSC Transactional2</v>
          </cell>
          <cell r="W409" t="str">
            <v>Passthroughs</v>
          </cell>
          <cell r="AA409" t="str">
            <v>[10601]  Commonwealth Edison CompanyEBSC TransactionalPassthroughs</v>
          </cell>
          <cell r="AB409" t="str">
            <v>[10601]  Commonwealth Edison CompanyEBSC Transactional (Passthroughs)Other Operating Expenses</v>
          </cell>
          <cell r="AC409" t="str">
            <v>[10601]  Commonwealth Edison CompanyEBSC Transactional (Passthroughs)Operations - ComEd (Dispatch &amp; Operations - ComEd)</v>
          </cell>
          <cell r="AF409" t="e">
            <v>#N/A</v>
          </cell>
        </row>
        <row r="410">
          <cell r="E410">
            <v>6477</v>
          </cell>
          <cell r="H410">
            <v>523</v>
          </cell>
          <cell r="I410">
            <v>523</v>
          </cell>
          <cell r="J410">
            <v>27716</v>
          </cell>
          <cell r="M410">
            <v>284</v>
          </cell>
          <cell r="N410">
            <v>523</v>
          </cell>
          <cell r="O410">
            <v>83716</v>
          </cell>
          <cell r="R410">
            <v>284</v>
          </cell>
          <cell r="S410">
            <v>523</v>
          </cell>
          <cell r="V410" t="str">
            <v>EBSC Transactional2</v>
          </cell>
          <cell r="W410" t="str">
            <v>Tools For People</v>
          </cell>
          <cell r="AA410" t="str">
            <v>[10601]  Commonwealth Edison CompanyEBSC TransactionalTools For People</v>
          </cell>
          <cell r="AB410" t="str">
            <v>[10601]  Commonwealth Edison CompanyEBSC Transactional (Tools For People)Business Services</v>
          </cell>
          <cell r="AC410" t="str">
            <v>[10601]  Commonwealth Edison CompanyEBSC Transactional (Tools For People)Operations - ComEd (Environ Safety &amp; Indust Hygien)</v>
          </cell>
          <cell r="AF410" t="e">
            <v>#N/A</v>
          </cell>
        </row>
        <row r="411">
          <cell r="E411">
            <v>3590</v>
          </cell>
          <cell r="H411">
            <v>-3590</v>
          </cell>
          <cell r="I411">
            <v>-3590</v>
          </cell>
          <cell r="J411">
            <v>13623</v>
          </cell>
          <cell r="M411">
            <v>-13623</v>
          </cell>
          <cell r="N411">
            <v>-3590</v>
          </cell>
          <cell r="O411">
            <v>13623</v>
          </cell>
          <cell r="R411">
            <v>-13623</v>
          </cell>
          <cell r="S411">
            <v>-3590</v>
          </cell>
          <cell r="V411" t="str">
            <v>EBSC Transactional2</v>
          </cell>
          <cell r="W411" t="str">
            <v>Passthroughs</v>
          </cell>
          <cell r="AA411" t="str">
            <v>[10601]  Commonwealth Edison CompanyEBSC TransactionalPassthroughs</v>
          </cell>
          <cell r="AB411" t="str">
            <v>[10601]  Commonwealth Edison CompanyEBSC Transactional (Passthroughs)Other Operating Expenses</v>
          </cell>
          <cell r="AC411" t="str">
            <v>[10601]  Commonwealth Edison CompanyEBSC Transactional (Passthroughs)Operations - ComEd (Environ Safety &amp; Indust Hygien)</v>
          </cell>
          <cell r="AF411" t="e">
            <v>#N/A</v>
          </cell>
        </row>
        <row r="412">
          <cell r="E412">
            <v>651</v>
          </cell>
          <cell r="H412">
            <v>1049</v>
          </cell>
          <cell r="I412">
            <v>1049</v>
          </cell>
          <cell r="J412">
            <v>2595</v>
          </cell>
          <cell r="M412">
            <v>4205</v>
          </cell>
          <cell r="N412">
            <v>1049</v>
          </cell>
          <cell r="O412">
            <v>16195</v>
          </cell>
          <cell r="R412">
            <v>4205</v>
          </cell>
          <cell r="S412">
            <v>1049</v>
          </cell>
          <cell r="V412" t="str">
            <v>EBSC Transactional2</v>
          </cell>
          <cell r="W412" t="str">
            <v>Tools For People</v>
          </cell>
          <cell r="AA412" t="str">
            <v>[10601]  Commonwealth Edison CompanyEBSC TransactionalTools For People</v>
          </cell>
          <cell r="AB412" t="str">
            <v>[10601]  Commonwealth Edison CompanyEBSC Transactional (Tools For People)Business Services</v>
          </cell>
          <cell r="AC412" t="str">
            <v>[10601]  Commonwealth Edison CompanyEBSC Transactional (Tools For People)Operations - ComEd (Methods - ComEd)</v>
          </cell>
          <cell r="AF412" t="e">
            <v>#N/A</v>
          </cell>
        </row>
        <row r="413">
          <cell r="E413">
            <v>343</v>
          </cell>
          <cell r="H413">
            <v>-343</v>
          </cell>
          <cell r="I413">
            <v>-343</v>
          </cell>
          <cell r="J413">
            <v>1225</v>
          </cell>
          <cell r="M413">
            <v>-1225</v>
          </cell>
          <cell r="N413">
            <v>-343</v>
          </cell>
          <cell r="O413">
            <v>1225</v>
          </cell>
          <cell r="R413">
            <v>-1225</v>
          </cell>
          <cell r="S413">
            <v>-343</v>
          </cell>
          <cell r="V413" t="str">
            <v>EBSC Transactional2</v>
          </cell>
          <cell r="W413" t="str">
            <v>Passthroughs</v>
          </cell>
          <cell r="AA413" t="str">
            <v>[10601]  Commonwealth Edison CompanyEBSC TransactionalPassthroughs</v>
          </cell>
          <cell r="AB413" t="str">
            <v>[10601]  Commonwealth Edison CompanyEBSC Transactional (Passthroughs)Other Operating Expenses</v>
          </cell>
          <cell r="AC413" t="str">
            <v>[10601]  Commonwealth Edison CompanyEBSC Transactional (Passthroughs)Operations - ComEd (Methods - ComEd)</v>
          </cell>
          <cell r="AF413" t="e">
            <v>#N/A</v>
          </cell>
        </row>
        <row r="414">
          <cell r="E414">
            <v>34094</v>
          </cell>
          <cell r="H414">
            <v>-34094</v>
          </cell>
          <cell r="I414">
            <v>-34094</v>
          </cell>
          <cell r="J414">
            <v>144727</v>
          </cell>
          <cell r="M414">
            <v>-108540</v>
          </cell>
          <cell r="N414">
            <v>-34094</v>
          </cell>
          <cell r="O414">
            <v>144727</v>
          </cell>
          <cell r="R414">
            <v>-108540</v>
          </cell>
          <cell r="S414">
            <v>-34094</v>
          </cell>
          <cell r="V414" t="str">
            <v>EBSC Transactional2</v>
          </cell>
          <cell r="W414" t="str">
            <v>Tools For People</v>
          </cell>
          <cell r="AA414" t="str">
            <v>[10601]  Commonwealth Edison CompanyEBSC TransactionalTools For People</v>
          </cell>
          <cell r="AB414" t="str">
            <v>[10601]  Commonwealth Edison CompanyEBSC Transactional (Tools For People)Business Services</v>
          </cell>
          <cell r="AC414" t="str">
            <v>[10601]  Commonwealth Edison CompanyEBSC Transactional (Tools For People)Operations - ComEd (Training West)</v>
          </cell>
          <cell r="AF414" t="e">
            <v>#N/A</v>
          </cell>
        </row>
        <row r="415">
          <cell r="E415">
            <v>1229</v>
          </cell>
          <cell r="H415">
            <v>-1229</v>
          </cell>
          <cell r="I415">
            <v>-1229</v>
          </cell>
          <cell r="J415">
            <v>5215</v>
          </cell>
          <cell r="M415">
            <v>-3914</v>
          </cell>
          <cell r="N415">
            <v>-1229</v>
          </cell>
          <cell r="O415">
            <v>5215</v>
          </cell>
          <cell r="R415">
            <v>-3914</v>
          </cell>
          <cell r="S415">
            <v>-1229</v>
          </cell>
          <cell r="V415" t="str">
            <v>EBSC Transactional2</v>
          </cell>
          <cell r="W415" t="str">
            <v>Passthroughs</v>
          </cell>
          <cell r="AA415" t="str">
            <v>[10601]  Commonwealth Edison CompanyEBSC TransactionalPassthroughs</v>
          </cell>
          <cell r="AB415" t="str">
            <v>[10601]  Commonwealth Edison CompanyEBSC Transactional (Passthroughs)Other Operating Expenses</v>
          </cell>
          <cell r="AC415" t="str">
            <v>[10601]  Commonwealth Edison CompanyEBSC Transactional (Passthroughs)Operations - ComEd (Training West)</v>
          </cell>
          <cell r="AF415" t="e">
            <v>#N/A</v>
          </cell>
        </row>
        <row r="416">
          <cell r="E416">
            <v>61642</v>
          </cell>
          <cell r="H416">
            <v>2642</v>
          </cell>
          <cell r="I416">
            <v>2642</v>
          </cell>
          <cell r="J416">
            <v>252138</v>
          </cell>
          <cell r="M416">
            <v>6688</v>
          </cell>
          <cell r="N416">
            <v>2642</v>
          </cell>
          <cell r="O416">
            <v>805473</v>
          </cell>
          <cell r="R416">
            <v>28688</v>
          </cell>
          <cell r="S416">
            <v>24642</v>
          </cell>
          <cell r="V416" t="str">
            <v>EBSC Transactional2</v>
          </cell>
          <cell r="W416" t="str">
            <v>Tools For People</v>
          </cell>
          <cell r="AA416" t="str">
            <v>[10601]  Commonwealth Edison CompanyEBSC TransactionalTools For People</v>
          </cell>
          <cell r="AB416" t="str">
            <v>[10601]  Commonwealth Edison CompanyEBSC Transactional (Tools For People)Business Services</v>
          </cell>
          <cell r="AC416" t="str">
            <v>[10601]  Commonwealth Edison CompanyEBSC Transactional (Tools For People)Operations - ComEd (Transmission&amp;Substation-ComEd)</v>
          </cell>
          <cell r="AF416" t="e">
            <v>#N/A</v>
          </cell>
        </row>
        <row r="417">
          <cell r="E417">
            <v>30434</v>
          </cell>
          <cell r="H417">
            <v>-30434</v>
          </cell>
          <cell r="I417">
            <v>-30434</v>
          </cell>
          <cell r="J417">
            <v>132203</v>
          </cell>
          <cell r="M417">
            <v>-132203</v>
          </cell>
          <cell r="N417">
            <v>-30434</v>
          </cell>
          <cell r="O417">
            <v>132203</v>
          </cell>
          <cell r="R417">
            <v>-132203</v>
          </cell>
          <cell r="S417">
            <v>-30434</v>
          </cell>
          <cell r="V417" t="str">
            <v>EBSC Transactional2</v>
          </cell>
          <cell r="W417" t="str">
            <v>Passthroughs</v>
          </cell>
          <cell r="AA417" t="str">
            <v>[10601]  Commonwealth Edison CompanyEBSC TransactionalPassthroughs</v>
          </cell>
          <cell r="AB417" t="str">
            <v>[10601]  Commonwealth Edison CompanyEBSC Transactional (Passthroughs)Other Operating Expenses</v>
          </cell>
          <cell r="AC417" t="str">
            <v>[10601]  Commonwealth Edison CompanyEBSC Transactional (Passthroughs)Operations - ComEd (Transmission&amp;Substation-ComEd)</v>
          </cell>
          <cell r="AF417" t="e">
            <v>#N/A</v>
          </cell>
        </row>
        <row r="418">
          <cell r="E418">
            <v>16080</v>
          </cell>
          <cell r="H418">
            <v>12650</v>
          </cell>
          <cell r="I418">
            <v>9430</v>
          </cell>
          <cell r="J418">
            <v>74526</v>
          </cell>
          <cell r="M418">
            <v>40394</v>
          </cell>
          <cell r="N418">
            <v>9430</v>
          </cell>
          <cell r="O418">
            <v>278603</v>
          </cell>
          <cell r="R418">
            <v>66158</v>
          </cell>
          <cell r="S418">
            <v>9430</v>
          </cell>
          <cell r="V418" t="str">
            <v>EBSC Transactional2</v>
          </cell>
          <cell r="W418" t="str">
            <v>Tools For People</v>
          </cell>
          <cell r="AA418" t="str">
            <v>[10601]  Commonwealth Edison CompanyEBSC TransactionalTools For People</v>
          </cell>
          <cell r="AB418" t="str">
            <v>[10601]  Commonwealth Edison CompanyEBSC Transactional (Tools For People)Business Services</v>
          </cell>
          <cell r="AC418" t="str">
            <v>[10601]  Commonwealth Edison CompanyEBSC Transactional (Tools For People)Operations - ComEd (Work Management - ComEd)</v>
          </cell>
          <cell r="AF418" t="e">
            <v>#N/A</v>
          </cell>
        </row>
        <row r="419">
          <cell r="E419">
            <v>6920</v>
          </cell>
          <cell r="H419">
            <v>-6920</v>
          </cell>
          <cell r="I419">
            <v>-6920</v>
          </cell>
          <cell r="J419">
            <v>45861</v>
          </cell>
          <cell r="M419">
            <v>-45861</v>
          </cell>
          <cell r="N419">
            <v>-6920</v>
          </cell>
          <cell r="O419">
            <v>45861</v>
          </cell>
          <cell r="R419">
            <v>-45861</v>
          </cell>
          <cell r="S419">
            <v>-6920</v>
          </cell>
          <cell r="V419" t="str">
            <v>EBSC Transactional2</v>
          </cell>
          <cell r="W419" t="str">
            <v>Passthroughs</v>
          </cell>
          <cell r="AA419" t="str">
            <v>[10601]  Commonwealth Edison CompanyEBSC TransactionalPassthroughs</v>
          </cell>
          <cell r="AB419" t="str">
            <v>[10601]  Commonwealth Edison CompanyEBSC Transactional (Passthroughs)Other Operating Expenses</v>
          </cell>
          <cell r="AC419" t="str">
            <v>[10601]  Commonwealth Edison CompanyEBSC Transactional (Passthroughs)Operations - ComEd (Work Management - ComEd)</v>
          </cell>
          <cell r="AF419" t="e">
            <v>#N/A</v>
          </cell>
        </row>
        <row r="420">
          <cell r="E420">
            <v>10</v>
          </cell>
          <cell r="H420">
            <v>-10</v>
          </cell>
          <cell r="I420">
            <v>-10</v>
          </cell>
          <cell r="J420">
            <v>26</v>
          </cell>
          <cell r="M420">
            <v>-26</v>
          </cell>
          <cell r="N420">
            <v>-10</v>
          </cell>
          <cell r="O420">
            <v>26</v>
          </cell>
          <cell r="R420">
            <v>-26</v>
          </cell>
          <cell r="S420">
            <v>-10</v>
          </cell>
          <cell r="V420" t="str">
            <v>EBSC Transactional2</v>
          </cell>
          <cell r="W420" t="str">
            <v>Tools For People</v>
          </cell>
          <cell r="AA420" t="str">
            <v>[10601]  Commonwealth Edison CompanyEBSC TransactionalTools For People</v>
          </cell>
          <cell r="AB420" t="str">
            <v>[10601]  Commonwealth Edison CompanyEBSC Transactional (Tools For People)Business Services</v>
          </cell>
          <cell r="AC420" t="str">
            <v>[10601]  Commonwealth Edison CompanyEBSC Transactional (Tools For People)Storm Fund - ComEd (00411 - Storm Fund-CED)</v>
          </cell>
          <cell r="AF420" t="e">
            <v>#N/A</v>
          </cell>
        </row>
        <row r="421">
          <cell r="E421">
            <v>0</v>
          </cell>
          <cell r="H421">
            <v>0</v>
          </cell>
          <cell r="I421">
            <v>0</v>
          </cell>
          <cell r="J421">
            <v>22828</v>
          </cell>
          <cell r="M421">
            <v>-22828</v>
          </cell>
          <cell r="N421">
            <v>0</v>
          </cell>
          <cell r="O421">
            <v>22828</v>
          </cell>
          <cell r="R421">
            <v>-22828</v>
          </cell>
          <cell r="S421">
            <v>0</v>
          </cell>
          <cell r="V421" t="str">
            <v>EBSC Transactional2</v>
          </cell>
          <cell r="W421" t="str">
            <v>Passthroughs</v>
          </cell>
          <cell r="AA421" t="str">
            <v>[10601]  Commonwealth Edison CompanyEBSC TransactionalPassthroughs</v>
          </cell>
          <cell r="AB421" t="str">
            <v>[10601]  Commonwealth Edison CompanyEBSC Transactional (Passthroughs)Other Operating Expenses</v>
          </cell>
          <cell r="AC421" t="str">
            <v>[10601]  Commonwealth Edison CompanyEBSC Transactional (Passthroughs)Storm Fund - ComEd (00411 - Storm Fund-CED)</v>
          </cell>
          <cell r="AF421" t="e">
            <v>#N/A</v>
          </cell>
        </row>
        <row r="422">
          <cell r="E422">
            <v>428</v>
          </cell>
          <cell r="H422">
            <v>-428</v>
          </cell>
          <cell r="I422">
            <v>-428</v>
          </cell>
          <cell r="J422">
            <v>1840</v>
          </cell>
          <cell r="M422">
            <v>-1840</v>
          </cell>
          <cell r="N422">
            <v>-428</v>
          </cell>
          <cell r="O422">
            <v>1840</v>
          </cell>
          <cell r="R422">
            <v>-1840</v>
          </cell>
          <cell r="S422">
            <v>-428</v>
          </cell>
          <cell r="V422" t="str">
            <v>EBSC Transactional2</v>
          </cell>
          <cell r="W422" t="str">
            <v>Tools For People</v>
          </cell>
          <cell r="AA422" t="str">
            <v>[10601]  Commonwealth Edison CompanyEBSC TransactionalTools For People</v>
          </cell>
          <cell r="AB422" t="str">
            <v>[10601]  Commonwealth Edison CompanyEBSC Transactional (Tools For People)Business Services</v>
          </cell>
          <cell r="AC422" t="str">
            <v>[10601]  Commonwealth Edison CompanyEBSC Transactional (Tools For People)Technical Services - CED (00660 - Ofc VP Sys Engineer &amp; Planning)</v>
          </cell>
          <cell r="AF422" t="e">
            <v>#N/A</v>
          </cell>
        </row>
        <row r="423">
          <cell r="E423">
            <v>44</v>
          </cell>
          <cell r="H423">
            <v>-44</v>
          </cell>
          <cell r="I423">
            <v>-44</v>
          </cell>
          <cell r="J423">
            <v>267</v>
          </cell>
          <cell r="M423">
            <v>-267</v>
          </cell>
          <cell r="N423">
            <v>-44</v>
          </cell>
          <cell r="O423">
            <v>267</v>
          </cell>
          <cell r="R423">
            <v>-267</v>
          </cell>
          <cell r="S423">
            <v>-44</v>
          </cell>
          <cell r="V423" t="str">
            <v>EBSC Transactional2</v>
          </cell>
          <cell r="W423" t="str">
            <v>Passthroughs</v>
          </cell>
          <cell r="AA423" t="str">
            <v>[10601]  Commonwealth Edison CompanyEBSC TransactionalPassthroughs</v>
          </cell>
          <cell r="AB423" t="str">
            <v>[10601]  Commonwealth Edison CompanyEBSC Transactional (Passthroughs)Other Operating Expenses</v>
          </cell>
          <cell r="AC423" t="str">
            <v>[10601]  Commonwealth Edison CompanyEBSC Transactional (Passthroughs)Technical Services - CED (00660 - Ofc VP Sys Engineer &amp; Planning)</v>
          </cell>
          <cell r="AF423" t="e">
            <v>#N/A</v>
          </cell>
        </row>
        <row r="424">
          <cell r="E424">
            <v>2877</v>
          </cell>
          <cell r="H424">
            <v>596</v>
          </cell>
          <cell r="I424">
            <v>596</v>
          </cell>
          <cell r="J424">
            <v>8490</v>
          </cell>
          <cell r="M424">
            <v>5399</v>
          </cell>
          <cell r="N424">
            <v>596</v>
          </cell>
          <cell r="O424">
            <v>36268</v>
          </cell>
          <cell r="R424">
            <v>5399</v>
          </cell>
          <cell r="S424">
            <v>596</v>
          </cell>
          <cell r="V424" t="str">
            <v>EBSC Transactional2</v>
          </cell>
          <cell r="W424" t="str">
            <v>Tools For People</v>
          </cell>
          <cell r="AA424" t="str">
            <v>[10601]  Commonwealth Edison CompanyEBSC TransactionalTools For People</v>
          </cell>
          <cell r="AB424" t="str">
            <v>[10601]  Commonwealth Edison CompanyEBSC Transactional (Tools For People)Business Services</v>
          </cell>
          <cell r="AC424" t="str">
            <v>[10601]  Commonwealth Edison CompanyEBSC Transactional (Tools For People)Technical Services - CED (Asset Perf&amp;Invst Strategy-CED)</v>
          </cell>
          <cell r="AF424" t="e">
            <v>#N/A</v>
          </cell>
        </row>
        <row r="425">
          <cell r="E425">
            <v>391</v>
          </cell>
          <cell r="H425">
            <v>-391</v>
          </cell>
          <cell r="I425">
            <v>-391</v>
          </cell>
          <cell r="J425">
            <v>2126</v>
          </cell>
          <cell r="M425">
            <v>-2126</v>
          </cell>
          <cell r="N425">
            <v>-391</v>
          </cell>
          <cell r="O425">
            <v>2126</v>
          </cell>
          <cell r="R425">
            <v>-2126</v>
          </cell>
          <cell r="S425">
            <v>-391</v>
          </cell>
          <cell r="V425" t="str">
            <v>EBSC Transactional2</v>
          </cell>
          <cell r="W425" t="str">
            <v>Passthroughs</v>
          </cell>
          <cell r="AA425" t="str">
            <v>[10601]  Commonwealth Edison CompanyEBSC TransactionalPassthroughs</v>
          </cell>
          <cell r="AB425" t="str">
            <v>[10601]  Commonwealth Edison CompanyEBSC Transactional (Passthroughs)Other Operating Expenses</v>
          </cell>
          <cell r="AC425" t="str">
            <v>[10601]  Commonwealth Edison CompanyEBSC Transactional (Passthroughs)Technical Services - CED (Asset Perf&amp;Invst Strategy-CED)</v>
          </cell>
          <cell r="AF425" t="e">
            <v>#N/A</v>
          </cell>
        </row>
        <row r="426">
          <cell r="E426">
            <v>0</v>
          </cell>
          <cell r="H426">
            <v>0</v>
          </cell>
          <cell r="I426">
            <v>0</v>
          </cell>
          <cell r="J426">
            <v>5</v>
          </cell>
          <cell r="M426">
            <v>-5</v>
          </cell>
          <cell r="N426">
            <v>0</v>
          </cell>
          <cell r="O426">
            <v>5</v>
          </cell>
          <cell r="R426">
            <v>-5</v>
          </cell>
          <cell r="S426">
            <v>0</v>
          </cell>
          <cell r="V426" t="str">
            <v>EBSC Transactional2</v>
          </cell>
          <cell r="W426" t="str">
            <v>Passthroughs</v>
          </cell>
          <cell r="AA426" t="str">
            <v>[10601]  Commonwealth Edison CompanyEBSC TransactionalPassthroughs</v>
          </cell>
          <cell r="AB426" t="str">
            <v>[10601]  Commonwealth Edison CompanyEBSC Transactional (Passthroughs)Contracting</v>
          </cell>
          <cell r="AC426" t="str">
            <v>[10601]  Commonwealth Edison CompanyEBSC Transactional (Passthroughs)Technical Services - CED (Engineering &amp; System Perf.)</v>
          </cell>
          <cell r="AF426" t="e">
            <v>#N/A</v>
          </cell>
        </row>
        <row r="427">
          <cell r="E427">
            <v>28866</v>
          </cell>
          <cell r="H427">
            <v>-1846</v>
          </cell>
          <cell r="I427">
            <v>-1846</v>
          </cell>
          <cell r="J427">
            <v>97867</v>
          </cell>
          <cell r="M427">
            <v>10215</v>
          </cell>
          <cell r="N427">
            <v>-1846</v>
          </cell>
          <cell r="O427">
            <v>114031</v>
          </cell>
          <cell r="R427">
            <v>210215</v>
          </cell>
          <cell r="S427">
            <v>198154</v>
          </cell>
          <cell r="V427" t="str">
            <v>EBSC Transactional2</v>
          </cell>
          <cell r="W427" t="str">
            <v>Tools For People</v>
          </cell>
          <cell r="AA427" t="str">
            <v>[10601]  Commonwealth Edison CompanyEBSC TransactionalTools For People</v>
          </cell>
          <cell r="AB427" t="str">
            <v>[10601]  Commonwealth Edison CompanyEBSC Transactional (Tools For People)Business Services</v>
          </cell>
          <cell r="AC427" t="str">
            <v>[10601]  Commonwealth Edison CompanyEBSC Transactional (Tools For People)Technical Services - CED (Engineering &amp; System Perf.)</v>
          </cell>
          <cell r="AF427" t="e">
            <v>#N/A</v>
          </cell>
        </row>
        <row r="428">
          <cell r="E428">
            <v>191252</v>
          </cell>
          <cell r="H428">
            <v>-191252</v>
          </cell>
          <cell r="I428">
            <v>-191252</v>
          </cell>
          <cell r="J428">
            <v>559330</v>
          </cell>
          <cell r="M428">
            <v>-559330</v>
          </cell>
          <cell r="N428">
            <v>-191252</v>
          </cell>
          <cell r="O428">
            <v>559330</v>
          </cell>
          <cell r="R428">
            <v>-559330</v>
          </cell>
          <cell r="S428">
            <v>-191252</v>
          </cell>
          <cell r="V428" t="str">
            <v>EBSC Transactional2</v>
          </cell>
          <cell r="W428" t="str">
            <v>Passthroughs</v>
          </cell>
          <cell r="AA428" t="str">
            <v>[10601]  Commonwealth Edison CompanyEBSC TransactionalPassthroughs</v>
          </cell>
          <cell r="AB428" t="str">
            <v>[10601]  Commonwealth Edison CompanyEBSC Transactional (Passthroughs)Other Operating Expenses</v>
          </cell>
          <cell r="AC428" t="str">
            <v>[10601]  Commonwealth Edison CompanyEBSC Transactional (Passthroughs)Technical Services - CED (Engineering &amp; System Perf.)</v>
          </cell>
          <cell r="AF428" t="e">
            <v>#N/A</v>
          </cell>
        </row>
        <row r="429">
          <cell r="E429">
            <v>27016</v>
          </cell>
          <cell r="H429">
            <v>-18077</v>
          </cell>
          <cell r="I429">
            <v>-18077</v>
          </cell>
          <cell r="J429">
            <v>59914</v>
          </cell>
          <cell r="M429">
            <v>-24157</v>
          </cell>
          <cell r="N429">
            <v>-18077</v>
          </cell>
          <cell r="O429">
            <v>107271</v>
          </cell>
          <cell r="R429">
            <v>0</v>
          </cell>
          <cell r="S429">
            <v>0</v>
          </cell>
          <cell r="V429" t="str">
            <v>EBSC Transactional2</v>
          </cell>
          <cell r="W429" t="str">
            <v>Tools For People</v>
          </cell>
          <cell r="AA429" t="str">
            <v>[10601]  Commonwealth Edison CompanyEBSC TransactionalTools For People</v>
          </cell>
          <cell r="AB429" t="str">
            <v>[10601]  Commonwealth Edison CompanyEBSC Transactional (Tools For People)Business Services</v>
          </cell>
          <cell r="AC429" t="str">
            <v>[10601]  Commonwealth Edison CompanyEBSC Transactional (Tools For People)Technical Services - CED (New Business - ComEd)</v>
          </cell>
          <cell r="AF429" t="e">
            <v>#N/A</v>
          </cell>
        </row>
        <row r="430">
          <cell r="E430">
            <v>10541</v>
          </cell>
          <cell r="H430">
            <v>-10541</v>
          </cell>
          <cell r="I430">
            <v>-10541</v>
          </cell>
          <cell r="J430">
            <v>28124</v>
          </cell>
          <cell r="M430">
            <v>-28124</v>
          </cell>
          <cell r="N430">
            <v>-10541</v>
          </cell>
          <cell r="O430">
            <v>28124</v>
          </cell>
          <cell r="R430">
            <v>-28124</v>
          </cell>
          <cell r="S430">
            <v>-10541</v>
          </cell>
          <cell r="V430" t="str">
            <v>EBSC Transactional2</v>
          </cell>
          <cell r="W430" t="str">
            <v>Passthroughs</v>
          </cell>
          <cell r="AA430" t="str">
            <v>[10601]  Commonwealth Edison CompanyEBSC TransactionalPassthroughs</v>
          </cell>
          <cell r="AB430" t="str">
            <v>[10601]  Commonwealth Edison CompanyEBSC Transactional (Passthroughs)Other Operating Expenses</v>
          </cell>
          <cell r="AC430" t="str">
            <v>[10601]  Commonwealth Edison CompanyEBSC Transactional (Passthroughs)Technical Services - CED (New Business - ComEd)</v>
          </cell>
          <cell r="AF430" t="e">
            <v>#N/A</v>
          </cell>
        </row>
        <row r="431">
          <cell r="E431">
            <v>12898</v>
          </cell>
          <cell r="H431">
            <v>-969</v>
          </cell>
          <cell r="I431">
            <v>-969</v>
          </cell>
          <cell r="J431">
            <v>51317</v>
          </cell>
          <cell r="M431">
            <v>-3600</v>
          </cell>
          <cell r="N431">
            <v>-969</v>
          </cell>
          <cell r="O431">
            <v>146752</v>
          </cell>
          <cell r="R431">
            <v>-3600</v>
          </cell>
          <cell r="S431">
            <v>-969</v>
          </cell>
          <cell r="V431" t="str">
            <v>EBSC Transactional2</v>
          </cell>
          <cell r="W431" t="str">
            <v>Tools For People</v>
          </cell>
          <cell r="AA431" t="str">
            <v>[10601]  Commonwealth Edison CompanyEBSC TransactionalTools For People</v>
          </cell>
          <cell r="AB431" t="str">
            <v>[10601]  Commonwealth Edison CompanyEBSC Transactional (Tools For People)Business Services</v>
          </cell>
          <cell r="AC431" t="str">
            <v>[10601]  Commonwealth Edison CompanyEBSC Transactional (Tools For People)Technical Services - CED (Proj&amp;Contract Management-ComEd)</v>
          </cell>
          <cell r="AF431" t="e">
            <v>#N/A</v>
          </cell>
        </row>
        <row r="432">
          <cell r="E432">
            <v>2578</v>
          </cell>
          <cell r="H432">
            <v>-2578</v>
          </cell>
          <cell r="I432">
            <v>-2578</v>
          </cell>
          <cell r="J432">
            <v>21701</v>
          </cell>
          <cell r="M432">
            <v>-21701</v>
          </cell>
          <cell r="N432">
            <v>-2578</v>
          </cell>
          <cell r="O432">
            <v>21701</v>
          </cell>
          <cell r="R432">
            <v>-21701</v>
          </cell>
          <cell r="S432">
            <v>-2578</v>
          </cell>
          <cell r="V432" t="str">
            <v>EBSC Transactional2</v>
          </cell>
          <cell r="W432" t="str">
            <v>Passthroughs</v>
          </cell>
          <cell r="AA432" t="str">
            <v>[10601]  Commonwealth Edison CompanyEBSC TransactionalPassthroughs</v>
          </cell>
          <cell r="AB432" t="str">
            <v>[10601]  Commonwealth Edison CompanyEBSC Transactional (Passthroughs)Other Operating Expenses</v>
          </cell>
          <cell r="AC432" t="str">
            <v>[10601]  Commonwealth Edison CompanyEBSC Transactional (Passthroughs)Technical Services - CED (Proj&amp;Contract Management-ComEd)</v>
          </cell>
          <cell r="AF432" t="e">
            <v>#N/A</v>
          </cell>
        </row>
        <row r="433">
          <cell r="E433">
            <v>0</v>
          </cell>
          <cell r="H433">
            <v>0</v>
          </cell>
          <cell r="I433">
            <v>0</v>
          </cell>
          <cell r="J433">
            <v>0</v>
          </cell>
          <cell r="M433">
            <v>100</v>
          </cell>
          <cell r="N433">
            <v>0</v>
          </cell>
          <cell r="O433">
            <v>750</v>
          </cell>
          <cell r="R433">
            <v>100</v>
          </cell>
          <cell r="S433">
            <v>0</v>
          </cell>
          <cell r="V433" t="str">
            <v>EBSC Transactional2</v>
          </cell>
          <cell r="W433" t="str">
            <v>Passthroughs</v>
          </cell>
          <cell r="AA433" t="str">
            <v>[10601]  Commonwealth Edison CompanyEBSC TransactionalPassthroughs</v>
          </cell>
          <cell r="AB433" t="str">
            <v>[10601]  Commonwealth Edison CompanyEBSC Transactional (Passthroughs)Contracting</v>
          </cell>
          <cell r="AC433" t="str">
            <v>[10601]  Commonwealth Edison CompanyEBSC Transactional (Passthroughs)Transmission Operations-ComEd (CEDTransmission Operation West)</v>
          </cell>
          <cell r="AF433" t="e">
            <v>#N/A</v>
          </cell>
        </row>
        <row r="434">
          <cell r="E434">
            <v>18153</v>
          </cell>
          <cell r="H434">
            <v>4330</v>
          </cell>
          <cell r="I434">
            <v>4330</v>
          </cell>
          <cell r="J434">
            <v>68632</v>
          </cell>
          <cell r="M434">
            <v>21301</v>
          </cell>
          <cell r="N434">
            <v>4330</v>
          </cell>
          <cell r="O434">
            <v>248499</v>
          </cell>
          <cell r="R434">
            <v>21301</v>
          </cell>
          <cell r="S434">
            <v>4330</v>
          </cell>
          <cell r="V434" t="str">
            <v>EBSC Transactional2</v>
          </cell>
          <cell r="W434" t="str">
            <v>Tools For People</v>
          </cell>
          <cell r="AA434" t="str">
            <v>[10601]  Commonwealth Edison CompanyEBSC TransactionalTools For People</v>
          </cell>
          <cell r="AB434" t="str">
            <v>[10601]  Commonwealth Edison CompanyEBSC Transactional (Tools For People)Business Services</v>
          </cell>
          <cell r="AC434" t="str">
            <v>[10601]  Commonwealth Edison CompanyEBSC Transactional (Tools For People)Transmission Operations-ComEd (CEDTransmission Operation West)</v>
          </cell>
          <cell r="AF434" t="e">
            <v>#N/A</v>
          </cell>
        </row>
        <row r="435">
          <cell r="E435">
            <v>1504</v>
          </cell>
          <cell r="H435">
            <v>1830</v>
          </cell>
          <cell r="I435">
            <v>1830</v>
          </cell>
          <cell r="J435">
            <v>11111</v>
          </cell>
          <cell r="M435">
            <v>2222</v>
          </cell>
          <cell r="N435">
            <v>1830</v>
          </cell>
          <cell r="O435">
            <v>37778</v>
          </cell>
          <cell r="R435">
            <v>2222</v>
          </cell>
          <cell r="S435">
            <v>1830</v>
          </cell>
          <cell r="V435" t="str">
            <v>EBSC Transactional2</v>
          </cell>
          <cell r="W435" t="str">
            <v>Passthroughs</v>
          </cell>
          <cell r="AA435" t="str">
            <v>[10601]  Commonwealth Edison CompanyEBSC TransactionalPassthroughs</v>
          </cell>
          <cell r="AB435" t="str">
            <v>[10601]  Commonwealth Edison CompanyEBSC Transactional (Passthroughs)Other Operating Expenses</v>
          </cell>
          <cell r="AC435" t="str">
            <v>[10601]  Commonwealth Edison CompanyEBSC Transactional (Passthroughs)Transmission Operations-ComEd (CEDTransmission Operation West)</v>
          </cell>
          <cell r="AF435" t="e">
            <v>#N/A</v>
          </cell>
        </row>
        <row r="436">
          <cell r="E436">
            <v>4130</v>
          </cell>
          <cell r="H436">
            <v>220</v>
          </cell>
          <cell r="I436">
            <v>220</v>
          </cell>
          <cell r="J436">
            <v>16674</v>
          </cell>
          <cell r="M436">
            <v>726</v>
          </cell>
          <cell r="N436">
            <v>220</v>
          </cell>
          <cell r="O436">
            <v>51474</v>
          </cell>
          <cell r="R436">
            <v>726</v>
          </cell>
          <cell r="S436">
            <v>220</v>
          </cell>
          <cell r="V436" t="str">
            <v>EBSC Transactional2</v>
          </cell>
          <cell r="W436" t="str">
            <v>Tools For People</v>
          </cell>
          <cell r="AA436" t="str">
            <v>[10601]  Commonwealth Edison CompanyEBSC TransactionalTools For People</v>
          </cell>
          <cell r="AB436" t="str">
            <v>[10601]  Commonwealth Edison CompanyEBSC Transactional (Tools For People)Business Services</v>
          </cell>
          <cell r="AC436" t="str">
            <v>[10601]  Commonwealth Edison CompanyEBSC Transactional (Tools For People)Transmission Operations-ComEd (CED Transmission Planning West)</v>
          </cell>
          <cell r="AF436" t="e">
            <v>#N/A</v>
          </cell>
        </row>
        <row r="437">
          <cell r="E437">
            <v>229</v>
          </cell>
          <cell r="H437">
            <v>271</v>
          </cell>
          <cell r="I437">
            <v>271</v>
          </cell>
          <cell r="J437">
            <v>1124</v>
          </cell>
          <cell r="M437">
            <v>876</v>
          </cell>
          <cell r="N437">
            <v>271</v>
          </cell>
          <cell r="O437">
            <v>5124</v>
          </cell>
          <cell r="R437">
            <v>876</v>
          </cell>
          <cell r="S437">
            <v>271</v>
          </cell>
          <cell r="V437" t="str">
            <v>EBSC Transactional2</v>
          </cell>
          <cell r="W437" t="str">
            <v>Passthroughs</v>
          </cell>
          <cell r="AA437" t="str">
            <v>[10601]  Commonwealth Edison CompanyEBSC TransactionalPassthroughs</v>
          </cell>
          <cell r="AB437" t="str">
            <v>[10601]  Commonwealth Edison CompanyEBSC Transactional (Passthroughs)Other Operating Expenses</v>
          </cell>
          <cell r="AC437" t="str">
            <v>[10601]  Commonwealth Edison CompanyEBSC Transactional (Passthroughs)Transmission Operations-ComEd (CED Transmission Planning West)</v>
          </cell>
          <cell r="AF437" t="e">
            <v>#N/A</v>
          </cell>
        </row>
        <row r="438">
          <cell r="E438">
            <v>782</v>
          </cell>
          <cell r="H438">
            <v>3043</v>
          </cell>
          <cell r="I438">
            <v>3043</v>
          </cell>
          <cell r="J438">
            <v>5146</v>
          </cell>
          <cell r="M438">
            <v>10154</v>
          </cell>
          <cell r="N438">
            <v>3043</v>
          </cell>
          <cell r="O438">
            <v>35746</v>
          </cell>
          <cell r="R438">
            <v>10154</v>
          </cell>
          <cell r="S438">
            <v>3043</v>
          </cell>
          <cell r="V438" t="str">
            <v>EBSC Transactional2</v>
          </cell>
          <cell r="W438" t="str">
            <v>Tools For People</v>
          </cell>
          <cell r="AA438" t="str">
            <v>[10601]  Commonwealth Edison CompanyEBSC TransactionalTools For People</v>
          </cell>
          <cell r="AB438" t="str">
            <v>[10601]  Commonwealth Edison CompanyEBSC Transactional (Tools For People)Business Services</v>
          </cell>
          <cell r="AC438" t="str">
            <v>[10601]  Commonwealth Edison CompanyEBSC Transactional (Tools For People)Transmission Operations-ComEd (Trans Strat&amp;Business Oper West)</v>
          </cell>
          <cell r="AF438" t="e">
            <v>#N/A</v>
          </cell>
        </row>
        <row r="439">
          <cell r="E439">
            <v>96</v>
          </cell>
          <cell r="H439">
            <v>604</v>
          </cell>
          <cell r="I439">
            <v>604</v>
          </cell>
          <cell r="J439">
            <v>1113</v>
          </cell>
          <cell r="M439">
            <v>1687</v>
          </cell>
          <cell r="N439">
            <v>604</v>
          </cell>
          <cell r="O439">
            <v>6713</v>
          </cell>
          <cell r="R439">
            <v>1687</v>
          </cell>
          <cell r="S439">
            <v>604</v>
          </cell>
          <cell r="V439" t="str">
            <v>EBSC Transactional2</v>
          </cell>
          <cell r="W439" t="str">
            <v>Passthroughs</v>
          </cell>
          <cell r="AA439" t="str">
            <v>[10601]  Commonwealth Edison CompanyEBSC TransactionalPassthroughs</v>
          </cell>
          <cell r="AB439" t="str">
            <v>[10601]  Commonwealth Edison CompanyEBSC Transactional (Passthroughs)Other Operating Expenses</v>
          </cell>
          <cell r="AC439" t="str">
            <v>[10601]  Commonwealth Edison CompanyEBSC Transactional (Passthroughs)Transmission Operations-ComEd (Trans Strat&amp;Business Oper West)</v>
          </cell>
          <cell r="AF439" t="e">
            <v>#N/A</v>
          </cell>
        </row>
        <row r="440">
          <cell r="E440">
            <v>947</v>
          </cell>
          <cell r="H440">
            <v>603</v>
          </cell>
          <cell r="I440">
            <v>603</v>
          </cell>
          <cell r="J440">
            <v>4327</v>
          </cell>
          <cell r="M440">
            <v>1873</v>
          </cell>
          <cell r="N440">
            <v>603</v>
          </cell>
          <cell r="O440">
            <v>16727</v>
          </cell>
          <cell r="R440">
            <v>1873</v>
          </cell>
          <cell r="S440">
            <v>603</v>
          </cell>
          <cell r="V440" t="str">
            <v>EBSC Transactional2</v>
          </cell>
          <cell r="W440" t="str">
            <v>Tools For People</v>
          </cell>
          <cell r="AA440" t="str">
            <v>[10005]  Exelon Delivery Shared ServiceEBSC TransactionalTools For People</v>
          </cell>
          <cell r="AB440" t="str">
            <v>[10005]  Exelon Delivery Shared ServiceEBSC Transactional (Tools For People)Business Services</v>
          </cell>
          <cell r="AC440" t="str">
            <v>[10005]  Exelon Delivery Shared ServiceEBSC Transactional (Tools For People)  (~04983 - VP - EED Trans Ops and Plan)</v>
          </cell>
          <cell r="AF440" t="e">
            <v>#N/A</v>
          </cell>
        </row>
        <row r="441">
          <cell r="E441">
            <v>369</v>
          </cell>
          <cell r="H441">
            <v>1231</v>
          </cell>
          <cell r="I441">
            <v>1231</v>
          </cell>
          <cell r="J441">
            <v>1323</v>
          </cell>
          <cell r="M441">
            <v>5077</v>
          </cell>
          <cell r="N441">
            <v>1231</v>
          </cell>
          <cell r="O441">
            <v>14123</v>
          </cell>
          <cell r="R441">
            <v>5077</v>
          </cell>
          <cell r="S441">
            <v>1231</v>
          </cell>
          <cell r="V441" t="str">
            <v>EBSC Transactional2</v>
          </cell>
          <cell r="W441" t="str">
            <v>Passthroughs</v>
          </cell>
          <cell r="AA441" t="str">
            <v>[10005]  Exelon Delivery Shared ServiceEBSC TransactionalPassthroughs</v>
          </cell>
          <cell r="AB441" t="str">
            <v>[10005]  Exelon Delivery Shared ServiceEBSC Transactional (Passthroughs)Other Operating Expenses</v>
          </cell>
          <cell r="AC441" t="str">
            <v>[10005]  Exelon Delivery Shared ServiceEBSC Transactional (Passthroughs)  (~04983 - VP - EED Trans Ops and Plan)</v>
          </cell>
          <cell r="AF441" t="e">
            <v>#N/A</v>
          </cell>
        </row>
        <row r="442">
          <cell r="E442">
            <v>1074</v>
          </cell>
          <cell r="H442">
            <v>-155</v>
          </cell>
          <cell r="I442">
            <v>-155</v>
          </cell>
          <cell r="J442">
            <v>4123</v>
          </cell>
          <cell r="M442">
            <v>-448</v>
          </cell>
          <cell r="N442">
            <v>-155</v>
          </cell>
          <cell r="O442">
            <v>11473</v>
          </cell>
          <cell r="R442">
            <v>-448</v>
          </cell>
          <cell r="S442">
            <v>-155</v>
          </cell>
          <cell r="V442" t="str">
            <v>EBSC Transactional2</v>
          </cell>
          <cell r="W442" t="str">
            <v>Tools For People</v>
          </cell>
          <cell r="AA442" t="str">
            <v>[10005]  Exelon Delivery Shared ServiceEBSC TransactionalTools For People</v>
          </cell>
          <cell r="AB442" t="str">
            <v>[10005]  Exelon Delivery Shared ServiceEBSC Transactional (Tools For People)Business Services</v>
          </cell>
          <cell r="AC442" t="str">
            <v>[10005]  Exelon Delivery Shared ServiceEBSC Transactional (Tools For People)Asset Perfor &amp; Invest Strategy (04915 - OVP For Asset Ivest Str &amp; Dev)</v>
          </cell>
          <cell r="AF442" t="e">
            <v>#N/A</v>
          </cell>
        </row>
        <row r="443">
          <cell r="E443">
            <v>3687</v>
          </cell>
          <cell r="H443">
            <v>-3687</v>
          </cell>
          <cell r="I443">
            <v>-3687</v>
          </cell>
          <cell r="J443">
            <v>5289</v>
          </cell>
          <cell r="M443">
            <v>-5289</v>
          </cell>
          <cell r="N443">
            <v>-3687</v>
          </cell>
          <cell r="O443">
            <v>5289</v>
          </cell>
          <cell r="R443">
            <v>-5289</v>
          </cell>
          <cell r="S443">
            <v>-3687</v>
          </cell>
          <cell r="V443" t="str">
            <v>EBSC Transactional2</v>
          </cell>
          <cell r="W443" t="str">
            <v>Passthroughs</v>
          </cell>
          <cell r="AA443" t="str">
            <v>[10005]  Exelon Delivery Shared ServiceEBSC TransactionalPassthroughs</v>
          </cell>
          <cell r="AB443" t="str">
            <v>[10005]  Exelon Delivery Shared ServiceEBSC Transactional (Passthroughs)Other Operating Expenses</v>
          </cell>
          <cell r="AC443" t="str">
            <v>[10005]  Exelon Delivery Shared ServiceEBSC Transactional (Passthroughs)Asset Perfor &amp; Invest Strategy (04915 - OVP For Asset Ivest Str &amp; Dev)</v>
          </cell>
          <cell r="AF443" t="e">
            <v>#N/A</v>
          </cell>
        </row>
        <row r="444">
          <cell r="E444">
            <v>2807</v>
          </cell>
          <cell r="H444">
            <v>-382</v>
          </cell>
          <cell r="I444">
            <v>-382</v>
          </cell>
          <cell r="J444">
            <v>11466</v>
          </cell>
          <cell r="M444">
            <v>-1767</v>
          </cell>
          <cell r="N444">
            <v>-382</v>
          </cell>
          <cell r="O444">
            <v>30864</v>
          </cell>
          <cell r="R444">
            <v>-1767</v>
          </cell>
          <cell r="S444">
            <v>-382</v>
          </cell>
          <cell r="V444" t="str">
            <v>EBSC Transactional2</v>
          </cell>
          <cell r="W444" t="str">
            <v>Tools For People</v>
          </cell>
          <cell r="AA444" t="str">
            <v>[10005]  Exelon Delivery Shared ServiceEBSC TransactionalTools For People</v>
          </cell>
          <cell r="AB444" t="str">
            <v>[10005]  Exelon Delivery Shared ServiceEBSC Transactional (Tools For People)Business Services</v>
          </cell>
          <cell r="AC444" t="str">
            <v>[10005]  Exelon Delivery Shared ServiceEBSC Transactional (Tools For People)Asset Perfor &amp; Invest Strategy (04918 - Performance Analysis &amp; Program)</v>
          </cell>
          <cell r="AF444" t="e">
            <v>#N/A</v>
          </cell>
        </row>
        <row r="445">
          <cell r="E445">
            <v>191</v>
          </cell>
          <cell r="H445">
            <v>-191</v>
          </cell>
          <cell r="I445">
            <v>-191</v>
          </cell>
          <cell r="J445">
            <v>3390</v>
          </cell>
          <cell r="M445">
            <v>-3390</v>
          </cell>
          <cell r="N445">
            <v>-191</v>
          </cell>
          <cell r="O445">
            <v>3390</v>
          </cell>
          <cell r="R445">
            <v>-3390</v>
          </cell>
          <cell r="S445">
            <v>-191</v>
          </cell>
          <cell r="V445" t="str">
            <v>EBSC Transactional2</v>
          </cell>
          <cell r="W445" t="str">
            <v>Passthroughs</v>
          </cell>
          <cell r="AA445" t="str">
            <v>[10005]  Exelon Delivery Shared ServiceEBSC TransactionalPassthroughs</v>
          </cell>
          <cell r="AB445" t="str">
            <v>[10005]  Exelon Delivery Shared ServiceEBSC Transactional (Passthroughs)Other Operating Expenses</v>
          </cell>
          <cell r="AC445" t="str">
            <v>[10005]  Exelon Delivery Shared ServiceEBSC Transactional (Passthroughs)Asset Perfor &amp; Invest Strategy (04918 - Performance Analysis &amp; Program)</v>
          </cell>
          <cell r="AF445" t="e">
            <v>#N/A</v>
          </cell>
        </row>
        <row r="446">
          <cell r="E446">
            <v>4077</v>
          </cell>
          <cell r="H446">
            <v>112</v>
          </cell>
          <cell r="I446">
            <v>112</v>
          </cell>
          <cell r="J446">
            <v>17236</v>
          </cell>
          <cell r="M446">
            <v>-480</v>
          </cell>
          <cell r="N446">
            <v>112</v>
          </cell>
          <cell r="O446">
            <v>50747</v>
          </cell>
          <cell r="R446">
            <v>-480</v>
          </cell>
          <cell r="S446">
            <v>112</v>
          </cell>
          <cell r="V446" t="str">
            <v>EBSC Transactional2</v>
          </cell>
          <cell r="W446" t="str">
            <v>Tools For People</v>
          </cell>
          <cell r="AA446" t="str">
            <v>[10005]  Exelon Delivery Shared ServiceEBSC TransactionalTools For People</v>
          </cell>
          <cell r="AB446" t="str">
            <v>[10005]  Exelon Delivery Shared ServiceEBSC Transactional (Tools For People)Business Services</v>
          </cell>
          <cell r="AC446" t="str">
            <v>[10005]  Exelon Delivery Shared ServiceEBSC Transactional (Tools For People)Asset Perfor &amp; Invest Strategy (04919 - Business Performance Measuremt)</v>
          </cell>
          <cell r="AF446" t="e">
            <v>#N/A</v>
          </cell>
        </row>
        <row r="447">
          <cell r="E447">
            <v>625</v>
          </cell>
          <cell r="H447">
            <v>-625</v>
          </cell>
          <cell r="I447">
            <v>-625</v>
          </cell>
          <cell r="J447">
            <v>3219</v>
          </cell>
          <cell r="M447">
            <v>-3219</v>
          </cell>
          <cell r="N447">
            <v>-625</v>
          </cell>
          <cell r="O447">
            <v>3219</v>
          </cell>
          <cell r="R447">
            <v>-3219</v>
          </cell>
          <cell r="S447">
            <v>-625</v>
          </cell>
          <cell r="V447" t="str">
            <v>EBSC Transactional2</v>
          </cell>
          <cell r="W447" t="str">
            <v>Passthroughs</v>
          </cell>
          <cell r="AA447" t="str">
            <v>[10005]  Exelon Delivery Shared ServiceEBSC TransactionalPassthroughs</v>
          </cell>
          <cell r="AB447" t="str">
            <v>[10005]  Exelon Delivery Shared ServiceEBSC Transactional (Passthroughs)Other Operating Expenses</v>
          </cell>
          <cell r="AC447" t="str">
            <v>[10005]  Exelon Delivery Shared ServiceEBSC Transactional (Passthroughs)Asset Perfor &amp; Invest Strategy (04919 - Business Performance Measuremt)</v>
          </cell>
          <cell r="AF447" t="e">
            <v>#N/A</v>
          </cell>
        </row>
        <row r="448">
          <cell r="E448">
            <v>2223</v>
          </cell>
          <cell r="H448">
            <v>-783</v>
          </cell>
          <cell r="I448">
            <v>-783</v>
          </cell>
          <cell r="J448">
            <v>8903</v>
          </cell>
          <cell r="M448">
            <v>-3143</v>
          </cell>
          <cell r="N448">
            <v>-783</v>
          </cell>
          <cell r="O448">
            <v>20423</v>
          </cell>
          <cell r="R448">
            <v>-3143</v>
          </cell>
          <cell r="S448">
            <v>-783</v>
          </cell>
          <cell r="V448" t="str">
            <v>EBSC Transactional2</v>
          </cell>
          <cell r="W448" t="str">
            <v>Tools For People</v>
          </cell>
          <cell r="AA448" t="str">
            <v>[10005]  Exelon Delivery Shared ServiceEBSC TransactionalTools For People</v>
          </cell>
          <cell r="AB448" t="str">
            <v>[10005]  Exelon Delivery Shared ServiceEBSC Transactional (Tools For People)Business Services</v>
          </cell>
          <cell r="AC448" t="str">
            <v>[10005]  Exelon Delivery Shared ServiceEBSC Transactional (Tools For People)Asset Perfor &amp; Invest Strategy (04920 - Work Priorization &amp; Invest Str)</v>
          </cell>
          <cell r="AF448" t="e">
            <v>#N/A</v>
          </cell>
        </row>
        <row r="449">
          <cell r="E449">
            <v>1627</v>
          </cell>
          <cell r="H449">
            <v>-1627</v>
          </cell>
          <cell r="I449">
            <v>-1627</v>
          </cell>
          <cell r="J449">
            <v>6121</v>
          </cell>
          <cell r="M449">
            <v>-6121</v>
          </cell>
          <cell r="N449">
            <v>-1627</v>
          </cell>
          <cell r="O449">
            <v>6121</v>
          </cell>
          <cell r="R449">
            <v>-6121</v>
          </cell>
          <cell r="S449">
            <v>-1627</v>
          </cell>
          <cell r="V449" t="str">
            <v>EBSC Transactional2</v>
          </cell>
          <cell r="W449" t="str">
            <v>Passthroughs</v>
          </cell>
          <cell r="AA449" t="str">
            <v>[10005]  Exelon Delivery Shared ServiceEBSC TransactionalPassthroughs</v>
          </cell>
          <cell r="AB449" t="str">
            <v>[10005]  Exelon Delivery Shared ServiceEBSC Transactional (Passthroughs)Other Operating Expenses</v>
          </cell>
          <cell r="AC449" t="str">
            <v>[10005]  Exelon Delivery Shared ServiceEBSC Transactional (Passthroughs)Asset Perfor &amp; Invest Strategy (04920 - Work Priorization &amp; Invest Str)</v>
          </cell>
          <cell r="AF449" t="e">
            <v>#N/A</v>
          </cell>
        </row>
        <row r="450">
          <cell r="E450">
            <v>1809</v>
          </cell>
          <cell r="H450">
            <v>-329</v>
          </cell>
          <cell r="I450">
            <v>-329</v>
          </cell>
          <cell r="J450">
            <v>8093</v>
          </cell>
          <cell r="M450">
            <v>-2171</v>
          </cell>
          <cell r="N450">
            <v>-329</v>
          </cell>
          <cell r="O450">
            <v>19938</v>
          </cell>
          <cell r="R450">
            <v>-2171</v>
          </cell>
          <cell r="S450">
            <v>-329</v>
          </cell>
          <cell r="V450" t="str">
            <v>EBSC Transactional2</v>
          </cell>
          <cell r="W450" t="str">
            <v>Tools For People</v>
          </cell>
          <cell r="AA450" t="str">
            <v>[10005]  Exelon Delivery Shared ServiceEBSC TransactionalTools For People</v>
          </cell>
          <cell r="AB450" t="str">
            <v>[10005]  Exelon Delivery Shared ServiceEBSC Transactional (Tools For People)Business Services</v>
          </cell>
          <cell r="AC450" t="str">
            <v>[10005]  Exelon Delivery Shared ServiceEBSC Transactional (Tools For People)Asset Perfor &amp; Invest Strategy (04922 - Capacity Planning)</v>
          </cell>
          <cell r="AF450" t="e">
            <v>#N/A</v>
          </cell>
        </row>
        <row r="451">
          <cell r="E451">
            <v>4454</v>
          </cell>
          <cell r="H451">
            <v>-4454</v>
          </cell>
          <cell r="I451">
            <v>-4454</v>
          </cell>
          <cell r="J451">
            <v>5297</v>
          </cell>
          <cell r="M451">
            <v>-5297</v>
          </cell>
          <cell r="N451">
            <v>-4454</v>
          </cell>
          <cell r="O451">
            <v>5297</v>
          </cell>
          <cell r="R451">
            <v>-5297</v>
          </cell>
          <cell r="S451">
            <v>-4454</v>
          </cell>
          <cell r="V451" t="str">
            <v>EBSC Transactional2</v>
          </cell>
          <cell r="W451" t="str">
            <v>Passthroughs</v>
          </cell>
          <cell r="AA451" t="str">
            <v>[10005]  Exelon Delivery Shared ServiceEBSC TransactionalPassthroughs</v>
          </cell>
          <cell r="AB451" t="str">
            <v>[10005]  Exelon Delivery Shared ServiceEBSC Transactional (Passthroughs)Other Operating Expenses</v>
          </cell>
          <cell r="AC451" t="str">
            <v>[10005]  Exelon Delivery Shared ServiceEBSC Transactional (Passthroughs)Asset Perfor &amp; Invest Strategy (04922 - Capacity Planning)</v>
          </cell>
          <cell r="AF451" t="e">
            <v>#N/A</v>
          </cell>
        </row>
        <row r="452">
          <cell r="E452">
            <v>546</v>
          </cell>
          <cell r="H452">
            <v>-359</v>
          </cell>
          <cell r="I452">
            <v>-359</v>
          </cell>
          <cell r="J452">
            <v>1858</v>
          </cell>
          <cell r="M452">
            <v>-1110</v>
          </cell>
          <cell r="N452">
            <v>-359</v>
          </cell>
          <cell r="O452">
            <v>3354</v>
          </cell>
          <cell r="R452">
            <v>-1110</v>
          </cell>
          <cell r="S452">
            <v>-359</v>
          </cell>
          <cell r="V452" t="str">
            <v>EBSC Transactional2</v>
          </cell>
          <cell r="W452" t="str">
            <v>Tools For People</v>
          </cell>
          <cell r="AA452" t="str">
            <v>[10005]  Exelon Delivery Shared ServiceEBSC TransactionalTools For People</v>
          </cell>
          <cell r="AB452" t="str">
            <v>[10005]  Exelon Delivery Shared ServiceEBSC Transactional (Tools For People)Business Services</v>
          </cell>
          <cell r="AC452" t="str">
            <v>[10005]  Exelon Delivery Shared ServiceEBSC Transactional (Tools For People)Asset Perfor &amp; Invest Strategy (04938 - Research &amp; Development)</v>
          </cell>
          <cell r="AF452" t="e">
            <v>#N/A</v>
          </cell>
        </row>
        <row r="453">
          <cell r="E453">
            <v>171</v>
          </cell>
          <cell r="H453">
            <v>-171</v>
          </cell>
          <cell r="I453">
            <v>-171</v>
          </cell>
          <cell r="J453">
            <v>779</v>
          </cell>
          <cell r="M453">
            <v>-779</v>
          </cell>
          <cell r="N453">
            <v>-171</v>
          </cell>
          <cell r="O453">
            <v>779</v>
          </cell>
          <cell r="R453">
            <v>-779</v>
          </cell>
          <cell r="S453">
            <v>-171</v>
          </cell>
          <cell r="V453" t="str">
            <v>EBSC Transactional2</v>
          </cell>
          <cell r="W453" t="str">
            <v>Passthroughs</v>
          </cell>
          <cell r="AA453" t="str">
            <v>[10005]  Exelon Delivery Shared ServiceEBSC TransactionalPassthroughs</v>
          </cell>
          <cell r="AB453" t="str">
            <v>[10005]  Exelon Delivery Shared ServiceEBSC Transactional (Passthroughs)Other Operating Expenses</v>
          </cell>
          <cell r="AC453" t="str">
            <v>[10005]  Exelon Delivery Shared ServiceEBSC Transactional (Passthroughs)Asset Perfor &amp; Invest Strategy (04938 - Research &amp; Development)</v>
          </cell>
          <cell r="AF453" t="e">
            <v>#N/A</v>
          </cell>
        </row>
        <row r="454">
          <cell r="E454">
            <v>3611</v>
          </cell>
          <cell r="H454">
            <v>-3323</v>
          </cell>
          <cell r="I454">
            <v>-3323</v>
          </cell>
          <cell r="J454">
            <v>15033</v>
          </cell>
          <cell r="M454">
            <v>-13883</v>
          </cell>
          <cell r="N454">
            <v>-3323</v>
          </cell>
          <cell r="O454">
            <v>17333</v>
          </cell>
          <cell r="R454">
            <v>-13883</v>
          </cell>
          <cell r="S454">
            <v>-3323</v>
          </cell>
          <cell r="V454" t="str">
            <v>EBSC Transactional2</v>
          </cell>
          <cell r="W454" t="str">
            <v>Tools For People</v>
          </cell>
          <cell r="AA454" t="str">
            <v>[10005]  Exelon Delivery Shared ServiceEBSC TransactionalTools For People</v>
          </cell>
          <cell r="AB454" t="str">
            <v>[10005]  Exelon Delivery Shared ServiceEBSC Transactional (Tools For People)Business Services</v>
          </cell>
          <cell r="AC454" t="str">
            <v>[10005]  Exelon Delivery Shared ServiceEBSC Transactional (Tools For People)Asset Perfor &amp; Invest Strategy (App Support &amp; Bus Process Imp.)</v>
          </cell>
          <cell r="AF454" t="e">
            <v>#N/A</v>
          </cell>
        </row>
        <row r="455">
          <cell r="E455">
            <v>828</v>
          </cell>
          <cell r="H455">
            <v>-828</v>
          </cell>
          <cell r="I455">
            <v>-828</v>
          </cell>
          <cell r="J455">
            <v>3725</v>
          </cell>
          <cell r="M455">
            <v>-3725</v>
          </cell>
          <cell r="N455">
            <v>-828</v>
          </cell>
          <cell r="O455">
            <v>3725</v>
          </cell>
          <cell r="R455">
            <v>-3725</v>
          </cell>
          <cell r="S455">
            <v>-828</v>
          </cell>
          <cell r="V455" t="str">
            <v>EBSC Transactional2</v>
          </cell>
          <cell r="W455" t="str">
            <v>Passthroughs</v>
          </cell>
          <cell r="AA455" t="str">
            <v>[10005]  Exelon Delivery Shared ServiceEBSC TransactionalPassthroughs</v>
          </cell>
          <cell r="AB455" t="str">
            <v>[10005]  Exelon Delivery Shared ServiceEBSC Transactional (Passthroughs)Other Operating Expenses</v>
          </cell>
          <cell r="AC455" t="str">
            <v>[10005]  Exelon Delivery Shared ServiceEBSC Transactional (Passthroughs)Asset Perfor &amp; Invest Strategy (App Support &amp; Bus Process Imp.)</v>
          </cell>
          <cell r="AF455" t="e">
            <v>#N/A</v>
          </cell>
        </row>
        <row r="456">
          <cell r="E456">
            <v>22003</v>
          </cell>
          <cell r="H456">
            <v>-21331</v>
          </cell>
          <cell r="I456">
            <v>-21331</v>
          </cell>
          <cell r="J456">
            <v>26192</v>
          </cell>
          <cell r="M456">
            <v>-23504</v>
          </cell>
          <cell r="N456">
            <v>-21331</v>
          </cell>
          <cell r="O456">
            <v>31568</v>
          </cell>
          <cell r="R456">
            <v>-23504</v>
          </cell>
          <cell r="S456">
            <v>-21331</v>
          </cell>
          <cell r="V456" t="str">
            <v>EBSC Transactional2</v>
          </cell>
          <cell r="W456" t="str">
            <v>Tools For People</v>
          </cell>
          <cell r="AA456" t="str">
            <v>[10005]  Exelon Delivery Shared ServiceEBSC TransactionalTools For People</v>
          </cell>
          <cell r="AB456" t="str">
            <v>[10005]  Exelon Delivery Shared ServiceEBSC Transactional (Tools For People)Business Services</v>
          </cell>
          <cell r="AC456" t="str">
            <v>[10005]  Exelon Delivery Shared ServiceEBSC Transactional (Tools For People)Customer &amp; Marketing Services (EED Customer Contact Center)</v>
          </cell>
          <cell r="AF456" t="e">
            <v>#N/A</v>
          </cell>
        </row>
        <row r="457">
          <cell r="E457">
            <v>1698</v>
          </cell>
          <cell r="H457">
            <v>-1698</v>
          </cell>
          <cell r="I457">
            <v>-1698</v>
          </cell>
          <cell r="J457">
            <v>3645</v>
          </cell>
          <cell r="M457">
            <v>-3645</v>
          </cell>
          <cell r="N457">
            <v>-1698</v>
          </cell>
          <cell r="O457">
            <v>3645</v>
          </cell>
          <cell r="R457">
            <v>-3645</v>
          </cell>
          <cell r="S457">
            <v>-1698</v>
          </cell>
          <cell r="V457" t="str">
            <v>EBSC Transactional2</v>
          </cell>
          <cell r="W457" t="str">
            <v>Passthroughs</v>
          </cell>
          <cell r="AA457" t="str">
            <v>[10005]  Exelon Delivery Shared ServiceEBSC TransactionalPassthroughs</v>
          </cell>
          <cell r="AB457" t="str">
            <v>[10005]  Exelon Delivery Shared ServiceEBSC Transactional (Passthroughs)Other Operating Expenses</v>
          </cell>
          <cell r="AC457" t="str">
            <v>[10005]  Exelon Delivery Shared ServiceEBSC Transactional (Passthroughs)Customer &amp; Marketing Services (EED Customer Contact Center)</v>
          </cell>
          <cell r="AF457" t="e">
            <v>#N/A</v>
          </cell>
        </row>
        <row r="458">
          <cell r="E458">
            <v>-31668</v>
          </cell>
          <cell r="H458">
            <v>34866</v>
          </cell>
          <cell r="I458">
            <v>65206</v>
          </cell>
          <cell r="J458">
            <v>45187</v>
          </cell>
          <cell r="M458">
            <v>-32129</v>
          </cell>
          <cell r="N458">
            <v>65206</v>
          </cell>
          <cell r="O458">
            <v>73491</v>
          </cell>
          <cell r="R458">
            <v>-34855</v>
          </cell>
          <cell r="S458">
            <v>65206</v>
          </cell>
          <cell r="V458" t="str">
            <v>EBSC Transactional2</v>
          </cell>
          <cell r="W458" t="str">
            <v>Tools For People</v>
          </cell>
          <cell r="AA458" t="str">
            <v>[10005]  Exelon Delivery Shared ServiceEBSC TransactionalTools For People</v>
          </cell>
          <cell r="AB458" t="str">
            <v>[10005]  Exelon Delivery Shared ServiceEBSC Transactional (Tools For People)Business Services</v>
          </cell>
          <cell r="AC458" t="str">
            <v>[10005]  Exelon Delivery Shared ServiceEBSC Transactional (Tools For People)Customer &amp; Marketing Services (EED Customer Field Ops)</v>
          </cell>
          <cell r="AF458" t="e">
            <v>#N/A</v>
          </cell>
        </row>
        <row r="459">
          <cell r="E459">
            <v>1315</v>
          </cell>
          <cell r="H459">
            <v>-1025</v>
          </cell>
          <cell r="I459">
            <v>75</v>
          </cell>
          <cell r="J459">
            <v>6740</v>
          </cell>
          <cell r="M459">
            <v>-5582</v>
          </cell>
          <cell r="N459">
            <v>75</v>
          </cell>
          <cell r="O459">
            <v>17856</v>
          </cell>
          <cell r="R459">
            <v>-14383</v>
          </cell>
          <cell r="S459">
            <v>75</v>
          </cell>
          <cell r="V459" t="str">
            <v>EBSC Transactional2</v>
          </cell>
          <cell r="W459" t="str">
            <v>Passthroughs</v>
          </cell>
          <cell r="AA459" t="str">
            <v>[10005]  Exelon Delivery Shared ServiceEBSC TransactionalPassthroughs</v>
          </cell>
          <cell r="AB459" t="str">
            <v>[10005]  Exelon Delivery Shared ServiceEBSC Transactional (Passthroughs)Other Operating Expenses</v>
          </cell>
          <cell r="AC459" t="str">
            <v>[10005]  Exelon Delivery Shared ServiceEBSC Transactional (Passthroughs)Customer &amp; Marketing Services (EED Customer Field Ops)</v>
          </cell>
          <cell r="AF459" t="e">
            <v>#N/A</v>
          </cell>
        </row>
        <row r="460">
          <cell r="E460">
            <v>2731</v>
          </cell>
          <cell r="H460">
            <v>2719</v>
          </cell>
          <cell r="I460">
            <v>2742</v>
          </cell>
          <cell r="J460">
            <v>16245</v>
          </cell>
          <cell r="M460">
            <v>5554</v>
          </cell>
          <cell r="N460">
            <v>2742</v>
          </cell>
          <cell r="O460">
            <v>60030</v>
          </cell>
          <cell r="R460">
            <v>3453</v>
          </cell>
          <cell r="S460">
            <v>2742</v>
          </cell>
          <cell r="V460" t="str">
            <v>EBSC Transactional2</v>
          </cell>
          <cell r="W460" t="str">
            <v>Tools For People</v>
          </cell>
          <cell r="AA460" t="str">
            <v>[10005]  Exelon Delivery Shared ServiceEBSC TransactionalTools For People</v>
          </cell>
          <cell r="AB460" t="str">
            <v>[10005]  Exelon Delivery Shared ServiceEBSC Transactional (Tools For People)Business Services</v>
          </cell>
          <cell r="AC460" t="str">
            <v>[10005]  Exelon Delivery Shared ServiceEBSC Transactional (Tools For People)Customer &amp; Marketing Services (EED Customer Financial Ops)</v>
          </cell>
          <cell r="AF460" t="e">
            <v>#N/A</v>
          </cell>
        </row>
        <row r="461">
          <cell r="E461">
            <v>4168</v>
          </cell>
          <cell r="H461">
            <v>-3451</v>
          </cell>
          <cell r="I461">
            <v>-3406</v>
          </cell>
          <cell r="J461">
            <v>8542</v>
          </cell>
          <cell r="M461">
            <v>-5672</v>
          </cell>
          <cell r="N461">
            <v>-3406</v>
          </cell>
          <cell r="O461">
            <v>14640</v>
          </cell>
          <cell r="R461">
            <v>-6362</v>
          </cell>
          <cell r="S461">
            <v>-3406</v>
          </cell>
          <cell r="V461" t="str">
            <v>EBSC Transactional2</v>
          </cell>
          <cell r="W461" t="str">
            <v>Passthroughs</v>
          </cell>
          <cell r="AA461" t="str">
            <v>[10005]  Exelon Delivery Shared ServiceEBSC TransactionalPassthroughs</v>
          </cell>
          <cell r="AB461" t="str">
            <v>[10005]  Exelon Delivery Shared ServiceEBSC Transactional (Passthroughs)Other Operating Expenses</v>
          </cell>
          <cell r="AC461" t="str">
            <v>[10005]  Exelon Delivery Shared ServiceEBSC Transactional (Passthroughs)Customer &amp; Marketing Services (EED Customer Financial Ops)</v>
          </cell>
          <cell r="AF461" t="e">
            <v>#N/A</v>
          </cell>
        </row>
        <row r="462">
          <cell r="E462">
            <v>3938</v>
          </cell>
          <cell r="H462">
            <v>1814</v>
          </cell>
          <cell r="I462">
            <v>1814</v>
          </cell>
          <cell r="J462">
            <v>15554</v>
          </cell>
          <cell r="M462">
            <v>7454</v>
          </cell>
          <cell r="N462">
            <v>1814</v>
          </cell>
          <cell r="O462">
            <v>65126</v>
          </cell>
          <cell r="R462">
            <v>3892</v>
          </cell>
          <cell r="S462">
            <v>1814</v>
          </cell>
          <cell r="V462" t="str">
            <v>EBSC Transactional2</v>
          </cell>
          <cell r="W462" t="str">
            <v>Tools For People</v>
          </cell>
          <cell r="AA462" t="str">
            <v>[10005]  Exelon Delivery Shared ServiceEBSC TransactionalTools For People</v>
          </cell>
          <cell r="AB462" t="str">
            <v>[10005]  Exelon Delivery Shared ServiceEBSC Transactional (Tools For People)Business Services</v>
          </cell>
          <cell r="AC462" t="str">
            <v>[10005]  Exelon Delivery Shared ServiceEBSC Transactional (Tools For People)Customer &amp; Marketing Services (EED Cust Strategies &amp; Support)</v>
          </cell>
          <cell r="AF462" t="e">
            <v>#N/A</v>
          </cell>
        </row>
        <row r="463">
          <cell r="E463">
            <v>2546</v>
          </cell>
          <cell r="H463">
            <v>-246</v>
          </cell>
          <cell r="I463">
            <v>-246</v>
          </cell>
          <cell r="J463">
            <v>6438</v>
          </cell>
          <cell r="M463">
            <v>2762</v>
          </cell>
          <cell r="N463">
            <v>-246</v>
          </cell>
          <cell r="O463">
            <v>27841</v>
          </cell>
          <cell r="R463">
            <v>-239</v>
          </cell>
          <cell r="S463">
            <v>-246</v>
          </cell>
          <cell r="V463" t="str">
            <v>EBSC Transactional2</v>
          </cell>
          <cell r="W463" t="str">
            <v>Passthroughs</v>
          </cell>
          <cell r="AA463" t="str">
            <v>[10005]  Exelon Delivery Shared ServiceEBSC TransactionalPassthroughs</v>
          </cell>
          <cell r="AB463" t="str">
            <v>[10005]  Exelon Delivery Shared ServiceEBSC Transactional (Passthroughs)Other Operating Expenses</v>
          </cell>
          <cell r="AC463" t="str">
            <v>[10005]  Exelon Delivery Shared ServiceEBSC Transactional (Passthroughs)Customer &amp; Marketing Services (EED Cust Strategies &amp; Support)</v>
          </cell>
          <cell r="AF463" t="e">
            <v>#N/A</v>
          </cell>
        </row>
        <row r="464">
          <cell r="E464">
            <v>19132</v>
          </cell>
          <cell r="H464">
            <v>-15799</v>
          </cell>
          <cell r="I464">
            <v>-15799</v>
          </cell>
          <cell r="J464">
            <v>33071</v>
          </cell>
          <cell r="M464">
            <v>-19739</v>
          </cell>
          <cell r="N464">
            <v>-15799</v>
          </cell>
          <cell r="O464">
            <v>59739</v>
          </cell>
          <cell r="R464">
            <v>-19739</v>
          </cell>
          <cell r="S464">
            <v>-15799</v>
          </cell>
          <cell r="V464" t="str">
            <v>EBSC Transactional2</v>
          </cell>
          <cell r="W464" t="str">
            <v>Tools For People</v>
          </cell>
          <cell r="AA464" t="str">
            <v>[10005]  Exelon Delivery Shared ServiceEBSC TransactionalTools For People</v>
          </cell>
          <cell r="AB464" t="str">
            <v>[10005]  Exelon Delivery Shared ServiceEBSC Transactional (Tools For People)Business Services</v>
          </cell>
          <cell r="AC464" t="str">
            <v>[10005]  Exelon Delivery Shared ServiceEBSC Transactional (Tools For People)Customer &amp; Marketing Services (EED Energy&amp;Marketing Services)</v>
          </cell>
          <cell r="AF464" t="e">
            <v>#N/A</v>
          </cell>
        </row>
        <row r="465">
          <cell r="E465">
            <v>757</v>
          </cell>
          <cell r="H465">
            <v>76</v>
          </cell>
          <cell r="I465">
            <v>76</v>
          </cell>
          <cell r="J465">
            <v>3049</v>
          </cell>
          <cell r="M465">
            <v>283</v>
          </cell>
          <cell r="N465">
            <v>76</v>
          </cell>
          <cell r="O465">
            <v>9717</v>
          </cell>
          <cell r="R465">
            <v>283</v>
          </cell>
          <cell r="S465">
            <v>76</v>
          </cell>
          <cell r="V465" t="str">
            <v>EBSC Transactional2</v>
          </cell>
          <cell r="W465" t="str">
            <v>Passthroughs</v>
          </cell>
          <cell r="AA465" t="str">
            <v>[10005]  Exelon Delivery Shared ServiceEBSC TransactionalPassthroughs</v>
          </cell>
          <cell r="AB465" t="str">
            <v>[10005]  Exelon Delivery Shared ServiceEBSC Transactional (Passthroughs)Other Operating Expenses</v>
          </cell>
          <cell r="AC465" t="str">
            <v>[10005]  Exelon Delivery Shared ServiceEBSC Transactional (Passthroughs)Customer &amp; Marketing Services (EED Energy&amp;Marketing Services)</v>
          </cell>
          <cell r="AF465" t="e">
            <v>#N/A</v>
          </cell>
        </row>
        <row r="466">
          <cell r="E466">
            <v>4185</v>
          </cell>
          <cell r="H466">
            <v>3815</v>
          </cell>
          <cell r="I466">
            <v>2515</v>
          </cell>
          <cell r="J466">
            <v>20060</v>
          </cell>
          <cell r="M466">
            <v>12940</v>
          </cell>
          <cell r="N466">
            <v>2515</v>
          </cell>
          <cell r="O466">
            <v>73660</v>
          </cell>
          <cell r="R466">
            <v>26340</v>
          </cell>
          <cell r="S466">
            <v>2515</v>
          </cell>
          <cell r="V466" t="str">
            <v>EBSC Transactional2</v>
          </cell>
          <cell r="W466" t="str">
            <v>Tools For People</v>
          </cell>
          <cell r="AA466" t="str">
            <v>[10005]  Exelon Delivery Shared ServiceEBSC TransactionalTools For People</v>
          </cell>
          <cell r="AB466" t="str">
            <v>[10005]  Exelon Delivery Shared ServiceEBSC Transactional (Tools For People)Business Services</v>
          </cell>
          <cell r="AC466" t="str">
            <v>[10005]  Exelon Delivery Shared ServiceEBSC Transactional (Tools For People)Customer &amp; Marketing Services (EED Fleet Services)</v>
          </cell>
          <cell r="AF466" t="e">
            <v>#N/A</v>
          </cell>
        </row>
        <row r="467">
          <cell r="E467">
            <v>1685</v>
          </cell>
          <cell r="H467">
            <v>815</v>
          </cell>
          <cell r="I467">
            <v>815</v>
          </cell>
          <cell r="J467">
            <v>8631</v>
          </cell>
          <cell r="M467">
            <v>1369</v>
          </cell>
          <cell r="N467">
            <v>815</v>
          </cell>
          <cell r="O467">
            <v>28331</v>
          </cell>
          <cell r="R467">
            <v>1669</v>
          </cell>
          <cell r="S467">
            <v>815</v>
          </cell>
          <cell r="V467" t="str">
            <v>EBSC Transactional2</v>
          </cell>
          <cell r="W467" t="str">
            <v>Passthroughs</v>
          </cell>
          <cell r="AA467" t="str">
            <v>[10005]  Exelon Delivery Shared ServiceEBSC TransactionalPassthroughs</v>
          </cell>
          <cell r="AB467" t="str">
            <v>[10005]  Exelon Delivery Shared ServiceEBSC Transactional (Passthroughs)Other Operating Expenses</v>
          </cell>
          <cell r="AC467" t="str">
            <v>[10005]  Exelon Delivery Shared ServiceEBSC Transactional (Passthroughs)Customer &amp; Marketing Services (EED Fleet Services)</v>
          </cell>
          <cell r="AF467" t="e">
            <v>#N/A</v>
          </cell>
        </row>
        <row r="468">
          <cell r="E468">
            <v>1106</v>
          </cell>
          <cell r="H468">
            <v>-6</v>
          </cell>
          <cell r="I468">
            <v>-6</v>
          </cell>
          <cell r="J468">
            <v>4637</v>
          </cell>
          <cell r="M468">
            <v>-237</v>
          </cell>
          <cell r="N468">
            <v>-6</v>
          </cell>
          <cell r="O468">
            <v>13437</v>
          </cell>
          <cell r="R468">
            <v>-237</v>
          </cell>
          <cell r="S468">
            <v>-6</v>
          </cell>
          <cell r="V468" t="str">
            <v>EBSC Transactional2</v>
          </cell>
          <cell r="W468" t="str">
            <v>Tools For People</v>
          </cell>
          <cell r="AA468" t="str">
            <v>[10005]  Exelon Delivery Shared ServiceEBSC TransactionalTools For People</v>
          </cell>
          <cell r="AB468" t="str">
            <v>[10005]  Exelon Delivery Shared ServiceEBSC Transactional (Tools For People)Business Services</v>
          </cell>
          <cell r="AC468" t="str">
            <v>[10005]  Exelon Delivery Shared ServiceEBSC Transactional (Tools For People)Customer &amp; Marketing Services (EED Senior VP)</v>
          </cell>
          <cell r="AF468" t="e">
            <v>#N/A</v>
          </cell>
        </row>
        <row r="469">
          <cell r="E469">
            <v>1931</v>
          </cell>
          <cell r="H469">
            <v>-1931</v>
          </cell>
          <cell r="I469">
            <v>-1931</v>
          </cell>
          <cell r="J469">
            <v>4320</v>
          </cell>
          <cell r="M469">
            <v>-4320</v>
          </cell>
          <cell r="N469">
            <v>-1931</v>
          </cell>
          <cell r="O469">
            <v>4320</v>
          </cell>
          <cell r="R469">
            <v>-4320</v>
          </cell>
          <cell r="S469">
            <v>-1931</v>
          </cell>
          <cell r="V469" t="str">
            <v>EBSC Transactional2</v>
          </cell>
          <cell r="W469" t="str">
            <v>Passthroughs</v>
          </cell>
          <cell r="AA469" t="str">
            <v>[10005]  Exelon Delivery Shared ServiceEBSC TransactionalPassthroughs</v>
          </cell>
          <cell r="AB469" t="str">
            <v>[10005]  Exelon Delivery Shared ServiceEBSC Transactional (Passthroughs)Other Operating Expenses</v>
          </cell>
          <cell r="AC469" t="str">
            <v>[10005]  Exelon Delivery Shared ServiceEBSC Transactional (Passthroughs)Customer &amp; Marketing Services (EED Senior VP)</v>
          </cell>
          <cell r="AF469" t="e">
            <v>#N/A</v>
          </cell>
        </row>
        <row r="470">
          <cell r="E470">
            <v>219</v>
          </cell>
          <cell r="H470">
            <v>1881</v>
          </cell>
          <cell r="I470">
            <v>1881</v>
          </cell>
          <cell r="J470">
            <v>971</v>
          </cell>
          <cell r="M470">
            <v>7429</v>
          </cell>
          <cell r="N470">
            <v>1881</v>
          </cell>
          <cell r="O470">
            <v>17771</v>
          </cell>
          <cell r="R470">
            <v>7429</v>
          </cell>
          <cell r="S470">
            <v>1881</v>
          </cell>
          <cell r="V470" t="str">
            <v>EBSC Transactional2</v>
          </cell>
          <cell r="W470" t="str">
            <v>Tools For People</v>
          </cell>
          <cell r="AA470" t="str">
            <v>[10005]  Exelon Delivery Shared ServiceEBSC TransactionalTools For People</v>
          </cell>
          <cell r="AB470" t="str">
            <v>[10005]  Exelon Delivery Shared ServiceEBSC Transactional (Tools For People)Business Services</v>
          </cell>
          <cell r="AC470" t="str">
            <v>[10005]  Exelon Delivery Shared ServiceEBSC Transactional (Tools For People)Dispatch &amp; Operations (01101 - Operation Control Center)</v>
          </cell>
          <cell r="AF470" t="e">
            <v>#N/A</v>
          </cell>
        </row>
        <row r="471">
          <cell r="E471">
            <v>228</v>
          </cell>
          <cell r="H471">
            <v>-228</v>
          </cell>
          <cell r="I471">
            <v>-228</v>
          </cell>
          <cell r="J471">
            <v>819</v>
          </cell>
          <cell r="M471">
            <v>-819</v>
          </cell>
          <cell r="N471">
            <v>-228</v>
          </cell>
          <cell r="O471">
            <v>819</v>
          </cell>
          <cell r="R471">
            <v>-819</v>
          </cell>
          <cell r="S471">
            <v>-228</v>
          </cell>
          <cell r="V471" t="str">
            <v>EBSC Transactional2</v>
          </cell>
          <cell r="W471" t="str">
            <v>Passthroughs</v>
          </cell>
          <cell r="AA471" t="str">
            <v>[10005]  Exelon Delivery Shared ServiceEBSC TransactionalPassthroughs</v>
          </cell>
          <cell r="AB471" t="str">
            <v>[10005]  Exelon Delivery Shared ServiceEBSC Transactional (Passthroughs)Other Operating Expenses</v>
          </cell>
          <cell r="AC471" t="str">
            <v>[10005]  Exelon Delivery Shared ServiceEBSC Transactional (Passthroughs)Dispatch &amp; Operations (01101 - Operation Control Center)</v>
          </cell>
          <cell r="AF471" t="e">
            <v>#N/A</v>
          </cell>
        </row>
        <row r="472">
          <cell r="E472">
            <v>1165</v>
          </cell>
          <cell r="H472">
            <v>-115</v>
          </cell>
          <cell r="I472">
            <v>-115</v>
          </cell>
          <cell r="J472">
            <v>5437</v>
          </cell>
          <cell r="M472">
            <v>-1237</v>
          </cell>
          <cell r="N472">
            <v>-115</v>
          </cell>
          <cell r="O472">
            <v>13837</v>
          </cell>
          <cell r="R472">
            <v>-1237</v>
          </cell>
          <cell r="S472">
            <v>-115</v>
          </cell>
          <cell r="V472" t="str">
            <v>EBSC Transactional2</v>
          </cell>
          <cell r="W472" t="str">
            <v>Tools For People</v>
          </cell>
          <cell r="AA472" t="str">
            <v>[10005]  Exelon Delivery Shared ServiceEBSC TransactionalTools For People</v>
          </cell>
          <cell r="AB472" t="str">
            <v>[10005]  Exelon Delivery Shared ServiceEBSC Transactional (Tools For People)Business Services</v>
          </cell>
          <cell r="AC472" t="str">
            <v>[10005]  Exelon Delivery Shared ServiceEBSC Transactional (Tools For People)Dispatch &amp; Operations (04906 - EED Dispatch &amp; Operations)</v>
          </cell>
          <cell r="AF472" t="e">
            <v>#N/A</v>
          </cell>
        </row>
        <row r="473">
          <cell r="E473">
            <v>487</v>
          </cell>
          <cell r="H473">
            <v>-487</v>
          </cell>
          <cell r="I473">
            <v>-487</v>
          </cell>
          <cell r="J473">
            <v>2097</v>
          </cell>
          <cell r="M473">
            <v>-2097</v>
          </cell>
          <cell r="N473">
            <v>-487</v>
          </cell>
          <cell r="O473">
            <v>2097</v>
          </cell>
          <cell r="R473">
            <v>-2097</v>
          </cell>
          <cell r="S473">
            <v>-487</v>
          </cell>
          <cell r="V473" t="str">
            <v>EBSC Transactional2</v>
          </cell>
          <cell r="W473" t="str">
            <v>Passthroughs</v>
          </cell>
          <cell r="AA473" t="str">
            <v>[10005]  Exelon Delivery Shared ServiceEBSC TransactionalPassthroughs</v>
          </cell>
          <cell r="AB473" t="str">
            <v>[10005]  Exelon Delivery Shared ServiceEBSC Transactional (Passthroughs)Other Operating Expenses</v>
          </cell>
          <cell r="AC473" t="str">
            <v>[10005]  Exelon Delivery Shared ServiceEBSC Transactional (Passthroughs)Dispatch &amp; Operations (04906 - EED Dispatch &amp; Operations)</v>
          </cell>
          <cell r="AF473" t="e">
            <v>#N/A</v>
          </cell>
        </row>
        <row r="474">
          <cell r="E474">
            <v>5838</v>
          </cell>
          <cell r="H474">
            <v>57</v>
          </cell>
          <cell r="I474">
            <v>57</v>
          </cell>
          <cell r="J474">
            <v>19560</v>
          </cell>
          <cell r="M474">
            <v>4020</v>
          </cell>
          <cell r="N474">
            <v>57</v>
          </cell>
          <cell r="O474">
            <v>66720</v>
          </cell>
          <cell r="R474">
            <v>4020</v>
          </cell>
          <cell r="S474">
            <v>57</v>
          </cell>
          <cell r="V474" t="str">
            <v>EBSC Transactional2</v>
          </cell>
          <cell r="W474" t="str">
            <v>Tools For People</v>
          </cell>
          <cell r="AA474" t="str">
            <v>[10005]  Exelon Delivery Shared ServiceEBSC TransactionalTools For People</v>
          </cell>
          <cell r="AB474" t="str">
            <v>[10005]  Exelon Delivery Shared ServiceEBSC Transactional (Tools For People)Business Services</v>
          </cell>
          <cell r="AC474" t="str">
            <v>[10005]  Exelon Delivery Shared ServiceEBSC Transactional (Tools For People)Dispatch &amp; Operations (04907 - Emergency Preparedness)</v>
          </cell>
          <cell r="AF474" t="e">
            <v>#N/A</v>
          </cell>
        </row>
        <row r="475">
          <cell r="E475">
            <v>7617</v>
          </cell>
          <cell r="H475">
            <v>-7617</v>
          </cell>
          <cell r="I475">
            <v>-7617</v>
          </cell>
          <cell r="J475">
            <v>21755</v>
          </cell>
          <cell r="M475">
            <v>-21755</v>
          </cell>
          <cell r="N475">
            <v>-7617</v>
          </cell>
          <cell r="O475">
            <v>21755</v>
          </cell>
          <cell r="R475">
            <v>-21755</v>
          </cell>
          <cell r="S475">
            <v>-7617</v>
          </cell>
          <cell r="V475" t="str">
            <v>EBSC Transactional2</v>
          </cell>
          <cell r="W475" t="str">
            <v>Passthroughs</v>
          </cell>
          <cell r="AA475" t="str">
            <v>[10005]  Exelon Delivery Shared ServiceEBSC TransactionalPassthroughs</v>
          </cell>
          <cell r="AB475" t="str">
            <v>[10005]  Exelon Delivery Shared ServiceEBSC Transactional (Passthroughs)Other Operating Expenses</v>
          </cell>
          <cell r="AC475" t="str">
            <v>[10005]  Exelon Delivery Shared ServiceEBSC Transactional (Passthroughs)Dispatch &amp; Operations (04907 - Emergency Preparedness)</v>
          </cell>
          <cell r="AF475" t="e">
            <v>#N/A</v>
          </cell>
        </row>
        <row r="476">
          <cell r="E476">
            <v>2687</v>
          </cell>
          <cell r="H476">
            <v>2993</v>
          </cell>
          <cell r="I476">
            <v>2993</v>
          </cell>
          <cell r="J476">
            <v>9993</v>
          </cell>
          <cell r="M476">
            <v>12724</v>
          </cell>
          <cell r="N476">
            <v>2993</v>
          </cell>
          <cell r="O476">
            <v>55429</v>
          </cell>
          <cell r="R476">
            <v>12724</v>
          </cell>
          <cell r="S476">
            <v>2993</v>
          </cell>
          <cell r="V476" t="str">
            <v>EBSC Transactional2</v>
          </cell>
          <cell r="W476" t="str">
            <v>Tools For People</v>
          </cell>
          <cell r="AA476" t="str">
            <v>[10005]  Exelon Delivery Shared ServiceEBSC TransactionalTools For People</v>
          </cell>
          <cell r="AB476" t="str">
            <v>[10005]  Exelon Delivery Shared ServiceEBSC Transactional (Tools For People)Business Services</v>
          </cell>
          <cell r="AC476" t="str">
            <v>[10005]  Exelon Delivery Shared ServiceEBSC Transactional (Tools For People)EED Executive &amp; Services (00859 - Quality Services)</v>
          </cell>
          <cell r="AF476" t="e">
            <v>#N/A</v>
          </cell>
        </row>
        <row r="477">
          <cell r="E477">
            <v>2062</v>
          </cell>
          <cell r="H477">
            <v>2896</v>
          </cell>
          <cell r="I477">
            <v>2896</v>
          </cell>
          <cell r="J477">
            <v>7672</v>
          </cell>
          <cell r="M477">
            <v>12162</v>
          </cell>
          <cell r="N477">
            <v>2896</v>
          </cell>
          <cell r="O477">
            <v>47338</v>
          </cell>
          <cell r="R477">
            <v>12162</v>
          </cell>
          <cell r="S477">
            <v>2896</v>
          </cell>
          <cell r="V477" t="str">
            <v>EBSC Transactional2</v>
          </cell>
          <cell r="W477" t="str">
            <v>Passthroughs</v>
          </cell>
          <cell r="AA477" t="str">
            <v>[10005]  Exelon Delivery Shared ServiceEBSC TransactionalPassthroughs</v>
          </cell>
          <cell r="AB477" t="str">
            <v>[10005]  Exelon Delivery Shared ServiceEBSC Transactional (Passthroughs)Other Operating Expenses</v>
          </cell>
          <cell r="AC477" t="str">
            <v>[10005]  Exelon Delivery Shared ServiceEBSC Transactional (Passthroughs)EED Executive &amp; Services (00859 - Quality Services)</v>
          </cell>
          <cell r="AF477" t="e">
            <v>#N/A</v>
          </cell>
        </row>
        <row r="478">
          <cell r="E478">
            <v>808</v>
          </cell>
          <cell r="H478">
            <v>109</v>
          </cell>
          <cell r="I478">
            <v>-458</v>
          </cell>
          <cell r="J478">
            <v>5035</v>
          </cell>
          <cell r="M478">
            <v>-1368</v>
          </cell>
          <cell r="N478">
            <v>-458</v>
          </cell>
          <cell r="O478">
            <v>7835</v>
          </cell>
          <cell r="R478">
            <v>3165</v>
          </cell>
          <cell r="S478">
            <v>-458</v>
          </cell>
          <cell r="V478" t="str">
            <v>EBSC Transactional2</v>
          </cell>
          <cell r="W478" t="str">
            <v>Tools For People</v>
          </cell>
          <cell r="AA478" t="str">
            <v>[10005]  Exelon Delivery Shared ServiceEBSC TransactionalTools For People</v>
          </cell>
          <cell r="AB478" t="str">
            <v>[10005]  Exelon Delivery Shared ServiceEBSC Transactional (Tools For People)Business Services</v>
          </cell>
          <cell r="AC478" t="str">
            <v>[10005]  Exelon Delivery Shared ServiceEBSC Transactional (Tools For People)EED Executive &amp; Services (04900 - Office of EED President)</v>
          </cell>
          <cell r="AF478" t="e">
            <v>#N/A</v>
          </cell>
        </row>
        <row r="479">
          <cell r="E479">
            <v>416</v>
          </cell>
          <cell r="H479">
            <v>834</v>
          </cell>
          <cell r="I479">
            <v>-16</v>
          </cell>
          <cell r="J479">
            <v>3968</v>
          </cell>
          <cell r="M479">
            <v>1032</v>
          </cell>
          <cell r="N479">
            <v>-16</v>
          </cell>
          <cell r="O479">
            <v>7168</v>
          </cell>
          <cell r="R479">
            <v>7832</v>
          </cell>
          <cell r="S479">
            <v>-16</v>
          </cell>
          <cell r="V479" t="str">
            <v>EBSC Transactional2</v>
          </cell>
          <cell r="W479" t="str">
            <v>Passthroughs</v>
          </cell>
          <cell r="AA479" t="str">
            <v>[10005]  Exelon Delivery Shared ServiceEBSC TransactionalPassthroughs</v>
          </cell>
          <cell r="AB479" t="str">
            <v>[10005]  Exelon Delivery Shared ServiceEBSC Transactional (Passthroughs)Other Operating Expenses</v>
          </cell>
          <cell r="AC479" t="str">
            <v>[10005]  Exelon Delivery Shared ServiceEBSC Transactional (Passthroughs)EED Executive &amp; Services (04900 - Office of EED President)</v>
          </cell>
          <cell r="AF479" t="e">
            <v>#N/A</v>
          </cell>
        </row>
        <row r="480">
          <cell r="E480">
            <v>1585</v>
          </cell>
          <cell r="H480">
            <v>-1585</v>
          </cell>
          <cell r="I480">
            <v>-1585</v>
          </cell>
          <cell r="J480">
            <v>6835</v>
          </cell>
          <cell r="M480">
            <v>-6835</v>
          </cell>
          <cell r="N480">
            <v>-1585</v>
          </cell>
          <cell r="O480">
            <v>6835</v>
          </cell>
          <cell r="R480">
            <v>-6835</v>
          </cell>
          <cell r="S480">
            <v>-1585</v>
          </cell>
          <cell r="V480" t="str">
            <v>EBSC Transactional2</v>
          </cell>
          <cell r="W480" t="str">
            <v>Tools For People</v>
          </cell>
          <cell r="AA480" t="str">
            <v>[10005]  Exelon Delivery Shared ServiceEBSC TransactionalTools For People</v>
          </cell>
          <cell r="AB480" t="str">
            <v>[10005]  Exelon Delivery Shared ServiceEBSC Transactional (Tools For People)Business Services</v>
          </cell>
          <cell r="AC480" t="str">
            <v>[10005]  Exelon Delivery Shared ServiceEBSC Transactional (Tools For People)EED Executive &amp; Services (04982 - Office of VP - EED Integration)</v>
          </cell>
          <cell r="AF480" t="e">
            <v>#N/A</v>
          </cell>
        </row>
        <row r="481">
          <cell r="E481">
            <v>11</v>
          </cell>
          <cell r="H481">
            <v>-11</v>
          </cell>
          <cell r="I481">
            <v>-11</v>
          </cell>
          <cell r="J481">
            <v>2214</v>
          </cell>
          <cell r="M481">
            <v>-2214</v>
          </cell>
          <cell r="N481">
            <v>-11</v>
          </cell>
          <cell r="O481">
            <v>2214</v>
          </cell>
          <cell r="R481">
            <v>-2214</v>
          </cell>
          <cell r="S481">
            <v>-11</v>
          </cell>
          <cell r="V481" t="str">
            <v>EBSC Transactional2</v>
          </cell>
          <cell r="W481" t="str">
            <v>Passthroughs</v>
          </cell>
          <cell r="AA481" t="str">
            <v>[10005]  Exelon Delivery Shared ServiceEBSC TransactionalPassthroughs</v>
          </cell>
          <cell r="AB481" t="str">
            <v>[10005]  Exelon Delivery Shared ServiceEBSC Transactional (Passthroughs)Other Operating Expenses</v>
          </cell>
          <cell r="AC481" t="str">
            <v>[10005]  Exelon Delivery Shared ServiceEBSC Transactional (Passthroughs)EED Executive &amp; Services (04982 - Office of VP - EED Integration)</v>
          </cell>
          <cell r="AF481" t="e">
            <v>#N/A</v>
          </cell>
        </row>
        <row r="482">
          <cell r="E482">
            <v>148</v>
          </cell>
          <cell r="H482">
            <v>-148</v>
          </cell>
          <cell r="I482">
            <v>-148</v>
          </cell>
          <cell r="J482">
            <v>593</v>
          </cell>
          <cell r="M482">
            <v>-593</v>
          </cell>
          <cell r="N482">
            <v>-148</v>
          </cell>
          <cell r="O482">
            <v>593</v>
          </cell>
          <cell r="R482">
            <v>-593</v>
          </cell>
          <cell r="S482">
            <v>-148</v>
          </cell>
          <cell r="V482" t="str">
            <v>EBSC Transactional2</v>
          </cell>
          <cell r="W482" t="str">
            <v>Tools For People</v>
          </cell>
          <cell r="AA482" t="str">
            <v>[10005]  Exelon Delivery Shared ServiceEBSC TransactionalTools For People</v>
          </cell>
          <cell r="AB482" t="str">
            <v>[10005]  Exelon Delivery Shared ServiceEBSC Transactional (Tools For People)Business Services</v>
          </cell>
          <cell r="AC482" t="str">
            <v>[10005]  Exelon Delivery Shared ServiceEBSC Transactional (Tools For People)EED Executive &amp; Services (08500 - Office of the President - EED)</v>
          </cell>
          <cell r="AF482" t="e">
            <v>#N/A</v>
          </cell>
        </row>
        <row r="483">
          <cell r="E483">
            <v>21</v>
          </cell>
          <cell r="H483">
            <v>-21</v>
          </cell>
          <cell r="I483">
            <v>-21</v>
          </cell>
          <cell r="J483">
            <v>78</v>
          </cell>
          <cell r="M483">
            <v>-78</v>
          </cell>
          <cell r="N483">
            <v>-21</v>
          </cell>
          <cell r="O483">
            <v>78</v>
          </cell>
          <cell r="R483">
            <v>-78</v>
          </cell>
          <cell r="S483">
            <v>-21</v>
          </cell>
          <cell r="V483" t="str">
            <v>EBSC Transactional2</v>
          </cell>
          <cell r="W483" t="str">
            <v>Passthroughs</v>
          </cell>
          <cell r="AA483" t="str">
            <v>[10005]  Exelon Delivery Shared ServiceEBSC TransactionalPassthroughs</v>
          </cell>
          <cell r="AB483" t="str">
            <v>[10005]  Exelon Delivery Shared ServiceEBSC Transactional (Passthroughs)Other Operating Expenses</v>
          </cell>
          <cell r="AC483" t="str">
            <v>[10005]  Exelon Delivery Shared ServiceEBSC Transactional (Passthroughs)EED Executive &amp; Services (08500 - Office of the President - EED)</v>
          </cell>
          <cell r="AF483" t="e">
            <v>#N/A</v>
          </cell>
        </row>
        <row r="484">
          <cell r="E484">
            <v>120</v>
          </cell>
          <cell r="H484">
            <v>-120</v>
          </cell>
          <cell r="I484">
            <v>-120</v>
          </cell>
          <cell r="J484">
            <v>479</v>
          </cell>
          <cell r="M484">
            <v>-479</v>
          </cell>
          <cell r="N484">
            <v>-120</v>
          </cell>
          <cell r="O484">
            <v>479</v>
          </cell>
          <cell r="R484">
            <v>-479</v>
          </cell>
          <cell r="S484">
            <v>-120</v>
          </cell>
          <cell r="V484" t="str">
            <v>EBSC Transactional2</v>
          </cell>
          <cell r="W484" t="str">
            <v>Tools For People</v>
          </cell>
          <cell r="AA484" t="str">
            <v>[10005]  Exelon Delivery Shared ServiceEBSC TransactionalTools For People</v>
          </cell>
          <cell r="AB484" t="str">
            <v>[10005]  Exelon Delivery Shared ServiceEBSC Transactional (Tools For People)Business Services</v>
          </cell>
          <cell r="AC484" t="str">
            <v>[10005]  Exelon Delivery Shared ServiceEBSC Transactional (Tools For People)EED Executive &amp; Services (08502 - Ofc of Cust Strat &amp; Sys EED)</v>
          </cell>
          <cell r="AF484" t="e">
            <v>#N/A</v>
          </cell>
        </row>
        <row r="485">
          <cell r="E485">
            <v>120</v>
          </cell>
          <cell r="H485">
            <v>-120</v>
          </cell>
          <cell r="I485">
            <v>-120</v>
          </cell>
          <cell r="J485">
            <v>479</v>
          </cell>
          <cell r="M485">
            <v>-479</v>
          </cell>
          <cell r="N485">
            <v>-120</v>
          </cell>
          <cell r="O485">
            <v>479</v>
          </cell>
          <cell r="R485">
            <v>-479</v>
          </cell>
          <cell r="S485">
            <v>-120</v>
          </cell>
          <cell r="V485" t="str">
            <v>EBSC Transactional2</v>
          </cell>
          <cell r="W485" t="str">
            <v>Tools For People</v>
          </cell>
          <cell r="AA485" t="str">
            <v>[10005]  Exelon Delivery Shared ServiceEBSC TransactionalTools For People</v>
          </cell>
          <cell r="AB485" t="str">
            <v>[10005]  Exelon Delivery Shared ServiceEBSC Transactional (Tools For People)Business Services</v>
          </cell>
          <cell r="AC485" t="str">
            <v>[10005]  Exelon Delivery Shared ServiceEBSC Transactional (Tools For People)EED Executive &amp; Services (08503 - Ofc of VP Eng &amp; Tech Anal EED)</v>
          </cell>
          <cell r="AF485" t="e">
            <v>#N/A</v>
          </cell>
        </row>
        <row r="486">
          <cell r="E486">
            <v>141</v>
          </cell>
          <cell r="H486">
            <v>-141</v>
          </cell>
          <cell r="I486">
            <v>-141</v>
          </cell>
          <cell r="J486">
            <v>572</v>
          </cell>
          <cell r="M486">
            <v>-572</v>
          </cell>
          <cell r="N486">
            <v>-141</v>
          </cell>
          <cell r="O486">
            <v>572</v>
          </cell>
          <cell r="R486">
            <v>-572</v>
          </cell>
          <cell r="S486">
            <v>-141</v>
          </cell>
          <cell r="V486" t="str">
            <v>EBSC Transactional2</v>
          </cell>
          <cell r="W486" t="str">
            <v>Tools For People</v>
          </cell>
          <cell r="AA486" t="str">
            <v>[10005]  Exelon Delivery Shared ServiceEBSC TransactionalTools For People</v>
          </cell>
          <cell r="AB486" t="str">
            <v>[10005]  Exelon Delivery Shared ServiceEBSC Transactional (Tools For People)Business Services</v>
          </cell>
          <cell r="AC486" t="str">
            <v>[10005]  Exelon Delivery Shared ServiceEBSC Transactional (Tools For People)EED Executive &amp; Services (08596 - EED Office of the President)</v>
          </cell>
          <cell r="AF486" t="e">
            <v>#N/A</v>
          </cell>
        </row>
        <row r="487">
          <cell r="E487">
            <v>113</v>
          </cell>
          <cell r="H487">
            <v>-113</v>
          </cell>
          <cell r="I487">
            <v>-113</v>
          </cell>
          <cell r="J487">
            <v>174</v>
          </cell>
          <cell r="M487">
            <v>-174</v>
          </cell>
          <cell r="N487">
            <v>-113</v>
          </cell>
          <cell r="O487">
            <v>174</v>
          </cell>
          <cell r="R487">
            <v>-174</v>
          </cell>
          <cell r="S487">
            <v>-113</v>
          </cell>
          <cell r="V487" t="str">
            <v>EBSC Transactional2</v>
          </cell>
          <cell r="W487" t="str">
            <v>Passthroughs</v>
          </cell>
          <cell r="AA487" t="str">
            <v>[10005]  Exelon Delivery Shared ServiceEBSC TransactionalPassthroughs</v>
          </cell>
          <cell r="AB487" t="str">
            <v>[10005]  Exelon Delivery Shared ServiceEBSC Transactional (Passthroughs)Other Operating Expenses</v>
          </cell>
          <cell r="AC487" t="str">
            <v>[10005]  Exelon Delivery Shared ServiceEBSC Transactional (Passthroughs)EED Executive &amp; Services (08596 - EED Office of the President)</v>
          </cell>
          <cell r="AF487" t="e">
            <v>#N/A</v>
          </cell>
        </row>
        <row r="488">
          <cell r="E488">
            <v>4455</v>
          </cell>
          <cell r="H488">
            <v>-4455</v>
          </cell>
          <cell r="I488">
            <v>-4455</v>
          </cell>
          <cell r="J488">
            <v>17282</v>
          </cell>
          <cell r="M488">
            <v>-17282</v>
          </cell>
          <cell r="N488">
            <v>-4455</v>
          </cell>
          <cell r="O488">
            <v>17282</v>
          </cell>
          <cell r="R488">
            <v>-17282</v>
          </cell>
          <cell r="S488">
            <v>-4455</v>
          </cell>
          <cell r="V488" t="str">
            <v>EBSC Transactional2</v>
          </cell>
          <cell r="W488" t="str">
            <v>Tools For People</v>
          </cell>
          <cell r="AA488" t="str">
            <v>[10005]  Exelon Delivery Shared ServiceEBSC TransactionalTools For People</v>
          </cell>
          <cell r="AB488" t="str">
            <v>[10005]  Exelon Delivery Shared ServiceEBSC Transactional (Tools For People)Business Services</v>
          </cell>
          <cell r="AC488" t="str">
            <v>[10005]  Exelon Delivery Shared ServiceEBSC Transactional (Tools For People)EED Property Management (04782 - EED Property Mgmt)</v>
          </cell>
          <cell r="AF488" t="e">
            <v>#N/A</v>
          </cell>
        </row>
        <row r="489">
          <cell r="E489">
            <v>1361</v>
          </cell>
          <cell r="H489">
            <v>10022</v>
          </cell>
          <cell r="I489">
            <v>10022</v>
          </cell>
          <cell r="J489">
            <v>6580</v>
          </cell>
          <cell r="M489">
            <v>38953</v>
          </cell>
          <cell r="N489">
            <v>10022</v>
          </cell>
          <cell r="O489">
            <v>97647</v>
          </cell>
          <cell r="R489">
            <v>38953</v>
          </cell>
          <cell r="S489">
            <v>10022</v>
          </cell>
          <cell r="V489" t="str">
            <v>EBSC Transactional2</v>
          </cell>
          <cell r="W489" t="str">
            <v>Passthroughs</v>
          </cell>
          <cell r="AA489" t="str">
            <v>[10005]  Exelon Delivery Shared ServiceEBSC TransactionalPassthroughs</v>
          </cell>
          <cell r="AB489" t="str">
            <v>[10005]  Exelon Delivery Shared ServiceEBSC Transactional (Passthroughs)Other Operating Expenses</v>
          </cell>
          <cell r="AC489" t="str">
            <v>[10005]  Exelon Delivery Shared ServiceEBSC Transactional (Passthroughs)EED Property Management (04782 - EED Property Mgmt)</v>
          </cell>
          <cell r="AF489" t="e">
            <v>#N/A</v>
          </cell>
        </row>
        <row r="490">
          <cell r="E490">
            <v>65</v>
          </cell>
          <cell r="H490">
            <v>-65</v>
          </cell>
          <cell r="I490">
            <v>-384</v>
          </cell>
          <cell r="J490">
            <v>195</v>
          </cell>
          <cell r="M490">
            <v>-195</v>
          </cell>
          <cell r="N490">
            <v>-384</v>
          </cell>
          <cell r="O490">
            <v>195</v>
          </cell>
          <cell r="R490">
            <v>-195</v>
          </cell>
          <cell r="S490">
            <v>-384</v>
          </cell>
          <cell r="V490" t="str">
            <v>EBSC Transactional2</v>
          </cell>
          <cell r="W490" t="str">
            <v>Tools For People</v>
          </cell>
          <cell r="AA490" t="str">
            <v>[10005]  Exelon Delivery Shared ServiceEBSC TransactionalTools For People</v>
          </cell>
          <cell r="AB490" t="str">
            <v>[10005]  Exelon Delivery Shared ServiceEBSC Transactional (Tools For People)Business Services</v>
          </cell>
          <cell r="AC490" t="str">
            <v>[10005]  Exelon Delivery Shared ServiceEBSC Transactional (Tools For People)EED Work Management (04921 - Resource Strategy &amp; Prod. Meas)</v>
          </cell>
          <cell r="AF490" t="e">
            <v>#N/A</v>
          </cell>
        </row>
        <row r="491">
          <cell r="E491">
            <v>4</v>
          </cell>
          <cell r="H491">
            <v>-4</v>
          </cell>
          <cell r="I491">
            <v>-5</v>
          </cell>
          <cell r="J491">
            <v>8</v>
          </cell>
          <cell r="M491">
            <v>-8</v>
          </cell>
          <cell r="N491">
            <v>-5</v>
          </cell>
          <cell r="O491">
            <v>8</v>
          </cell>
          <cell r="R491">
            <v>-8</v>
          </cell>
          <cell r="S491">
            <v>-5</v>
          </cell>
          <cell r="V491" t="str">
            <v>EBSC Transactional2</v>
          </cell>
          <cell r="W491" t="str">
            <v>Passthroughs</v>
          </cell>
          <cell r="AA491" t="str">
            <v>[10005]  Exelon Delivery Shared ServiceEBSC TransactionalPassthroughs</v>
          </cell>
          <cell r="AB491" t="str">
            <v>[10005]  Exelon Delivery Shared ServiceEBSC Transactional (Passthroughs)Other Operating Expenses</v>
          </cell>
          <cell r="AC491" t="str">
            <v>[10005]  Exelon Delivery Shared ServiceEBSC Transactional (Passthroughs)EED Work Management (04921 - Resource Strategy &amp; Prod. Meas)</v>
          </cell>
          <cell r="AF491" t="e">
            <v>#N/A</v>
          </cell>
        </row>
        <row r="492">
          <cell r="E492">
            <v>2146</v>
          </cell>
          <cell r="H492">
            <v>-514</v>
          </cell>
          <cell r="I492">
            <v>-514</v>
          </cell>
          <cell r="J492">
            <v>8463</v>
          </cell>
          <cell r="M492">
            <v>-1937</v>
          </cell>
          <cell r="N492">
            <v>-514</v>
          </cell>
          <cell r="O492">
            <v>21513</v>
          </cell>
          <cell r="R492">
            <v>-1937</v>
          </cell>
          <cell r="S492">
            <v>-514</v>
          </cell>
          <cell r="V492" t="str">
            <v>EBSC Transactional2</v>
          </cell>
          <cell r="W492" t="str">
            <v>Tools For People</v>
          </cell>
          <cell r="AA492" t="str">
            <v>[10005]  Exelon Delivery Shared ServiceEBSC TransactionalTools For People</v>
          </cell>
          <cell r="AB492" t="str">
            <v>[10005]  Exelon Delivery Shared ServiceEBSC Transactional (Tools For People)Business Services</v>
          </cell>
          <cell r="AC492" t="str">
            <v>[10005]  Exelon Delivery Shared ServiceEBSC Transactional (Tools For People)EED Work Management (04927 - VP - Work Management)</v>
          </cell>
          <cell r="AF492" t="e">
            <v>#N/A</v>
          </cell>
        </row>
        <row r="493">
          <cell r="E493">
            <v>763</v>
          </cell>
          <cell r="H493">
            <v>-763</v>
          </cell>
          <cell r="I493">
            <v>-763</v>
          </cell>
          <cell r="J493">
            <v>4263</v>
          </cell>
          <cell r="M493">
            <v>-4263</v>
          </cell>
          <cell r="N493">
            <v>-763</v>
          </cell>
          <cell r="O493">
            <v>4263</v>
          </cell>
          <cell r="R493">
            <v>-4263</v>
          </cell>
          <cell r="S493">
            <v>-763</v>
          </cell>
          <cell r="V493" t="str">
            <v>EBSC Transactional2</v>
          </cell>
          <cell r="W493" t="str">
            <v>Passthroughs</v>
          </cell>
          <cell r="AA493" t="str">
            <v>[10005]  Exelon Delivery Shared ServiceEBSC TransactionalPassthroughs</v>
          </cell>
          <cell r="AB493" t="str">
            <v>[10005]  Exelon Delivery Shared ServiceEBSC Transactional (Passthroughs)Other Operating Expenses</v>
          </cell>
          <cell r="AC493" t="str">
            <v>[10005]  Exelon Delivery Shared ServiceEBSC Transactional (Passthroughs)EED Work Management (04927 - VP - Work Management)</v>
          </cell>
          <cell r="AF493" t="e">
            <v>#N/A</v>
          </cell>
        </row>
        <row r="494">
          <cell r="E494">
            <v>439</v>
          </cell>
          <cell r="H494">
            <v>661</v>
          </cell>
          <cell r="I494">
            <v>661</v>
          </cell>
          <cell r="J494">
            <v>1625</v>
          </cell>
          <cell r="M494">
            <v>2775</v>
          </cell>
          <cell r="N494">
            <v>661</v>
          </cell>
          <cell r="O494">
            <v>10425</v>
          </cell>
          <cell r="R494">
            <v>2775</v>
          </cell>
          <cell r="S494">
            <v>661</v>
          </cell>
          <cell r="V494" t="str">
            <v>EBSC Transactional2</v>
          </cell>
          <cell r="W494" t="str">
            <v>Tools For People</v>
          </cell>
          <cell r="AA494" t="str">
            <v>[10005]  Exelon Delivery Shared ServiceEBSC TransactionalTools For People</v>
          </cell>
          <cell r="AB494" t="str">
            <v>[10005]  Exelon Delivery Shared ServiceEBSC Transactional (Tools For People)Business Services</v>
          </cell>
          <cell r="AC494" t="str">
            <v>[10005]  Exelon Delivery Shared ServiceEBSC Transactional (Tools For People)EED Work Management (04928 - EED Work Control)</v>
          </cell>
          <cell r="AF494" t="e">
            <v>#N/A</v>
          </cell>
        </row>
        <row r="495">
          <cell r="E495">
            <v>3438</v>
          </cell>
          <cell r="H495">
            <v>-3438</v>
          </cell>
          <cell r="I495">
            <v>-3438</v>
          </cell>
          <cell r="J495">
            <v>16875</v>
          </cell>
          <cell r="M495">
            <v>-16875</v>
          </cell>
          <cell r="N495">
            <v>-3438</v>
          </cell>
          <cell r="O495">
            <v>16875</v>
          </cell>
          <cell r="R495">
            <v>-16875</v>
          </cell>
          <cell r="S495">
            <v>-3438</v>
          </cell>
          <cell r="V495" t="str">
            <v>EBSC Transactional2</v>
          </cell>
          <cell r="W495" t="str">
            <v>Passthroughs</v>
          </cell>
          <cell r="AA495" t="str">
            <v>[10005]  Exelon Delivery Shared ServiceEBSC TransactionalPassthroughs</v>
          </cell>
          <cell r="AB495" t="str">
            <v>[10005]  Exelon Delivery Shared ServiceEBSC Transactional (Passthroughs)Other Operating Expenses</v>
          </cell>
          <cell r="AC495" t="str">
            <v>[10005]  Exelon Delivery Shared ServiceEBSC Transactional (Passthroughs)EED Work Management (04928 - EED Work Control)</v>
          </cell>
          <cell r="AF495" t="e">
            <v>#N/A</v>
          </cell>
        </row>
        <row r="496">
          <cell r="E496">
            <v>294</v>
          </cell>
          <cell r="H496">
            <v>171</v>
          </cell>
          <cell r="I496">
            <v>171</v>
          </cell>
          <cell r="J496">
            <v>1155</v>
          </cell>
          <cell r="M496">
            <v>705</v>
          </cell>
          <cell r="N496">
            <v>171</v>
          </cell>
          <cell r="O496">
            <v>4875</v>
          </cell>
          <cell r="R496">
            <v>705</v>
          </cell>
          <cell r="S496">
            <v>171</v>
          </cell>
          <cell r="V496" t="str">
            <v>EBSC Transactional2</v>
          </cell>
          <cell r="W496" t="str">
            <v>Tools For People</v>
          </cell>
          <cell r="AA496" t="str">
            <v>[10005]  Exelon Delivery Shared ServiceEBSC TransactionalTools For People</v>
          </cell>
          <cell r="AB496" t="str">
            <v>[10005]  Exelon Delivery Shared ServiceEBSC Transactional (Tools For People)Business Services</v>
          </cell>
          <cell r="AC496" t="str">
            <v>[10005]  Exelon Delivery Shared ServiceEBSC Transactional (Tools For People)EED Work Management (04929 - EED Work Planning)</v>
          </cell>
          <cell r="AF496" t="e">
            <v>#N/A</v>
          </cell>
        </row>
        <row r="497">
          <cell r="E497">
            <v>32</v>
          </cell>
          <cell r="H497">
            <v>-32</v>
          </cell>
          <cell r="I497">
            <v>-32</v>
          </cell>
          <cell r="J497">
            <v>105</v>
          </cell>
          <cell r="M497">
            <v>-105</v>
          </cell>
          <cell r="N497">
            <v>-32</v>
          </cell>
          <cell r="O497">
            <v>105</v>
          </cell>
          <cell r="R497">
            <v>-105</v>
          </cell>
          <cell r="S497">
            <v>-32</v>
          </cell>
          <cell r="V497" t="str">
            <v>EBSC Transactional2</v>
          </cell>
          <cell r="W497" t="str">
            <v>Passthroughs</v>
          </cell>
          <cell r="AA497" t="str">
            <v>[10005]  Exelon Delivery Shared ServiceEBSC TransactionalPassthroughs</v>
          </cell>
          <cell r="AB497" t="str">
            <v>[10005]  Exelon Delivery Shared ServiceEBSC Transactional (Passthroughs)Other Operating Expenses</v>
          </cell>
          <cell r="AC497" t="str">
            <v>[10005]  Exelon Delivery Shared ServiceEBSC Transactional (Passthroughs)EED Work Management (04929 - EED Work Planning)</v>
          </cell>
          <cell r="AF497" t="e">
            <v>#N/A</v>
          </cell>
        </row>
        <row r="498">
          <cell r="E498">
            <v>208</v>
          </cell>
          <cell r="H498">
            <v>-208</v>
          </cell>
          <cell r="I498">
            <v>-208</v>
          </cell>
          <cell r="J498">
            <v>6712</v>
          </cell>
          <cell r="M498">
            <v>-6712</v>
          </cell>
          <cell r="N498">
            <v>-208</v>
          </cell>
          <cell r="O498">
            <v>6712</v>
          </cell>
          <cell r="R498">
            <v>-6712</v>
          </cell>
          <cell r="S498">
            <v>-208</v>
          </cell>
          <cell r="V498" t="str">
            <v>EBSC Transactional2</v>
          </cell>
          <cell r="W498" t="str">
            <v>Tools For People</v>
          </cell>
          <cell r="AA498" t="str">
            <v>[10005]  Exelon Delivery Shared ServiceEBSC TransactionalTools For People</v>
          </cell>
          <cell r="AB498" t="str">
            <v>[10005]  Exelon Delivery Shared ServiceEBSC Transactional (Tools For People)Business Services</v>
          </cell>
          <cell r="AC498" t="str">
            <v>[10005]  Exelon Delivery Shared ServiceEBSC Transactional (Tools For People)EED Work Management (04930 - EED Long-Range Planning)</v>
          </cell>
          <cell r="AF498" t="e">
            <v>#N/A</v>
          </cell>
        </row>
        <row r="499">
          <cell r="E499">
            <v>91</v>
          </cell>
          <cell r="H499">
            <v>-91</v>
          </cell>
          <cell r="I499">
            <v>-91</v>
          </cell>
          <cell r="J499">
            <v>964</v>
          </cell>
          <cell r="M499">
            <v>-964</v>
          </cell>
          <cell r="N499">
            <v>-91</v>
          </cell>
          <cell r="O499">
            <v>964</v>
          </cell>
          <cell r="R499">
            <v>-964</v>
          </cell>
          <cell r="S499">
            <v>-91</v>
          </cell>
          <cell r="V499" t="str">
            <v>EBSC Transactional2</v>
          </cell>
          <cell r="W499" t="str">
            <v>Passthroughs</v>
          </cell>
          <cell r="AA499" t="str">
            <v>[10005]  Exelon Delivery Shared ServiceEBSC TransactionalPassthroughs</v>
          </cell>
          <cell r="AB499" t="str">
            <v>[10005]  Exelon Delivery Shared ServiceEBSC Transactional (Passthroughs)Other Operating Expenses</v>
          </cell>
          <cell r="AC499" t="str">
            <v>[10005]  Exelon Delivery Shared ServiceEBSC Transactional (Passthroughs)EED Work Management (04930 - EED Long-Range Planning)</v>
          </cell>
          <cell r="AF499" t="e">
            <v>#N/A</v>
          </cell>
        </row>
        <row r="500">
          <cell r="E500">
            <v>35830</v>
          </cell>
          <cell r="H500">
            <v>-29680</v>
          </cell>
          <cell r="I500">
            <v>-29680</v>
          </cell>
          <cell r="J500">
            <v>58596</v>
          </cell>
          <cell r="M500">
            <v>-33996</v>
          </cell>
          <cell r="N500">
            <v>-29680</v>
          </cell>
          <cell r="O500">
            <v>67796</v>
          </cell>
          <cell r="R500">
            <v>6004</v>
          </cell>
          <cell r="S500">
            <v>10320</v>
          </cell>
          <cell r="V500" t="str">
            <v>EBSC Transactional2</v>
          </cell>
          <cell r="W500" t="str">
            <v>Tools For People</v>
          </cell>
          <cell r="AA500" t="str">
            <v>[10005]  Exelon Delivery Shared ServiceEBSC TransactionalTools For People</v>
          </cell>
          <cell r="AB500" t="str">
            <v>[10005]  Exelon Delivery Shared ServiceEBSC Transactional (Tools For People)Business Services</v>
          </cell>
          <cell r="AC500" t="str">
            <v>[10005]  Exelon Delivery Shared ServiceEBSC Transactional (Tools For People)EED Work Management (04931 - EED Work Mgmt Programs)</v>
          </cell>
          <cell r="AF500" t="e">
            <v>#N/A</v>
          </cell>
        </row>
        <row r="501">
          <cell r="E501">
            <v>1366</v>
          </cell>
          <cell r="H501">
            <v>-1366</v>
          </cell>
          <cell r="I501">
            <v>-1366</v>
          </cell>
          <cell r="J501">
            <v>6612</v>
          </cell>
          <cell r="M501">
            <v>-6612</v>
          </cell>
          <cell r="N501">
            <v>-1366</v>
          </cell>
          <cell r="O501">
            <v>6612</v>
          </cell>
          <cell r="R501">
            <v>-6612</v>
          </cell>
          <cell r="S501">
            <v>-1366</v>
          </cell>
          <cell r="V501" t="str">
            <v>EBSC Transactional2</v>
          </cell>
          <cell r="W501" t="str">
            <v>Passthroughs</v>
          </cell>
          <cell r="AA501" t="str">
            <v>[10005]  Exelon Delivery Shared ServiceEBSC TransactionalPassthroughs</v>
          </cell>
          <cell r="AB501" t="str">
            <v>[10005]  Exelon Delivery Shared ServiceEBSC Transactional (Passthroughs)Other Operating Expenses</v>
          </cell>
          <cell r="AC501" t="str">
            <v>[10005]  Exelon Delivery Shared ServiceEBSC Transactional (Passthroughs)EED Work Management (04931 - EED Work Mgmt Programs)</v>
          </cell>
          <cell r="AF501" t="e">
            <v>#N/A</v>
          </cell>
        </row>
        <row r="502">
          <cell r="E502">
            <v>1077</v>
          </cell>
          <cell r="H502">
            <v>-1077</v>
          </cell>
          <cell r="I502">
            <v>-1077</v>
          </cell>
          <cell r="J502">
            <v>4099</v>
          </cell>
          <cell r="M502">
            <v>-4099</v>
          </cell>
          <cell r="N502">
            <v>-1077</v>
          </cell>
          <cell r="O502">
            <v>4099</v>
          </cell>
          <cell r="R502">
            <v>-4099</v>
          </cell>
          <cell r="S502">
            <v>-1077</v>
          </cell>
          <cell r="V502" t="str">
            <v>EBSC Transactional2</v>
          </cell>
          <cell r="W502" t="str">
            <v>Tools For People</v>
          </cell>
          <cell r="AA502" t="str">
            <v>[10005]  Exelon Delivery Shared ServiceEBSC TransactionalTools For People</v>
          </cell>
          <cell r="AB502" t="str">
            <v>[10005]  Exelon Delivery Shared ServiceEBSC Transactional (Tools For People)Business Services</v>
          </cell>
          <cell r="AC502" t="str">
            <v>[10005]  Exelon Delivery Shared ServiceEBSC Transactional (Tools For People)Energy Acquisition EDSS (00397 - Energy Acquisition EED)</v>
          </cell>
          <cell r="AF502" t="e">
            <v>#N/A</v>
          </cell>
        </row>
        <row r="503">
          <cell r="E503">
            <v>131</v>
          </cell>
          <cell r="H503">
            <v>669</v>
          </cell>
          <cell r="I503">
            <v>669</v>
          </cell>
          <cell r="J503">
            <v>1768</v>
          </cell>
          <cell r="M503">
            <v>1432</v>
          </cell>
          <cell r="N503">
            <v>669</v>
          </cell>
          <cell r="O503">
            <v>8168</v>
          </cell>
          <cell r="R503">
            <v>1432</v>
          </cell>
          <cell r="S503">
            <v>669</v>
          </cell>
          <cell r="V503" t="str">
            <v>EBSC Transactional2</v>
          </cell>
          <cell r="W503" t="str">
            <v>Passthroughs</v>
          </cell>
          <cell r="AA503" t="str">
            <v>[10005]  Exelon Delivery Shared ServiceEBSC TransactionalPassthroughs</v>
          </cell>
          <cell r="AB503" t="str">
            <v>[10005]  Exelon Delivery Shared ServiceEBSC Transactional (Passthroughs)Other Operating Expenses</v>
          </cell>
          <cell r="AC503" t="str">
            <v>[10005]  Exelon Delivery Shared ServiceEBSC Transactional (Passthroughs)Energy Acquisition EDSS (00397 - Energy Acquisition EED)</v>
          </cell>
          <cell r="AF503" t="e">
            <v>#N/A</v>
          </cell>
        </row>
        <row r="504">
          <cell r="E504">
            <v>3010</v>
          </cell>
          <cell r="H504">
            <v>-1359</v>
          </cell>
          <cell r="I504">
            <v>-1359</v>
          </cell>
          <cell r="J504">
            <v>11221</v>
          </cell>
          <cell r="M504">
            <v>-4616</v>
          </cell>
          <cell r="N504">
            <v>-1359</v>
          </cell>
          <cell r="O504">
            <v>24431</v>
          </cell>
          <cell r="R504">
            <v>-4616</v>
          </cell>
          <cell r="S504">
            <v>-1359</v>
          </cell>
          <cell r="V504" t="str">
            <v>EBSC Transactional2</v>
          </cell>
          <cell r="W504" t="str">
            <v>Tools For People</v>
          </cell>
          <cell r="AA504" t="str">
            <v>[10005]  Exelon Delivery Shared ServiceEBSC TransactionalTools For People</v>
          </cell>
          <cell r="AB504" t="str">
            <v>[10005]  Exelon Delivery Shared ServiceEBSC Transactional (Tools For People)Business Services</v>
          </cell>
          <cell r="AC504" t="str">
            <v>[10005]  Exelon Delivery Shared ServiceEBSC Transactional (Tools For People)Engineering &amp; Sys Performance (04916 - Maintenance Programs)</v>
          </cell>
          <cell r="AF504" t="e">
            <v>#N/A</v>
          </cell>
        </row>
        <row r="505">
          <cell r="E505">
            <v>932</v>
          </cell>
          <cell r="H505">
            <v>-932</v>
          </cell>
          <cell r="I505">
            <v>-932</v>
          </cell>
          <cell r="J505">
            <v>3460</v>
          </cell>
          <cell r="M505">
            <v>-3460</v>
          </cell>
          <cell r="N505">
            <v>-932</v>
          </cell>
          <cell r="O505">
            <v>3460</v>
          </cell>
          <cell r="R505">
            <v>-3460</v>
          </cell>
          <cell r="S505">
            <v>-932</v>
          </cell>
          <cell r="V505" t="str">
            <v>EBSC Transactional2</v>
          </cell>
          <cell r="W505" t="str">
            <v>Passthroughs</v>
          </cell>
          <cell r="AA505" t="str">
            <v>[10005]  Exelon Delivery Shared ServiceEBSC TransactionalPassthroughs</v>
          </cell>
          <cell r="AB505" t="str">
            <v>[10005]  Exelon Delivery Shared ServiceEBSC Transactional (Passthroughs)Other Operating Expenses</v>
          </cell>
          <cell r="AC505" t="str">
            <v>[10005]  Exelon Delivery Shared ServiceEBSC Transactional (Passthroughs)Engineering &amp; Sys Performance (04916 - Maintenance Programs)</v>
          </cell>
          <cell r="AF505" t="e">
            <v>#N/A</v>
          </cell>
        </row>
        <row r="506">
          <cell r="E506">
            <v>2931</v>
          </cell>
          <cell r="H506">
            <v>-1473</v>
          </cell>
          <cell r="I506">
            <v>-1473</v>
          </cell>
          <cell r="J506">
            <v>11666</v>
          </cell>
          <cell r="M506">
            <v>-5834</v>
          </cell>
          <cell r="N506">
            <v>-1473</v>
          </cell>
          <cell r="O506">
            <v>23330</v>
          </cell>
          <cell r="R506">
            <v>-5834</v>
          </cell>
          <cell r="S506">
            <v>-1473</v>
          </cell>
          <cell r="V506" t="str">
            <v>EBSC Transactional2</v>
          </cell>
          <cell r="W506" t="str">
            <v>Tools For People</v>
          </cell>
          <cell r="AA506" t="str">
            <v>[10005]  Exelon Delivery Shared ServiceEBSC TransactionalTools For People</v>
          </cell>
          <cell r="AB506" t="str">
            <v>[10005]  Exelon Delivery Shared ServiceEBSC Transactional (Tools For People)Business Services</v>
          </cell>
          <cell r="AC506" t="str">
            <v>[10005]  Exelon Delivery Shared ServiceEBSC Transactional (Tools For People)Engineering &amp; Sys Performance (04917 - Reliability Programs)</v>
          </cell>
          <cell r="AF506" t="e">
            <v>#N/A</v>
          </cell>
        </row>
        <row r="507">
          <cell r="E507">
            <v>916</v>
          </cell>
          <cell r="H507">
            <v>-916</v>
          </cell>
          <cell r="I507">
            <v>-916</v>
          </cell>
          <cell r="J507">
            <v>10971</v>
          </cell>
          <cell r="M507">
            <v>-10971</v>
          </cell>
          <cell r="N507">
            <v>-916</v>
          </cell>
          <cell r="O507">
            <v>10971</v>
          </cell>
          <cell r="R507">
            <v>-10971</v>
          </cell>
          <cell r="S507">
            <v>-916</v>
          </cell>
          <cell r="V507" t="str">
            <v>EBSC Transactional2</v>
          </cell>
          <cell r="W507" t="str">
            <v>Passthroughs</v>
          </cell>
          <cell r="AA507" t="str">
            <v>[10005]  Exelon Delivery Shared ServiceEBSC TransactionalPassthroughs</v>
          </cell>
          <cell r="AB507" t="str">
            <v>[10005]  Exelon Delivery Shared ServiceEBSC Transactional (Passthroughs)Other Operating Expenses</v>
          </cell>
          <cell r="AC507" t="str">
            <v>[10005]  Exelon Delivery Shared ServiceEBSC Transactional (Passthroughs)Engineering &amp; Sys Performance (04917 - Reliability Programs)</v>
          </cell>
          <cell r="AF507" t="e">
            <v>#N/A</v>
          </cell>
        </row>
        <row r="508">
          <cell r="E508">
            <v>688</v>
          </cell>
          <cell r="H508">
            <v>-688</v>
          </cell>
          <cell r="I508">
            <v>-688</v>
          </cell>
          <cell r="J508">
            <v>3137</v>
          </cell>
          <cell r="M508">
            <v>-3137</v>
          </cell>
          <cell r="N508">
            <v>-688</v>
          </cell>
          <cell r="O508">
            <v>3137</v>
          </cell>
          <cell r="R508">
            <v>-3137</v>
          </cell>
          <cell r="S508">
            <v>-688</v>
          </cell>
          <cell r="V508" t="str">
            <v>EBSC Transactional2</v>
          </cell>
          <cell r="W508" t="str">
            <v>Tools For People</v>
          </cell>
          <cell r="AA508" t="str">
            <v>[10005]  Exelon Delivery Shared ServiceEBSC TransactionalTools For People</v>
          </cell>
          <cell r="AB508" t="str">
            <v>[10005]  Exelon Delivery Shared ServiceEBSC Transactional (Tools For People)Business Services</v>
          </cell>
          <cell r="AC508" t="str">
            <v>[10005]  Exelon Delivery Shared ServiceEBSC Transactional (Tools For People)Engineering &amp; Sys Performance (04994 - OSVP For Eng &amp; System Perf)</v>
          </cell>
          <cell r="AF508" t="e">
            <v>#N/A</v>
          </cell>
        </row>
        <row r="509">
          <cell r="E509">
            <v>906</v>
          </cell>
          <cell r="H509">
            <v>-906</v>
          </cell>
          <cell r="I509">
            <v>-906</v>
          </cell>
          <cell r="J509">
            <v>2991</v>
          </cell>
          <cell r="M509">
            <v>-2991</v>
          </cell>
          <cell r="N509">
            <v>-906</v>
          </cell>
          <cell r="O509">
            <v>2991</v>
          </cell>
          <cell r="R509">
            <v>-2991</v>
          </cell>
          <cell r="S509">
            <v>-906</v>
          </cell>
          <cell r="V509" t="str">
            <v>EBSC Transactional2</v>
          </cell>
          <cell r="W509" t="str">
            <v>Passthroughs</v>
          </cell>
          <cell r="AA509" t="str">
            <v>[10005]  Exelon Delivery Shared ServiceEBSC TransactionalPassthroughs</v>
          </cell>
          <cell r="AB509" t="str">
            <v>[10005]  Exelon Delivery Shared ServiceEBSC Transactional (Passthroughs)Other Operating Expenses</v>
          </cell>
          <cell r="AC509" t="str">
            <v>[10005]  Exelon Delivery Shared ServiceEBSC Transactional (Passthroughs)Engineering &amp; Sys Performance (04994 - OSVP For Eng &amp; System Perf)</v>
          </cell>
          <cell r="AF509" t="e">
            <v>#N/A</v>
          </cell>
        </row>
        <row r="510">
          <cell r="E510">
            <v>3184</v>
          </cell>
          <cell r="H510">
            <v>-1604</v>
          </cell>
          <cell r="I510">
            <v>-1604</v>
          </cell>
          <cell r="J510">
            <v>11453</v>
          </cell>
          <cell r="M510">
            <v>-5132</v>
          </cell>
          <cell r="N510">
            <v>-1604</v>
          </cell>
          <cell r="O510">
            <v>24096</v>
          </cell>
          <cell r="R510">
            <v>-5132</v>
          </cell>
          <cell r="S510">
            <v>-1604</v>
          </cell>
          <cell r="V510" t="str">
            <v>EBSC Transactional2</v>
          </cell>
          <cell r="W510" t="str">
            <v>Tools For People</v>
          </cell>
          <cell r="AA510" t="str">
            <v>[10005]  Exelon Delivery Shared ServiceEBSC TransactionalTools For People</v>
          </cell>
          <cell r="AB510" t="str">
            <v>[10005]  Exelon Delivery Shared ServiceEBSC Transactional (Tools For People)Business Services</v>
          </cell>
          <cell r="AC510" t="str">
            <v>[10005]  Exelon Delivery Shared ServiceEBSC Transactional (Tools For People)Engineering &amp; Sys Performance (Distribution Eng. &amp; Design)</v>
          </cell>
          <cell r="AF510" t="e">
            <v>#N/A</v>
          </cell>
        </row>
        <row r="511">
          <cell r="E511">
            <v>770</v>
          </cell>
          <cell r="H511">
            <v>-770</v>
          </cell>
          <cell r="I511">
            <v>-770</v>
          </cell>
          <cell r="J511">
            <v>4816</v>
          </cell>
          <cell r="M511">
            <v>-4816</v>
          </cell>
          <cell r="N511">
            <v>-770</v>
          </cell>
          <cell r="O511">
            <v>4816</v>
          </cell>
          <cell r="R511">
            <v>-4816</v>
          </cell>
          <cell r="S511">
            <v>-770</v>
          </cell>
          <cell r="V511" t="str">
            <v>EBSC Transactional2</v>
          </cell>
          <cell r="W511" t="str">
            <v>Passthroughs</v>
          </cell>
          <cell r="AA511" t="str">
            <v>[10005]  Exelon Delivery Shared ServiceEBSC TransactionalPassthroughs</v>
          </cell>
          <cell r="AB511" t="str">
            <v>[10005]  Exelon Delivery Shared ServiceEBSC Transactional (Passthroughs)Other Operating Expenses</v>
          </cell>
          <cell r="AC511" t="str">
            <v>[10005]  Exelon Delivery Shared ServiceEBSC Transactional (Passthroughs)Engineering &amp; Sys Performance (Distribution Eng. &amp; Design)</v>
          </cell>
          <cell r="AF511" t="e">
            <v>#N/A</v>
          </cell>
        </row>
        <row r="512">
          <cell r="E512">
            <v>2587</v>
          </cell>
          <cell r="H512">
            <v>-2342</v>
          </cell>
          <cell r="I512">
            <v>-2342</v>
          </cell>
          <cell r="J512">
            <v>8406</v>
          </cell>
          <cell r="M512">
            <v>-7425</v>
          </cell>
          <cell r="N512">
            <v>-2342</v>
          </cell>
          <cell r="O512">
            <v>10367</v>
          </cell>
          <cell r="R512">
            <v>-7425</v>
          </cell>
          <cell r="S512">
            <v>-2342</v>
          </cell>
          <cell r="V512" t="str">
            <v>EBSC Transactional2</v>
          </cell>
          <cell r="W512" t="str">
            <v>Tools For People</v>
          </cell>
          <cell r="AA512" t="str">
            <v>[10005]  Exelon Delivery Shared ServiceEBSC TransactionalTools For People</v>
          </cell>
          <cell r="AB512" t="str">
            <v>[10005]  Exelon Delivery Shared ServiceEBSC Transactional (Tools For People)Business Services</v>
          </cell>
          <cell r="AC512" t="str">
            <v>[10005]  Exelon Delivery Shared ServiceEBSC Transactional (Tools For People)Engineering &amp; Sys Performance (Mapping &amp; Doc services -EDSS)</v>
          </cell>
          <cell r="AF512" t="e">
            <v>#N/A</v>
          </cell>
        </row>
        <row r="513">
          <cell r="E513">
            <v>784</v>
          </cell>
          <cell r="H513">
            <v>-784</v>
          </cell>
          <cell r="I513">
            <v>-784</v>
          </cell>
          <cell r="J513">
            <v>2871</v>
          </cell>
          <cell r="M513">
            <v>-2871</v>
          </cell>
          <cell r="N513">
            <v>-784</v>
          </cell>
          <cell r="O513">
            <v>2871</v>
          </cell>
          <cell r="R513">
            <v>-2871</v>
          </cell>
          <cell r="S513">
            <v>-784</v>
          </cell>
          <cell r="V513" t="str">
            <v>EBSC Transactional2</v>
          </cell>
          <cell r="W513" t="str">
            <v>Passthroughs</v>
          </cell>
          <cell r="AA513" t="str">
            <v>[10005]  Exelon Delivery Shared ServiceEBSC TransactionalPassthroughs</v>
          </cell>
          <cell r="AB513" t="str">
            <v>[10005]  Exelon Delivery Shared ServiceEBSC Transactional (Passthroughs)Other Operating Expenses</v>
          </cell>
          <cell r="AC513" t="str">
            <v>[10005]  Exelon Delivery Shared ServiceEBSC Transactional (Passthroughs)Engineering &amp; Sys Performance (Mapping &amp; Doc services -EDSS)</v>
          </cell>
          <cell r="AF513" t="e">
            <v>#N/A</v>
          </cell>
        </row>
        <row r="514">
          <cell r="E514">
            <v>14941</v>
          </cell>
          <cell r="H514">
            <v>-3639</v>
          </cell>
          <cell r="I514">
            <v>-3639</v>
          </cell>
          <cell r="J514">
            <v>63257</v>
          </cell>
          <cell r="M514">
            <v>-18050</v>
          </cell>
          <cell r="N514">
            <v>-3639</v>
          </cell>
          <cell r="O514">
            <v>153671</v>
          </cell>
          <cell r="R514">
            <v>-18050</v>
          </cell>
          <cell r="S514">
            <v>-3639</v>
          </cell>
          <cell r="V514" t="str">
            <v>EBSC Transactional2</v>
          </cell>
          <cell r="W514" t="str">
            <v>Tools For People</v>
          </cell>
          <cell r="AA514" t="str">
            <v>[10005]  Exelon Delivery Shared ServiceEBSC TransactionalTools For People</v>
          </cell>
          <cell r="AB514" t="str">
            <v>[10005]  Exelon Delivery Shared ServiceEBSC Transactional (Tools For People)Business Services</v>
          </cell>
          <cell r="AC514" t="str">
            <v>[10005]  Exelon Delivery Shared ServiceEBSC Transactional (Tools For People)Engineering &amp; Sys Performance (Technical Standards &amp; Support)</v>
          </cell>
          <cell r="AF514" t="e">
            <v>#N/A</v>
          </cell>
        </row>
        <row r="515">
          <cell r="E515">
            <v>3650</v>
          </cell>
          <cell r="H515">
            <v>-3650</v>
          </cell>
          <cell r="I515">
            <v>-3650</v>
          </cell>
          <cell r="J515">
            <v>17691</v>
          </cell>
          <cell r="M515">
            <v>-17691</v>
          </cell>
          <cell r="N515">
            <v>-3650</v>
          </cell>
          <cell r="O515">
            <v>17691</v>
          </cell>
          <cell r="R515">
            <v>-17691</v>
          </cell>
          <cell r="S515">
            <v>-3650</v>
          </cell>
          <cell r="V515" t="str">
            <v>EBSC Transactional2</v>
          </cell>
          <cell r="W515" t="str">
            <v>Passthroughs</v>
          </cell>
          <cell r="AA515" t="str">
            <v>[10005]  Exelon Delivery Shared ServiceEBSC TransactionalPassthroughs</v>
          </cell>
          <cell r="AB515" t="str">
            <v>[10005]  Exelon Delivery Shared ServiceEBSC Transactional (Passthroughs)Other Operating Expenses</v>
          </cell>
          <cell r="AC515" t="str">
            <v>[10005]  Exelon Delivery Shared ServiceEBSC Transactional (Passthroughs)Engineering &amp; Sys Performance (Technical Standards &amp; Support)</v>
          </cell>
          <cell r="AF515" t="e">
            <v>#N/A</v>
          </cell>
        </row>
        <row r="516">
          <cell r="E516">
            <v>5747</v>
          </cell>
          <cell r="H516">
            <v>-1792</v>
          </cell>
          <cell r="I516">
            <v>-1792</v>
          </cell>
          <cell r="J516">
            <v>23220</v>
          </cell>
          <cell r="M516">
            <v>-7401</v>
          </cell>
          <cell r="N516">
            <v>-1792</v>
          </cell>
          <cell r="O516">
            <v>54860</v>
          </cell>
          <cell r="R516">
            <v>-7401</v>
          </cell>
          <cell r="S516">
            <v>-1792</v>
          </cell>
          <cell r="V516" t="str">
            <v>EBSC Transactional2</v>
          </cell>
          <cell r="W516" t="str">
            <v>Tools For People</v>
          </cell>
          <cell r="AA516" t="str">
            <v>[10005]  Exelon Delivery Shared ServiceEBSC TransactionalTools For People</v>
          </cell>
          <cell r="AB516" t="str">
            <v>[10005]  Exelon Delivery Shared ServiceEBSC Transactional (Tools For People)Business Services</v>
          </cell>
          <cell r="AC516" t="str">
            <v>[10005]  Exelon Delivery Shared ServiceEBSC Transactional (Tools For People)Engineering &amp; Sys Performance (T&amp;S Engineering &amp; Design)</v>
          </cell>
          <cell r="AF516" t="e">
            <v>#N/A</v>
          </cell>
        </row>
        <row r="517">
          <cell r="E517">
            <v>1415</v>
          </cell>
          <cell r="H517">
            <v>-1415</v>
          </cell>
          <cell r="I517">
            <v>-1415</v>
          </cell>
          <cell r="J517">
            <v>7858</v>
          </cell>
          <cell r="M517">
            <v>-7858</v>
          </cell>
          <cell r="N517">
            <v>-1415</v>
          </cell>
          <cell r="O517">
            <v>7858</v>
          </cell>
          <cell r="R517">
            <v>-7858</v>
          </cell>
          <cell r="S517">
            <v>-1415</v>
          </cell>
          <cell r="V517" t="str">
            <v>EBSC Transactional2</v>
          </cell>
          <cell r="W517" t="str">
            <v>Passthroughs</v>
          </cell>
          <cell r="AA517" t="str">
            <v>[10005]  Exelon Delivery Shared ServiceEBSC TransactionalPassthroughs</v>
          </cell>
          <cell r="AB517" t="str">
            <v>[10005]  Exelon Delivery Shared ServiceEBSC Transactional (Passthroughs)Other Operating Expenses</v>
          </cell>
          <cell r="AC517" t="str">
            <v>[10005]  Exelon Delivery Shared ServiceEBSC Transactional (Passthroughs)Engineering &amp; Sys Performance (T&amp;S Engineering &amp; Design)</v>
          </cell>
          <cell r="AF517" t="e">
            <v>#N/A</v>
          </cell>
        </row>
        <row r="518">
          <cell r="E518">
            <v>1593</v>
          </cell>
          <cell r="H518">
            <v>-260</v>
          </cell>
          <cell r="I518">
            <v>-260</v>
          </cell>
          <cell r="J518">
            <v>6821</v>
          </cell>
          <cell r="M518">
            <v>-1489</v>
          </cell>
          <cell r="N518">
            <v>-260</v>
          </cell>
          <cell r="O518">
            <v>17489</v>
          </cell>
          <cell r="R518">
            <v>-1489</v>
          </cell>
          <cell r="S518">
            <v>-260</v>
          </cell>
          <cell r="V518" t="str">
            <v>EBSC Transactional2</v>
          </cell>
          <cell r="W518" t="str">
            <v>Tools For People</v>
          </cell>
          <cell r="AA518" t="str">
            <v>[10005]  Exelon Delivery Shared ServiceEBSC TransactionalTools For People</v>
          </cell>
          <cell r="AB518" t="str">
            <v>[10005]  Exelon Delivery Shared ServiceEBSC Transactional (Tools For People)Business Services</v>
          </cell>
          <cell r="AC518" t="str">
            <v>[10005]  Exelon Delivery Shared ServiceEBSC Transactional (Tools For People)Envir Safety &amp; Indust Hygiene (04977 - ESIH Director)</v>
          </cell>
          <cell r="AF518" t="e">
            <v>#N/A</v>
          </cell>
        </row>
        <row r="519">
          <cell r="E519">
            <v>2163</v>
          </cell>
          <cell r="H519">
            <v>-2163</v>
          </cell>
          <cell r="I519">
            <v>-2163</v>
          </cell>
          <cell r="J519">
            <v>7294</v>
          </cell>
          <cell r="M519">
            <v>-7294</v>
          </cell>
          <cell r="N519">
            <v>-2163</v>
          </cell>
          <cell r="O519">
            <v>7294</v>
          </cell>
          <cell r="R519">
            <v>-7294</v>
          </cell>
          <cell r="S519">
            <v>-2163</v>
          </cell>
          <cell r="V519" t="str">
            <v>EBSC Transactional2</v>
          </cell>
          <cell r="W519" t="str">
            <v>Passthroughs</v>
          </cell>
          <cell r="AA519" t="str">
            <v>[10005]  Exelon Delivery Shared ServiceEBSC TransactionalPassthroughs</v>
          </cell>
          <cell r="AB519" t="str">
            <v>[10005]  Exelon Delivery Shared ServiceEBSC Transactional (Passthroughs)Other Operating Expenses</v>
          </cell>
          <cell r="AC519" t="str">
            <v>[10005]  Exelon Delivery Shared ServiceEBSC Transactional (Passthroughs)Envir Safety &amp; Indust Hygiene (04977 - ESIH Director)</v>
          </cell>
          <cell r="AF519" t="e">
            <v>#N/A</v>
          </cell>
        </row>
        <row r="520">
          <cell r="E520">
            <v>691</v>
          </cell>
          <cell r="H520">
            <v>-691</v>
          </cell>
          <cell r="I520">
            <v>-691</v>
          </cell>
          <cell r="J520">
            <v>2748</v>
          </cell>
          <cell r="M520">
            <v>-2748</v>
          </cell>
          <cell r="N520">
            <v>-691</v>
          </cell>
          <cell r="O520">
            <v>2748</v>
          </cell>
          <cell r="R520">
            <v>-2748</v>
          </cell>
          <cell r="S520">
            <v>-691</v>
          </cell>
          <cell r="V520" t="str">
            <v>EBSC Transactional2</v>
          </cell>
          <cell r="W520" t="str">
            <v>Tools For People</v>
          </cell>
          <cell r="AA520" t="str">
            <v>[10005]  Exelon Delivery Shared ServiceEBSC TransactionalTools For People</v>
          </cell>
          <cell r="AB520" t="str">
            <v>[10005]  Exelon Delivery Shared ServiceEBSC Transactional (Tools For People)Business Services</v>
          </cell>
          <cell r="AC520" t="str">
            <v>[10005]  Exelon Delivery Shared ServiceEBSC Transactional (Tools For People)New Business (04923 - Residential Underground)</v>
          </cell>
          <cell r="AF520" t="e">
            <v>#N/A</v>
          </cell>
        </row>
        <row r="521">
          <cell r="E521">
            <v>303</v>
          </cell>
          <cell r="H521">
            <v>-303</v>
          </cell>
          <cell r="I521">
            <v>-303</v>
          </cell>
          <cell r="J521">
            <v>633</v>
          </cell>
          <cell r="M521">
            <v>-633</v>
          </cell>
          <cell r="N521">
            <v>-303</v>
          </cell>
          <cell r="O521">
            <v>633</v>
          </cell>
          <cell r="R521">
            <v>-633</v>
          </cell>
          <cell r="S521">
            <v>-303</v>
          </cell>
          <cell r="V521" t="str">
            <v>EBSC Transactional2</v>
          </cell>
          <cell r="W521" t="str">
            <v>Passthroughs</v>
          </cell>
          <cell r="AA521" t="str">
            <v>[10005]  Exelon Delivery Shared ServiceEBSC TransactionalPassthroughs</v>
          </cell>
          <cell r="AB521" t="str">
            <v>[10005]  Exelon Delivery Shared ServiceEBSC Transactional (Passthroughs)Other Operating Expenses</v>
          </cell>
          <cell r="AC521" t="str">
            <v>[10005]  Exelon Delivery Shared ServiceEBSC Transactional (Passthroughs)New Business (04923 - Residential Underground)</v>
          </cell>
          <cell r="AF521" t="e">
            <v>#N/A</v>
          </cell>
        </row>
        <row r="522">
          <cell r="E522">
            <v>401</v>
          </cell>
          <cell r="H522">
            <v>-401</v>
          </cell>
          <cell r="I522">
            <v>-401</v>
          </cell>
          <cell r="J522">
            <v>1661</v>
          </cell>
          <cell r="M522">
            <v>-1661</v>
          </cell>
          <cell r="N522">
            <v>-401</v>
          </cell>
          <cell r="O522">
            <v>1661</v>
          </cell>
          <cell r="R522">
            <v>-1661</v>
          </cell>
          <cell r="S522">
            <v>-401</v>
          </cell>
          <cell r="V522" t="str">
            <v>EBSC Transactional2</v>
          </cell>
          <cell r="W522" t="str">
            <v>Tools For People</v>
          </cell>
          <cell r="AA522" t="str">
            <v>[10005]  Exelon Delivery Shared ServiceEBSC TransactionalTools For People</v>
          </cell>
          <cell r="AB522" t="str">
            <v>[10005]  Exelon Delivery Shared ServiceEBSC Transactional (Tools For People)Business Services</v>
          </cell>
          <cell r="AC522" t="str">
            <v>[10005]  Exelon Delivery Shared ServiceEBSC Transactional (Tools For People)New Business (04924 - Comm / IND / PA)</v>
          </cell>
          <cell r="AF522" t="e">
            <v>#N/A</v>
          </cell>
        </row>
        <row r="523">
          <cell r="E523">
            <v>866</v>
          </cell>
          <cell r="H523">
            <v>-866</v>
          </cell>
          <cell r="I523">
            <v>-866</v>
          </cell>
          <cell r="J523">
            <v>3835</v>
          </cell>
          <cell r="M523">
            <v>-3835</v>
          </cell>
          <cell r="N523">
            <v>-866</v>
          </cell>
          <cell r="O523">
            <v>3835</v>
          </cell>
          <cell r="R523">
            <v>-3835</v>
          </cell>
          <cell r="S523">
            <v>-866</v>
          </cell>
          <cell r="V523" t="str">
            <v>EBSC Transactional2</v>
          </cell>
          <cell r="W523" t="str">
            <v>Passthroughs</v>
          </cell>
          <cell r="AA523" t="str">
            <v>[10005]  Exelon Delivery Shared ServiceEBSC TransactionalPassthroughs</v>
          </cell>
          <cell r="AB523" t="str">
            <v>[10005]  Exelon Delivery Shared ServiceEBSC Transactional (Passthroughs)Other Operating Expenses</v>
          </cell>
          <cell r="AC523" t="str">
            <v>[10005]  Exelon Delivery Shared ServiceEBSC Transactional (Passthroughs)New Business (04924 - Comm / IND / PA)</v>
          </cell>
          <cell r="AF523" t="e">
            <v>#N/A</v>
          </cell>
        </row>
        <row r="524">
          <cell r="E524">
            <v>200</v>
          </cell>
          <cell r="H524">
            <v>-200</v>
          </cell>
          <cell r="I524">
            <v>-200</v>
          </cell>
          <cell r="J524">
            <v>1842</v>
          </cell>
          <cell r="M524">
            <v>-1842</v>
          </cell>
          <cell r="N524">
            <v>-200</v>
          </cell>
          <cell r="O524">
            <v>1842</v>
          </cell>
          <cell r="R524">
            <v>-1842</v>
          </cell>
          <cell r="S524">
            <v>-200</v>
          </cell>
          <cell r="V524" t="str">
            <v>EBSC Transactional2</v>
          </cell>
          <cell r="W524" t="str">
            <v>Tools For People</v>
          </cell>
          <cell r="AA524" t="str">
            <v>[10005]  Exelon Delivery Shared ServiceEBSC TransactionalTools For People</v>
          </cell>
          <cell r="AB524" t="str">
            <v>[10005]  Exelon Delivery Shared ServiceEBSC Transactional (Tools For People)Business Services</v>
          </cell>
          <cell r="AC524" t="str">
            <v>[10005]  Exelon Delivery Shared ServiceEBSC Transactional (Tools For People)New Business (04925 - Customer Requests)</v>
          </cell>
          <cell r="AF524" t="e">
            <v>#N/A</v>
          </cell>
        </row>
        <row r="525">
          <cell r="E525">
            <v>146</v>
          </cell>
          <cell r="H525">
            <v>-146</v>
          </cell>
          <cell r="I525">
            <v>-146</v>
          </cell>
          <cell r="J525">
            <v>336</v>
          </cell>
          <cell r="M525">
            <v>-336</v>
          </cell>
          <cell r="N525">
            <v>-146</v>
          </cell>
          <cell r="O525">
            <v>336</v>
          </cell>
          <cell r="R525">
            <v>-336</v>
          </cell>
          <cell r="S525">
            <v>-146</v>
          </cell>
          <cell r="V525" t="str">
            <v>EBSC Transactional2</v>
          </cell>
          <cell r="W525" t="str">
            <v>Passthroughs</v>
          </cell>
          <cell r="AA525" t="str">
            <v>[10005]  Exelon Delivery Shared ServiceEBSC TransactionalPassthroughs</v>
          </cell>
          <cell r="AB525" t="str">
            <v>[10005]  Exelon Delivery Shared ServiceEBSC Transactional (Passthroughs)Other Operating Expenses</v>
          </cell>
          <cell r="AC525" t="str">
            <v>[10005]  Exelon Delivery Shared ServiceEBSC Transactional (Passthroughs)New Business (04925 - Customer Requests)</v>
          </cell>
          <cell r="AF525" t="e">
            <v>#N/A</v>
          </cell>
        </row>
        <row r="526">
          <cell r="E526">
            <v>1678</v>
          </cell>
          <cell r="H526">
            <v>354</v>
          </cell>
          <cell r="I526">
            <v>354</v>
          </cell>
          <cell r="J526">
            <v>7487</v>
          </cell>
          <cell r="M526">
            <v>641</v>
          </cell>
          <cell r="N526">
            <v>354</v>
          </cell>
          <cell r="O526">
            <v>25289</v>
          </cell>
          <cell r="R526">
            <v>-905</v>
          </cell>
          <cell r="S526">
            <v>354</v>
          </cell>
          <cell r="V526" t="str">
            <v>EBSC Transactional2</v>
          </cell>
          <cell r="W526" t="str">
            <v>Tools For People</v>
          </cell>
          <cell r="AA526" t="str">
            <v>[10005]  Exelon Delivery Shared ServiceEBSC TransactionalTools For People</v>
          </cell>
          <cell r="AB526" t="str">
            <v>[10005]  Exelon Delivery Shared ServiceEBSC Transactional (Tools For People)Business Services</v>
          </cell>
          <cell r="AC526" t="str">
            <v>[10005]  Exelon Delivery Shared ServiceEBSC Transactional (Tools For People)New Business (04926 - Performance Metrics)</v>
          </cell>
          <cell r="AF526" t="e">
            <v>#N/A</v>
          </cell>
        </row>
        <row r="527">
          <cell r="E527">
            <v>763</v>
          </cell>
          <cell r="H527">
            <v>-763</v>
          </cell>
          <cell r="I527">
            <v>-763</v>
          </cell>
          <cell r="J527">
            <v>7669</v>
          </cell>
          <cell r="M527">
            <v>-7669</v>
          </cell>
          <cell r="N527">
            <v>-763</v>
          </cell>
          <cell r="O527">
            <v>7669</v>
          </cell>
          <cell r="R527">
            <v>-7669</v>
          </cell>
          <cell r="S527">
            <v>-763</v>
          </cell>
          <cell r="V527" t="str">
            <v>EBSC Transactional2</v>
          </cell>
          <cell r="W527" t="str">
            <v>Passthroughs</v>
          </cell>
          <cell r="AA527" t="str">
            <v>[10005]  Exelon Delivery Shared ServiceEBSC TransactionalPassthroughs</v>
          </cell>
          <cell r="AB527" t="str">
            <v>[10005]  Exelon Delivery Shared ServiceEBSC Transactional (Passthroughs)Other Operating Expenses</v>
          </cell>
          <cell r="AC527" t="str">
            <v>[10005]  Exelon Delivery Shared ServiceEBSC Transactional (Passthroughs)New Business (04926 - Performance Metrics)</v>
          </cell>
          <cell r="AF527" t="e">
            <v>#N/A</v>
          </cell>
        </row>
        <row r="528">
          <cell r="E528">
            <v>251</v>
          </cell>
          <cell r="H528">
            <v>2339</v>
          </cell>
          <cell r="I528">
            <v>2339</v>
          </cell>
          <cell r="J528">
            <v>1025</v>
          </cell>
          <cell r="M528">
            <v>9336</v>
          </cell>
          <cell r="N528">
            <v>2339</v>
          </cell>
          <cell r="O528">
            <v>21747</v>
          </cell>
          <cell r="R528">
            <v>9336</v>
          </cell>
          <cell r="S528">
            <v>2339</v>
          </cell>
          <cell r="V528" t="str">
            <v>EBSC Transactional2</v>
          </cell>
          <cell r="W528" t="str">
            <v>Tools For People</v>
          </cell>
          <cell r="AA528" t="str">
            <v>[10005]  Exelon Delivery Shared ServiceEBSC TransactionalTools For People</v>
          </cell>
          <cell r="AB528" t="str">
            <v>[10005]  Exelon Delivery Shared ServiceEBSC Transactional (Tools For People)Business Services</v>
          </cell>
          <cell r="AC528" t="str">
            <v>[10005]  Exelon Delivery Shared ServiceEBSC Transactional (Tools For People)New Business (04990 - OSVP for New Business - EDSS)</v>
          </cell>
          <cell r="AF528" t="e">
            <v>#N/A</v>
          </cell>
        </row>
        <row r="529">
          <cell r="E529">
            <v>113</v>
          </cell>
          <cell r="H529">
            <v>-113</v>
          </cell>
          <cell r="I529">
            <v>-113</v>
          </cell>
          <cell r="J529">
            <v>722</v>
          </cell>
          <cell r="M529">
            <v>-722</v>
          </cell>
          <cell r="N529">
            <v>-113</v>
          </cell>
          <cell r="O529">
            <v>722</v>
          </cell>
          <cell r="R529">
            <v>-722</v>
          </cell>
          <cell r="S529">
            <v>-113</v>
          </cell>
          <cell r="V529" t="str">
            <v>EBSC Transactional2</v>
          </cell>
          <cell r="W529" t="str">
            <v>Passthroughs</v>
          </cell>
          <cell r="AA529" t="str">
            <v>[10005]  Exelon Delivery Shared ServiceEBSC TransactionalPassthroughs</v>
          </cell>
          <cell r="AB529" t="str">
            <v>[10005]  Exelon Delivery Shared ServiceEBSC Transactional (Passthroughs)Other Operating Expenses</v>
          </cell>
          <cell r="AC529" t="str">
            <v>[10005]  Exelon Delivery Shared ServiceEBSC Transactional (Passthroughs)New Business (04990 - OSVP for New Business - EDSS)</v>
          </cell>
          <cell r="AF529" t="e">
            <v>#N/A</v>
          </cell>
        </row>
        <row r="530">
          <cell r="E530">
            <v>896</v>
          </cell>
          <cell r="H530">
            <v>224</v>
          </cell>
          <cell r="I530">
            <v>104</v>
          </cell>
          <cell r="J530">
            <v>3327</v>
          </cell>
          <cell r="M530">
            <v>1154</v>
          </cell>
          <cell r="N530">
            <v>104</v>
          </cell>
          <cell r="O530">
            <v>11327</v>
          </cell>
          <cell r="R530">
            <v>2117</v>
          </cell>
          <cell r="S530">
            <v>104</v>
          </cell>
          <cell r="V530" t="str">
            <v>EBSC Transactional2</v>
          </cell>
          <cell r="W530" t="str">
            <v>Tools For People</v>
          </cell>
          <cell r="AA530" t="str">
            <v>[10005]  Exelon Delivery Shared ServiceEBSC TransactionalTools For People</v>
          </cell>
          <cell r="AB530" t="str">
            <v>[10005]  Exelon Delivery Shared ServiceEBSC Transactional (Tools For People)Business Services</v>
          </cell>
          <cell r="AC530" t="str">
            <v>[10005]  Exelon Delivery Shared ServiceEBSC Transactional (Tools For People)OFC of SVP Operations (04901 - EED Operations)</v>
          </cell>
          <cell r="AF530" t="e">
            <v>#N/A</v>
          </cell>
        </row>
        <row r="531">
          <cell r="E531">
            <v>2143</v>
          </cell>
          <cell r="H531">
            <v>-2143</v>
          </cell>
          <cell r="I531">
            <v>-2143</v>
          </cell>
          <cell r="J531">
            <v>5817</v>
          </cell>
          <cell r="M531">
            <v>-5817</v>
          </cell>
          <cell r="N531">
            <v>-2143</v>
          </cell>
          <cell r="O531">
            <v>5817</v>
          </cell>
          <cell r="R531">
            <v>-5817</v>
          </cell>
          <cell r="S531">
            <v>-2143</v>
          </cell>
          <cell r="V531" t="str">
            <v>EBSC Transactional2</v>
          </cell>
          <cell r="W531" t="str">
            <v>Passthroughs</v>
          </cell>
          <cell r="AA531" t="str">
            <v>[10005]  Exelon Delivery Shared ServiceEBSC TransactionalPassthroughs</v>
          </cell>
          <cell r="AB531" t="str">
            <v>[10005]  Exelon Delivery Shared ServiceEBSC Transactional (Passthroughs)Other Operating Expenses</v>
          </cell>
          <cell r="AC531" t="str">
            <v>[10005]  Exelon Delivery Shared ServiceEBSC Transactional (Passthroughs)OFC of SVP Operations (04901 - EED Operations)</v>
          </cell>
          <cell r="AF531" t="e">
            <v>#N/A</v>
          </cell>
        </row>
        <row r="532">
          <cell r="E532">
            <v>725</v>
          </cell>
          <cell r="H532">
            <v>12</v>
          </cell>
          <cell r="I532">
            <v>12</v>
          </cell>
          <cell r="J532">
            <v>3073</v>
          </cell>
          <cell r="M532">
            <v>-122</v>
          </cell>
          <cell r="N532">
            <v>12</v>
          </cell>
          <cell r="O532">
            <v>8975</v>
          </cell>
          <cell r="R532">
            <v>-122</v>
          </cell>
          <cell r="S532">
            <v>12</v>
          </cell>
          <cell r="V532" t="str">
            <v>EBSC Transactional2</v>
          </cell>
          <cell r="W532" t="str">
            <v>Tools For People</v>
          </cell>
          <cell r="AA532" t="str">
            <v>[10005]  Exelon Delivery Shared ServiceEBSC TransactionalTools For People</v>
          </cell>
          <cell r="AB532" t="str">
            <v>[10005]  Exelon Delivery Shared ServiceEBSC Transactional (Tools For People)Business Services</v>
          </cell>
          <cell r="AC532" t="str">
            <v>[10005]  Exelon Delivery Shared ServiceEBSC Transactional (Tools For People)OFC of SVP Technical Services (04914 - OSRVP Technical Services)</v>
          </cell>
          <cell r="AF532" t="e">
            <v>#N/A</v>
          </cell>
        </row>
        <row r="533">
          <cell r="E533">
            <v>507</v>
          </cell>
          <cell r="H533">
            <v>-507</v>
          </cell>
          <cell r="I533">
            <v>-507</v>
          </cell>
          <cell r="J533">
            <v>2210</v>
          </cell>
          <cell r="M533">
            <v>-2210</v>
          </cell>
          <cell r="N533">
            <v>-507</v>
          </cell>
          <cell r="O533">
            <v>2210</v>
          </cell>
          <cell r="R533">
            <v>-2210</v>
          </cell>
          <cell r="S533">
            <v>-507</v>
          </cell>
          <cell r="V533" t="str">
            <v>EBSC Transactional2</v>
          </cell>
          <cell r="W533" t="str">
            <v>Passthroughs</v>
          </cell>
          <cell r="AA533" t="str">
            <v>[10005]  Exelon Delivery Shared ServiceEBSC TransactionalPassthroughs</v>
          </cell>
          <cell r="AB533" t="str">
            <v>[10005]  Exelon Delivery Shared ServiceEBSC Transactional (Passthroughs)Other Operating Expenses</v>
          </cell>
          <cell r="AC533" t="str">
            <v>[10005]  Exelon Delivery Shared ServiceEBSC Transactional (Passthroughs)OFC of SVP Technical Services (04914 - OSRVP Technical Services)</v>
          </cell>
          <cell r="AF533" t="e">
            <v>#N/A</v>
          </cell>
        </row>
        <row r="534">
          <cell r="E534">
            <v>813</v>
          </cell>
          <cell r="H534">
            <v>-213</v>
          </cell>
          <cell r="I534">
            <v>-213</v>
          </cell>
          <cell r="J534">
            <v>3947</v>
          </cell>
          <cell r="M534">
            <v>-1547</v>
          </cell>
          <cell r="N534">
            <v>-213</v>
          </cell>
          <cell r="O534">
            <v>8747</v>
          </cell>
          <cell r="R534">
            <v>-1547</v>
          </cell>
          <cell r="S534">
            <v>-213</v>
          </cell>
          <cell r="V534" t="str">
            <v>EBSC Transactional2</v>
          </cell>
          <cell r="W534" t="str">
            <v>Tools For People</v>
          </cell>
          <cell r="AA534" t="str">
            <v>[10005]  Exelon Delivery Shared ServiceEBSC TransactionalTools For People</v>
          </cell>
          <cell r="AB534" t="str">
            <v>[10005]  Exelon Delivery Shared ServiceEBSC Transactional (Tools For People)Business Services</v>
          </cell>
          <cell r="AC534" t="str">
            <v>[10005]  Exelon Delivery Shared ServiceEBSC Transactional (Tools For People)Performance Improvement (04911 - Performance Improvement)</v>
          </cell>
          <cell r="AF534" t="e">
            <v>#N/A</v>
          </cell>
        </row>
        <row r="535">
          <cell r="E535">
            <v>1761</v>
          </cell>
          <cell r="H535">
            <v>-1761</v>
          </cell>
          <cell r="I535">
            <v>-1761</v>
          </cell>
          <cell r="J535">
            <v>9272</v>
          </cell>
          <cell r="M535">
            <v>-9272</v>
          </cell>
          <cell r="N535">
            <v>-1761</v>
          </cell>
          <cell r="O535">
            <v>9272</v>
          </cell>
          <cell r="R535">
            <v>-9272</v>
          </cell>
          <cell r="S535">
            <v>-1761</v>
          </cell>
          <cell r="V535" t="str">
            <v>EBSC Transactional2</v>
          </cell>
          <cell r="W535" t="str">
            <v>Passthroughs</v>
          </cell>
          <cell r="AA535" t="str">
            <v>[10005]  Exelon Delivery Shared ServiceEBSC TransactionalPassthroughs</v>
          </cell>
          <cell r="AB535" t="str">
            <v>[10005]  Exelon Delivery Shared ServiceEBSC Transactional (Passthroughs)Other Operating Expenses</v>
          </cell>
          <cell r="AC535" t="str">
            <v>[10005]  Exelon Delivery Shared ServiceEBSC Transactional (Passthroughs)Performance Improvement (04911 - Performance Improvement)</v>
          </cell>
          <cell r="AF535" t="e">
            <v>#N/A</v>
          </cell>
        </row>
        <row r="536">
          <cell r="E536">
            <v>1881</v>
          </cell>
          <cell r="H536">
            <v>519</v>
          </cell>
          <cell r="I536">
            <v>519</v>
          </cell>
          <cell r="J536">
            <v>7338</v>
          </cell>
          <cell r="M536">
            <v>2262</v>
          </cell>
          <cell r="N536">
            <v>519</v>
          </cell>
          <cell r="O536">
            <v>26538</v>
          </cell>
          <cell r="R536">
            <v>2262</v>
          </cell>
          <cell r="S536">
            <v>519</v>
          </cell>
          <cell r="V536" t="str">
            <v>EBSC Transactional2</v>
          </cell>
          <cell r="W536" t="str">
            <v>Tools For People</v>
          </cell>
          <cell r="AA536" t="str">
            <v>[10005]  Exelon Delivery Shared ServiceEBSC TransactionalTools For People</v>
          </cell>
          <cell r="AB536" t="str">
            <v>[10005]  Exelon Delivery Shared ServiceEBSC Transactional (Tools For People)Business Services</v>
          </cell>
          <cell r="AC536" t="str">
            <v>[10005]  Exelon Delivery Shared ServiceEBSC Transactional (Tools For People)Performance Improvement (04912 - Performance Assessment)</v>
          </cell>
          <cell r="AF536" t="e">
            <v>#N/A</v>
          </cell>
        </row>
        <row r="537">
          <cell r="E537">
            <v>1488</v>
          </cell>
          <cell r="H537">
            <v>-1488</v>
          </cell>
          <cell r="I537">
            <v>-1488</v>
          </cell>
          <cell r="J537">
            <v>6730</v>
          </cell>
          <cell r="M537">
            <v>-6730</v>
          </cell>
          <cell r="N537">
            <v>-1488</v>
          </cell>
          <cell r="O537">
            <v>6730</v>
          </cell>
          <cell r="R537">
            <v>-6730</v>
          </cell>
          <cell r="S537">
            <v>-1488</v>
          </cell>
          <cell r="V537" t="str">
            <v>EBSC Transactional2</v>
          </cell>
          <cell r="W537" t="str">
            <v>Passthroughs</v>
          </cell>
          <cell r="AA537" t="str">
            <v>[10005]  Exelon Delivery Shared ServiceEBSC TransactionalPassthroughs</v>
          </cell>
          <cell r="AB537" t="str">
            <v>[10005]  Exelon Delivery Shared ServiceEBSC Transactional (Passthroughs)Other Operating Expenses</v>
          </cell>
          <cell r="AC537" t="str">
            <v>[10005]  Exelon Delivery Shared ServiceEBSC Transactional (Passthroughs)Performance Improvement (04912 - Performance Assessment)</v>
          </cell>
          <cell r="AF537" t="e">
            <v>#N/A</v>
          </cell>
        </row>
        <row r="538">
          <cell r="E538">
            <v>1431</v>
          </cell>
          <cell r="H538">
            <v>169</v>
          </cell>
          <cell r="I538">
            <v>169</v>
          </cell>
          <cell r="J538">
            <v>6825</v>
          </cell>
          <cell r="M538">
            <v>-225</v>
          </cell>
          <cell r="N538">
            <v>169</v>
          </cell>
          <cell r="O538">
            <v>22225</v>
          </cell>
          <cell r="R538">
            <v>-225</v>
          </cell>
          <cell r="S538">
            <v>169</v>
          </cell>
          <cell r="V538" t="str">
            <v>EBSC Transactional2</v>
          </cell>
          <cell r="W538" t="str">
            <v>Tools For People</v>
          </cell>
          <cell r="AA538" t="str">
            <v>[10005]  Exelon Delivery Shared ServiceEBSC TransactionalTools For People</v>
          </cell>
          <cell r="AB538" t="str">
            <v>[10005]  Exelon Delivery Shared ServiceEBSC Transactional (Tools For People)Business Services</v>
          </cell>
          <cell r="AC538" t="str">
            <v>[10005]  Exelon Delivery Shared ServiceEBSC Transactional (Tools For People)Performance Improvement (04913 - Business Process Improvement)</v>
          </cell>
          <cell r="AF538" t="e">
            <v>#N/A</v>
          </cell>
        </row>
        <row r="539">
          <cell r="E539">
            <v>2763</v>
          </cell>
          <cell r="H539">
            <v>-2763</v>
          </cell>
          <cell r="I539">
            <v>-2763</v>
          </cell>
          <cell r="J539">
            <v>8881</v>
          </cell>
          <cell r="M539">
            <v>-8881</v>
          </cell>
          <cell r="N539">
            <v>-2763</v>
          </cell>
          <cell r="O539">
            <v>8881</v>
          </cell>
          <cell r="R539">
            <v>-8881</v>
          </cell>
          <cell r="S539">
            <v>-2763</v>
          </cell>
          <cell r="V539" t="str">
            <v>EBSC Transactional2</v>
          </cell>
          <cell r="W539" t="str">
            <v>Passthroughs</v>
          </cell>
          <cell r="AA539" t="str">
            <v>[10005]  Exelon Delivery Shared ServiceEBSC TransactionalPassthroughs</v>
          </cell>
          <cell r="AB539" t="str">
            <v>[10005]  Exelon Delivery Shared ServiceEBSC Transactional (Passthroughs)Other Operating Expenses</v>
          </cell>
          <cell r="AC539" t="str">
            <v>[10005]  Exelon Delivery Shared ServiceEBSC Transactional (Passthroughs)Performance Improvement (04913 - Business Process Improvement)</v>
          </cell>
          <cell r="AF539" t="e">
            <v>#N/A</v>
          </cell>
        </row>
        <row r="540">
          <cell r="E540">
            <v>824</v>
          </cell>
          <cell r="H540">
            <v>222</v>
          </cell>
          <cell r="I540">
            <v>222</v>
          </cell>
          <cell r="J540">
            <v>3393</v>
          </cell>
          <cell r="M540">
            <v>792</v>
          </cell>
          <cell r="N540">
            <v>222</v>
          </cell>
          <cell r="O540">
            <v>11763</v>
          </cell>
          <cell r="R540">
            <v>792</v>
          </cell>
          <cell r="S540">
            <v>222</v>
          </cell>
          <cell r="V540" t="str">
            <v>EBSC Transactional2</v>
          </cell>
          <cell r="W540" t="str">
            <v>Tools For People</v>
          </cell>
          <cell r="AA540" t="str">
            <v>[10005]  Exelon Delivery Shared ServiceEBSC TransactionalTools For People</v>
          </cell>
          <cell r="AB540" t="str">
            <v>[10005]  Exelon Delivery Shared ServiceEBSC Transactional (Tools For People)Business Services</v>
          </cell>
          <cell r="AC540" t="str">
            <v>[10005]  Exelon Delivery Shared ServiceEBSC Transactional (Tools For People)Project &amp; Contract Management (04966 - OVP for PC_M &amp; Admin)</v>
          </cell>
          <cell r="AF540" t="e">
            <v>#N/A</v>
          </cell>
        </row>
        <row r="541">
          <cell r="E541">
            <v>540</v>
          </cell>
          <cell r="H541">
            <v>-540</v>
          </cell>
          <cell r="I541">
            <v>-540</v>
          </cell>
          <cell r="J541">
            <v>2932</v>
          </cell>
          <cell r="M541">
            <v>-2932</v>
          </cell>
          <cell r="N541">
            <v>-540</v>
          </cell>
          <cell r="O541">
            <v>2932</v>
          </cell>
          <cell r="R541">
            <v>-2932</v>
          </cell>
          <cell r="S541">
            <v>-540</v>
          </cell>
          <cell r="V541" t="str">
            <v>EBSC Transactional2</v>
          </cell>
          <cell r="W541" t="str">
            <v>Passthroughs</v>
          </cell>
          <cell r="AA541" t="str">
            <v>[10005]  Exelon Delivery Shared ServiceEBSC TransactionalPassthroughs</v>
          </cell>
          <cell r="AB541" t="str">
            <v>[10005]  Exelon Delivery Shared ServiceEBSC Transactional (Passthroughs)Other Operating Expenses</v>
          </cell>
          <cell r="AC541" t="str">
            <v>[10005]  Exelon Delivery Shared ServiceEBSC Transactional (Passthroughs)Project &amp; Contract Management (04966 - OVP for PC_M &amp; Admin)</v>
          </cell>
          <cell r="AF541" t="e">
            <v>#N/A</v>
          </cell>
        </row>
        <row r="542">
          <cell r="E542">
            <v>1458</v>
          </cell>
          <cell r="H542">
            <v>105</v>
          </cell>
          <cell r="I542">
            <v>105</v>
          </cell>
          <cell r="J542">
            <v>5762</v>
          </cell>
          <cell r="M542">
            <v>489</v>
          </cell>
          <cell r="N542">
            <v>105</v>
          </cell>
          <cell r="O542">
            <v>18263</v>
          </cell>
          <cell r="R542">
            <v>489</v>
          </cell>
          <cell r="S542">
            <v>105</v>
          </cell>
          <cell r="V542" t="str">
            <v>EBSC Transactional2</v>
          </cell>
          <cell r="W542" t="str">
            <v>Tools For People</v>
          </cell>
          <cell r="AA542" t="str">
            <v>[10005]  Exelon Delivery Shared ServiceEBSC TransactionalTools For People</v>
          </cell>
          <cell r="AB542" t="str">
            <v>[10005]  Exelon Delivery Shared ServiceEBSC Transactional (Tools For People)Business Services</v>
          </cell>
          <cell r="AC542" t="str">
            <v>[10005]  Exelon Delivery Shared ServiceEBSC Transactional (Tools For People)Project &amp; Contract Management (04967 - Vegetation Mgmt Admin)</v>
          </cell>
          <cell r="AF542" t="e">
            <v>#N/A</v>
          </cell>
        </row>
        <row r="543">
          <cell r="E543">
            <v>567</v>
          </cell>
          <cell r="H543">
            <v>-567</v>
          </cell>
          <cell r="I543">
            <v>-567</v>
          </cell>
          <cell r="J543">
            <v>2600</v>
          </cell>
          <cell r="M543">
            <v>-2600</v>
          </cell>
          <cell r="N543">
            <v>-567</v>
          </cell>
          <cell r="O543">
            <v>2600</v>
          </cell>
          <cell r="R543">
            <v>-2600</v>
          </cell>
          <cell r="S543">
            <v>-567</v>
          </cell>
          <cell r="V543" t="str">
            <v>EBSC Transactional2</v>
          </cell>
          <cell r="W543" t="str">
            <v>Passthroughs</v>
          </cell>
          <cell r="AA543" t="str">
            <v>[10005]  Exelon Delivery Shared ServiceEBSC TransactionalPassthroughs</v>
          </cell>
          <cell r="AB543" t="str">
            <v>[10005]  Exelon Delivery Shared ServiceEBSC Transactional (Passthroughs)Other Operating Expenses</v>
          </cell>
          <cell r="AC543" t="str">
            <v>[10005]  Exelon Delivery Shared ServiceEBSC Transactional (Passthroughs)Project &amp; Contract Management (04967 - Vegetation Mgmt Admin)</v>
          </cell>
          <cell r="AF543" t="e">
            <v>#N/A</v>
          </cell>
        </row>
        <row r="544">
          <cell r="E544">
            <v>4485</v>
          </cell>
          <cell r="H544">
            <v>-2730</v>
          </cell>
          <cell r="I544">
            <v>-2730</v>
          </cell>
          <cell r="J544">
            <v>18530</v>
          </cell>
          <cell r="M544">
            <v>-11510</v>
          </cell>
          <cell r="N544">
            <v>-2730</v>
          </cell>
          <cell r="O544">
            <v>32570</v>
          </cell>
          <cell r="R544">
            <v>-11510</v>
          </cell>
          <cell r="S544">
            <v>-2730</v>
          </cell>
          <cell r="V544" t="str">
            <v>EBSC Transactional2</v>
          </cell>
          <cell r="W544" t="str">
            <v>Tools For People</v>
          </cell>
          <cell r="AA544" t="str">
            <v>[10005]  Exelon Delivery Shared ServiceEBSC TransactionalTools For People</v>
          </cell>
          <cell r="AB544" t="str">
            <v>[10005]  Exelon Delivery Shared ServiceEBSC Transactional (Tools For People)Business Services</v>
          </cell>
          <cell r="AC544" t="str">
            <v>[10005]  Exelon Delivery Shared ServiceEBSC Transactional (Tools For People)Project &amp; Contract Management (04968 - EED Project Controls)</v>
          </cell>
          <cell r="AF544" t="e">
            <v>#N/A</v>
          </cell>
        </row>
        <row r="545">
          <cell r="E545">
            <v>461</v>
          </cell>
          <cell r="H545">
            <v>-461</v>
          </cell>
          <cell r="I545">
            <v>-461</v>
          </cell>
          <cell r="J545">
            <v>2198</v>
          </cell>
          <cell r="M545">
            <v>-2198</v>
          </cell>
          <cell r="N545">
            <v>-461</v>
          </cell>
          <cell r="O545">
            <v>2198</v>
          </cell>
          <cell r="R545">
            <v>-2198</v>
          </cell>
          <cell r="S545">
            <v>-461</v>
          </cell>
          <cell r="V545" t="str">
            <v>EBSC Transactional2</v>
          </cell>
          <cell r="W545" t="str">
            <v>Passthroughs</v>
          </cell>
          <cell r="AA545" t="str">
            <v>[10005]  Exelon Delivery Shared ServiceEBSC TransactionalPassthroughs</v>
          </cell>
          <cell r="AB545" t="str">
            <v>[10005]  Exelon Delivery Shared ServiceEBSC Transactional (Passthroughs)Other Operating Expenses</v>
          </cell>
          <cell r="AC545" t="str">
            <v>[10005]  Exelon Delivery Shared ServiceEBSC Transactional (Passthroughs)Project &amp; Contract Management (04968 - EED Project Controls)</v>
          </cell>
          <cell r="AF545" t="e">
            <v>#N/A</v>
          </cell>
        </row>
        <row r="546">
          <cell r="E546">
            <v>2584</v>
          </cell>
          <cell r="H546">
            <v>-2584</v>
          </cell>
          <cell r="I546">
            <v>-2584</v>
          </cell>
          <cell r="J546">
            <v>6344</v>
          </cell>
          <cell r="M546">
            <v>-6344</v>
          </cell>
          <cell r="N546">
            <v>-2584</v>
          </cell>
          <cell r="O546">
            <v>6344</v>
          </cell>
          <cell r="R546">
            <v>-6344</v>
          </cell>
          <cell r="S546">
            <v>-2584</v>
          </cell>
          <cell r="V546" t="str">
            <v>EBSC Transactional2</v>
          </cell>
          <cell r="W546" t="str">
            <v>Tools For People</v>
          </cell>
          <cell r="AA546" t="str">
            <v>[10005]  Exelon Delivery Shared ServiceEBSC TransactionalTools For People</v>
          </cell>
          <cell r="AB546" t="str">
            <v>[10005]  Exelon Delivery Shared ServiceEBSC Transactional (Tools For People)Business Services</v>
          </cell>
          <cell r="AC546" t="str">
            <v>[10005]  Exelon Delivery Shared ServiceEBSC Transactional (Tools For People)Project &amp; Contract Management (04995 - Contract Controls &amp; Perf Mgmt)</v>
          </cell>
          <cell r="AF546" t="e">
            <v>#N/A</v>
          </cell>
        </row>
        <row r="547">
          <cell r="E547">
            <v>1526</v>
          </cell>
          <cell r="H547">
            <v>-1526</v>
          </cell>
          <cell r="I547">
            <v>-1526</v>
          </cell>
          <cell r="J547">
            <v>3663</v>
          </cell>
          <cell r="M547">
            <v>-3663</v>
          </cell>
          <cell r="N547">
            <v>-1526</v>
          </cell>
          <cell r="O547">
            <v>3663</v>
          </cell>
          <cell r="R547">
            <v>-3663</v>
          </cell>
          <cell r="S547">
            <v>-1526</v>
          </cell>
          <cell r="V547" t="str">
            <v>EBSC Transactional2</v>
          </cell>
          <cell r="W547" t="str">
            <v>Passthroughs</v>
          </cell>
          <cell r="AA547" t="str">
            <v>[10005]  Exelon Delivery Shared ServiceEBSC TransactionalPassthroughs</v>
          </cell>
          <cell r="AB547" t="str">
            <v>[10005]  Exelon Delivery Shared ServiceEBSC Transactional (Passthroughs)Other Operating Expenses</v>
          </cell>
          <cell r="AC547" t="str">
            <v>[10005]  Exelon Delivery Shared ServiceEBSC Transactional (Passthroughs)Project &amp; Contract Management (04995 - Contract Controls &amp; Perf Mgmt)</v>
          </cell>
          <cell r="AF547" t="e">
            <v>#N/A</v>
          </cell>
        </row>
        <row r="548">
          <cell r="E548">
            <v>82</v>
          </cell>
          <cell r="H548">
            <v>-82</v>
          </cell>
          <cell r="I548">
            <v>-82</v>
          </cell>
          <cell r="J548">
            <v>247</v>
          </cell>
          <cell r="M548">
            <v>-247</v>
          </cell>
          <cell r="N548">
            <v>-82</v>
          </cell>
          <cell r="O548">
            <v>247</v>
          </cell>
          <cell r="R548">
            <v>-247</v>
          </cell>
          <cell r="S548">
            <v>-82</v>
          </cell>
          <cell r="V548" t="str">
            <v>EBSC Transactional2</v>
          </cell>
          <cell r="W548" t="str">
            <v>Tools For People</v>
          </cell>
          <cell r="AA548" t="str">
            <v>[10005]  Exelon Delivery Shared ServiceEBSC TransactionalTools For People</v>
          </cell>
          <cell r="AB548" t="str">
            <v>[10005]  Exelon Delivery Shared ServiceEBSC Transactional (Tools For People)Business Services</v>
          </cell>
          <cell r="AC548" t="str">
            <v>[10005]  Exelon Delivery Shared ServiceEBSC Transactional (Tools For People)Quality Assurance (04905 - Quality Assurance Group)</v>
          </cell>
          <cell r="AF548" t="e">
            <v>#N/A</v>
          </cell>
        </row>
        <row r="549">
          <cell r="E549">
            <v>11</v>
          </cell>
          <cell r="H549">
            <v>-11</v>
          </cell>
          <cell r="I549">
            <v>-11</v>
          </cell>
          <cell r="J549">
            <v>41</v>
          </cell>
          <cell r="M549">
            <v>-41</v>
          </cell>
          <cell r="N549">
            <v>-11</v>
          </cell>
          <cell r="O549">
            <v>41</v>
          </cell>
          <cell r="R549">
            <v>-41</v>
          </cell>
          <cell r="S549">
            <v>-11</v>
          </cell>
          <cell r="V549" t="str">
            <v>EBSC Transactional2</v>
          </cell>
          <cell r="W549" t="str">
            <v>Passthroughs</v>
          </cell>
          <cell r="AA549" t="str">
            <v>[10005]  Exelon Delivery Shared ServiceEBSC TransactionalPassthroughs</v>
          </cell>
          <cell r="AB549" t="str">
            <v>[10005]  Exelon Delivery Shared ServiceEBSC Transactional (Passthroughs)Other Operating Expenses</v>
          </cell>
          <cell r="AC549" t="str">
            <v>[10005]  Exelon Delivery Shared ServiceEBSC Transactional (Passthroughs)Quality Assurance (04905 - Quality Assurance Group)</v>
          </cell>
          <cell r="AF549" t="e">
            <v>#N/A</v>
          </cell>
        </row>
        <row r="550">
          <cell r="E550">
            <v>23762</v>
          </cell>
          <cell r="H550">
            <v>-23762</v>
          </cell>
          <cell r="I550">
            <v>-23762</v>
          </cell>
          <cell r="J550">
            <v>25924</v>
          </cell>
          <cell r="M550">
            <v>-25924</v>
          </cell>
          <cell r="N550">
            <v>-23762</v>
          </cell>
          <cell r="O550">
            <v>25924</v>
          </cell>
          <cell r="R550">
            <v>-25924</v>
          </cell>
          <cell r="S550">
            <v>-23762</v>
          </cell>
          <cell r="V550" t="str">
            <v>EBSC Transactional2</v>
          </cell>
          <cell r="W550" t="str">
            <v>Tools For People</v>
          </cell>
          <cell r="AA550" t="str">
            <v>[10005]  Exelon Delivery Shared ServiceEBSC TransactionalTools For People</v>
          </cell>
          <cell r="AB550" t="str">
            <v>[10005]  Exelon Delivery Shared ServiceEBSC Transactional (Tools For People)Business Services</v>
          </cell>
          <cell r="AC550" t="str">
            <v>[10005]  Exelon Delivery Shared ServiceEBSC Transactional (Tools For People)Senior VP &amp; Admin (04965 - Senior VP &amp; Admin/Programs)</v>
          </cell>
          <cell r="AF550" t="e">
            <v>#N/A</v>
          </cell>
        </row>
        <row r="551">
          <cell r="E551">
            <v>82</v>
          </cell>
          <cell r="H551">
            <v>-82</v>
          </cell>
          <cell r="I551">
            <v>-82</v>
          </cell>
          <cell r="J551">
            <v>284</v>
          </cell>
          <cell r="M551">
            <v>-284</v>
          </cell>
          <cell r="N551">
            <v>-82</v>
          </cell>
          <cell r="O551">
            <v>284</v>
          </cell>
          <cell r="R551">
            <v>-284</v>
          </cell>
          <cell r="S551">
            <v>-82</v>
          </cell>
          <cell r="V551" t="str">
            <v>EBSC Transactional2</v>
          </cell>
          <cell r="W551" t="str">
            <v>Passthroughs</v>
          </cell>
          <cell r="AA551" t="str">
            <v>[10005]  Exelon Delivery Shared ServiceEBSC TransactionalPassthroughs</v>
          </cell>
          <cell r="AB551" t="str">
            <v>[10005]  Exelon Delivery Shared ServiceEBSC Transactional (Passthroughs)Other Operating Expenses</v>
          </cell>
          <cell r="AC551" t="str">
            <v>[10005]  Exelon Delivery Shared ServiceEBSC Transactional (Passthroughs)Senior VP &amp; Admin (04965 - Senior VP &amp; Admin/Programs)</v>
          </cell>
          <cell r="AF551" t="e">
            <v>#N/A</v>
          </cell>
        </row>
        <row r="552">
          <cell r="E552">
            <v>3478</v>
          </cell>
          <cell r="H552">
            <v>1009</v>
          </cell>
          <cell r="I552">
            <v>1009</v>
          </cell>
          <cell r="J552">
            <v>14145</v>
          </cell>
          <cell r="M552">
            <v>3803</v>
          </cell>
          <cell r="N552">
            <v>1009</v>
          </cell>
          <cell r="O552">
            <v>50041</v>
          </cell>
          <cell r="R552">
            <v>3803</v>
          </cell>
          <cell r="S552">
            <v>1009</v>
          </cell>
          <cell r="V552" t="str">
            <v>EBSC Transactional2</v>
          </cell>
          <cell r="W552" t="str">
            <v>Tools For People</v>
          </cell>
          <cell r="AA552" t="str">
            <v>[10005]  Exelon Delivery Shared ServiceEBSC TransactionalTools For People</v>
          </cell>
          <cell r="AB552" t="str">
            <v>[10005]  Exelon Delivery Shared ServiceEBSC Transactional (Tools For People)Business Services</v>
          </cell>
          <cell r="AC552" t="str">
            <v>[10005]  Exelon Delivery Shared ServiceEBSC Transactional (Tools For People)Training (04972 - New Applications)</v>
          </cell>
          <cell r="AF552" t="e">
            <v>#N/A</v>
          </cell>
        </row>
        <row r="553">
          <cell r="E553">
            <v>228</v>
          </cell>
          <cell r="H553">
            <v>132</v>
          </cell>
          <cell r="I553">
            <v>132</v>
          </cell>
          <cell r="J553">
            <v>1605</v>
          </cell>
          <cell r="M553">
            <v>-165</v>
          </cell>
          <cell r="N553">
            <v>132</v>
          </cell>
          <cell r="O553">
            <v>4485</v>
          </cell>
          <cell r="R553">
            <v>-165</v>
          </cell>
          <cell r="S553">
            <v>132</v>
          </cell>
          <cell r="V553" t="str">
            <v>EBSC Transactional2</v>
          </cell>
          <cell r="W553" t="str">
            <v>Passthroughs</v>
          </cell>
          <cell r="AA553" t="str">
            <v>[10005]  Exelon Delivery Shared ServiceEBSC TransactionalPassthroughs</v>
          </cell>
          <cell r="AB553" t="str">
            <v>[10005]  Exelon Delivery Shared ServiceEBSC Transactional (Passthroughs)Other Operating Expenses</v>
          </cell>
          <cell r="AC553" t="str">
            <v>[10005]  Exelon Delivery Shared ServiceEBSC Transactional (Passthroughs)Training (04972 - New Applications)</v>
          </cell>
          <cell r="AF553" t="e">
            <v>#N/A</v>
          </cell>
        </row>
        <row r="554">
          <cell r="E554">
            <v>453</v>
          </cell>
          <cell r="H554">
            <v>43778</v>
          </cell>
          <cell r="I554">
            <v>43778</v>
          </cell>
          <cell r="J554">
            <v>1620</v>
          </cell>
          <cell r="M554">
            <v>136613</v>
          </cell>
          <cell r="N554">
            <v>43778</v>
          </cell>
          <cell r="O554">
            <v>370469</v>
          </cell>
          <cell r="R554">
            <v>136613</v>
          </cell>
          <cell r="S554">
            <v>43778</v>
          </cell>
          <cell r="V554" t="str">
            <v>EBSC Transactional2</v>
          </cell>
          <cell r="W554" t="str">
            <v>Tools For People</v>
          </cell>
          <cell r="AA554" t="str">
            <v>[10005]  Exelon Delivery Shared ServiceEBSC TransactionalTools For People</v>
          </cell>
          <cell r="AB554" t="str">
            <v>[10005]  Exelon Delivery Shared ServiceEBSC Transactional (Tools For People)Business Services</v>
          </cell>
          <cell r="AC554" t="str">
            <v>[10005]  Exelon Delivery Shared ServiceEBSC Transactional (Tools For People)Training (04974 - Training Director)</v>
          </cell>
          <cell r="AF554" t="e">
            <v>#N/A</v>
          </cell>
        </row>
        <row r="555">
          <cell r="E555">
            <v>321</v>
          </cell>
          <cell r="H555">
            <v>1764</v>
          </cell>
          <cell r="I555">
            <v>1764</v>
          </cell>
          <cell r="J555">
            <v>1529</v>
          </cell>
          <cell r="M555">
            <v>4900</v>
          </cell>
          <cell r="N555">
            <v>1764</v>
          </cell>
          <cell r="O555">
            <v>18209</v>
          </cell>
          <cell r="R555">
            <v>4900</v>
          </cell>
          <cell r="S555">
            <v>1764</v>
          </cell>
          <cell r="V555" t="str">
            <v>EBSC Transactional2</v>
          </cell>
          <cell r="W555" t="str">
            <v>Passthroughs</v>
          </cell>
          <cell r="AA555" t="str">
            <v>[10005]  Exelon Delivery Shared ServiceEBSC TransactionalPassthroughs</v>
          </cell>
          <cell r="AB555" t="str">
            <v>[10005]  Exelon Delivery Shared ServiceEBSC Transactional (Passthroughs)Other Operating Expenses</v>
          </cell>
          <cell r="AC555" t="str">
            <v>[10005]  Exelon Delivery Shared ServiceEBSC Transactional (Passthroughs)Training (04974 - Training Director)</v>
          </cell>
          <cell r="AF555" t="e">
            <v>#N/A</v>
          </cell>
        </row>
        <row r="556">
          <cell r="E556">
            <v>120</v>
          </cell>
          <cell r="H556">
            <v>-120</v>
          </cell>
          <cell r="I556">
            <v>-120</v>
          </cell>
          <cell r="J556">
            <v>120</v>
          </cell>
          <cell r="M556">
            <v>-120</v>
          </cell>
          <cell r="N556">
            <v>-120</v>
          </cell>
          <cell r="O556">
            <v>120</v>
          </cell>
          <cell r="R556">
            <v>-120</v>
          </cell>
          <cell r="S556">
            <v>-120</v>
          </cell>
          <cell r="V556" t="str">
            <v>EBSC Transactional2</v>
          </cell>
          <cell r="W556" t="str">
            <v>Tools For People</v>
          </cell>
          <cell r="AA556" t="str">
            <v>[10005]  Exelon Delivery Shared ServiceEBSC TransactionalTools For People</v>
          </cell>
          <cell r="AB556" t="str">
            <v>[10005]  Exelon Delivery Shared ServiceEBSC Transactional (Tools For People)Business Services</v>
          </cell>
          <cell r="AC556" t="str">
            <v>[10005]  Exelon Delivery Shared ServiceEBSC Transactional (Tools For People)Training (07173 - Field &amp; Tech Services Training)</v>
          </cell>
          <cell r="AF556" t="e">
            <v>#N/A</v>
          </cell>
        </row>
        <row r="557">
          <cell r="E557">
            <v>100</v>
          </cell>
          <cell r="H557">
            <v>-100</v>
          </cell>
          <cell r="I557">
            <v>-100</v>
          </cell>
          <cell r="J557">
            <v>100</v>
          </cell>
          <cell r="M557">
            <v>-100</v>
          </cell>
          <cell r="N557">
            <v>-100</v>
          </cell>
          <cell r="O557">
            <v>100</v>
          </cell>
          <cell r="R557">
            <v>-100</v>
          </cell>
          <cell r="S557">
            <v>-100</v>
          </cell>
          <cell r="V557" t="str">
            <v>EBSC Transactional2</v>
          </cell>
          <cell r="W557" t="str">
            <v>Passthroughs</v>
          </cell>
          <cell r="AA557" t="str">
            <v>[10005]  Exelon Delivery Shared ServiceEBSC TransactionalPassthroughs</v>
          </cell>
          <cell r="AB557" t="str">
            <v>[10005]  Exelon Delivery Shared ServiceEBSC Transactional (Passthroughs)Other Operating Expenses</v>
          </cell>
          <cell r="AC557" t="str">
            <v>[10005]  Exelon Delivery Shared ServiceEBSC Transactional (Passthroughs)Training (07173 - Field &amp; Tech Services Training)</v>
          </cell>
          <cell r="AF557" t="e">
            <v>#N/A</v>
          </cell>
        </row>
        <row r="558">
          <cell r="E558">
            <v>1281</v>
          </cell>
          <cell r="H558">
            <v>-191</v>
          </cell>
          <cell r="I558">
            <v>-191</v>
          </cell>
          <cell r="J558">
            <v>5197</v>
          </cell>
          <cell r="M558">
            <v>-837</v>
          </cell>
          <cell r="N558">
            <v>-191</v>
          </cell>
          <cell r="O558">
            <v>13917</v>
          </cell>
          <cell r="R558">
            <v>-837</v>
          </cell>
          <cell r="S558">
            <v>-191</v>
          </cell>
          <cell r="V558" t="str">
            <v>EBSC Transactional2</v>
          </cell>
          <cell r="W558" t="str">
            <v>Tools For People</v>
          </cell>
          <cell r="AA558" t="str">
            <v>[10005]  Exelon Delivery Shared ServiceEBSC TransactionalTools For People</v>
          </cell>
          <cell r="AB558" t="str">
            <v>[10005]  Exelon Delivery Shared ServiceEBSC Transactional (Tools For People)Business Services</v>
          </cell>
          <cell r="AC558" t="str">
            <v>[10005]  Exelon Delivery Shared ServiceEBSC Transactional (Tools For People)Transmission Operations (04985 - EED Transmission System Ops)</v>
          </cell>
          <cell r="AF558" t="e">
            <v>#N/A</v>
          </cell>
        </row>
        <row r="559">
          <cell r="E559">
            <v>517</v>
          </cell>
          <cell r="H559">
            <v>316</v>
          </cell>
          <cell r="I559">
            <v>316</v>
          </cell>
          <cell r="J559">
            <v>2155</v>
          </cell>
          <cell r="M559">
            <v>1178</v>
          </cell>
          <cell r="N559">
            <v>316</v>
          </cell>
          <cell r="O559">
            <v>8822</v>
          </cell>
          <cell r="R559">
            <v>1178</v>
          </cell>
          <cell r="S559">
            <v>316</v>
          </cell>
          <cell r="V559" t="str">
            <v>EBSC Transactional2</v>
          </cell>
          <cell r="W559" t="str">
            <v>Passthroughs</v>
          </cell>
          <cell r="AA559" t="str">
            <v>[10005]  Exelon Delivery Shared ServiceEBSC TransactionalPassthroughs</v>
          </cell>
          <cell r="AB559" t="str">
            <v>[10005]  Exelon Delivery Shared ServiceEBSC Transactional (Passthroughs)Other Operating Expenses</v>
          </cell>
          <cell r="AC559" t="str">
            <v>[10005]  Exelon Delivery Shared ServiceEBSC Transactional (Passthroughs)Transmission Operations (04985 - EED Transmission System Ops)</v>
          </cell>
          <cell r="AF559" t="e">
            <v>#N/A</v>
          </cell>
        </row>
        <row r="560">
          <cell r="E560">
            <v>1267</v>
          </cell>
          <cell r="H560">
            <v>-82</v>
          </cell>
          <cell r="I560">
            <v>-82</v>
          </cell>
          <cell r="J560">
            <v>5008</v>
          </cell>
          <cell r="M560">
            <v>-268</v>
          </cell>
          <cell r="N560">
            <v>-82</v>
          </cell>
          <cell r="O560">
            <v>14488</v>
          </cell>
          <cell r="R560">
            <v>-268</v>
          </cell>
          <cell r="S560">
            <v>-82</v>
          </cell>
          <cell r="V560" t="str">
            <v>EBSC Transactional2</v>
          </cell>
          <cell r="W560" t="str">
            <v>Tools For People</v>
          </cell>
          <cell r="AA560" t="str">
            <v>[10005]  Exelon Delivery Shared ServiceEBSC TransactionalTools For People</v>
          </cell>
          <cell r="AB560" t="str">
            <v>[10005]  Exelon Delivery Shared ServiceEBSC Transactional (Tools For People)Business Services</v>
          </cell>
          <cell r="AC560" t="str">
            <v>[10005]  Exelon Delivery Shared ServiceEBSC Transactional (Tools For People)Transmission Planning (04984 - EED Transmission Planning)</v>
          </cell>
          <cell r="AF560" t="e">
            <v>#N/A</v>
          </cell>
        </row>
        <row r="561">
          <cell r="E561">
            <v>307</v>
          </cell>
          <cell r="H561">
            <v>-17</v>
          </cell>
          <cell r="I561">
            <v>-17</v>
          </cell>
          <cell r="J561">
            <v>1781</v>
          </cell>
          <cell r="M561">
            <v>-621</v>
          </cell>
          <cell r="N561">
            <v>-17</v>
          </cell>
          <cell r="O561">
            <v>4101</v>
          </cell>
          <cell r="R561">
            <v>-621</v>
          </cell>
          <cell r="S561">
            <v>-17</v>
          </cell>
          <cell r="V561" t="str">
            <v>EBSC Transactional2</v>
          </cell>
          <cell r="W561" t="str">
            <v>Passthroughs</v>
          </cell>
          <cell r="AA561" t="str">
            <v>[10005]  Exelon Delivery Shared ServiceEBSC TransactionalPassthroughs</v>
          </cell>
          <cell r="AB561" t="str">
            <v>[10005]  Exelon Delivery Shared ServiceEBSC Transactional (Passthroughs)Other Operating Expenses</v>
          </cell>
          <cell r="AC561" t="str">
            <v>[10005]  Exelon Delivery Shared ServiceEBSC Transactional (Passthroughs)Transmission Planning (04984 - EED Transmission Planning)</v>
          </cell>
          <cell r="AF561" t="e">
            <v>#N/A</v>
          </cell>
        </row>
        <row r="562">
          <cell r="E562">
            <v>639</v>
          </cell>
          <cell r="H562">
            <v>516</v>
          </cell>
          <cell r="I562">
            <v>516</v>
          </cell>
          <cell r="J562">
            <v>2555</v>
          </cell>
          <cell r="M562">
            <v>2065</v>
          </cell>
          <cell r="N562">
            <v>516</v>
          </cell>
          <cell r="O562">
            <v>11795</v>
          </cell>
          <cell r="R562">
            <v>2065</v>
          </cell>
          <cell r="S562">
            <v>516</v>
          </cell>
          <cell r="V562" t="str">
            <v>EBSC Transactional2</v>
          </cell>
          <cell r="W562" t="str">
            <v>Tools For People</v>
          </cell>
          <cell r="AA562" t="str">
            <v>[10005]  Exelon Delivery Shared ServiceEBSC TransactionalTools For People</v>
          </cell>
          <cell r="AB562" t="str">
            <v>[10005]  Exelon Delivery Shared ServiceEBSC Transactional (Tools For People)Business Services</v>
          </cell>
          <cell r="AC562" t="str">
            <v>[10005]  Exelon Delivery Shared ServiceEBSC Transactional (Tools For People)Transmission &amp; Substation (04902 - EED Transmission &amp; Substation)</v>
          </cell>
          <cell r="AF562" t="e">
            <v>#N/A</v>
          </cell>
        </row>
        <row r="563">
          <cell r="E563">
            <v>2362</v>
          </cell>
          <cell r="H563">
            <v>-2362</v>
          </cell>
          <cell r="I563">
            <v>-2362</v>
          </cell>
          <cell r="J563">
            <v>15959</v>
          </cell>
          <cell r="M563">
            <v>-15959</v>
          </cell>
          <cell r="N563">
            <v>-2362</v>
          </cell>
          <cell r="O563">
            <v>15959</v>
          </cell>
          <cell r="R563">
            <v>-15959</v>
          </cell>
          <cell r="S563">
            <v>-2362</v>
          </cell>
          <cell r="V563" t="str">
            <v>EBSC Transactional2</v>
          </cell>
          <cell r="W563" t="str">
            <v>Passthroughs</v>
          </cell>
          <cell r="AA563" t="str">
            <v>[10005]  Exelon Delivery Shared ServiceEBSC TransactionalPassthroughs</v>
          </cell>
          <cell r="AB563" t="str">
            <v>[10005]  Exelon Delivery Shared ServiceEBSC Transactional (Passthroughs)Other Operating Expenses</v>
          </cell>
          <cell r="AC563" t="str">
            <v>[10005]  Exelon Delivery Shared ServiceEBSC Transactional (Passthroughs)Transmission &amp; Substation (04902 - EED Transmission &amp; Substation)</v>
          </cell>
          <cell r="AF563" t="e">
            <v>#N/A</v>
          </cell>
        </row>
        <row r="564">
          <cell r="E564">
            <v>767</v>
          </cell>
          <cell r="H564">
            <v>-192</v>
          </cell>
          <cell r="I564">
            <v>-192</v>
          </cell>
          <cell r="J564">
            <v>2870</v>
          </cell>
          <cell r="M564">
            <v>-570</v>
          </cell>
          <cell r="N564">
            <v>-192</v>
          </cell>
          <cell r="O564">
            <v>7470</v>
          </cell>
          <cell r="R564">
            <v>-570</v>
          </cell>
          <cell r="S564">
            <v>-192</v>
          </cell>
          <cell r="V564" t="str">
            <v>EBSC Transactional2</v>
          </cell>
          <cell r="W564" t="str">
            <v>Tools For People</v>
          </cell>
          <cell r="AA564" t="str">
            <v>[10005]  Exelon Delivery Shared ServiceEBSC TransactionalTools For People</v>
          </cell>
          <cell r="AB564" t="str">
            <v>[10005]  Exelon Delivery Shared ServiceEBSC Transactional (Tools For People)Business Services</v>
          </cell>
          <cell r="AC564" t="str">
            <v>[10005]  Exelon Delivery Shared ServiceEBSC Transactional (Tools For People)Transmission &amp; Substation (04903 - Transmission Line - EED)</v>
          </cell>
          <cell r="AF564" t="e">
            <v>#N/A</v>
          </cell>
        </row>
        <row r="565">
          <cell r="E565">
            <v>567</v>
          </cell>
          <cell r="H565">
            <v>-567</v>
          </cell>
          <cell r="I565">
            <v>-567</v>
          </cell>
          <cell r="J565">
            <v>3140</v>
          </cell>
          <cell r="M565">
            <v>-3140</v>
          </cell>
          <cell r="N565">
            <v>-567</v>
          </cell>
          <cell r="O565">
            <v>3140</v>
          </cell>
          <cell r="R565">
            <v>-3140</v>
          </cell>
          <cell r="S565">
            <v>-567</v>
          </cell>
          <cell r="V565" t="str">
            <v>EBSC Transactional2</v>
          </cell>
          <cell r="W565" t="str">
            <v>Passthroughs</v>
          </cell>
          <cell r="AA565" t="str">
            <v>[10005]  Exelon Delivery Shared ServiceEBSC TransactionalPassthroughs</v>
          </cell>
          <cell r="AB565" t="str">
            <v>[10005]  Exelon Delivery Shared ServiceEBSC Transactional (Passthroughs)Other Operating Expenses</v>
          </cell>
          <cell r="AC565" t="str">
            <v>[10005]  Exelon Delivery Shared ServiceEBSC Transactional (Passthroughs)Transmission &amp; Substation (04903 - Transmission Line - EED)</v>
          </cell>
          <cell r="AF565" t="e">
            <v>#N/A</v>
          </cell>
        </row>
        <row r="566">
          <cell r="E566">
            <v>786</v>
          </cell>
          <cell r="H566">
            <v>144</v>
          </cell>
          <cell r="I566">
            <v>144</v>
          </cell>
          <cell r="J566">
            <v>3472</v>
          </cell>
          <cell r="M566">
            <v>248</v>
          </cell>
          <cell r="N566">
            <v>144</v>
          </cell>
          <cell r="O566">
            <v>10912</v>
          </cell>
          <cell r="R566">
            <v>248</v>
          </cell>
          <cell r="S566">
            <v>144</v>
          </cell>
          <cell r="V566" t="str">
            <v>EBSC Transactional2</v>
          </cell>
          <cell r="W566" t="str">
            <v>Tools For People</v>
          </cell>
          <cell r="AA566" t="str">
            <v>[10005]  Exelon Delivery Shared ServiceEBSC TransactionalTools For People</v>
          </cell>
          <cell r="AB566" t="str">
            <v>[10005]  Exelon Delivery Shared ServiceEBSC Transactional (Tools For People)Business Services</v>
          </cell>
          <cell r="AC566" t="str">
            <v>[10005]  Exelon Delivery Shared ServiceEBSC Transactional (Tools For People)Trans Strtgy &amp; Intrconect Srv (04986 - EED Trans Strategy &amp; Bus Ops)</v>
          </cell>
          <cell r="AF566" t="e">
            <v>#N/A</v>
          </cell>
        </row>
        <row r="567">
          <cell r="E567">
            <v>330</v>
          </cell>
          <cell r="H567">
            <v>120</v>
          </cell>
          <cell r="I567">
            <v>120</v>
          </cell>
          <cell r="J567">
            <v>2954</v>
          </cell>
          <cell r="M567">
            <v>-1154</v>
          </cell>
          <cell r="N567">
            <v>120</v>
          </cell>
          <cell r="O567">
            <v>6554</v>
          </cell>
          <cell r="R567">
            <v>-1154</v>
          </cell>
          <cell r="S567">
            <v>120</v>
          </cell>
          <cell r="V567" t="str">
            <v>EBSC Transactional2</v>
          </cell>
          <cell r="W567" t="str">
            <v>Passthroughs</v>
          </cell>
          <cell r="AA567" t="str">
            <v>[10005]  Exelon Delivery Shared ServiceEBSC TransactionalPassthroughs</v>
          </cell>
          <cell r="AB567" t="str">
            <v>[10005]  Exelon Delivery Shared ServiceEBSC Transactional (Passthroughs)Other Operating Expenses</v>
          </cell>
          <cell r="AC567" t="str">
            <v>[10005]  Exelon Delivery Shared ServiceEBSC Transactional (Passthroughs)Trans Strtgy &amp; Intrconect Srv (04986 - EED Trans Strategy &amp; Bus Ops)</v>
          </cell>
          <cell r="AF567" t="e">
            <v>#N/A</v>
          </cell>
        </row>
        <row r="568">
          <cell r="E568">
            <v>55995</v>
          </cell>
          <cell r="H568">
            <v>7255</v>
          </cell>
          <cell r="I568">
            <v>7255</v>
          </cell>
          <cell r="J568">
            <v>238938</v>
          </cell>
          <cell r="M568">
            <v>14062</v>
          </cell>
          <cell r="N568">
            <v>7255</v>
          </cell>
          <cell r="O568">
            <v>744938</v>
          </cell>
          <cell r="R568">
            <v>14062</v>
          </cell>
          <cell r="S568">
            <v>7255</v>
          </cell>
          <cell r="V568" t="str">
            <v>EBSC Transactional2</v>
          </cell>
          <cell r="W568" t="str">
            <v>Tools For People</v>
          </cell>
          <cell r="AA568" t="str">
            <v>[10200]  PECO Energy CompanyEBSC TransactionalTools For People</v>
          </cell>
          <cell r="AB568" t="str">
            <v>[10200]  PECO Energy CompanyEBSC Transactional (Tools For People)Business Services</v>
          </cell>
          <cell r="AC568" t="str">
            <v>[10200]  PECO Energy CompanyEBSC Transactional (Tools For People)Cust&amp;Mrkt Svcs&amp;Fleet Mgmt-PECO (PECO Customer Contact Center)</v>
          </cell>
          <cell r="AF568" t="e">
            <v>#N/A</v>
          </cell>
        </row>
        <row r="569">
          <cell r="E569">
            <v>111890</v>
          </cell>
          <cell r="H569">
            <v>-36004</v>
          </cell>
          <cell r="I569">
            <v>9996</v>
          </cell>
          <cell r="J569">
            <v>454419</v>
          </cell>
          <cell r="M569">
            <v>-139645</v>
          </cell>
          <cell r="N569">
            <v>9996</v>
          </cell>
          <cell r="O569">
            <v>1456646</v>
          </cell>
          <cell r="R569">
            <v>-456645</v>
          </cell>
          <cell r="S569">
            <v>9996</v>
          </cell>
          <cell r="V569" t="str">
            <v>EBSC Transactional2</v>
          </cell>
          <cell r="W569" t="str">
            <v>Passthroughs</v>
          </cell>
          <cell r="AA569" t="str">
            <v>[10200]  PECO Energy CompanyEBSC TransactionalPassthroughs</v>
          </cell>
          <cell r="AB569" t="str">
            <v>[10200]  PECO Energy CompanyEBSC Transactional (Passthroughs)Other Operating Expenses</v>
          </cell>
          <cell r="AC569" t="str">
            <v>[10200]  PECO Energy CompanyEBSC Transactional (Passthroughs)Cust&amp;Mrkt Svcs&amp;Fleet Mgmt-PECO (PECO Customer Contact Center)</v>
          </cell>
          <cell r="AF569" t="e">
            <v>#N/A</v>
          </cell>
        </row>
        <row r="570">
          <cell r="E570">
            <v>26407</v>
          </cell>
          <cell r="H570">
            <v>10234</v>
          </cell>
          <cell r="I570">
            <v>-299</v>
          </cell>
          <cell r="J570">
            <v>105593</v>
          </cell>
          <cell r="M570">
            <v>25972</v>
          </cell>
          <cell r="N570">
            <v>-299</v>
          </cell>
          <cell r="O570">
            <v>281894</v>
          </cell>
          <cell r="R570">
            <v>105212</v>
          </cell>
          <cell r="S570">
            <v>501</v>
          </cell>
          <cell r="V570" t="str">
            <v>EBSC Transactional2</v>
          </cell>
          <cell r="W570" t="str">
            <v>Tools For People</v>
          </cell>
          <cell r="AA570" t="str">
            <v>[10200]  PECO Energy CompanyEBSC TransactionalTools For People</v>
          </cell>
          <cell r="AB570" t="str">
            <v>[10200]  PECO Energy CompanyEBSC Transactional (Tools For People)Business Services</v>
          </cell>
          <cell r="AC570" t="str">
            <v>[10200]  PECO Energy CompanyEBSC Transactional (Tools For People)Cust&amp;Mrkt Svcs&amp;Fleet Mgmt-PECO (PECO Customer Field Operations)</v>
          </cell>
          <cell r="AF570" t="e">
            <v>#N/A</v>
          </cell>
        </row>
        <row r="571">
          <cell r="E571">
            <v>16472</v>
          </cell>
          <cell r="H571">
            <v>-12439</v>
          </cell>
          <cell r="I571">
            <v>-1877</v>
          </cell>
          <cell r="J571">
            <v>66106</v>
          </cell>
          <cell r="M571">
            <v>-49972</v>
          </cell>
          <cell r="N571">
            <v>-1877</v>
          </cell>
          <cell r="O571">
            <v>190285</v>
          </cell>
          <cell r="R571">
            <v>-141883</v>
          </cell>
          <cell r="S571">
            <v>-7877</v>
          </cell>
          <cell r="V571" t="str">
            <v>EBSC Transactional2</v>
          </cell>
          <cell r="W571" t="str">
            <v>Passthroughs</v>
          </cell>
          <cell r="AA571" t="str">
            <v>[10200]  PECO Energy CompanyEBSC TransactionalPassthroughs</v>
          </cell>
          <cell r="AB571" t="str">
            <v>[10200]  PECO Energy CompanyEBSC Transactional (Passthroughs)Other Operating Expenses</v>
          </cell>
          <cell r="AC571" t="str">
            <v>[10200]  PECO Energy CompanyEBSC Transactional (Passthroughs)Cust&amp;Mrkt Svcs&amp;Fleet Mgmt-PECO (PECO Customer Field Operations)</v>
          </cell>
          <cell r="AF571" t="e">
            <v>#N/A</v>
          </cell>
        </row>
        <row r="572">
          <cell r="E572">
            <v>92342</v>
          </cell>
          <cell r="H572">
            <v>1634</v>
          </cell>
          <cell r="I572">
            <v>9011</v>
          </cell>
          <cell r="J572">
            <v>385558</v>
          </cell>
          <cell r="M572">
            <v>-9656</v>
          </cell>
          <cell r="N572">
            <v>9011</v>
          </cell>
          <cell r="O572">
            <v>1196385</v>
          </cell>
          <cell r="R572">
            <v>-68679</v>
          </cell>
          <cell r="S572">
            <v>9011</v>
          </cell>
          <cell r="V572" t="str">
            <v>EBSC Transactional2</v>
          </cell>
          <cell r="W572" t="str">
            <v>Tools For People</v>
          </cell>
          <cell r="AA572" t="str">
            <v>[10200]  PECO Energy CompanyEBSC TransactionalTools For People</v>
          </cell>
          <cell r="AB572" t="str">
            <v>[10200]  PECO Energy CompanyEBSC Transactional (Tools For People)Business Services</v>
          </cell>
          <cell r="AC572" t="str">
            <v>[10200]  PECO Energy CompanyEBSC Transactional (Tools For People)Cust&amp;Mrkt Svcs&amp;Fleet Mgmt-PECO (PECO Customer Financial Ops)</v>
          </cell>
          <cell r="AF572" t="e">
            <v>#N/A</v>
          </cell>
        </row>
        <row r="573">
          <cell r="E573">
            <v>5795</v>
          </cell>
          <cell r="H573">
            <v>-5220</v>
          </cell>
          <cell r="I573">
            <v>-5220</v>
          </cell>
          <cell r="J573">
            <v>14578</v>
          </cell>
          <cell r="M573">
            <v>-12277</v>
          </cell>
          <cell r="N573">
            <v>-5220</v>
          </cell>
          <cell r="O573">
            <v>19181</v>
          </cell>
          <cell r="R573">
            <v>-12277</v>
          </cell>
          <cell r="S573">
            <v>-5220</v>
          </cell>
          <cell r="V573" t="str">
            <v>EBSC Transactional2</v>
          </cell>
          <cell r="W573" t="str">
            <v>Passthroughs</v>
          </cell>
          <cell r="AA573" t="str">
            <v>[10200]  PECO Energy CompanyEBSC TransactionalPassthroughs</v>
          </cell>
          <cell r="AB573" t="str">
            <v>[10200]  PECO Energy CompanyEBSC Transactional (Passthroughs)Other Operating Expenses</v>
          </cell>
          <cell r="AC573" t="str">
            <v>[10200]  PECO Energy CompanyEBSC Transactional (Passthroughs)Cust&amp;Mrkt Svcs&amp;Fleet Mgmt-PECO (PECO Customer Financial Ops)</v>
          </cell>
          <cell r="AF573" t="e">
            <v>#N/A</v>
          </cell>
        </row>
        <row r="574">
          <cell r="E574">
            <v>1224160</v>
          </cell>
          <cell r="H574">
            <v>-1224160</v>
          </cell>
          <cell r="I574">
            <v>-1224160</v>
          </cell>
          <cell r="J574">
            <v>1224160</v>
          </cell>
          <cell r="M574">
            <v>-1224160</v>
          </cell>
          <cell r="N574">
            <v>-1224160</v>
          </cell>
          <cell r="O574">
            <v>3083608</v>
          </cell>
          <cell r="R574">
            <v>-3083608</v>
          </cell>
          <cell r="S574">
            <v>-3083608</v>
          </cell>
          <cell r="V574" t="str">
            <v>EBSC Transactional2</v>
          </cell>
          <cell r="W574" t="str">
            <v>Tools For People</v>
          </cell>
          <cell r="AA574" t="str">
            <v>[10200]  PECO Energy CompanyEBSC TransactionalTools For People</v>
          </cell>
          <cell r="AB574" t="str">
            <v>[10200]  PECO Energy CompanyEBSC Transactional (Tools For People)Business Services</v>
          </cell>
          <cell r="AC574" t="str">
            <v>[10200]  PECO Energy CompanyEBSC Transactional (Tools For People)Cust&amp;Mrkt Svcs&amp;Fleet Mgmt-PECO (Peco Customer Service Systems)</v>
          </cell>
          <cell r="AF574" t="e">
            <v>#N/A</v>
          </cell>
        </row>
        <row r="575">
          <cell r="E575">
            <v>0</v>
          </cell>
          <cell r="H575">
            <v>1200</v>
          </cell>
          <cell r="I575">
            <v>1200</v>
          </cell>
          <cell r="J575">
            <v>0</v>
          </cell>
          <cell r="M575">
            <v>4800</v>
          </cell>
          <cell r="N575">
            <v>1200</v>
          </cell>
          <cell r="O575">
            <v>9600</v>
          </cell>
          <cell r="R575">
            <v>4800</v>
          </cell>
          <cell r="S575">
            <v>1200</v>
          </cell>
          <cell r="V575" t="str">
            <v>EBSC Transactional2</v>
          </cell>
          <cell r="W575" t="str">
            <v>Passthroughs</v>
          </cell>
          <cell r="AA575" t="str">
            <v>[10200]  PECO Energy CompanyEBSC TransactionalPassthroughs</v>
          </cell>
          <cell r="AB575" t="str">
            <v>[10200]  PECO Energy CompanyEBSC Transactional (Passthroughs)Contracting</v>
          </cell>
          <cell r="AC575" t="str">
            <v>[10200]  PECO Energy CompanyEBSC Transactional (Passthroughs)Cust&amp;Mrkt Svcs&amp;Fleet Mgmt-PECO (PECO Cust Strategies &amp; Support)</v>
          </cell>
          <cell r="AF575" t="e">
            <v>#N/A</v>
          </cell>
        </row>
        <row r="576">
          <cell r="E576">
            <v>7183</v>
          </cell>
          <cell r="H576">
            <v>84961</v>
          </cell>
          <cell r="I576">
            <v>212552</v>
          </cell>
          <cell r="J576">
            <v>279237</v>
          </cell>
          <cell r="M576">
            <v>89339</v>
          </cell>
          <cell r="N576">
            <v>212552</v>
          </cell>
          <cell r="O576">
            <v>1051509</v>
          </cell>
          <cell r="R576">
            <v>54218</v>
          </cell>
          <cell r="S576">
            <v>417748</v>
          </cell>
          <cell r="V576" t="str">
            <v>EBSC Transactional2</v>
          </cell>
          <cell r="W576" t="str">
            <v>Tools For People</v>
          </cell>
          <cell r="AA576" t="str">
            <v>[10200]  PECO Energy CompanyEBSC TransactionalTools For People</v>
          </cell>
          <cell r="AB576" t="str">
            <v>[10200]  PECO Energy CompanyEBSC Transactional (Tools For People)Business Services</v>
          </cell>
          <cell r="AC576" t="str">
            <v>[10200]  PECO Energy CompanyEBSC Transactional (Tools For People)Cust&amp;Mrkt Svcs&amp;Fleet Mgmt-PECO (PECO Cust Strategies &amp; Support)</v>
          </cell>
          <cell r="AF576" t="e">
            <v>#N/A</v>
          </cell>
        </row>
        <row r="577">
          <cell r="E577">
            <v>2388</v>
          </cell>
          <cell r="H577">
            <v>-1181</v>
          </cell>
          <cell r="I577">
            <v>-1181</v>
          </cell>
          <cell r="J577">
            <v>5213</v>
          </cell>
          <cell r="M577">
            <v>-385</v>
          </cell>
          <cell r="N577">
            <v>-1181</v>
          </cell>
          <cell r="O577">
            <v>14870</v>
          </cell>
          <cell r="R577">
            <v>-385</v>
          </cell>
          <cell r="S577">
            <v>-1181</v>
          </cell>
          <cell r="V577" t="str">
            <v>EBSC Transactional2</v>
          </cell>
          <cell r="W577" t="str">
            <v>Passthroughs</v>
          </cell>
          <cell r="AA577" t="str">
            <v>[10200]  PECO Energy CompanyEBSC TransactionalPassthroughs</v>
          </cell>
          <cell r="AB577" t="str">
            <v>[10200]  PECO Energy CompanyEBSC Transactional (Passthroughs)Other Operating Expenses</v>
          </cell>
          <cell r="AC577" t="str">
            <v>[10200]  PECO Energy CompanyEBSC Transactional (Passthroughs)Cust&amp;Mrkt Svcs&amp;Fleet Mgmt-PECO (PECO Cust Strategies &amp; Support)</v>
          </cell>
          <cell r="AF577" t="e">
            <v>#N/A</v>
          </cell>
        </row>
        <row r="578">
          <cell r="E578">
            <v>75</v>
          </cell>
          <cell r="H578">
            <v>-75</v>
          </cell>
          <cell r="I578">
            <v>-75</v>
          </cell>
          <cell r="J578">
            <v>78</v>
          </cell>
          <cell r="M578">
            <v>-78</v>
          </cell>
          <cell r="N578">
            <v>-75</v>
          </cell>
          <cell r="O578">
            <v>78</v>
          </cell>
          <cell r="R578">
            <v>-78</v>
          </cell>
          <cell r="S578">
            <v>-75</v>
          </cell>
          <cell r="V578" t="str">
            <v>EBSC Transactional2</v>
          </cell>
          <cell r="W578" t="str">
            <v>Passthroughs</v>
          </cell>
          <cell r="AA578" t="str">
            <v>[10200]  PECO Energy CompanyEBSC TransactionalPassthroughs</v>
          </cell>
          <cell r="AB578" t="str">
            <v>[10200]  PECO Energy CompanyEBSC Transactional (Passthroughs)Contracting</v>
          </cell>
          <cell r="AC578" t="str">
            <v>[10200]  PECO Energy CompanyEBSC Transactional (Passthroughs)Cust&amp;Mrkt Svcs&amp;Fleet Mgmt-PECO (PECO Energy &amp; Marketing Srvcs)</v>
          </cell>
          <cell r="AF578" t="e">
            <v>#N/A</v>
          </cell>
        </row>
        <row r="579">
          <cell r="E579">
            <v>17245</v>
          </cell>
          <cell r="H579">
            <v>7254</v>
          </cell>
          <cell r="I579">
            <v>2804</v>
          </cell>
          <cell r="J579">
            <v>66771</v>
          </cell>
          <cell r="M579">
            <v>30825</v>
          </cell>
          <cell r="N579">
            <v>2804</v>
          </cell>
          <cell r="O579">
            <v>227167</v>
          </cell>
          <cell r="R579">
            <v>66425</v>
          </cell>
          <cell r="S579">
            <v>2804</v>
          </cell>
          <cell r="V579" t="str">
            <v>EBSC Transactional2</v>
          </cell>
          <cell r="W579" t="str">
            <v>Tools For People</v>
          </cell>
          <cell r="AA579" t="str">
            <v>[10200]  PECO Energy CompanyEBSC TransactionalTools For People</v>
          </cell>
          <cell r="AB579" t="str">
            <v>[10200]  PECO Energy CompanyEBSC Transactional (Tools For People)Business Services</v>
          </cell>
          <cell r="AC579" t="str">
            <v>[10200]  PECO Energy CompanyEBSC Transactional (Tools For People)Cust&amp;Mrkt Svcs&amp;Fleet Mgmt-PECO (PECO Energy &amp; Marketing Srvcs)</v>
          </cell>
          <cell r="AF579" t="e">
            <v>#N/A</v>
          </cell>
        </row>
        <row r="580">
          <cell r="E580">
            <v>6121</v>
          </cell>
          <cell r="H580">
            <v>-6121</v>
          </cell>
          <cell r="I580">
            <v>-6121</v>
          </cell>
          <cell r="J580">
            <v>25320</v>
          </cell>
          <cell r="M580">
            <v>-25320</v>
          </cell>
          <cell r="N580">
            <v>-6121</v>
          </cell>
          <cell r="O580">
            <v>25320</v>
          </cell>
          <cell r="R580">
            <v>-25320</v>
          </cell>
          <cell r="S580">
            <v>-6121</v>
          </cell>
          <cell r="V580" t="str">
            <v>EBSC Transactional2</v>
          </cell>
          <cell r="W580" t="str">
            <v>Passthroughs</v>
          </cell>
          <cell r="AA580" t="str">
            <v>[10200]  PECO Energy CompanyEBSC TransactionalPassthroughs</v>
          </cell>
          <cell r="AB580" t="str">
            <v>[10200]  PECO Energy CompanyEBSC Transactional (Passthroughs)Other Operating Expenses</v>
          </cell>
          <cell r="AC580" t="str">
            <v>[10200]  PECO Energy CompanyEBSC Transactional (Passthroughs)Cust&amp;Mrkt Svcs&amp;Fleet Mgmt-PECO (PECO Energy &amp; Marketing Srvcs)</v>
          </cell>
          <cell r="AF580" t="e">
            <v>#N/A</v>
          </cell>
        </row>
        <row r="581">
          <cell r="E581">
            <v>0</v>
          </cell>
          <cell r="H581">
            <v>0</v>
          </cell>
          <cell r="I581">
            <v>0</v>
          </cell>
          <cell r="J581">
            <v>0</v>
          </cell>
          <cell r="M581">
            <v>0</v>
          </cell>
          <cell r="N581">
            <v>0</v>
          </cell>
          <cell r="O581">
            <v>0</v>
          </cell>
          <cell r="R581">
            <v>0</v>
          </cell>
          <cell r="S581">
            <v>0</v>
          </cell>
          <cell r="V581" t="str">
            <v>EBSC Transactional2</v>
          </cell>
          <cell r="W581" t="str">
            <v>Tools For People</v>
          </cell>
          <cell r="AA581" t="str">
            <v>[10200]  PECO Energy CompanyEBSC TransactionalTools For People</v>
          </cell>
          <cell r="AB581" t="str">
            <v>[10200]  PECO Energy CompanyEBSC Transactional (Tools For People)Business Services</v>
          </cell>
          <cell r="AC581" t="str">
            <v>[10200]  PECO Energy CompanyEBSC Transactional (Tools For People)Cust&amp;Mrkt Svcs&amp;Fleet Mgmt-PECO (PECO Fleet Services)</v>
          </cell>
          <cell r="AF581" t="e">
            <v>#N/A</v>
          </cell>
        </row>
        <row r="582">
          <cell r="E582">
            <v>0</v>
          </cell>
          <cell r="H582">
            <v>0</v>
          </cell>
          <cell r="I582">
            <v>0</v>
          </cell>
          <cell r="J582">
            <v>0</v>
          </cell>
          <cell r="M582">
            <v>0</v>
          </cell>
          <cell r="N582">
            <v>0</v>
          </cell>
          <cell r="O582">
            <v>0</v>
          </cell>
          <cell r="R582">
            <v>0</v>
          </cell>
          <cell r="S582">
            <v>0</v>
          </cell>
          <cell r="V582" t="str">
            <v>EBSC Transactional2</v>
          </cell>
          <cell r="W582" t="str">
            <v>Passthroughs</v>
          </cell>
          <cell r="AA582" t="str">
            <v>[10200]  PECO Energy CompanyEBSC TransactionalPassthroughs</v>
          </cell>
          <cell r="AB582" t="str">
            <v>[10200]  PECO Energy CompanyEBSC Transactional (Passthroughs)Other Operating Expenses</v>
          </cell>
          <cell r="AC582" t="str">
            <v>[10200]  PECO Energy CompanyEBSC Transactional (Passthroughs)Cust&amp;Mrkt Svcs&amp;Fleet Mgmt-PECO (PECO Fleet Services)</v>
          </cell>
          <cell r="AF582" t="e">
            <v>#N/A</v>
          </cell>
        </row>
        <row r="583">
          <cell r="E583">
            <v>0</v>
          </cell>
          <cell r="H583">
            <v>0</v>
          </cell>
          <cell r="I583">
            <v>0</v>
          </cell>
          <cell r="J583">
            <v>885</v>
          </cell>
          <cell r="M583">
            <v>-885</v>
          </cell>
          <cell r="N583">
            <v>0</v>
          </cell>
          <cell r="O583">
            <v>885</v>
          </cell>
          <cell r="R583">
            <v>-885</v>
          </cell>
          <cell r="S583">
            <v>0</v>
          </cell>
          <cell r="V583" t="str">
            <v>EBSC Transactional2</v>
          </cell>
          <cell r="W583" t="str">
            <v>Tools For People</v>
          </cell>
          <cell r="AA583" t="str">
            <v>[10200]  PECO Energy CompanyEBSC TransactionalTools For People</v>
          </cell>
          <cell r="AB583" t="str">
            <v>[10200]  PECO Energy CompanyEBSC Transactional (Tools For People)Business Services</v>
          </cell>
          <cell r="AC583" t="str">
            <v>[10200]  PECO Energy CompanyEBSC Transactional (Tools For People)Gen Company Activities-PECO (09999 - Default Department)</v>
          </cell>
          <cell r="AF583" t="e">
            <v>#N/A</v>
          </cell>
        </row>
        <row r="584">
          <cell r="E584">
            <v>0</v>
          </cell>
          <cell r="H584">
            <v>0</v>
          </cell>
          <cell r="I584">
            <v>0</v>
          </cell>
          <cell r="J584">
            <v>1051</v>
          </cell>
          <cell r="M584">
            <v>-1051</v>
          </cell>
          <cell r="N584">
            <v>0</v>
          </cell>
          <cell r="O584">
            <v>1051</v>
          </cell>
          <cell r="R584">
            <v>-1051</v>
          </cell>
          <cell r="S584">
            <v>0</v>
          </cell>
          <cell r="V584" t="str">
            <v>EBSC Transactional2</v>
          </cell>
          <cell r="W584" t="str">
            <v>Passthroughs</v>
          </cell>
          <cell r="AA584" t="str">
            <v>[10200]  PECO Energy CompanyEBSC TransactionalPassthroughs</v>
          </cell>
          <cell r="AB584" t="str">
            <v>[10200]  PECO Energy CompanyEBSC Transactional (Passthroughs)Other Operating Expenses</v>
          </cell>
          <cell r="AC584" t="str">
            <v>[10200]  PECO Energy CompanyEBSC Transactional (Passthroughs)Gen Company Activities-PECO (09999 - Default Department)</v>
          </cell>
          <cell r="AF584" t="e">
            <v>#N/A</v>
          </cell>
        </row>
        <row r="585">
          <cell r="E585">
            <v>191</v>
          </cell>
          <cell r="H585">
            <v>-191</v>
          </cell>
          <cell r="I585">
            <v>-191</v>
          </cell>
          <cell r="J585">
            <v>766</v>
          </cell>
          <cell r="M585">
            <v>-766</v>
          </cell>
          <cell r="N585">
            <v>-191</v>
          </cell>
          <cell r="O585">
            <v>766</v>
          </cell>
          <cell r="R585">
            <v>-766</v>
          </cell>
          <cell r="S585">
            <v>-191</v>
          </cell>
          <cell r="V585" t="str">
            <v>EBSC Transactional2</v>
          </cell>
          <cell r="W585" t="str">
            <v>Tools For People</v>
          </cell>
          <cell r="AA585" t="str">
            <v>[10200]  PECO Energy CompanyEBSC TransactionalTools For People</v>
          </cell>
          <cell r="AB585" t="str">
            <v>[10200]  PECO Energy CompanyEBSC Transactional (Tools For People)Business Services</v>
          </cell>
          <cell r="AC585" t="str">
            <v>[10200]  PECO Energy CompanyEBSC Transactional (Tools For People)Gen Company Activities-PECO (10200 Unassigned Departments)</v>
          </cell>
          <cell r="AF585" t="e">
            <v>#N/A</v>
          </cell>
        </row>
        <row r="586">
          <cell r="E586">
            <v>46</v>
          </cell>
          <cell r="H586">
            <v>-46</v>
          </cell>
          <cell r="I586">
            <v>-46</v>
          </cell>
          <cell r="J586">
            <v>242</v>
          </cell>
          <cell r="M586">
            <v>-242</v>
          </cell>
          <cell r="N586">
            <v>-46</v>
          </cell>
          <cell r="O586">
            <v>242</v>
          </cell>
          <cell r="R586">
            <v>-242</v>
          </cell>
          <cell r="S586">
            <v>-46</v>
          </cell>
          <cell r="V586" t="str">
            <v>EBSC Transactional2</v>
          </cell>
          <cell r="W586" t="str">
            <v>Passthroughs</v>
          </cell>
          <cell r="AA586" t="str">
            <v>[10200]  PECO Energy CompanyEBSC TransactionalPassthroughs</v>
          </cell>
          <cell r="AB586" t="str">
            <v>[10200]  PECO Energy CompanyEBSC Transactional (Passthroughs)Other Operating Expenses</v>
          </cell>
          <cell r="AC586" t="str">
            <v>[10200]  PECO Energy CompanyEBSC Transactional (Passthroughs)Gen Company Activities-PECO (10200 Unassigned Departments)</v>
          </cell>
          <cell r="AF586" t="e">
            <v>#N/A</v>
          </cell>
        </row>
        <row r="587">
          <cell r="E587">
            <v>267</v>
          </cell>
          <cell r="H587">
            <v>-267</v>
          </cell>
          <cell r="I587">
            <v>-267</v>
          </cell>
          <cell r="J587">
            <v>944</v>
          </cell>
          <cell r="M587">
            <v>-944</v>
          </cell>
          <cell r="N587">
            <v>-267</v>
          </cell>
          <cell r="O587">
            <v>944</v>
          </cell>
          <cell r="R587">
            <v>-944</v>
          </cell>
          <cell r="S587">
            <v>-267</v>
          </cell>
          <cell r="V587" t="str">
            <v>EBSC Transactional2</v>
          </cell>
          <cell r="W587" t="str">
            <v>Passthroughs</v>
          </cell>
          <cell r="AA587" t="str">
            <v>[10200]  PECO Energy CompanyEBSC TransactionalPassthroughs</v>
          </cell>
          <cell r="AB587" t="str">
            <v>[10200]  PECO Energy CompanyEBSC Transactional (Passthroughs)Other Operating Expenses</v>
          </cell>
          <cell r="AC587" t="str">
            <v>[10200]  PECO Energy CompanyEBSC Transactional (Passthroughs)Gen Company Activities-PECO (21014 - Accounting &amp; Controls Center)</v>
          </cell>
          <cell r="AF587" t="e">
            <v>#N/A</v>
          </cell>
        </row>
        <row r="588">
          <cell r="E588">
            <v>39</v>
          </cell>
          <cell r="H588">
            <v>-39</v>
          </cell>
          <cell r="I588">
            <v>-39</v>
          </cell>
          <cell r="J588">
            <v>104644</v>
          </cell>
          <cell r="M588">
            <v>-104644</v>
          </cell>
          <cell r="N588">
            <v>-39</v>
          </cell>
          <cell r="O588">
            <v>104644</v>
          </cell>
          <cell r="R588">
            <v>-104644</v>
          </cell>
          <cell r="S588">
            <v>-39</v>
          </cell>
          <cell r="V588" t="str">
            <v>EBSC Transactional2</v>
          </cell>
          <cell r="W588" t="str">
            <v>Tools For People</v>
          </cell>
          <cell r="AA588" t="str">
            <v>[10200]  PECO Energy CompanyEBSC TransactionalTools For People</v>
          </cell>
          <cell r="AB588" t="str">
            <v>[10200]  PECO Energy CompanyEBSC Transactional (Tools For People)Business Services</v>
          </cell>
          <cell r="AC588" t="str">
            <v>[10200]  PECO Energy CompanyEBSC Transactional (Tools For People)Gen Company Activities-PECO (21015 - PECO Severance)</v>
          </cell>
          <cell r="AF588" t="e">
            <v>#N/A</v>
          </cell>
        </row>
        <row r="589">
          <cell r="E589">
            <v>423</v>
          </cell>
          <cell r="H589">
            <v>-423</v>
          </cell>
          <cell r="I589">
            <v>-423</v>
          </cell>
          <cell r="J589">
            <v>2067</v>
          </cell>
          <cell r="M589">
            <v>-2067</v>
          </cell>
          <cell r="N589">
            <v>-423</v>
          </cell>
          <cell r="O589">
            <v>2067</v>
          </cell>
          <cell r="R589">
            <v>-2067</v>
          </cell>
          <cell r="S589">
            <v>-423</v>
          </cell>
          <cell r="V589" t="str">
            <v>EBSC Transactional2</v>
          </cell>
          <cell r="W589" t="str">
            <v>Passthroughs</v>
          </cell>
          <cell r="AA589" t="str">
            <v>[10200]  PECO Energy CompanyEBSC TransactionalPassthroughs</v>
          </cell>
          <cell r="AB589" t="str">
            <v>[10200]  PECO Energy CompanyEBSC Transactional (Passthroughs)Other Operating Expenses</v>
          </cell>
          <cell r="AC589" t="str">
            <v>[10200]  PECO Energy CompanyEBSC Transactional (Passthroughs)Gen Company Activities-PECO (21015 - PECO Severance)</v>
          </cell>
          <cell r="AF589" t="e">
            <v>#N/A</v>
          </cell>
        </row>
        <row r="590">
          <cell r="E590">
            <v>0</v>
          </cell>
          <cell r="H590">
            <v>500</v>
          </cell>
          <cell r="I590">
            <v>500</v>
          </cell>
          <cell r="J590">
            <v>1014</v>
          </cell>
          <cell r="M590">
            <v>986</v>
          </cell>
          <cell r="N590">
            <v>500</v>
          </cell>
          <cell r="O590">
            <v>5014</v>
          </cell>
          <cell r="R590">
            <v>986</v>
          </cell>
          <cell r="S590">
            <v>500</v>
          </cell>
          <cell r="V590" t="str">
            <v>EBSC Transactional2</v>
          </cell>
          <cell r="W590" t="str">
            <v>Passthroughs</v>
          </cell>
          <cell r="AA590" t="str">
            <v>[10200]  PECO Energy CompanyEBSC TransactionalPassthroughs</v>
          </cell>
          <cell r="AB590" t="str">
            <v>[10200]  PECO Energy CompanyEBSC Transactional (Passthroughs)Contracting</v>
          </cell>
          <cell r="AC590" t="str">
            <v>[10200]  PECO Energy CompanyEBSC Transactional (Passthroughs)Office of the President-PECO (External &amp; Gov't Affairs PECO)</v>
          </cell>
          <cell r="AF590" t="e">
            <v>#N/A</v>
          </cell>
        </row>
        <row r="591">
          <cell r="E591">
            <v>19068</v>
          </cell>
          <cell r="H591">
            <v>-5621</v>
          </cell>
          <cell r="I591">
            <v>-5621</v>
          </cell>
          <cell r="J591">
            <v>60339</v>
          </cell>
          <cell r="M591">
            <v>-6549</v>
          </cell>
          <cell r="N591">
            <v>-5621</v>
          </cell>
          <cell r="O591">
            <v>167918</v>
          </cell>
          <cell r="R591">
            <v>-6549</v>
          </cell>
          <cell r="S591">
            <v>-5621</v>
          </cell>
          <cell r="V591" t="str">
            <v>EBSC Transactional2</v>
          </cell>
          <cell r="W591" t="str">
            <v>Tools For People</v>
          </cell>
          <cell r="AA591" t="str">
            <v>[10200]  PECO Energy CompanyEBSC TransactionalTools For People</v>
          </cell>
          <cell r="AB591" t="str">
            <v>[10200]  PECO Energy CompanyEBSC Transactional (Tools For People)Business Services</v>
          </cell>
          <cell r="AC591" t="str">
            <v>[10200]  PECO Energy CompanyEBSC Transactional (Tools For People)Office of the President-PECO (External &amp; Gov't Affairs PECO)</v>
          </cell>
          <cell r="AF591" t="e">
            <v>#N/A</v>
          </cell>
        </row>
        <row r="592">
          <cell r="E592">
            <v>5616</v>
          </cell>
          <cell r="H592">
            <v>650</v>
          </cell>
          <cell r="I592">
            <v>650</v>
          </cell>
          <cell r="J592">
            <v>22316</v>
          </cell>
          <cell r="M592">
            <v>2749</v>
          </cell>
          <cell r="N592">
            <v>650</v>
          </cell>
          <cell r="O592">
            <v>72448</v>
          </cell>
          <cell r="R592">
            <v>2749</v>
          </cell>
          <cell r="S592">
            <v>650</v>
          </cell>
          <cell r="V592" t="str">
            <v>EBSC Transactional2</v>
          </cell>
          <cell r="W592" t="str">
            <v>Passthroughs</v>
          </cell>
          <cell r="AA592" t="str">
            <v>[10200]  PECO Energy CompanyEBSC TransactionalPassthroughs</v>
          </cell>
          <cell r="AB592" t="str">
            <v>[10200]  PECO Energy CompanyEBSC Transactional (Passthroughs)Other Operating Expenses</v>
          </cell>
          <cell r="AC592" t="str">
            <v>[10200]  PECO Energy CompanyEBSC Transactional (Passthroughs)Office of the President-PECO (External &amp; Gov't Affairs PECO)</v>
          </cell>
          <cell r="AF592" t="e">
            <v>#N/A</v>
          </cell>
        </row>
        <row r="593">
          <cell r="E593">
            <v>3705</v>
          </cell>
          <cell r="H593">
            <v>11794</v>
          </cell>
          <cell r="I593">
            <v>13914</v>
          </cell>
          <cell r="J593">
            <v>15449</v>
          </cell>
          <cell r="M593">
            <v>46545</v>
          </cell>
          <cell r="N593">
            <v>13914</v>
          </cell>
          <cell r="O593">
            <v>161251</v>
          </cell>
          <cell r="R593">
            <v>24731</v>
          </cell>
          <cell r="S593">
            <v>13914</v>
          </cell>
          <cell r="V593" t="str">
            <v>EBSC Transactional2</v>
          </cell>
          <cell r="W593" t="str">
            <v>Tools For People</v>
          </cell>
          <cell r="AA593" t="str">
            <v>[10200]  PECO Energy CompanyEBSC TransactionalTools For People</v>
          </cell>
          <cell r="AB593" t="str">
            <v>[10200]  PECO Energy CompanyEBSC Transactional (Tools For People)Business Services</v>
          </cell>
          <cell r="AC593" t="str">
            <v>[10200]  PECO Energy CompanyEBSC Transactional (Tools For People)Office of the President-PECO (Office of President - PECO)</v>
          </cell>
          <cell r="AF593" t="e">
            <v>#N/A</v>
          </cell>
        </row>
        <row r="594">
          <cell r="E594">
            <v>1090</v>
          </cell>
          <cell r="H594">
            <v>-137</v>
          </cell>
          <cell r="I594">
            <v>-137</v>
          </cell>
          <cell r="J594">
            <v>4301</v>
          </cell>
          <cell r="M594">
            <v>-492</v>
          </cell>
          <cell r="N594">
            <v>-137</v>
          </cell>
          <cell r="O594">
            <v>14273</v>
          </cell>
          <cell r="R594">
            <v>-2844</v>
          </cell>
          <cell r="S594">
            <v>-137</v>
          </cell>
          <cell r="V594" t="str">
            <v>EBSC Transactional2</v>
          </cell>
          <cell r="W594" t="str">
            <v>Passthroughs</v>
          </cell>
          <cell r="AA594" t="str">
            <v>[10200]  PECO Energy CompanyEBSC TransactionalPassthroughs</v>
          </cell>
          <cell r="AB594" t="str">
            <v>[10200]  PECO Energy CompanyEBSC Transactional (Passthroughs)Other Operating Expenses</v>
          </cell>
          <cell r="AC594" t="str">
            <v>[10200]  PECO Energy CompanyEBSC Transactional (Passthroughs)Office of the President-PECO (Office of President - PECO)</v>
          </cell>
          <cell r="AF594" t="e">
            <v>#N/A</v>
          </cell>
        </row>
        <row r="595">
          <cell r="E595">
            <v>8504</v>
          </cell>
          <cell r="H595">
            <v>-7354</v>
          </cell>
          <cell r="I595">
            <v>-7354</v>
          </cell>
          <cell r="J595">
            <v>35601</v>
          </cell>
          <cell r="M595">
            <v>-31001</v>
          </cell>
          <cell r="N595">
            <v>-7354</v>
          </cell>
          <cell r="O595">
            <v>44801</v>
          </cell>
          <cell r="R595">
            <v>-31001</v>
          </cell>
          <cell r="S595">
            <v>-7354</v>
          </cell>
          <cell r="V595" t="str">
            <v>EBSC Transactional2</v>
          </cell>
          <cell r="W595" t="str">
            <v>Tools For People</v>
          </cell>
          <cell r="AA595" t="str">
            <v>[10200]  PECO Energy CompanyEBSC TransactionalTools For People</v>
          </cell>
          <cell r="AB595" t="str">
            <v>[10200]  PECO Energy CompanyEBSC Transactional (Tools For People)Business Services</v>
          </cell>
          <cell r="AC595" t="str">
            <v>[10200]  PECO Energy CompanyEBSC Transactional (Tools For People)Office of the President-PECO (PECO Energy Acquisition)</v>
          </cell>
          <cell r="AF595" t="e">
            <v>#N/A</v>
          </cell>
        </row>
        <row r="596">
          <cell r="E596">
            <v>1368</v>
          </cell>
          <cell r="H596">
            <v>-1198</v>
          </cell>
          <cell r="I596">
            <v>-1198</v>
          </cell>
          <cell r="J596">
            <v>2583</v>
          </cell>
          <cell r="M596">
            <v>-1903</v>
          </cell>
          <cell r="N596">
            <v>-1198</v>
          </cell>
          <cell r="O596">
            <v>3943</v>
          </cell>
          <cell r="R596">
            <v>-1903</v>
          </cell>
          <cell r="S596">
            <v>-1198</v>
          </cell>
          <cell r="V596" t="str">
            <v>EBSC Transactional2</v>
          </cell>
          <cell r="W596" t="str">
            <v>Passthroughs</v>
          </cell>
          <cell r="AA596" t="str">
            <v>[10200]  PECO Energy CompanyEBSC TransactionalPassthroughs</v>
          </cell>
          <cell r="AB596" t="str">
            <v>[10200]  PECO Energy CompanyEBSC Transactional (Passthroughs)Other Operating Expenses</v>
          </cell>
          <cell r="AC596" t="str">
            <v>[10200]  PECO Energy CompanyEBSC Transactional (Passthroughs)Office of the President-PECO (PECO Energy Acquisition)</v>
          </cell>
          <cell r="AF596" t="e">
            <v>#N/A</v>
          </cell>
        </row>
        <row r="597">
          <cell r="E597">
            <v>13280</v>
          </cell>
          <cell r="H597">
            <v>-5697</v>
          </cell>
          <cell r="I597">
            <v>-5697</v>
          </cell>
          <cell r="J597">
            <v>50093</v>
          </cell>
          <cell r="M597">
            <v>3990</v>
          </cell>
          <cell r="N597">
            <v>-5697</v>
          </cell>
          <cell r="O597">
            <v>182010</v>
          </cell>
          <cell r="R597">
            <v>3990</v>
          </cell>
          <cell r="S597">
            <v>-5697</v>
          </cell>
          <cell r="V597" t="str">
            <v>EBSC Transactional2</v>
          </cell>
          <cell r="W597" t="str">
            <v>Tools For People</v>
          </cell>
          <cell r="AA597" t="str">
            <v>[10200]  PECO Energy CompanyEBSC TransactionalTools For People</v>
          </cell>
          <cell r="AB597" t="str">
            <v>[10200]  PECO Energy CompanyEBSC Transactional (Tools For People)Business Services</v>
          </cell>
          <cell r="AC597" t="str">
            <v>[10200]  PECO Energy CompanyEBSC Transactional (Tools For People)Office of the President-PECO (PED Claims)</v>
          </cell>
          <cell r="AF597" t="e">
            <v>#N/A</v>
          </cell>
        </row>
        <row r="598">
          <cell r="E598">
            <v>1304</v>
          </cell>
          <cell r="H598">
            <v>-1304</v>
          </cell>
          <cell r="I598">
            <v>-1304</v>
          </cell>
          <cell r="J598">
            <v>4452</v>
          </cell>
          <cell r="M598">
            <v>-4452</v>
          </cell>
          <cell r="N598">
            <v>-1304</v>
          </cell>
          <cell r="O598">
            <v>4452</v>
          </cell>
          <cell r="R598">
            <v>-4452</v>
          </cell>
          <cell r="S598">
            <v>-1304</v>
          </cell>
          <cell r="V598" t="str">
            <v>EBSC Transactional2</v>
          </cell>
          <cell r="W598" t="str">
            <v>Passthroughs</v>
          </cell>
          <cell r="AA598" t="str">
            <v>[10200]  PECO Energy CompanyEBSC TransactionalPassthroughs</v>
          </cell>
          <cell r="AB598" t="str">
            <v>[10200]  PECO Energy CompanyEBSC Transactional (Passthroughs)Other Operating Expenses</v>
          </cell>
          <cell r="AC598" t="str">
            <v>[10200]  PECO Energy CompanyEBSC Transactional (Passthroughs)Office of the President-PECO (PED Claims)</v>
          </cell>
          <cell r="AF598" t="e">
            <v>#N/A</v>
          </cell>
        </row>
        <row r="599">
          <cell r="E599">
            <v>16128</v>
          </cell>
          <cell r="H599">
            <v>1213</v>
          </cell>
          <cell r="I599">
            <v>1213</v>
          </cell>
          <cell r="J599">
            <v>65312</v>
          </cell>
          <cell r="M599">
            <v>4055</v>
          </cell>
          <cell r="N599">
            <v>1213</v>
          </cell>
          <cell r="O599">
            <v>204045</v>
          </cell>
          <cell r="R599">
            <v>4055</v>
          </cell>
          <cell r="S599">
            <v>1213</v>
          </cell>
          <cell r="V599" t="str">
            <v>EBSC Transactional2</v>
          </cell>
          <cell r="W599" t="str">
            <v>Tools For People</v>
          </cell>
          <cell r="AA599" t="str">
            <v>[10200]  PECO Energy CompanyEBSC TransactionalTools For People</v>
          </cell>
          <cell r="AB599" t="str">
            <v>[10200]  PECO Energy CompanyEBSC Transactional (Tools For People)Business Services</v>
          </cell>
          <cell r="AC599" t="str">
            <v>[10200]  PECO Energy CompanyEBSC Transactional (Tools For People)Office of the President-PECO (PED Real Estate &amp; Facilities)</v>
          </cell>
          <cell r="AF599" t="e">
            <v>#N/A</v>
          </cell>
        </row>
        <row r="600">
          <cell r="E600">
            <v>4756</v>
          </cell>
          <cell r="H600">
            <v>7110</v>
          </cell>
          <cell r="I600">
            <v>7110</v>
          </cell>
          <cell r="J600">
            <v>25334</v>
          </cell>
          <cell r="M600">
            <v>22133</v>
          </cell>
          <cell r="N600">
            <v>7110</v>
          </cell>
          <cell r="O600">
            <v>120267</v>
          </cell>
          <cell r="R600">
            <v>22133</v>
          </cell>
          <cell r="S600">
            <v>7110</v>
          </cell>
          <cell r="V600" t="str">
            <v>EBSC Transactional2</v>
          </cell>
          <cell r="W600" t="str">
            <v>Passthroughs</v>
          </cell>
          <cell r="AA600" t="str">
            <v>[10200]  PECO Energy CompanyEBSC TransactionalPassthroughs</v>
          </cell>
          <cell r="AB600" t="str">
            <v>[10200]  PECO Energy CompanyEBSC Transactional (Passthroughs)Other Operating Expenses</v>
          </cell>
          <cell r="AC600" t="str">
            <v>[10200]  PECO Energy CompanyEBSC Transactional (Passthroughs)Office of the President-PECO (PED Real Estate &amp; Facilities)</v>
          </cell>
          <cell r="AF600" t="e">
            <v>#N/A</v>
          </cell>
        </row>
        <row r="601">
          <cell r="E601">
            <v>13218</v>
          </cell>
          <cell r="H601">
            <v>-7914</v>
          </cell>
          <cell r="I601">
            <v>2086</v>
          </cell>
          <cell r="J601">
            <v>47592</v>
          </cell>
          <cell r="M601">
            <v>-26376</v>
          </cell>
          <cell r="N601">
            <v>2086</v>
          </cell>
          <cell r="O601">
            <v>85024</v>
          </cell>
          <cell r="R601">
            <v>-21376</v>
          </cell>
          <cell r="S601">
            <v>27086</v>
          </cell>
          <cell r="V601" t="str">
            <v>EBSC Transactional2</v>
          </cell>
          <cell r="W601" t="str">
            <v>Tools For People</v>
          </cell>
          <cell r="AA601" t="str">
            <v>[10200]  PECO Energy CompanyEBSC TransactionalTools For People</v>
          </cell>
          <cell r="AB601" t="str">
            <v>[10200]  PECO Energy CompanyEBSC Transactional (Tools For People)Business Services</v>
          </cell>
          <cell r="AC601" t="str">
            <v>[10200]  PECO Energy CompanyEBSC Transactional (Tools For People)Office of the President-PECO (VP-Gas)</v>
          </cell>
          <cell r="AF601" t="e">
            <v>#N/A</v>
          </cell>
        </row>
        <row r="602">
          <cell r="E602">
            <v>5200</v>
          </cell>
          <cell r="H602">
            <v>3169</v>
          </cell>
          <cell r="I602">
            <v>3169</v>
          </cell>
          <cell r="J602">
            <v>20197</v>
          </cell>
          <cell r="M602">
            <v>13279</v>
          </cell>
          <cell r="N602">
            <v>3169</v>
          </cell>
          <cell r="O602">
            <v>87149</v>
          </cell>
          <cell r="R602">
            <v>13279</v>
          </cell>
          <cell r="S602">
            <v>3169</v>
          </cell>
          <cell r="V602" t="str">
            <v>EBSC Transactional2</v>
          </cell>
          <cell r="W602" t="str">
            <v>Passthroughs</v>
          </cell>
          <cell r="AA602" t="str">
            <v>[10200]  PECO Energy CompanyEBSC TransactionalPassthroughs</v>
          </cell>
          <cell r="AB602" t="str">
            <v>[10200]  PECO Energy CompanyEBSC Transactional (Passthroughs)Other Operating Expenses</v>
          </cell>
          <cell r="AC602" t="str">
            <v>[10200]  PECO Energy CompanyEBSC Transactional (Passthroughs)Office of the President-PECO (VP-Gas)</v>
          </cell>
          <cell r="AF602" t="e">
            <v>#N/A</v>
          </cell>
        </row>
        <row r="603">
          <cell r="E603">
            <v>41029</v>
          </cell>
          <cell r="H603">
            <v>-822</v>
          </cell>
          <cell r="I603">
            <v>-822</v>
          </cell>
          <cell r="J603">
            <v>149213</v>
          </cell>
          <cell r="M603">
            <v>12870</v>
          </cell>
          <cell r="N603">
            <v>-822</v>
          </cell>
          <cell r="O603">
            <v>485927</v>
          </cell>
          <cell r="R603">
            <v>12870</v>
          </cell>
          <cell r="S603">
            <v>-822</v>
          </cell>
          <cell r="V603" t="str">
            <v>EBSC Transactional2</v>
          </cell>
          <cell r="W603" t="str">
            <v>Tools For People</v>
          </cell>
          <cell r="AA603" t="str">
            <v>[10200]  PECO Energy CompanyEBSC TransactionalTools For People</v>
          </cell>
          <cell r="AB603" t="str">
            <v>[10200]  PECO Energy CompanyEBSC Transactional (Tools For People)Business Services</v>
          </cell>
          <cell r="AC603" t="str">
            <v>[10200]  PECO Energy CompanyEBSC Transactional (Tools For People)Operations - PECO (Construction&amp;Maintenance-PECO)</v>
          </cell>
          <cell r="AF603" t="e">
            <v>#N/A</v>
          </cell>
        </row>
        <row r="604">
          <cell r="E604">
            <v>24005</v>
          </cell>
          <cell r="H604">
            <v>-24005</v>
          </cell>
          <cell r="I604">
            <v>-24005</v>
          </cell>
          <cell r="J604">
            <v>102131</v>
          </cell>
          <cell r="M604">
            <v>-102131</v>
          </cell>
          <cell r="N604">
            <v>-24005</v>
          </cell>
          <cell r="O604">
            <v>102131</v>
          </cell>
          <cell r="R604">
            <v>-102131</v>
          </cell>
          <cell r="S604">
            <v>-24005</v>
          </cell>
          <cell r="V604" t="str">
            <v>EBSC Transactional2</v>
          </cell>
          <cell r="W604" t="str">
            <v>Passthroughs</v>
          </cell>
          <cell r="AA604" t="str">
            <v>[10200]  PECO Energy CompanyEBSC TransactionalPassthroughs</v>
          </cell>
          <cell r="AB604" t="str">
            <v>[10200]  PECO Energy CompanyEBSC Transactional (Passthroughs)Other Operating Expenses</v>
          </cell>
          <cell r="AC604" t="str">
            <v>[10200]  PECO Energy CompanyEBSC Transactional (Passthroughs)Operations - PECO (Construction&amp;Maintenance-PECO)</v>
          </cell>
          <cell r="AF604" t="e">
            <v>#N/A</v>
          </cell>
        </row>
        <row r="605">
          <cell r="E605">
            <v>30997</v>
          </cell>
          <cell r="H605">
            <v>10553</v>
          </cell>
          <cell r="I605">
            <v>10553</v>
          </cell>
          <cell r="J605">
            <v>127160</v>
          </cell>
          <cell r="M605">
            <v>40718</v>
          </cell>
          <cell r="N605">
            <v>10553</v>
          </cell>
          <cell r="O605">
            <v>459481</v>
          </cell>
          <cell r="R605">
            <v>40718</v>
          </cell>
          <cell r="S605">
            <v>10553</v>
          </cell>
          <cell r="V605" t="str">
            <v>EBSC Transactional2</v>
          </cell>
          <cell r="W605" t="str">
            <v>Tools For People</v>
          </cell>
          <cell r="AA605" t="str">
            <v>[10200]  PECO Energy CompanyEBSC TransactionalTools For People</v>
          </cell>
          <cell r="AB605" t="str">
            <v>[10200]  PECO Energy CompanyEBSC Transactional (Tools For People)Business Services</v>
          </cell>
          <cell r="AC605" t="str">
            <v>[10200]  PECO Energy CompanyEBSC Transactional (Tools For People)Operations - PECO (Dispatch &amp; Operations - PECO)</v>
          </cell>
          <cell r="AF605" t="e">
            <v>#N/A</v>
          </cell>
        </row>
        <row r="606">
          <cell r="E606">
            <v>15172</v>
          </cell>
          <cell r="H606">
            <v>-15172</v>
          </cell>
          <cell r="I606">
            <v>-15172</v>
          </cell>
          <cell r="J606">
            <v>79520</v>
          </cell>
          <cell r="M606">
            <v>-79520</v>
          </cell>
          <cell r="N606">
            <v>-15172</v>
          </cell>
          <cell r="O606">
            <v>79520</v>
          </cell>
          <cell r="R606">
            <v>-79520</v>
          </cell>
          <cell r="S606">
            <v>-15172</v>
          </cell>
          <cell r="V606" t="str">
            <v>EBSC Transactional2</v>
          </cell>
          <cell r="W606" t="str">
            <v>Passthroughs</v>
          </cell>
          <cell r="AA606" t="str">
            <v>[10200]  PECO Energy CompanyEBSC TransactionalPassthroughs</v>
          </cell>
          <cell r="AB606" t="str">
            <v>[10200]  PECO Energy CompanyEBSC Transactional (Passthroughs)Other Operating Expenses</v>
          </cell>
          <cell r="AC606" t="str">
            <v>[10200]  PECO Energy CompanyEBSC Transactional (Passthroughs)Operations - PECO (Dispatch &amp; Operations - PECO)</v>
          </cell>
          <cell r="AF606" t="e">
            <v>#N/A</v>
          </cell>
        </row>
        <row r="607">
          <cell r="E607">
            <v>4284</v>
          </cell>
          <cell r="H607">
            <v>349</v>
          </cell>
          <cell r="I607">
            <v>349</v>
          </cell>
          <cell r="J607">
            <v>17319</v>
          </cell>
          <cell r="M607">
            <v>1213</v>
          </cell>
          <cell r="N607">
            <v>349</v>
          </cell>
          <cell r="O607">
            <v>54387</v>
          </cell>
          <cell r="R607">
            <v>1213</v>
          </cell>
          <cell r="S607">
            <v>349</v>
          </cell>
          <cell r="V607" t="str">
            <v>EBSC Transactional2</v>
          </cell>
          <cell r="W607" t="str">
            <v>Tools For People</v>
          </cell>
          <cell r="AA607" t="str">
            <v>[10200]  PECO Energy CompanyEBSC TransactionalTools For People</v>
          </cell>
          <cell r="AB607" t="str">
            <v>[10200]  PECO Energy CompanyEBSC Transactional (Tools For People)Business Services</v>
          </cell>
          <cell r="AC607" t="str">
            <v>[10200]  PECO Energy CompanyEBSC Transactional (Tools For People)Operations - PECO (Envir Sfty&amp;Indust Hygiene-PECO)</v>
          </cell>
          <cell r="AF607" t="e">
            <v>#N/A</v>
          </cell>
        </row>
        <row r="608">
          <cell r="E608">
            <v>694</v>
          </cell>
          <cell r="H608">
            <v>-694</v>
          </cell>
          <cell r="I608">
            <v>-694</v>
          </cell>
          <cell r="J608">
            <v>6612</v>
          </cell>
          <cell r="M608">
            <v>-6612</v>
          </cell>
          <cell r="N608">
            <v>-694</v>
          </cell>
          <cell r="O608">
            <v>6612</v>
          </cell>
          <cell r="R608">
            <v>-6612</v>
          </cell>
          <cell r="S608">
            <v>-694</v>
          </cell>
          <cell r="V608" t="str">
            <v>EBSC Transactional2</v>
          </cell>
          <cell r="W608" t="str">
            <v>Passthroughs</v>
          </cell>
          <cell r="AA608" t="str">
            <v>[10200]  PECO Energy CompanyEBSC TransactionalPassthroughs</v>
          </cell>
          <cell r="AB608" t="str">
            <v>[10200]  PECO Energy CompanyEBSC Transactional (Passthroughs)Other Operating Expenses</v>
          </cell>
          <cell r="AC608" t="str">
            <v>[10200]  PECO Energy CompanyEBSC Transactional (Passthroughs)Operations - PECO (Envir Sfty&amp;Indust Hygiene-PECO)</v>
          </cell>
          <cell r="AF608" t="e">
            <v>#N/A</v>
          </cell>
        </row>
        <row r="609">
          <cell r="E609">
            <v>1691</v>
          </cell>
          <cell r="H609">
            <v>-562</v>
          </cell>
          <cell r="I609">
            <v>-562</v>
          </cell>
          <cell r="J609">
            <v>7219</v>
          </cell>
          <cell r="M609">
            <v>-2704</v>
          </cell>
          <cell r="N609">
            <v>-562</v>
          </cell>
          <cell r="O609">
            <v>16249</v>
          </cell>
          <cell r="R609">
            <v>-2704</v>
          </cell>
          <cell r="S609">
            <v>-562</v>
          </cell>
          <cell r="V609" t="str">
            <v>EBSC Transactional2</v>
          </cell>
          <cell r="W609" t="str">
            <v>Tools For People</v>
          </cell>
          <cell r="AA609" t="str">
            <v>[10200]  PECO Energy CompanyEBSC TransactionalTools For People</v>
          </cell>
          <cell r="AB609" t="str">
            <v>[10200]  PECO Energy CompanyEBSC Transactional (Tools For People)Business Services</v>
          </cell>
          <cell r="AC609" t="str">
            <v>[10200]  PECO Energy CompanyEBSC Transactional (Tools For People)Operations - PECO (Performance Improvement - East)</v>
          </cell>
          <cell r="AF609" t="e">
            <v>#N/A</v>
          </cell>
        </row>
        <row r="610">
          <cell r="E610">
            <v>458</v>
          </cell>
          <cell r="H610">
            <v>-458</v>
          </cell>
          <cell r="I610">
            <v>-458</v>
          </cell>
          <cell r="J610">
            <v>2036</v>
          </cell>
          <cell r="M610">
            <v>-2036</v>
          </cell>
          <cell r="N610">
            <v>-458</v>
          </cell>
          <cell r="O610">
            <v>2036</v>
          </cell>
          <cell r="R610">
            <v>-2036</v>
          </cell>
          <cell r="S610">
            <v>-458</v>
          </cell>
          <cell r="V610" t="str">
            <v>EBSC Transactional2</v>
          </cell>
          <cell r="W610" t="str">
            <v>Passthroughs</v>
          </cell>
          <cell r="AA610" t="str">
            <v>[10200]  PECO Energy CompanyEBSC TransactionalPassthroughs</v>
          </cell>
          <cell r="AB610" t="str">
            <v>[10200]  PECO Energy CompanyEBSC Transactional (Passthroughs)Other Operating Expenses</v>
          </cell>
          <cell r="AC610" t="str">
            <v>[10200]  PECO Energy CompanyEBSC Transactional (Passthroughs)Operations - PECO (Performance Improvement - East)</v>
          </cell>
          <cell r="AF610" t="e">
            <v>#N/A</v>
          </cell>
        </row>
        <row r="611">
          <cell r="E611">
            <v>8201</v>
          </cell>
          <cell r="H611">
            <v>-5655</v>
          </cell>
          <cell r="I611">
            <v>-5655</v>
          </cell>
          <cell r="J611">
            <v>34266</v>
          </cell>
          <cell r="M611">
            <v>-16580</v>
          </cell>
          <cell r="N611">
            <v>-5655</v>
          </cell>
          <cell r="O611">
            <v>54629</v>
          </cell>
          <cell r="R611">
            <v>-16580</v>
          </cell>
          <cell r="S611">
            <v>-5655</v>
          </cell>
          <cell r="V611" t="str">
            <v>EBSC Transactional2</v>
          </cell>
          <cell r="W611" t="str">
            <v>Tools For People</v>
          </cell>
          <cell r="AA611" t="str">
            <v>[10200]  PECO Energy CompanyEBSC TransactionalTools For People</v>
          </cell>
          <cell r="AB611" t="str">
            <v>[10200]  PECO Energy CompanyEBSC Transactional (Tools For People)Business Services</v>
          </cell>
          <cell r="AC611" t="str">
            <v>[10200]  PECO Energy CompanyEBSC Transactional (Tools For People)Operations - PECO (Training East)</v>
          </cell>
          <cell r="AF611" t="e">
            <v>#N/A</v>
          </cell>
        </row>
        <row r="612">
          <cell r="E612">
            <v>2142</v>
          </cell>
          <cell r="H612">
            <v>-1426</v>
          </cell>
          <cell r="I612">
            <v>-1426</v>
          </cell>
          <cell r="J612">
            <v>7400</v>
          </cell>
          <cell r="M612">
            <v>-3926</v>
          </cell>
          <cell r="N612">
            <v>-1426</v>
          </cell>
          <cell r="O612">
            <v>13128</v>
          </cell>
          <cell r="R612">
            <v>-3926</v>
          </cell>
          <cell r="S612">
            <v>-1426</v>
          </cell>
          <cell r="V612" t="str">
            <v>EBSC Transactional2</v>
          </cell>
          <cell r="W612" t="str">
            <v>Passthroughs</v>
          </cell>
          <cell r="AA612" t="str">
            <v>[10200]  PECO Energy CompanyEBSC TransactionalPassthroughs</v>
          </cell>
          <cell r="AB612" t="str">
            <v>[10200]  PECO Energy CompanyEBSC Transactional (Passthroughs)Other Operating Expenses</v>
          </cell>
          <cell r="AC612" t="str">
            <v>[10200]  PECO Energy CompanyEBSC Transactional (Passthroughs)Operations - PECO (Training East)</v>
          </cell>
          <cell r="AF612" t="e">
            <v>#N/A</v>
          </cell>
        </row>
        <row r="613">
          <cell r="E613">
            <v>19858</v>
          </cell>
          <cell r="H613">
            <v>-63</v>
          </cell>
          <cell r="I613">
            <v>-63</v>
          </cell>
          <cell r="J613">
            <v>148495</v>
          </cell>
          <cell r="M613">
            <v>-75143</v>
          </cell>
          <cell r="N613">
            <v>-63</v>
          </cell>
          <cell r="O613">
            <v>343940</v>
          </cell>
          <cell r="R613">
            <v>-75061</v>
          </cell>
          <cell r="S613">
            <v>18</v>
          </cell>
          <cell r="V613" t="str">
            <v>EBSC Transactional2</v>
          </cell>
          <cell r="W613" t="str">
            <v>Tools For People</v>
          </cell>
          <cell r="AA613" t="str">
            <v>[10200]  PECO Energy CompanyEBSC TransactionalTools For People</v>
          </cell>
          <cell r="AB613" t="str">
            <v>[10200]  PECO Energy CompanyEBSC Transactional (Tools For People)Business Services</v>
          </cell>
          <cell r="AC613" t="str">
            <v>[10200]  PECO Energy CompanyEBSC Transactional (Tools For People)Operations - PECO (Transmission &amp; Substation PECO)</v>
          </cell>
          <cell r="AF613" t="e">
            <v>#N/A</v>
          </cell>
        </row>
        <row r="614">
          <cell r="E614">
            <v>4743</v>
          </cell>
          <cell r="H614">
            <v>-4743</v>
          </cell>
          <cell r="I614">
            <v>-4743</v>
          </cell>
          <cell r="J614">
            <v>34294</v>
          </cell>
          <cell r="M614">
            <v>-34294</v>
          </cell>
          <cell r="N614">
            <v>-4743</v>
          </cell>
          <cell r="O614">
            <v>34294</v>
          </cell>
          <cell r="R614">
            <v>-34294</v>
          </cell>
          <cell r="S614">
            <v>-4743</v>
          </cell>
          <cell r="V614" t="str">
            <v>EBSC Transactional2</v>
          </cell>
          <cell r="W614" t="str">
            <v>Passthroughs</v>
          </cell>
          <cell r="AA614" t="str">
            <v>[10200]  PECO Energy CompanyEBSC TransactionalPassthroughs</v>
          </cell>
          <cell r="AB614" t="str">
            <v>[10200]  PECO Energy CompanyEBSC Transactional (Passthroughs)Other Operating Expenses</v>
          </cell>
          <cell r="AC614" t="str">
            <v>[10200]  PECO Energy CompanyEBSC Transactional (Passthroughs)Operations - PECO (Transmission &amp; Substation PECO)</v>
          </cell>
          <cell r="AF614" t="e">
            <v>#N/A</v>
          </cell>
        </row>
        <row r="615">
          <cell r="E615">
            <v>10336</v>
          </cell>
          <cell r="H615">
            <v>2580</v>
          </cell>
          <cell r="I615">
            <v>279</v>
          </cell>
          <cell r="J615">
            <v>44990</v>
          </cell>
          <cell r="M615">
            <v>6673</v>
          </cell>
          <cell r="N615">
            <v>279</v>
          </cell>
          <cell r="O615">
            <v>132213</v>
          </cell>
          <cell r="R615">
            <v>22776</v>
          </cell>
          <cell r="S615">
            <v>279</v>
          </cell>
          <cell r="V615" t="str">
            <v>EBSC Transactional2</v>
          </cell>
          <cell r="W615" t="str">
            <v>Tools For People</v>
          </cell>
          <cell r="AA615" t="str">
            <v>[10200]  PECO Energy CompanyEBSC TransactionalTools For People</v>
          </cell>
          <cell r="AB615" t="str">
            <v>[10200]  PECO Energy CompanyEBSC Transactional (Tools For People)Business Services</v>
          </cell>
          <cell r="AC615" t="str">
            <v>[10200]  PECO Energy CompanyEBSC Transactional (Tools For People)Operations - PECO (Work Management - PECO)</v>
          </cell>
          <cell r="AF615" t="e">
            <v>#N/A</v>
          </cell>
        </row>
        <row r="616">
          <cell r="E616">
            <v>5700</v>
          </cell>
          <cell r="H616">
            <v>-5700</v>
          </cell>
          <cell r="I616">
            <v>-5700</v>
          </cell>
          <cell r="J616">
            <v>19006</v>
          </cell>
          <cell r="M616">
            <v>-19006</v>
          </cell>
          <cell r="N616">
            <v>-5700</v>
          </cell>
          <cell r="O616">
            <v>19006</v>
          </cell>
          <cell r="R616">
            <v>-19006</v>
          </cell>
          <cell r="S616">
            <v>-5700</v>
          </cell>
          <cell r="V616" t="str">
            <v>EBSC Transactional2</v>
          </cell>
          <cell r="W616" t="str">
            <v>Passthroughs</v>
          </cell>
          <cell r="AA616" t="str">
            <v>[10200]  PECO Energy CompanyEBSC TransactionalPassthroughs</v>
          </cell>
          <cell r="AB616" t="str">
            <v>[10200]  PECO Energy CompanyEBSC Transactional (Passthroughs)Other Operating Expenses</v>
          </cell>
          <cell r="AC616" t="str">
            <v>[10200]  PECO Energy CompanyEBSC Transactional (Passthroughs)Operations - PECO (Work Management - PECO)</v>
          </cell>
          <cell r="AF616" t="e">
            <v>#N/A</v>
          </cell>
        </row>
        <row r="617">
          <cell r="E617">
            <v>982</v>
          </cell>
          <cell r="H617">
            <v>179</v>
          </cell>
          <cell r="I617">
            <v>179</v>
          </cell>
          <cell r="J617">
            <v>3054</v>
          </cell>
          <cell r="M617">
            <v>1590</v>
          </cell>
          <cell r="N617">
            <v>179</v>
          </cell>
          <cell r="O617">
            <v>12343</v>
          </cell>
          <cell r="R617">
            <v>1590</v>
          </cell>
          <cell r="S617">
            <v>179</v>
          </cell>
          <cell r="V617" t="str">
            <v>EBSC Transactional2</v>
          </cell>
          <cell r="W617" t="str">
            <v>Tools For People</v>
          </cell>
          <cell r="AA617" t="str">
            <v>[10200]  PECO Energy CompanyEBSC TransactionalTools For People</v>
          </cell>
          <cell r="AB617" t="str">
            <v>[10200]  PECO Energy CompanyEBSC Transactional (Tools For People)Business Services</v>
          </cell>
          <cell r="AC617" t="str">
            <v>[10200]  PECO Energy CompanyEBSC Transactional (Tools For People)Technical Services (Asset Invest Strategy&amp;Dev-PED)</v>
          </cell>
          <cell r="AF617" t="e">
            <v>#N/A</v>
          </cell>
        </row>
        <row r="618">
          <cell r="E618">
            <v>136</v>
          </cell>
          <cell r="H618">
            <v>-136</v>
          </cell>
          <cell r="I618">
            <v>-136</v>
          </cell>
          <cell r="J618">
            <v>496</v>
          </cell>
          <cell r="M618">
            <v>-496</v>
          </cell>
          <cell r="N618">
            <v>-136</v>
          </cell>
          <cell r="O618">
            <v>496</v>
          </cell>
          <cell r="R618">
            <v>-496</v>
          </cell>
          <cell r="S618">
            <v>-136</v>
          </cell>
          <cell r="V618" t="str">
            <v>EBSC Transactional2</v>
          </cell>
          <cell r="W618" t="str">
            <v>Passthroughs</v>
          </cell>
          <cell r="AA618" t="str">
            <v>[10200]  PECO Energy CompanyEBSC TransactionalPassthroughs</v>
          </cell>
          <cell r="AB618" t="str">
            <v>[10200]  PECO Energy CompanyEBSC Transactional (Passthroughs)Other Operating Expenses</v>
          </cell>
          <cell r="AC618" t="str">
            <v>[10200]  PECO Energy CompanyEBSC Transactional (Passthroughs)Technical Services (Asset Invest Strategy&amp;Dev-PED)</v>
          </cell>
          <cell r="AF618" t="e">
            <v>#N/A</v>
          </cell>
        </row>
        <row r="619">
          <cell r="E619">
            <v>10763</v>
          </cell>
          <cell r="H619">
            <v>-3496</v>
          </cell>
          <cell r="I619">
            <v>-3496</v>
          </cell>
          <cell r="J619">
            <v>38628</v>
          </cell>
          <cell r="M619">
            <v>-9560</v>
          </cell>
          <cell r="N619">
            <v>-3496</v>
          </cell>
          <cell r="O619">
            <v>96765</v>
          </cell>
          <cell r="R619">
            <v>-9560</v>
          </cell>
          <cell r="S619">
            <v>-3496</v>
          </cell>
          <cell r="V619" t="str">
            <v>EBSC Transactional2</v>
          </cell>
          <cell r="W619" t="str">
            <v>Tools For People</v>
          </cell>
          <cell r="AA619" t="str">
            <v>[10200]  PECO Energy CompanyEBSC TransactionalTools For People</v>
          </cell>
          <cell r="AB619" t="str">
            <v>[10200]  PECO Energy CompanyEBSC Transactional (Tools For People)Business Services</v>
          </cell>
          <cell r="AC619" t="str">
            <v>[10200]  PECO Energy CompanyEBSC Transactional (Tools For People)Technical Services (Engineering &amp; System Perf-PED)</v>
          </cell>
          <cell r="AF619" t="e">
            <v>#N/A</v>
          </cell>
        </row>
        <row r="620">
          <cell r="E620">
            <v>1877</v>
          </cell>
          <cell r="H620">
            <v>-1877</v>
          </cell>
          <cell r="I620">
            <v>-1877</v>
          </cell>
          <cell r="J620">
            <v>5684</v>
          </cell>
          <cell r="M620">
            <v>-5684</v>
          </cell>
          <cell r="N620">
            <v>-1877</v>
          </cell>
          <cell r="O620">
            <v>5684</v>
          </cell>
          <cell r="R620">
            <v>-5684</v>
          </cell>
          <cell r="S620">
            <v>-1877</v>
          </cell>
          <cell r="V620" t="str">
            <v>EBSC Transactional2</v>
          </cell>
          <cell r="W620" t="str">
            <v>Passthroughs</v>
          </cell>
          <cell r="AA620" t="str">
            <v>[10200]  PECO Energy CompanyEBSC TransactionalPassthroughs</v>
          </cell>
          <cell r="AB620" t="str">
            <v>[10200]  PECO Energy CompanyEBSC Transactional (Passthroughs)Other Operating Expenses</v>
          </cell>
          <cell r="AC620" t="str">
            <v>[10200]  PECO Energy CompanyEBSC Transactional (Passthroughs)Technical Services (Engineering &amp; System Perf-PED)</v>
          </cell>
          <cell r="AF620" t="e">
            <v>#N/A</v>
          </cell>
        </row>
        <row r="621">
          <cell r="E621">
            <v>30692</v>
          </cell>
          <cell r="H621">
            <v>-26788</v>
          </cell>
          <cell r="I621">
            <v>-26788</v>
          </cell>
          <cell r="J621">
            <v>109561</v>
          </cell>
          <cell r="M621">
            <v>-93942</v>
          </cell>
          <cell r="N621">
            <v>-26788</v>
          </cell>
          <cell r="O621">
            <v>140798</v>
          </cell>
          <cell r="R621">
            <v>-93942</v>
          </cell>
          <cell r="S621">
            <v>-26788</v>
          </cell>
          <cell r="V621" t="str">
            <v>EBSC Transactional2</v>
          </cell>
          <cell r="W621" t="str">
            <v>Tools For People</v>
          </cell>
          <cell r="AA621" t="str">
            <v>[10200]  PECO Energy CompanyEBSC TransactionalTools For People</v>
          </cell>
          <cell r="AB621" t="str">
            <v>[10200]  PECO Energy CompanyEBSC Transactional (Tools For People)Business Services</v>
          </cell>
          <cell r="AC621" t="str">
            <v>[10200]  PECO Energy CompanyEBSC Transactional (Tools For People)Technical Services (New Business - PED)</v>
          </cell>
          <cell r="AF621" t="e">
            <v>#N/A</v>
          </cell>
        </row>
        <row r="622">
          <cell r="E622">
            <v>2237</v>
          </cell>
          <cell r="H622">
            <v>-2237</v>
          </cell>
          <cell r="I622">
            <v>-2237</v>
          </cell>
          <cell r="J622">
            <v>4714</v>
          </cell>
          <cell r="M622">
            <v>-4714</v>
          </cell>
          <cell r="N622">
            <v>-2237</v>
          </cell>
          <cell r="O622">
            <v>4714</v>
          </cell>
          <cell r="R622">
            <v>-4714</v>
          </cell>
          <cell r="S622">
            <v>-2237</v>
          </cell>
          <cell r="V622" t="str">
            <v>EBSC Transactional2</v>
          </cell>
          <cell r="W622" t="str">
            <v>Passthroughs</v>
          </cell>
          <cell r="AA622" t="str">
            <v>[10200]  PECO Energy CompanyEBSC TransactionalPassthroughs</v>
          </cell>
          <cell r="AB622" t="str">
            <v>[10200]  PECO Energy CompanyEBSC Transactional (Passthroughs)Other Operating Expenses</v>
          </cell>
          <cell r="AC622" t="str">
            <v>[10200]  PECO Energy CompanyEBSC Transactional (Passthroughs)Technical Services (New Business - PED)</v>
          </cell>
          <cell r="AF622" t="e">
            <v>#N/A</v>
          </cell>
        </row>
        <row r="623">
          <cell r="E623">
            <v>9098</v>
          </cell>
          <cell r="H623">
            <v>-4322</v>
          </cell>
          <cell r="I623">
            <v>-4322</v>
          </cell>
          <cell r="J623">
            <v>18701</v>
          </cell>
          <cell r="M623">
            <v>403</v>
          </cell>
          <cell r="N623">
            <v>-4322</v>
          </cell>
          <cell r="O623">
            <v>56909</v>
          </cell>
          <cell r="R623">
            <v>403</v>
          </cell>
          <cell r="S623">
            <v>-4322</v>
          </cell>
          <cell r="V623" t="str">
            <v>EBSC Transactional2</v>
          </cell>
          <cell r="W623" t="str">
            <v>Tools For People</v>
          </cell>
          <cell r="AA623" t="str">
            <v>[10200]  PECO Energy CompanyEBSC TransactionalTools For People</v>
          </cell>
          <cell r="AB623" t="str">
            <v>[10200]  PECO Energy CompanyEBSC Transactional (Tools For People)Business Services</v>
          </cell>
          <cell r="AC623" t="str">
            <v>[10200]  PECO Energy CompanyEBSC Transactional (Tools For People)Technical Services (Proj&amp;Contract Management-PECO)</v>
          </cell>
          <cell r="AF623" t="e">
            <v>#N/A</v>
          </cell>
        </row>
        <row r="624">
          <cell r="E624">
            <v>2734</v>
          </cell>
          <cell r="H624">
            <v>-2734</v>
          </cell>
          <cell r="I624">
            <v>-2734</v>
          </cell>
          <cell r="J624">
            <v>7103</v>
          </cell>
          <cell r="M624">
            <v>-7103</v>
          </cell>
          <cell r="N624">
            <v>-2734</v>
          </cell>
          <cell r="O624">
            <v>7103</v>
          </cell>
          <cell r="R624">
            <v>-7103</v>
          </cell>
          <cell r="S624">
            <v>-2734</v>
          </cell>
          <cell r="V624" t="str">
            <v>EBSC Transactional2</v>
          </cell>
          <cell r="W624" t="str">
            <v>Passthroughs</v>
          </cell>
          <cell r="AA624" t="str">
            <v>[10200]  PECO Energy CompanyEBSC TransactionalPassthroughs</v>
          </cell>
          <cell r="AB624" t="str">
            <v>[10200]  PECO Energy CompanyEBSC Transactional (Passthroughs)Other Operating Expenses</v>
          </cell>
          <cell r="AC624" t="str">
            <v>[10200]  PECO Energy CompanyEBSC Transactional (Passthroughs)Technical Services (Proj&amp;Contract Management-PECO)</v>
          </cell>
          <cell r="AF624" t="e">
            <v>#N/A</v>
          </cell>
        </row>
        <row r="625">
          <cell r="E625">
            <v>7259</v>
          </cell>
          <cell r="H625">
            <v>-2509</v>
          </cell>
          <cell r="I625">
            <v>-2509</v>
          </cell>
          <cell r="J625">
            <v>28072</v>
          </cell>
          <cell r="M625">
            <v>-9072</v>
          </cell>
          <cell r="N625">
            <v>-2509</v>
          </cell>
          <cell r="O625">
            <v>66072</v>
          </cell>
          <cell r="R625">
            <v>-9072</v>
          </cell>
          <cell r="S625">
            <v>-2509</v>
          </cell>
          <cell r="V625" t="str">
            <v>EBSC Transactional2</v>
          </cell>
          <cell r="W625" t="str">
            <v>Tools For People</v>
          </cell>
          <cell r="AA625" t="str">
            <v>[10200]  PECO Energy CompanyEBSC TransactionalTools For People</v>
          </cell>
          <cell r="AB625" t="str">
            <v>[10200]  PECO Energy CompanyEBSC Transactional (Tools For People)Business Services</v>
          </cell>
          <cell r="AC625" t="str">
            <v>[10200]  PECO Energy CompanyEBSC Transactional (Tools For People)Transmission Operations-PECO (PEDTransmission Operation East)</v>
          </cell>
          <cell r="AF625" t="e">
            <v>#N/A</v>
          </cell>
        </row>
        <row r="626">
          <cell r="E626">
            <v>435</v>
          </cell>
          <cell r="H626">
            <v>65</v>
          </cell>
          <cell r="I626">
            <v>65</v>
          </cell>
          <cell r="J626">
            <v>2387</v>
          </cell>
          <cell r="M626">
            <v>-387</v>
          </cell>
          <cell r="N626">
            <v>65</v>
          </cell>
          <cell r="O626">
            <v>6387</v>
          </cell>
          <cell r="R626">
            <v>-387</v>
          </cell>
          <cell r="S626">
            <v>65</v>
          </cell>
          <cell r="V626" t="str">
            <v>EBSC Transactional2</v>
          </cell>
          <cell r="W626" t="str">
            <v>Passthroughs</v>
          </cell>
          <cell r="AA626" t="str">
            <v>[10200]  PECO Energy CompanyEBSC TransactionalPassthroughs</v>
          </cell>
          <cell r="AB626" t="str">
            <v>[10200]  PECO Energy CompanyEBSC Transactional (Passthroughs)Other Operating Expenses</v>
          </cell>
          <cell r="AC626" t="str">
            <v>[10200]  PECO Energy CompanyEBSC Transactional (Passthroughs)Transmission Operations-PECO (PEDTransmission Operation East)</v>
          </cell>
          <cell r="AF626" t="e">
            <v>#N/A</v>
          </cell>
        </row>
        <row r="627">
          <cell r="E627">
            <v>1647</v>
          </cell>
          <cell r="H627">
            <v>3</v>
          </cell>
          <cell r="I627">
            <v>3</v>
          </cell>
          <cell r="J627">
            <v>6338</v>
          </cell>
          <cell r="M627">
            <v>262</v>
          </cell>
          <cell r="N627">
            <v>3</v>
          </cell>
          <cell r="O627">
            <v>19538</v>
          </cell>
          <cell r="R627">
            <v>262</v>
          </cell>
          <cell r="S627">
            <v>3</v>
          </cell>
          <cell r="V627" t="str">
            <v>EBSC Transactional2</v>
          </cell>
          <cell r="W627" t="str">
            <v>Tools For People</v>
          </cell>
          <cell r="AA627" t="str">
            <v>[10200]  PECO Energy CompanyEBSC TransactionalTools For People</v>
          </cell>
          <cell r="AB627" t="str">
            <v>[10200]  PECO Energy CompanyEBSC Transactional (Tools For People)Business Services</v>
          </cell>
          <cell r="AC627" t="str">
            <v>[10200]  PECO Energy CompanyEBSC Transactional (Tools For People)Transmission Operations-PECO (PED Transmission Planning East)</v>
          </cell>
          <cell r="AF627" t="e">
            <v>#N/A</v>
          </cell>
        </row>
        <row r="628">
          <cell r="E628">
            <v>123</v>
          </cell>
          <cell r="H628">
            <v>77</v>
          </cell>
          <cell r="I628">
            <v>77</v>
          </cell>
          <cell r="J628">
            <v>517</v>
          </cell>
          <cell r="M628">
            <v>283</v>
          </cell>
          <cell r="N628">
            <v>77</v>
          </cell>
          <cell r="O628">
            <v>2117</v>
          </cell>
          <cell r="R628">
            <v>283</v>
          </cell>
          <cell r="S628">
            <v>77</v>
          </cell>
          <cell r="V628" t="str">
            <v>EBSC Transactional2</v>
          </cell>
          <cell r="W628" t="str">
            <v>Passthroughs</v>
          </cell>
          <cell r="AA628" t="str">
            <v>[10200]  PECO Energy CompanyEBSC TransactionalPassthroughs</v>
          </cell>
          <cell r="AB628" t="str">
            <v>[10200]  PECO Energy CompanyEBSC Transactional (Passthroughs)Other Operating Expenses</v>
          </cell>
          <cell r="AC628" t="str">
            <v>[10200]  PECO Energy CompanyEBSC Transactional (Passthroughs)Transmission Operations-PECO (PED Transmission Planning East)</v>
          </cell>
          <cell r="AF628" t="e">
            <v>#N/A</v>
          </cell>
        </row>
        <row r="629">
          <cell r="E629">
            <v>849</v>
          </cell>
          <cell r="H629">
            <v>451</v>
          </cell>
          <cell r="I629">
            <v>451</v>
          </cell>
          <cell r="J629">
            <v>3341</v>
          </cell>
          <cell r="M629">
            <v>1859</v>
          </cell>
          <cell r="N629">
            <v>451</v>
          </cell>
          <cell r="O629">
            <v>13741</v>
          </cell>
          <cell r="R629">
            <v>1859</v>
          </cell>
          <cell r="S629">
            <v>451</v>
          </cell>
          <cell r="V629" t="str">
            <v>EBSC Transactional2</v>
          </cell>
          <cell r="W629" t="str">
            <v>Tools For People</v>
          </cell>
          <cell r="AA629" t="str">
            <v>[10200]  PECO Energy CompanyEBSC TransactionalTools For People</v>
          </cell>
          <cell r="AB629" t="str">
            <v>[10200]  PECO Energy CompanyEBSC Transactional (Tools For People)Business Services</v>
          </cell>
          <cell r="AC629" t="str">
            <v>[10200]  PECO Energy CompanyEBSC Transactional (Tools For People)Transmission Operations-PECO (Trans Strat&amp;Bussinss Oper East)</v>
          </cell>
          <cell r="AF629" t="e">
            <v>#N/A</v>
          </cell>
        </row>
        <row r="630">
          <cell r="E630">
            <v>244</v>
          </cell>
          <cell r="H630">
            <v>-94</v>
          </cell>
          <cell r="I630">
            <v>-94</v>
          </cell>
          <cell r="J630">
            <v>1013</v>
          </cell>
          <cell r="M630">
            <v>-413</v>
          </cell>
          <cell r="N630">
            <v>-94</v>
          </cell>
          <cell r="O630">
            <v>2213</v>
          </cell>
          <cell r="R630">
            <v>-413</v>
          </cell>
          <cell r="S630">
            <v>-94</v>
          </cell>
          <cell r="V630" t="str">
            <v>EBSC Transactional2</v>
          </cell>
          <cell r="W630" t="str">
            <v>Passthroughs</v>
          </cell>
          <cell r="AA630" t="str">
            <v>[10200]  PECO Energy CompanyEBSC TransactionalPassthroughs</v>
          </cell>
          <cell r="AB630" t="str">
            <v>[10200]  PECO Energy CompanyEBSC Transactional (Passthroughs)Other Operating Expenses</v>
          </cell>
          <cell r="AC630" t="str">
            <v>[10200]  PECO Energy CompanyEBSC Transactional (Passthroughs)Transmission Operations-PECO (Trans Strat&amp;Bussinss Oper East)</v>
          </cell>
          <cell r="AF630" t="e">
            <v>#N/A</v>
          </cell>
        </row>
        <row r="631">
          <cell r="E631">
            <v>3260772</v>
          </cell>
          <cell r="H631">
            <v>-862864</v>
          </cell>
          <cell r="I631">
            <v>-649946</v>
          </cell>
          <cell r="J631">
            <v>10450985</v>
          </cell>
          <cell r="M631">
            <v>-977301</v>
          </cell>
          <cell r="N631">
            <v>-649946</v>
          </cell>
          <cell r="O631">
            <v>31720356</v>
          </cell>
          <cell r="R631">
            <v>-2744223</v>
          </cell>
          <cell r="S631">
            <v>-1907576</v>
          </cell>
          <cell r="V631" t="e">
            <v>#N/A</v>
          </cell>
          <cell r="W631" t="e">
            <v>#N/A</v>
          </cell>
          <cell r="AA631" t="e">
            <v>#N/A</v>
          </cell>
          <cell r="AB631" t="e">
            <v>#N/A</v>
          </cell>
          <cell r="AC631" t="e">
            <v>#N/A</v>
          </cell>
          <cell r="AF631" t="e">
            <v>#N/A</v>
          </cell>
        </row>
        <row r="632">
          <cell r="V632" t="e">
            <v>#N/A</v>
          </cell>
          <cell r="W632" t="e">
            <v>#N/A</v>
          </cell>
          <cell r="AA632" t="e">
            <v>#N/A</v>
          </cell>
          <cell r="AB632" t="e">
            <v>#N/A</v>
          </cell>
          <cell r="AC632" t="e">
            <v>#N/A</v>
          </cell>
          <cell r="AF632" t="e">
            <v>#N/A</v>
          </cell>
        </row>
        <row r="633">
          <cell r="V633" t="e">
            <v>#N/A</v>
          </cell>
          <cell r="W633" t="e">
            <v>#N/A</v>
          </cell>
          <cell r="AA633" t="e">
            <v>#N/A</v>
          </cell>
          <cell r="AB633" t="e">
            <v>#N/A</v>
          </cell>
          <cell r="AC633" t="e">
            <v>#N/A</v>
          </cell>
          <cell r="AF633" t="e">
            <v>#N/A</v>
          </cell>
        </row>
        <row r="634">
          <cell r="E634" t="str">
            <v>Actual Activity Amount</v>
          </cell>
          <cell r="H634" t="str">
            <v>Variance to Mon Budget</v>
          </cell>
          <cell r="I634" t="str">
            <v>Variance to Mo QtrLE</v>
          </cell>
          <cell r="J634" t="str">
            <v>Actual YTD Activity Amount</v>
          </cell>
          <cell r="M634" t="str">
            <v>Variance to YTD Budget</v>
          </cell>
          <cell r="N634" t="str">
            <v>Variance to YTD Qtr LE</v>
          </cell>
          <cell r="O634" t="str">
            <v>YEND Planning Amount(EED O&amp;M FY LE)</v>
          </cell>
          <cell r="R634" t="str">
            <v>Variance YE Budget</v>
          </cell>
          <cell r="S634" t="str">
            <v>Variance YE Qtr LE</v>
          </cell>
          <cell r="V634" t="e">
            <v>#N/A</v>
          </cell>
          <cell r="W634" t="e">
            <v>#N/A</v>
          </cell>
          <cell r="AA634" t="e">
            <v>#N/A</v>
          </cell>
          <cell r="AB634" t="e">
            <v>#N/A</v>
          </cell>
          <cell r="AC634" t="e">
            <v>#N/A</v>
          </cell>
          <cell r="AF634" t="e">
            <v>#N/A</v>
          </cell>
        </row>
        <row r="635">
          <cell r="H635">
            <v>17665</v>
          </cell>
          <cell r="I635">
            <v>17665</v>
          </cell>
          <cell r="M635">
            <v>67411</v>
          </cell>
          <cell r="N635">
            <v>19000</v>
          </cell>
          <cell r="O635">
            <v>153171</v>
          </cell>
          <cell r="R635">
            <v>65896.899999999994</v>
          </cell>
          <cell r="S635">
            <v>17485</v>
          </cell>
          <cell r="V635" t="str">
            <v>EBSC Transactional2</v>
          </cell>
          <cell r="W635" t="str">
            <v>Passthroughs</v>
          </cell>
          <cell r="AA635" t="str">
            <v>[10601]  Commonwealth Edison CompanyEBSC TransactionalPassthroughs</v>
          </cell>
          <cell r="AB635" t="str">
            <v>[10601]  Commonwealth Edison CompanyEBSC Transactional (Passthroughs)Other Operating Expenses</v>
          </cell>
          <cell r="AC635" t="str">
            <v>[10601]  Commonwealth Edison CompanyEBSC Transactional (Passthroughs)Operations - ComEd (Construction&amp;Maintenance-ComEd)</v>
          </cell>
          <cell r="AF635" t="e">
            <v>#N/A</v>
          </cell>
        </row>
        <row r="636">
          <cell r="H636">
            <v>58394</v>
          </cell>
          <cell r="I636">
            <v>47579</v>
          </cell>
          <cell r="M636">
            <v>231321</v>
          </cell>
          <cell r="N636">
            <v>49233</v>
          </cell>
          <cell r="O636">
            <v>474118</v>
          </cell>
          <cell r="R636">
            <v>229617.40000000002</v>
          </cell>
          <cell r="S636">
            <v>25900.700000000012</v>
          </cell>
          <cell r="V636" t="str">
            <v>EBSC Transactional2</v>
          </cell>
          <cell r="W636" t="str">
            <v>Passthroughs</v>
          </cell>
          <cell r="AA636" t="str">
            <v>[10601]  Commonwealth Edison CompanyEBSC TransactionalPassthroughs</v>
          </cell>
          <cell r="AB636" t="str">
            <v>[10601]  Commonwealth Edison CompanyEBSC Transactional (Passthroughs)Other Operating Expenses</v>
          </cell>
          <cell r="AC636" t="str">
            <v>[10601]  Commonwealth Edison CompanyEBSC Transactional (Passthroughs)Operations - ComEd (Dispatch &amp; Operations - ComEd)</v>
          </cell>
          <cell r="AF636" t="e">
            <v>#N/A</v>
          </cell>
        </row>
        <row r="637">
          <cell r="H637">
            <v>4932</v>
          </cell>
          <cell r="I637">
            <v>4932</v>
          </cell>
          <cell r="M637">
            <v>19728</v>
          </cell>
          <cell r="N637">
            <v>5006</v>
          </cell>
          <cell r="O637">
            <v>39570</v>
          </cell>
          <cell r="R637">
            <v>19622</v>
          </cell>
          <cell r="S637">
            <v>4900.0999999999985</v>
          </cell>
          <cell r="V637" t="str">
            <v>EBSC Transactional2</v>
          </cell>
          <cell r="W637" t="str">
            <v>Passthroughs</v>
          </cell>
          <cell r="AA637" t="str">
            <v>[10601]  Commonwealth Edison CompanyEBSC TransactionalPassthroughs</v>
          </cell>
          <cell r="AB637" t="str">
            <v>[10601]  Commonwealth Edison CompanyEBSC Transactional (Passthroughs)Other Operating Expenses</v>
          </cell>
          <cell r="AC637" t="str">
            <v>[10601]  Commonwealth Edison CompanyEBSC Transactional (Passthroughs)Operations - ComEd (Environ Safety &amp; Indust Hygien)</v>
          </cell>
          <cell r="AF637" t="e">
            <v>#N/A</v>
          </cell>
        </row>
        <row r="638">
          <cell r="H638">
            <v>550</v>
          </cell>
          <cell r="I638">
            <v>550</v>
          </cell>
          <cell r="M638">
            <v>2200</v>
          </cell>
          <cell r="N638">
            <v>550</v>
          </cell>
          <cell r="O638">
            <v>4400</v>
          </cell>
          <cell r="R638">
            <v>2200</v>
          </cell>
          <cell r="S638">
            <v>550</v>
          </cell>
          <cell r="V638" t="str">
            <v>EBSC Transactional2</v>
          </cell>
          <cell r="W638" t="str">
            <v>Passthroughs</v>
          </cell>
          <cell r="AA638" t="str">
            <v>[10601]  Commonwealth Edison CompanyEBSC TransactionalPassthroughs</v>
          </cell>
          <cell r="AB638" t="str">
            <v>[10601]  Commonwealth Edison CompanyEBSC Transactional (Passthroughs)Other Operating Expenses</v>
          </cell>
          <cell r="AC638" t="str">
            <v>[10601]  Commonwealth Edison CompanyEBSC Transactional (Passthroughs)Operations - ComEd (Methods - ComEd)</v>
          </cell>
          <cell r="AF638" t="e">
            <v>#N/A</v>
          </cell>
        </row>
        <row r="639">
          <cell r="H639">
            <v>54300</v>
          </cell>
          <cell r="I639">
            <v>54300</v>
          </cell>
          <cell r="M639">
            <v>214914</v>
          </cell>
          <cell r="N639">
            <v>54363</v>
          </cell>
          <cell r="O639">
            <v>473505</v>
          </cell>
          <cell r="R639">
            <v>214851.5</v>
          </cell>
          <cell r="S639">
            <v>54300.400000000023</v>
          </cell>
          <cell r="V639" t="str">
            <v>EBSC Transactional2</v>
          </cell>
          <cell r="W639" t="str">
            <v>Passthroughs</v>
          </cell>
          <cell r="AA639" t="str">
            <v>[10601]  Commonwealth Edison CompanyEBSC TransactionalPassthroughs</v>
          </cell>
          <cell r="AB639" t="str">
            <v>[10601]  Commonwealth Edison CompanyEBSC Transactional (Passthroughs)Other Operating Expenses</v>
          </cell>
          <cell r="AC639" t="str">
            <v>[10601]  Commonwealth Edison CompanyEBSC Transactional (Passthroughs)Operations - ComEd (Transmission&amp;Substation-ComEd)</v>
          </cell>
          <cell r="AF639" t="e">
            <v>#N/A</v>
          </cell>
        </row>
        <row r="640">
          <cell r="H640">
            <v>16064</v>
          </cell>
          <cell r="I640">
            <v>13765</v>
          </cell>
          <cell r="M640">
            <v>64256</v>
          </cell>
          <cell r="N640">
            <v>14199</v>
          </cell>
          <cell r="O640">
            <v>110550</v>
          </cell>
          <cell r="R640">
            <v>82219.399999999994</v>
          </cell>
          <cell r="S640">
            <v>13764.800000000003</v>
          </cell>
          <cell r="V640" t="str">
            <v>EBSC Transactional2</v>
          </cell>
          <cell r="W640" t="str">
            <v>Passthroughs</v>
          </cell>
          <cell r="AA640" t="str">
            <v>[10601]  Commonwealth Edison CompanyEBSC TransactionalPassthroughs</v>
          </cell>
          <cell r="AB640" t="str">
            <v>[10601]  Commonwealth Edison CompanyEBSC Transactional (Passthroughs)Other Operating Expenses</v>
          </cell>
          <cell r="AC640" t="str">
            <v>[10601]  Commonwealth Edison CompanyEBSC Transactional (Passthroughs)Operations - ComEd (Work Management - ComEd)</v>
          </cell>
          <cell r="AF640" t="e">
            <v>#N/A</v>
          </cell>
        </row>
        <row r="641">
          <cell r="H641">
            <v>-246</v>
          </cell>
          <cell r="I641">
            <v>-246</v>
          </cell>
          <cell r="M641">
            <v>-985</v>
          </cell>
          <cell r="N641">
            <v>-246</v>
          </cell>
          <cell r="O641">
            <v>-1383</v>
          </cell>
          <cell r="R641">
            <v>-985.5</v>
          </cell>
          <cell r="S641">
            <v>-246.40000000000009</v>
          </cell>
          <cell r="V641" t="str">
            <v>EBSC Transactional2</v>
          </cell>
          <cell r="W641" t="str">
            <v>Passthroughs</v>
          </cell>
          <cell r="AA641" t="str">
            <v>[10601]  Commonwealth Edison CompanyEBSC TransactionalPassthroughs</v>
          </cell>
          <cell r="AB641" t="str">
            <v>[10601]  Commonwealth Edison CompanyEBSC Transactional (Passthroughs)Other Operating Expenses</v>
          </cell>
          <cell r="AC641" t="str">
            <v>[10601]  Commonwealth Edison CompanyEBSC Transactional (Passthroughs)Technical Services - CED (Asset Perf&amp;Invst Strategy-CED)</v>
          </cell>
          <cell r="AF641" t="e">
            <v>#N/A</v>
          </cell>
        </row>
        <row r="642">
          <cell r="H642">
            <v>130059</v>
          </cell>
          <cell r="I642">
            <v>130059</v>
          </cell>
          <cell r="M642">
            <v>520235</v>
          </cell>
          <cell r="N642">
            <v>130073</v>
          </cell>
          <cell r="O642">
            <v>1040484</v>
          </cell>
          <cell r="R642">
            <v>520220.80000000005</v>
          </cell>
          <cell r="S642">
            <v>130058.60000000009</v>
          </cell>
          <cell r="V642" t="str">
            <v>EBSC Transactional2</v>
          </cell>
          <cell r="W642" t="str">
            <v>Passthroughs</v>
          </cell>
          <cell r="AA642" t="str">
            <v>[10601]  Commonwealth Edison CompanyEBSC TransactionalPassthroughs</v>
          </cell>
          <cell r="AB642" t="str">
            <v>[10601]  Commonwealth Edison CompanyEBSC Transactional (Passthroughs)Other Operating Expenses</v>
          </cell>
          <cell r="AC642" t="str">
            <v>[10601]  Commonwealth Edison CompanyEBSC Transactional (Passthroughs)Technical Services - CED (Engineering &amp; System Perf.)</v>
          </cell>
          <cell r="AF642" t="e">
            <v>#N/A</v>
          </cell>
        </row>
        <row r="643">
          <cell r="H643">
            <v>5244</v>
          </cell>
          <cell r="I643">
            <v>5244</v>
          </cell>
          <cell r="M643">
            <v>20975</v>
          </cell>
          <cell r="N643">
            <v>7798</v>
          </cell>
          <cell r="O643">
            <v>-1285</v>
          </cell>
          <cell r="R643">
            <v>64209.3</v>
          </cell>
          <cell r="S643">
            <v>21012</v>
          </cell>
          <cell r="V643" t="str">
            <v>EBSC Transactional2</v>
          </cell>
          <cell r="W643" t="str">
            <v>Passthroughs</v>
          </cell>
          <cell r="AA643" t="str">
            <v>[10601]  Commonwealth Edison CompanyEBSC TransactionalPassthroughs</v>
          </cell>
          <cell r="AB643" t="str">
            <v>[10601]  Commonwealth Edison CompanyEBSC Transactional (Passthroughs)Other Operating Expenses</v>
          </cell>
          <cell r="AC643" t="str">
            <v>[10601]  Commonwealth Edison CompanyEBSC Transactional (Passthroughs)Technical Services - CED (New Business - ComEd)</v>
          </cell>
          <cell r="AF643" t="e">
            <v>#N/A</v>
          </cell>
        </row>
        <row r="644">
          <cell r="H644">
            <v>4855</v>
          </cell>
          <cell r="I644">
            <v>4855</v>
          </cell>
          <cell r="M644">
            <v>19066</v>
          </cell>
          <cell r="N644">
            <v>4855</v>
          </cell>
          <cell r="O644">
            <v>39512</v>
          </cell>
          <cell r="R644">
            <v>19066.199999999997</v>
          </cell>
          <cell r="S644">
            <v>4854.9000000000015</v>
          </cell>
          <cell r="V644" t="str">
            <v>EBSC Transactional2</v>
          </cell>
          <cell r="W644" t="str">
            <v>Passthroughs</v>
          </cell>
          <cell r="AA644" t="str">
            <v>[10601]  Commonwealth Edison CompanyEBSC TransactionalPassthroughs</v>
          </cell>
          <cell r="AB644" t="str">
            <v>[10601]  Commonwealth Edison CompanyEBSC Transactional (Passthroughs)Other Operating Expenses</v>
          </cell>
          <cell r="AC644" t="str">
            <v>[10601]  Commonwealth Edison CompanyEBSC Transactional (Passthroughs)Technical Services - CED (Proj&amp;Contract Management-ComEd)</v>
          </cell>
          <cell r="AF644" t="e">
            <v>#N/A</v>
          </cell>
        </row>
        <row r="645">
          <cell r="H645">
            <v>28458</v>
          </cell>
          <cell r="I645">
            <v>28458</v>
          </cell>
          <cell r="M645">
            <v>114432</v>
          </cell>
          <cell r="N645">
            <v>28925</v>
          </cell>
          <cell r="O645">
            <v>235839</v>
          </cell>
          <cell r="R645">
            <v>113439.09999999998</v>
          </cell>
          <cell r="S645">
            <v>27931.700000000012</v>
          </cell>
          <cell r="V645" t="str">
            <v>EBSC Transactional2</v>
          </cell>
          <cell r="W645" t="str">
            <v>Passthroughs</v>
          </cell>
          <cell r="AA645" t="str">
            <v>[10200]  PECO Energy CompanyEBSC TransactionalPassthroughs</v>
          </cell>
          <cell r="AB645" t="str">
            <v>[10200]  PECO Energy CompanyEBSC Transactional (Passthroughs)Other Operating Expenses</v>
          </cell>
          <cell r="AC645" t="str">
            <v>[10200]  PECO Energy CompanyEBSC Transactional (Passthroughs)Operations - PECO (Construction&amp;Maintenance-PECO)</v>
          </cell>
          <cell r="AF645" t="e">
            <v>#N/A</v>
          </cell>
        </row>
        <row r="646">
          <cell r="H646">
            <v>40005</v>
          </cell>
          <cell r="I646">
            <v>40005</v>
          </cell>
          <cell r="M646">
            <v>161721</v>
          </cell>
          <cell r="N646">
            <v>51956</v>
          </cell>
          <cell r="O646">
            <v>366759</v>
          </cell>
          <cell r="R646">
            <v>145859.40000000002</v>
          </cell>
          <cell r="S646">
            <v>36094.5</v>
          </cell>
          <cell r="V646" t="str">
            <v>EBSC Transactional2</v>
          </cell>
          <cell r="W646" t="str">
            <v>Passthroughs</v>
          </cell>
          <cell r="AA646" t="str">
            <v>[10200]  PECO Energy CompanyEBSC TransactionalPassthroughs</v>
          </cell>
          <cell r="AB646" t="str">
            <v>[10200]  PECO Energy CompanyEBSC Transactional (Passthroughs)Other Operating Expenses</v>
          </cell>
          <cell r="AC646" t="str">
            <v>[10200]  PECO Energy CompanyEBSC Transactional (Passthroughs)Operations - PECO (Dispatch &amp; Operations - PECO)</v>
          </cell>
          <cell r="AF646" t="e">
            <v>#N/A</v>
          </cell>
        </row>
        <row r="647">
          <cell r="H647">
            <v>3433</v>
          </cell>
          <cell r="I647">
            <v>3433</v>
          </cell>
          <cell r="M647">
            <v>13732</v>
          </cell>
          <cell r="N647">
            <v>3566</v>
          </cell>
          <cell r="O647">
            <v>28016</v>
          </cell>
          <cell r="R647">
            <v>13184</v>
          </cell>
          <cell r="S647">
            <v>3018.2999999999993</v>
          </cell>
          <cell r="V647" t="str">
            <v>EBSC Transactional2</v>
          </cell>
          <cell r="W647" t="str">
            <v>Passthroughs</v>
          </cell>
          <cell r="AA647" t="str">
            <v>[10200]  PECO Energy CompanyEBSC TransactionalPassthroughs</v>
          </cell>
          <cell r="AB647" t="str">
            <v>[10200]  PECO Energy CompanyEBSC Transactional (Passthroughs)Other Operating Expenses</v>
          </cell>
          <cell r="AC647" t="str">
            <v>[10200]  PECO Energy CompanyEBSC Transactional (Passthroughs)Operations - PECO (Envir Sfty&amp;Indust Hygiene-PECO)</v>
          </cell>
          <cell r="AF647" t="e">
            <v>#N/A</v>
          </cell>
        </row>
        <row r="648">
          <cell r="H648">
            <v>215</v>
          </cell>
          <cell r="I648">
            <v>215</v>
          </cell>
          <cell r="M648">
            <v>860</v>
          </cell>
          <cell r="N648">
            <v>362</v>
          </cell>
          <cell r="O648">
            <v>1867</v>
          </cell>
          <cell r="R648">
            <v>713</v>
          </cell>
          <cell r="S648">
            <v>214.59999999999991</v>
          </cell>
          <cell r="V648" t="str">
            <v>EBSC Transactional2</v>
          </cell>
          <cell r="W648" t="str">
            <v>Passthroughs</v>
          </cell>
          <cell r="AA648" t="str">
            <v>[10200]  PECO Energy CompanyEBSC TransactionalPassthroughs</v>
          </cell>
          <cell r="AB648" t="str">
            <v>[10200]  PECO Energy CompanyEBSC Transactional (Passthroughs)Other Operating Expenses</v>
          </cell>
          <cell r="AC648" t="str">
            <v>[10200]  PECO Energy CompanyEBSC Transactional (Passthroughs)Operations - PECO (Performance Improvement - East)</v>
          </cell>
          <cell r="AF648" t="e">
            <v>#N/A</v>
          </cell>
        </row>
        <row r="649">
          <cell r="H649">
            <v>11258</v>
          </cell>
          <cell r="I649">
            <v>11258</v>
          </cell>
          <cell r="M649">
            <v>41159</v>
          </cell>
          <cell r="N649">
            <v>12728</v>
          </cell>
          <cell r="O649">
            <v>104677</v>
          </cell>
          <cell r="R649">
            <v>39580.899999999994</v>
          </cell>
          <cell r="S649">
            <v>11149.399999999994</v>
          </cell>
          <cell r="V649" t="str">
            <v>EBSC Transactional2</v>
          </cell>
          <cell r="W649" t="str">
            <v>Passthroughs</v>
          </cell>
          <cell r="AA649" t="str">
            <v>[10200]  PECO Energy CompanyEBSC TransactionalPassthroughs</v>
          </cell>
          <cell r="AB649" t="str">
            <v>[10200]  PECO Energy CompanyEBSC Transactional (Passthroughs)Other Operating Expenses</v>
          </cell>
          <cell r="AC649" t="str">
            <v>[10200]  PECO Energy CompanyEBSC Transactional (Passthroughs)Operations - PECO (Transmission &amp; Substation PECO)</v>
          </cell>
          <cell r="AF649" t="e">
            <v>#N/A</v>
          </cell>
        </row>
        <row r="650">
          <cell r="H650">
            <v>6082</v>
          </cell>
          <cell r="I650">
            <v>3782</v>
          </cell>
          <cell r="M650">
            <v>24328</v>
          </cell>
          <cell r="N650">
            <v>3995</v>
          </cell>
          <cell r="O650">
            <v>30470</v>
          </cell>
          <cell r="R650">
            <v>42515</v>
          </cell>
          <cell r="S650">
            <v>3782.6999999999971</v>
          </cell>
          <cell r="V650" t="str">
            <v>EBSC Transactional2</v>
          </cell>
          <cell r="W650" t="str">
            <v>Passthroughs</v>
          </cell>
          <cell r="AA650" t="str">
            <v>[10200]  PECO Energy CompanyEBSC TransactionalPassthroughs</v>
          </cell>
          <cell r="AB650" t="str">
            <v>[10200]  PECO Energy CompanyEBSC Transactional (Passthroughs)Other Operating Expenses</v>
          </cell>
          <cell r="AC650" t="str">
            <v>[10200]  PECO Energy CompanyEBSC Transactional (Passthroughs)Operations - PECO (Work Management - PECO)</v>
          </cell>
          <cell r="AF650" t="e">
            <v>#N/A</v>
          </cell>
        </row>
        <row r="651">
          <cell r="H651">
            <v>652</v>
          </cell>
          <cell r="I651">
            <v>652</v>
          </cell>
          <cell r="M651">
            <v>2003</v>
          </cell>
          <cell r="N651">
            <v>652</v>
          </cell>
          <cell r="O651">
            <v>5019</v>
          </cell>
          <cell r="R651">
            <v>2003.3999999999996</v>
          </cell>
          <cell r="S651">
            <v>652.5</v>
          </cell>
          <cell r="V651" t="str">
            <v>EBSC Transactional2</v>
          </cell>
          <cell r="W651" t="str">
            <v>Passthroughs</v>
          </cell>
          <cell r="AA651" t="str">
            <v>[10200]  PECO Energy CompanyEBSC TransactionalPassthroughs</v>
          </cell>
          <cell r="AB651" t="str">
            <v>[10200]  PECO Energy CompanyEBSC Transactional (Passthroughs)Other Operating Expenses</v>
          </cell>
          <cell r="AC651" t="str">
            <v>[10200]  PECO Energy CompanyEBSC Transactional (Passthroughs)Technical Services (Asset Invest Strategy&amp;Dev-PED)</v>
          </cell>
          <cell r="AF651" t="e">
            <v>#N/A</v>
          </cell>
        </row>
        <row r="652">
          <cell r="H652">
            <v>3775</v>
          </cell>
          <cell r="I652">
            <v>3775</v>
          </cell>
          <cell r="M652">
            <v>15099</v>
          </cell>
          <cell r="N652">
            <v>4081</v>
          </cell>
          <cell r="O652">
            <v>30689</v>
          </cell>
          <cell r="R652">
            <v>14608.099999999999</v>
          </cell>
          <cell r="S652">
            <v>3590.4000000000015</v>
          </cell>
          <cell r="V652" t="str">
            <v>EBSC Transactional2</v>
          </cell>
          <cell r="W652" t="str">
            <v>Passthroughs</v>
          </cell>
          <cell r="AA652" t="str">
            <v>[10200]  PECO Energy CompanyEBSC TransactionalPassthroughs</v>
          </cell>
          <cell r="AB652" t="str">
            <v>[10200]  PECO Energy CompanyEBSC Transactional (Passthroughs)Other Operating Expenses</v>
          </cell>
          <cell r="AC652" t="str">
            <v>[10200]  PECO Energy CompanyEBSC Transactional (Passthroughs)Technical Services (Engineering &amp; System Perf-PED)</v>
          </cell>
          <cell r="AF652" t="e">
            <v>#N/A</v>
          </cell>
        </row>
        <row r="653">
          <cell r="H653">
            <v>360</v>
          </cell>
          <cell r="I653">
            <v>360</v>
          </cell>
          <cell r="M653">
            <v>1442</v>
          </cell>
          <cell r="N653">
            <v>359</v>
          </cell>
          <cell r="O653">
            <v>2885</v>
          </cell>
          <cell r="R653">
            <v>1440.1999999999998</v>
          </cell>
          <cell r="S653">
            <v>357.90000000000009</v>
          </cell>
          <cell r="V653" t="str">
            <v>EBSC Transactional2</v>
          </cell>
          <cell r="W653" t="str">
            <v>Passthroughs</v>
          </cell>
          <cell r="AA653" t="str">
            <v>[10200]  PECO Energy CompanyEBSC TransactionalPassthroughs</v>
          </cell>
          <cell r="AB653" t="str">
            <v>[10200]  PECO Energy CompanyEBSC Transactional (Passthroughs)Other Operating Expenses</v>
          </cell>
          <cell r="AC653" t="str">
            <v>[10200]  PECO Energy CompanyEBSC Transactional (Passthroughs)Technical Services (New Business - PED)</v>
          </cell>
          <cell r="AF653" t="e">
            <v>#N/A</v>
          </cell>
        </row>
        <row r="654">
          <cell r="H654">
            <v>1942</v>
          </cell>
          <cell r="I654">
            <v>1942</v>
          </cell>
          <cell r="M654">
            <v>7549</v>
          </cell>
          <cell r="N654">
            <v>1942</v>
          </cell>
          <cell r="O654">
            <v>15400</v>
          </cell>
          <cell r="R654">
            <v>7549.2000000000007</v>
          </cell>
          <cell r="S654">
            <v>1942.0999999999985</v>
          </cell>
          <cell r="V654" t="str">
            <v>EBSC Transactional2</v>
          </cell>
          <cell r="W654" t="str">
            <v>Passthroughs</v>
          </cell>
          <cell r="AA654" t="str">
            <v>[10200]  PECO Energy CompanyEBSC TransactionalPassthroughs</v>
          </cell>
          <cell r="AB654" t="str">
            <v>[10200]  PECO Energy CompanyEBSC Transactional (Passthroughs)Other Operating Expenses</v>
          </cell>
          <cell r="AC654" t="str">
            <v>[10200]  PECO Energy CompanyEBSC Transactional (Passthroughs)Technical Services (Proj&amp;Contract Management-PECO)</v>
          </cell>
          <cell r="AF654" t="e">
            <v>#N/A</v>
          </cell>
        </row>
        <row r="655">
          <cell r="H655">
            <v>387995</v>
          </cell>
          <cell r="I655">
            <v>372581</v>
          </cell>
          <cell r="M655">
            <v>1541447</v>
          </cell>
          <cell r="N655">
            <v>393396</v>
          </cell>
          <cell r="O655">
            <v>3154264</v>
          </cell>
          <cell r="R655">
            <v>1597809.2000000002</v>
          </cell>
          <cell r="S655">
            <v>361313.20000000019</v>
          </cell>
          <cell r="V655" t="e">
            <v>#N/A</v>
          </cell>
          <cell r="W655" t="e">
            <v>#N/A</v>
          </cell>
          <cell r="AA655" t="e">
            <v>#N/A</v>
          </cell>
          <cell r="AB655" t="e">
            <v>#N/A</v>
          </cell>
          <cell r="AC655" t="e">
            <v>#N/A</v>
          </cell>
          <cell r="AF655" t="e">
            <v>#N/A</v>
          </cell>
        </row>
        <row r="656">
          <cell r="V656" t="e">
            <v>#N/A</v>
          </cell>
          <cell r="W656" t="e">
            <v>#N/A</v>
          </cell>
          <cell r="AA656" t="e">
            <v>#N/A</v>
          </cell>
          <cell r="AB656" t="e">
            <v>#N/A</v>
          </cell>
          <cell r="AC656" t="e">
            <v>#N/A</v>
          </cell>
          <cell r="AF656" t="e">
            <v>#N/A</v>
          </cell>
        </row>
        <row r="657">
          <cell r="V657" t="e">
            <v>#N/A</v>
          </cell>
          <cell r="W657" t="e">
            <v>#N/A</v>
          </cell>
          <cell r="AA657" t="e">
            <v>#N/A</v>
          </cell>
          <cell r="AB657" t="e">
            <v>#N/A</v>
          </cell>
          <cell r="AC657" t="e">
            <v>#N/A</v>
          </cell>
          <cell r="AF657" t="e">
            <v>#N/A</v>
          </cell>
        </row>
        <row r="658">
          <cell r="E658" t="str">
            <v>Actual Activity Amount</v>
          </cell>
          <cell r="H658" t="str">
            <v>Variance to Mon Budget</v>
          </cell>
          <cell r="I658" t="str">
            <v>Variance to Mo QtrLE</v>
          </cell>
          <cell r="J658" t="str">
            <v>Actual YTD Activity Amount</v>
          </cell>
          <cell r="M658" t="str">
            <v>Variance to YTD Budget</v>
          </cell>
          <cell r="N658" t="str">
            <v>Variance to YTD Qtr LE</v>
          </cell>
          <cell r="O658" t="str">
            <v>YEND Planning Amount(EED O&amp;M FY LE)</v>
          </cell>
          <cell r="R658" t="str">
            <v>Variance YE Budget</v>
          </cell>
          <cell r="S658" t="str">
            <v>Variance YE Qtr LE</v>
          </cell>
          <cell r="V658" t="e">
            <v>#N/A</v>
          </cell>
          <cell r="W658" t="e">
            <v>#N/A</v>
          </cell>
          <cell r="AA658" t="e">
            <v>#N/A</v>
          </cell>
          <cell r="AB658" t="e">
            <v>#N/A</v>
          </cell>
          <cell r="AC658" t="e">
            <v>#N/A</v>
          </cell>
          <cell r="AF658" t="e">
            <v>#N/A</v>
          </cell>
        </row>
        <row r="659">
          <cell r="E659">
            <v>-242069.7</v>
          </cell>
          <cell r="H659">
            <v>-48119.14</v>
          </cell>
          <cell r="I659">
            <v>-38916.53</v>
          </cell>
          <cell r="J659">
            <v>-836473.61</v>
          </cell>
          <cell r="M659">
            <v>-319721.81</v>
          </cell>
          <cell r="N659">
            <v>-38916.53</v>
          </cell>
          <cell r="O659">
            <v>-2694985.07</v>
          </cell>
          <cell r="R659">
            <v>-865264.84</v>
          </cell>
          <cell r="S659">
            <v>-521521.14</v>
          </cell>
          <cell r="V659" t="str">
            <v>Embedded</v>
          </cell>
          <cell r="W659" t="str">
            <v>Finance</v>
          </cell>
          <cell r="AA659" t="str">
            <v>[10200]  PECO Energy CompanyEmbeddedFinance</v>
          </cell>
          <cell r="AB659" t="str">
            <v>[10200]  PECO Energy CompanyEmbedded (Finance)EDSS Offset</v>
          </cell>
          <cell r="AC659" t="str">
            <v>[10200]  PECO Energy CompanyEmbedded (Finance)EDSS Business Ops PED (00198)</v>
          </cell>
          <cell r="AF659" t="str">
            <v>EEDFinanceEDSS Offset</v>
          </cell>
        </row>
        <row r="660">
          <cell r="E660">
            <v>-67533.119999999995</v>
          </cell>
          <cell r="H660">
            <v>19202.05</v>
          </cell>
          <cell r="I660">
            <v>18398.53</v>
          </cell>
          <cell r="J660">
            <v>-231623.75</v>
          </cell>
          <cell r="M660">
            <v>39127.129999999997</v>
          </cell>
          <cell r="N660">
            <v>18398.53</v>
          </cell>
          <cell r="O660">
            <v>-744377.87</v>
          </cell>
          <cell r="R660">
            <v>87129.03</v>
          </cell>
          <cell r="S660">
            <v>140791.79</v>
          </cell>
          <cell r="V660" t="str">
            <v>Embedded</v>
          </cell>
          <cell r="W660" t="str">
            <v>Finance</v>
          </cell>
          <cell r="AA660" t="str">
            <v>[10200]  PECO Energy CompanyEmbeddedFinance</v>
          </cell>
          <cell r="AB660" t="str">
            <v>[10200]  PECO Energy CompanyEmbedded (Finance)EDSS Offset</v>
          </cell>
          <cell r="AC660" t="str">
            <v>[10200]  PECO Energy CompanyEmbedded (Finance)EDSS Fin Srvcs PED (00340)</v>
          </cell>
          <cell r="AF660" t="str">
            <v>EEDControllerEDSS Offset</v>
          </cell>
        </row>
        <row r="661">
          <cell r="E661">
            <v>0</v>
          </cell>
          <cell r="H661">
            <v>0</v>
          </cell>
          <cell r="I661">
            <v>0</v>
          </cell>
          <cell r="J661">
            <v>0</v>
          </cell>
          <cell r="M661">
            <v>0</v>
          </cell>
          <cell r="N661">
            <v>0</v>
          </cell>
          <cell r="O661">
            <v>0</v>
          </cell>
          <cell r="R661">
            <v>0</v>
          </cell>
          <cell r="S661">
            <v>0</v>
          </cell>
          <cell r="V661" t="str">
            <v>Embedded</v>
          </cell>
          <cell r="W661" t="str">
            <v>Finance</v>
          </cell>
          <cell r="AA661" t="str">
            <v>[10200]  PECO Energy CompanyEmbeddedFinance</v>
          </cell>
          <cell r="AB661" t="str">
            <v>[10200]  PECO Energy CompanyEmbedded (Finance)EDSS Offset</v>
          </cell>
          <cell r="AC661" t="str">
            <v>[10200]  PECO Energy CompanyEmbedded (Finance)Controller EED PECO (00825)</v>
          </cell>
          <cell r="AF661" t="str">
            <v>EEDControllerEDSS Offset</v>
          </cell>
        </row>
        <row r="662">
          <cell r="E662">
            <v>21933.083517015868</v>
          </cell>
          <cell r="H662">
            <v>1362.8086617191257</v>
          </cell>
          <cell r="I662">
            <v>134.44364849011981</v>
          </cell>
          <cell r="J662">
            <v>81722.789812911011</v>
          </cell>
          <cell r="M662">
            <v>11031.641680162982</v>
          </cell>
          <cell r="N662">
            <v>233.1578779725678</v>
          </cell>
          <cell r="O662">
            <v>257618.69121720194</v>
          </cell>
          <cell r="R662">
            <v>29268.50438333553</v>
          </cell>
          <cell r="S662">
            <v>9924.188354694983</v>
          </cell>
          <cell r="V662" t="str">
            <v>Embedded</v>
          </cell>
          <cell r="W662" t="str">
            <v>Finance</v>
          </cell>
          <cell r="AA662" t="str">
            <v>[10601]  Commonwealth Edison CompanyEmbeddedFinance</v>
          </cell>
          <cell r="AB662" t="str">
            <v>[10601]  Commonwealth Edison CompanyEmbedded (Finance)Salaries and Wages</v>
          </cell>
          <cell r="AC662" t="str">
            <v>[10601]  Commonwealth Edison CompanyEmbedded (Finance)EDSS Business Ops CED (00197)</v>
          </cell>
          <cell r="AF662" t="str">
            <v>EEDFinanceSalaries and Wages</v>
          </cell>
        </row>
        <row r="663">
          <cell r="E663">
            <v>239.16763366895992</v>
          </cell>
          <cell r="H663">
            <v>-239.16763366895992</v>
          </cell>
          <cell r="I663">
            <v>-239.16763366895992</v>
          </cell>
          <cell r="J663">
            <v>611.77387211973974</v>
          </cell>
          <cell r="M663">
            <v>-611.77387211973974</v>
          </cell>
          <cell r="N663">
            <v>-231.32033437965242</v>
          </cell>
          <cell r="O663">
            <v>618.07422812025732</v>
          </cell>
          <cell r="R663">
            <v>-618.07422812025732</v>
          </cell>
          <cell r="S663">
            <v>-224.02295630269231</v>
          </cell>
          <cell r="V663" t="str">
            <v>Embedded</v>
          </cell>
          <cell r="W663" t="str">
            <v>Finance</v>
          </cell>
          <cell r="AA663" t="str">
            <v>[10601]  Commonwealth Edison CompanyEmbeddedFinance</v>
          </cell>
          <cell r="AB663" t="str">
            <v>[10601]  Commonwealth Edison CompanyEmbedded (Finance)Travel, Entertainment &amp; Reimb</v>
          </cell>
          <cell r="AC663" t="str">
            <v>[10601]  Commonwealth Edison CompanyEmbedded (Finance)EDSS Business Ops CED (00197)</v>
          </cell>
          <cell r="AF663" t="str">
            <v>EEDFinanceTravel, Entertainment &amp; Reimb</v>
          </cell>
        </row>
        <row r="664">
          <cell r="E664">
            <v>624.67385756241219</v>
          </cell>
          <cell r="H664">
            <v>-624.67385756241219</v>
          </cell>
          <cell r="I664">
            <v>-624.67385756241219</v>
          </cell>
          <cell r="J664">
            <v>2490.5171688553914</v>
          </cell>
          <cell r="M664">
            <v>-2490.5171688553914</v>
          </cell>
          <cell r="N664">
            <v>-588.28543682567829</v>
          </cell>
          <cell r="O664">
            <v>2516.1657712300271</v>
          </cell>
          <cell r="R664">
            <v>-2516.1657712300271</v>
          </cell>
          <cell r="S664">
            <v>-545.9466539350185</v>
          </cell>
          <cell r="V664" t="str">
            <v>Embedded</v>
          </cell>
          <cell r="W664" t="str">
            <v>Finance</v>
          </cell>
          <cell r="AA664" t="str">
            <v>[10601]  Commonwealth Edison CompanyEmbeddedFinance</v>
          </cell>
          <cell r="AB664" t="str">
            <v>[10601]  Commonwealth Edison CompanyEmbedded (Finance)Overtime</v>
          </cell>
          <cell r="AC664" t="str">
            <v>[10601]  Commonwealth Edison CompanyEmbedded (Finance)EDSS Business Ops CED (00197)</v>
          </cell>
          <cell r="AF664" t="str">
            <v>EEDFinanceOvertime</v>
          </cell>
        </row>
        <row r="665">
          <cell r="E665">
            <v>197.24840305228776</v>
          </cell>
          <cell r="H665">
            <v>-197.24840305228776</v>
          </cell>
          <cell r="I665">
            <v>-197.24840305228776</v>
          </cell>
          <cell r="J665">
            <v>7184.8710686153172</v>
          </cell>
          <cell r="M665">
            <v>-7184.8710686153172</v>
          </cell>
          <cell r="N665">
            <v>-71.842562372916291</v>
          </cell>
          <cell r="O665">
            <v>7258.8644959469702</v>
          </cell>
          <cell r="R665">
            <v>-7258.8644959469702</v>
          </cell>
          <cell r="S665">
            <v>108.3897186116983</v>
          </cell>
          <cell r="V665" t="str">
            <v>Embedded</v>
          </cell>
          <cell r="W665" t="str">
            <v>Finance</v>
          </cell>
          <cell r="AA665" t="str">
            <v>[10601]  Commonwealth Edison CompanyEmbeddedFinance</v>
          </cell>
          <cell r="AB665" t="str">
            <v>[10601]  Commonwealth Edison CompanyEmbedded (Finance)Salaries and Wages</v>
          </cell>
          <cell r="AC665" t="str">
            <v>[10601]  Commonwealth Edison CompanyEmbedded (Finance)EDSS Business Ops CED (00197)</v>
          </cell>
          <cell r="AF665" t="str">
            <v>EEDFinanceSalaries and Wages</v>
          </cell>
        </row>
        <row r="666">
          <cell r="E666">
            <v>3230.0570040549824</v>
          </cell>
          <cell r="H666">
            <v>-1261.8507781485084</v>
          </cell>
          <cell r="I666">
            <v>-1261.8507959259437</v>
          </cell>
          <cell r="J666">
            <v>9278.1202926273127</v>
          </cell>
          <cell r="M666">
            <v>-1405.2954078135917</v>
          </cell>
          <cell r="N666">
            <v>-1233.845976130443</v>
          </cell>
          <cell r="O666">
            <v>24240.383918490756</v>
          </cell>
          <cell r="R666">
            <v>-621.90931887272382</v>
          </cell>
          <cell r="S666">
            <v>-396.15227250238604</v>
          </cell>
          <cell r="V666" t="str">
            <v>Embedded</v>
          </cell>
          <cell r="W666" t="str">
            <v>Finance</v>
          </cell>
          <cell r="AA666" t="str">
            <v>[10601]  Commonwealth Edison CompanyEmbeddedFinance</v>
          </cell>
          <cell r="AB666" t="str">
            <v>[10601]  Commonwealth Edison CompanyEmbedded (Finance)Other Operating Expenses</v>
          </cell>
          <cell r="AC666" t="str">
            <v>[10601]  Commonwealth Edison CompanyEmbedded (Finance)EDSS Business Ops CED (00197)</v>
          </cell>
          <cell r="AF666" t="str">
            <v>EEDFinanceOther Operating Expenses</v>
          </cell>
        </row>
        <row r="667">
          <cell r="E667">
            <v>2420.4706585671724</v>
          </cell>
          <cell r="H667">
            <v>-521.84888111266696</v>
          </cell>
          <cell r="I667">
            <v>-521.84889826159451</v>
          </cell>
          <cell r="J667">
            <v>4620.0950542201172</v>
          </cell>
          <cell r="M667">
            <v>2974.3920374508189</v>
          </cell>
          <cell r="N667">
            <v>-563.07193499858204</v>
          </cell>
          <cell r="O667">
            <v>19008.802414891135</v>
          </cell>
          <cell r="R667">
            <v>3774.6756079727238</v>
          </cell>
          <cell r="S667">
            <v>157.25590866831772</v>
          </cell>
          <cell r="V667" t="str">
            <v>Embedded</v>
          </cell>
          <cell r="W667" t="str">
            <v>Finance</v>
          </cell>
          <cell r="AA667" t="str">
            <v>[10601]  Commonwealth Edison CompanyEmbeddedFinance</v>
          </cell>
          <cell r="AB667" t="str">
            <v>[10601]  Commonwealth Edison CompanyEmbedded (Finance)Other Operating Expenses</v>
          </cell>
          <cell r="AC667" t="str">
            <v>[10601]  Commonwealth Edison CompanyEmbedded (Finance)EDSS Business Ops CED (00197)</v>
          </cell>
          <cell r="AF667" t="str">
            <v>EEDFinanceOther Operating Expenses</v>
          </cell>
        </row>
        <row r="668">
          <cell r="E668">
            <v>691.22941372031516</v>
          </cell>
          <cell r="H668">
            <v>-691.22941372031516</v>
          </cell>
          <cell r="I668">
            <v>-691.22941372031516</v>
          </cell>
          <cell r="J668">
            <v>2071.4049235875846</v>
          </cell>
          <cell r="M668">
            <v>-2071.4049235875846</v>
          </cell>
          <cell r="N668">
            <v>-663.14992914343065</v>
          </cell>
          <cell r="O668">
            <v>2092.7372966008484</v>
          </cell>
          <cell r="R668">
            <v>-2092.7372966008484</v>
          </cell>
          <cell r="S668">
            <v>-634.15006699999708</v>
          </cell>
          <cell r="V668" t="str">
            <v>Embedded</v>
          </cell>
          <cell r="W668" t="str">
            <v>Finance</v>
          </cell>
          <cell r="AA668" t="str">
            <v>[10601]  Commonwealth Edison CompanyEmbeddedFinance</v>
          </cell>
          <cell r="AB668" t="str">
            <v>[10601]  Commonwealth Edison CompanyEmbedded (Finance)Travel, Entertainment &amp; Reimb</v>
          </cell>
          <cell r="AC668" t="str">
            <v>[10601]  Commonwealth Edison CompanyEmbedded (Finance)EDSS Business Ops CED (00197)</v>
          </cell>
          <cell r="AF668" t="str">
            <v>EEDFinanceTravel, Entertainment &amp; Reimb</v>
          </cell>
        </row>
        <row r="669">
          <cell r="E669">
            <v>6765.0482043246184</v>
          </cell>
          <cell r="H669">
            <v>1227.0619251137914</v>
          </cell>
          <cell r="I669">
            <v>1227.0618529266303</v>
          </cell>
          <cell r="J669">
            <v>25101.589828524659</v>
          </cell>
          <cell r="M669">
            <v>6866.8506128401459</v>
          </cell>
          <cell r="N669">
            <v>1197.7743491130968</v>
          </cell>
          <cell r="O669">
            <v>85727.96301366383</v>
          </cell>
          <cell r="R669">
            <v>10177.358087815461</v>
          </cell>
          <cell r="S669">
            <v>4501.3036557042506</v>
          </cell>
          <cell r="V669" t="str">
            <v>Embedded</v>
          </cell>
          <cell r="W669" t="str">
            <v>Finance</v>
          </cell>
          <cell r="AA669" t="str">
            <v>[10601]  Commonwealth Edison CompanyEmbeddedFinance</v>
          </cell>
          <cell r="AB669" t="str">
            <v>[10601]  Commonwealth Edison CompanyEmbedded (Finance)Business Services</v>
          </cell>
          <cell r="AC669" t="str">
            <v>[10601]  Commonwealth Edison CompanyEmbedded (Finance)EDSS Business Ops CED (00197)</v>
          </cell>
          <cell r="AF669" t="str">
            <v>EEDFinanceBusiness Services</v>
          </cell>
        </row>
        <row r="670">
          <cell r="E670">
            <v>-446540.17</v>
          </cell>
          <cell r="H670">
            <v>-8522.1299999999992</v>
          </cell>
          <cell r="I670">
            <v>5909.03</v>
          </cell>
          <cell r="J670">
            <v>-1527224.41</v>
          </cell>
          <cell r="M670">
            <v>-285874.09000000003</v>
          </cell>
          <cell r="N670">
            <v>5909.03</v>
          </cell>
          <cell r="O670">
            <v>-5009263.09</v>
          </cell>
          <cell r="R670">
            <v>-573775.63</v>
          </cell>
          <cell r="S670">
            <v>-183295.05</v>
          </cell>
          <cell r="V670" t="str">
            <v>Embedded</v>
          </cell>
          <cell r="W670" t="str">
            <v>Finance</v>
          </cell>
          <cell r="AA670" t="str">
            <v>[10601]  Commonwealth Edison CompanyEmbeddedFinance</v>
          </cell>
          <cell r="AB670" t="str">
            <v>[10601]  Commonwealth Edison CompanyEmbedded (Finance)EDSS Offset</v>
          </cell>
          <cell r="AC670" t="str">
            <v>[10601]  Commonwealth Edison CompanyEmbedded (Finance)EDSS Business Ops CED (00197)</v>
          </cell>
          <cell r="AF670" t="str">
            <v>EEDFinanceEDSS Offset</v>
          </cell>
        </row>
        <row r="671">
          <cell r="E671">
            <v>-105716.08</v>
          </cell>
          <cell r="H671">
            <v>29925.26</v>
          </cell>
          <cell r="I671">
            <v>28665.21</v>
          </cell>
          <cell r="J671">
            <v>-431127.66</v>
          </cell>
          <cell r="M671">
            <v>129262.3</v>
          </cell>
          <cell r="N671">
            <v>28665.21</v>
          </cell>
          <cell r="O671">
            <v>-1391804.97</v>
          </cell>
          <cell r="R671">
            <v>361134.17</v>
          </cell>
          <cell r="S671">
            <v>377194.48</v>
          </cell>
          <cell r="V671" t="str">
            <v>Embedded</v>
          </cell>
          <cell r="W671" t="str">
            <v>Finance</v>
          </cell>
          <cell r="AA671" t="str">
            <v>[10601]  Commonwealth Edison CompanyEmbeddedFinance</v>
          </cell>
          <cell r="AB671" t="str">
            <v>[10601]  Commonwealth Edison CompanyEmbedded (Finance)EDSS Offset</v>
          </cell>
          <cell r="AC671" t="str">
            <v>[10601]  Commonwealth Edison CompanyEmbedded (Finance)EDSS Fin Srvcs CED (00398)</v>
          </cell>
          <cell r="AF671" t="str">
            <v>EEDControllerEDSS Offset</v>
          </cell>
        </row>
        <row r="672">
          <cell r="E672">
            <v>30566.713183071548</v>
          </cell>
          <cell r="H672">
            <v>11435.126891757176</v>
          </cell>
          <cell r="I672">
            <v>18435.434528354377</v>
          </cell>
          <cell r="J672">
            <v>67005.737037485946</v>
          </cell>
          <cell r="M672">
            <v>101001.62286037409</v>
          </cell>
          <cell r="N672">
            <v>16847.632181921654</v>
          </cell>
          <cell r="O672">
            <v>437830.20217583131</v>
          </cell>
          <cell r="R672">
            <v>66191.876347814337</v>
          </cell>
          <cell r="S672">
            <v>35231.341398511897</v>
          </cell>
          <cell r="V672" t="str">
            <v>Embedded</v>
          </cell>
          <cell r="W672" t="str">
            <v>Finance</v>
          </cell>
          <cell r="AA672" t="str">
            <v>[10601]  Commonwealth Edison CompanyEmbeddedFinance</v>
          </cell>
          <cell r="AB672" t="str">
            <v>[10601]  Commonwealth Edison CompanyEmbedded (Finance)Contracting</v>
          </cell>
          <cell r="AC672" t="str">
            <v>[10601]  Commonwealth Edison CompanyEmbedded (Finance)EDSS Business Ops CED (00197)</v>
          </cell>
          <cell r="AF672" t="str">
            <v>EEDFinanceContracting</v>
          </cell>
        </row>
        <row r="673">
          <cell r="E673">
            <v>3635.0198104255119</v>
          </cell>
          <cell r="H673">
            <v>2291.8262410615093</v>
          </cell>
          <cell r="I673">
            <v>2291.8261875284393</v>
          </cell>
          <cell r="J673">
            <v>12248.4113094026</v>
          </cell>
          <cell r="M673">
            <v>11458.972839896513</v>
          </cell>
          <cell r="N673">
            <v>2174.3486678681184</v>
          </cell>
          <cell r="O673">
            <v>57142.567318947207</v>
          </cell>
          <cell r="R673">
            <v>13979.568163125652</v>
          </cell>
          <cell r="S673">
            <v>4508.1875521366019</v>
          </cell>
          <cell r="V673" t="str">
            <v>Embedded</v>
          </cell>
          <cell r="W673" t="str">
            <v>Finance</v>
          </cell>
          <cell r="AA673" t="str">
            <v>[10601]  Commonwealth Edison CompanyEmbeddedFinance</v>
          </cell>
          <cell r="AB673" t="str">
            <v>[10601]  Commonwealth Edison CompanyEmbedded (Finance)Travel, Entertainment &amp; Reimb</v>
          </cell>
          <cell r="AC673" t="str">
            <v>[10601]  Commonwealth Edison CompanyEmbedded (Finance)EDSS Business Ops CED (00197)</v>
          </cell>
          <cell r="AF673" t="str">
            <v>EEDFinanceTravel, Entertainment &amp; Reimb</v>
          </cell>
        </row>
        <row r="674">
          <cell r="E674">
            <v>193117.24433366483</v>
          </cell>
          <cell r="H674">
            <v>25787.529950110795</v>
          </cell>
          <cell r="I674">
            <v>15976.31403825109</v>
          </cell>
          <cell r="J674">
            <v>738132.93644159473</v>
          </cell>
          <cell r="M674">
            <v>133455.89724756347</v>
          </cell>
          <cell r="N674">
            <v>16454.234784785775</v>
          </cell>
          <cell r="O674">
            <v>2402288.0633631777</v>
          </cell>
          <cell r="R674">
            <v>293512.51830678806</v>
          </cell>
          <cell r="S674">
            <v>107774.51003964804</v>
          </cell>
          <cell r="V674" t="str">
            <v>Embedded</v>
          </cell>
          <cell r="W674" t="str">
            <v>Finance</v>
          </cell>
          <cell r="AA674" t="str">
            <v>[10601]  Commonwealth Edison CompanyEmbeddedFinance</v>
          </cell>
          <cell r="AB674" t="str">
            <v>[10601]  Commonwealth Edison CompanyEmbedded (Finance)Salaries and Wages</v>
          </cell>
          <cell r="AC674" t="str">
            <v>[10601]  Commonwealth Edison CompanyEmbedded (Finance)EDSS Business Ops CED (00197)</v>
          </cell>
          <cell r="AF674" t="str">
            <v>EEDFinanceSalaries and Wages</v>
          </cell>
        </row>
        <row r="675">
          <cell r="E675">
            <v>0</v>
          </cell>
          <cell r="H675">
            <v>1008.0441617958895</v>
          </cell>
          <cell r="I675">
            <v>504.02207634546448</v>
          </cell>
          <cell r="J675">
            <v>11.775903193753251</v>
          </cell>
          <cell r="M675">
            <v>4020.4007343548878</v>
          </cell>
          <cell r="N675">
            <v>479.63193002789092</v>
          </cell>
          <cell r="O675">
            <v>3818.9939409948274</v>
          </cell>
          <cell r="R675">
            <v>8277.5359435726677</v>
          </cell>
          <cell r="S675">
            <v>662.43512795992228</v>
          </cell>
          <cell r="V675" t="str">
            <v>Embedded</v>
          </cell>
          <cell r="W675" t="str">
            <v>Finance</v>
          </cell>
          <cell r="AA675" t="str">
            <v>[10601]  Commonwealth Edison CompanyEmbeddedFinance</v>
          </cell>
          <cell r="AB675" t="str">
            <v>[10601]  Commonwealth Edison CompanyEmbedded (Finance)Transportation</v>
          </cell>
          <cell r="AC675" t="str">
            <v>[10601]  Commonwealth Edison CompanyEmbedded (Finance)EDSS Business Ops CED (00197)</v>
          </cell>
          <cell r="AF675" t="str">
            <v>EEDFinanceTransportation</v>
          </cell>
        </row>
        <row r="676">
          <cell r="E676">
            <v>138242.08373982023</v>
          </cell>
          <cell r="H676">
            <v>7859.6200861324905</v>
          </cell>
          <cell r="I676">
            <v>155.85133875563042</v>
          </cell>
          <cell r="J676">
            <v>518312.03376477084</v>
          </cell>
          <cell r="M676">
            <v>63403.482844943646</v>
          </cell>
          <cell r="N676">
            <v>869.13943266659044</v>
          </cell>
          <cell r="O676">
            <v>1621514.2357376181</v>
          </cell>
          <cell r="R676">
            <v>177717.55422727321</v>
          </cell>
          <cell r="S676">
            <v>61772.985324294074</v>
          </cell>
          <cell r="V676" t="str">
            <v>Embedded</v>
          </cell>
          <cell r="W676" t="str">
            <v>Finance</v>
          </cell>
          <cell r="AA676" t="str">
            <v>[10601]  Commonwealth Edison CompanyEmbeddedFinance</v>
          </cell>
          <cell r="AB676" t="str">
            <v>[10601]  Commonwealth Edison CompanyEmbedded (Finance)Pension and Benefits</v>
          </cell>
          <cell r="AC676" t="str">
            <v>[10601]  Commonwealth Edison CompanyEmbedded (Finance)EDSS Business Ops CED (00197)</v>
          </cell>
          <cell r="AF676" t="str">
            <v>EEDFinancePension and Benefits</v>
          </cell>
        </row>
        <row r="677">
          <cell r="E677">
            <v>44878.130241051193</v>
          </cell>
          <cell r="H677">
            <v>-38913.868950425516</v>
          </cell>
          <cell r="I677">
            <v>-41097.964668460212</v>
          </cell>
          <cell r="J677">
            <v>58432.353522090925</v>
          </cell>
          <cell r="M677">
            <v>-34575.308416594795</v>
          </cell>
          <cell r="N677">
            <v>-40813.433050504638</v>
          </cell>
          <cell r="O677">
            <v>87587.345107284462</v>
          </cell>
          <cell r="R677">
            <v>-16016.209956926774</v>
          </cell>
          <cell r="S677">
            <v>-39545.275130489201</v>
          </cell>
          <cell r="V677" t="str">
            <v>Embedded</v>
          </cell>
          <cell r="W677" t="str">
            <v>Finance</v>
          </cell>
          <cell r="AA677" t="str">
            <v>[10601]  Commonwealth Edison CompanyEmbeddedFinance</v>
          </cell>
          <cell r="AB677" t="str">
            <v>[10601]  Commonwealth Edison CompanyEmbedded (Finance)Other Operating Expenses</v>
          </cell>
          <cell r="AC677" t="str">
            <v>[10601]  Commonwealth Edison CompanyEmbedded (Finance)EDSS Business Ops CED (00197)</v>
          </cell>
          <cell r="AF677" t="str">
            <v>EEDFinanceOther Operating Expenses</v>
          </cell>
        </row>
        <row r="678">
          <cell r="E678">
            <v>11889.938025147831</v>
          </cell>
          <cell r="H678">
            <v>2965.627747081995</v>
          </cell>
          <cell r="I678">
            <v>2182.3113026189567</v>
          </cell>
          <cell r="J678">
            <v>44760.256951417439</v>
          </cell>
          <cell r="M678">
            <v>14388.349082394794</v>
          </cell>
          <cell r="N678">
            <v>2398.5567082165289</v>
          </cell>
          <cell r="O678">
            <v>138598.93443594303</v>
          </cell>
          <cell r="R678">
            <v>44346.261458554713</v>
          </cell>
          <cell r="S678">
            <v>27129.269347691181</v>
          </cell>
          <cell r="V678" t="str">
            <v>Embedded</v>
          </cell>
          <cell r="W678" t="str">
            <v>Finance</v>
          </cell>
          <cell r="AA678" t="str">
            <v>[10200]  PECO Energy CompanyEmbeddedFinance</v>
          </cell>
          <cell r="AB678" t="str">
            <v>[10200]  PECO Energy CompanyEmbedded (Finance)Salaries and Wages</v>
          </cell>
          <cell r="AC678" t="str">
            <v>[10200]  PECO Energy CompanyEmbedded (Finance)EDSS Business Ops PED (00198)</v>
          </cell>
          <cell r="AF678" t="str">
            <v>EEDFinanceSalaries and Wages</v>
          </cell>
        </row>
        <row r="679">
          <cell r="E679">
            <v>129.65292088269467</v>
          </cell>
          <cell r="H679">
            <v>-129.65292088269467</v>
          </cell>
          <cell r="I679">
            <v>-129.65292088269467</v>
          </cell>
          <cell r="J679">
            <v>335.07367742745618</v>
          </cell>
          <cell r="M679">
            <v>-335.07367742745618</v>
          </cell>
          <cell r="N679">
            <v>-116.15439215355704</v>
          </cell>
          <cell r="O679">
            <v>332.52412321107846</v>
          </cell>
          <cell r="R679">
            <v>-332.52412321107846</v>
          </cell>
          <cell r="S679">
            <v>-88.43087886281279</v>
          </cell>
          <cell r="V679" t="str">
            <v>Embedded</v>
          </cell>
          <cell r="W679" t="str">
            <v>Finance</v>
          </cell>
          <cell r="AA679" t="str">
            <v>[10200]  PECO Energy CompanyEmbeddedFinance</v>
          </cell>
          <cell r="AB679" t="str">
            <v>[10200]  PECO Energy CompanyEmbedded (Finance)Travel, Entertainment &amp; Reimb</v>
          </cell>
          <cell r="AC679" t="str">
            <v>[10200]  PECO Energy CompanyEmbedded (Finance)EDSS Business Ops PED (00198)</v>
          </cell>
          <cell r="AF679" t="str">
            <v>EEDFinanceTravel, Entertainment &amp; Reimb</v>
          </cell>
        </row>
        <row r="680">
          <cell r="E680">
            <v>338.63608126896145</v>
          </cell>
          <cell r="H680">
            <v>-338.63608126896145</v>
          </cell>
          <cell r="I680">
            <v>-338.63608126896145</v>
          </cell>
          <cell r="J680">
            <v>1364.0771279968274</v>
          </cell>
          <cell r="M680">
            <v>-1364.0771279968274</v>
          </cell>
          <cell r="N680">
            <v>-269.50139169293698</v>
          </cell>
          <cell r="O680">
            <v>1353.697952229129</v>
          </cell>
          <cell r="R680">
            <v>-1353.697952229129</v>
          </cell>
          <cell r="S680">
            <v>-133.25479974473251</v>
          </cell>
          <cell r="V680" t="str">
            <v>Embedded</v>
          </cell>
          <cell r="W680" t="str">
            <v>Finance</v>
          </cell>
          <cell r="AA680" t="str">
            <v>[10200]  PECO Energy CompanyEmbeddedFinance</v>
          </cell>
          <cell r="AB680" t="str">
            <v>[10200]  PECO Energy CompanyEmbedded (Finance)Overtime</v>
          </cell>
          <cell r="AC680" t="str">
            <v>[10200]  PECO Energy CompanyEmbedded (Finance)EDSS Business Ops PED (00198)</v>
          </cell>
          <cell r="AF680" t="str">
            <v>EEDFinanceOvertime</v>
          </cell>
        </row>
        <row r="681">
          <cell r="E681">
            <v>106.92848025821817</v>
          </cell>
          <cell r="H681">
            <v>-106.92848025821817</v>
          </cell>
          <cell r="I681">
            <v>-106.92848025821817</v>
          </cell>
          <cell r="J681">
            <v>3935.2141052729849</v>
          </cell>
          <cell r="M681">
            <v>-3935.2141052729849</v>
          </cell>
          <cell r="N681">
            <v>157.74065069847302</v>
          </cell>
          <cell r="O681">
            <v>3905.2713124177635</v>
          </cell>
          <cell r="R681">
            <v>-3905.2713124177635</v>
          </cell>
          <cell r="S681">
            <v>658.3403589147465</v>
          </cell>
          <cell r="V681" t="str">
            <v>Embedded</v>
          </cell>
          <cell r="W681" t="str">
            <v>Finance</v>
          </cell>
          <cell r="AA681" t="str">
            <v>[10200]  PECO Energy CompanyEmbeddedFinance</v>
          </cell>
          <cell r="AB681" t="str">
            <v>[10200]  PECO Energy CompanyEmbedded (Finance)Salaries and Wages</v>
          </cell>
          <cell r="AC681" t="str">
            <v>[10200]  PECO Energy CompanyEmbedded (Finance)EDSS Business Ops PED (00198)</v>
          </cell>
          <cell r="AF681" t="str">
            <v>EEDFinanceSalaries and Wages</v>
          </cell>
        </row>
        <row r="682">
          <cell r="E682">
            <v>1751.0158827468722</v>
          </cell>
          <cell r="H682">
            <v>-495.90975425286661</v>
          </cell>
          <cell r="I682">
            <v>-495.90975864321967</v>
          </cell>
          <cell r="J682">
            <v>5081.7042501227606</v>
          </cell>
          <cell r="M682">
            <v>-61.279781025438751</v>
          </cell>
          <cell r="N682">
            <v>-452.89518614248391</v>
          </cell>
          <cell r="O682">
            <v>13041.333940278366</v>
          </cell>
          <cell r="R682">
            <v>2019.9393706879237</v>
          </cell>
          <cell r="S682">
            <v>1728.8654670604046</v>
          </cell>
          <cell r="V682" t="str">
            <v>Embedded</v>
          </cell>
          <cell r="W682" t="str">
            <v>Finance</v>
          </cell>
          <cell r="AA682" t="str">
            <v>[10200]  PECO Energy CompanyEmbeddedFinance</v>
          </cell>
          <cell r="AB682" t="str">
            <v>[10200]  PECO Energy CompanyEmbedded (Finance)Other Operating Expenses</v>
          </cell>
          <cell r="AC682" t="str">
            <v>[10200]  PECO Energy CompanyEmbedded (Finance)EDSS Business Ops PED (00198)</v>
          </cell>
          <cell r="AF682" t="str">
            <v>EEDFinanceOther Operating Expenses</v>
          </cell>
        </row>
        <row r="683">
          <cell r="E683">
            <v>1312.1386283750417</v>
          </cell>
          <cell r="H683">
            <v>-101.40583157279912</v>
          </cell>
          <cell r="I683">
            <v>-101.40583580793464</v>
          </cell>
          <cell r="J683">
            <v>2530.4647851632017</v>
          </cell>
          <cell r="M683">
            <v>2312.4663587537207</v>
          </cell>
          <cell r="N683">
            <v>-195.98629174352936</v>
          </cell>
          <cell r="O683">
            <v>10226.741495965538</v>
          </cell>
          <cell r="R683">
            <v>4302.0625565322462</v>
          </cell>
          <cell r="S683">
            <v>1645.5850060832527</v>
          </cell>
          <cell r="V683" t="str">
            <v>Embedded</v>
          </cell>
          <cell r="W683" t="str">
            <v>Finance</v>
          </cell>
          <cell r="AA683" t="str">
            <v>[10200]  PECO Energy CompanyEmbeddedFinance</v>
          </cell>
          <cell r="AB683" t="str">
            <v>[10200]  PECO Energy CompanyEmbedded (Finance)Other Operating Expenses</v>
          </cell>
          <cell r="AC683" t="str">
            <v>[10200]  PECO Energy CompanyEmbedded (Finance)EDSS Business Ops PED (00198)</v>
          </cell>
          <cell r="AF683" t="str">
            <v>EEDFinanceOther Operating Expenses</v>
          </cell>
        </row>
        <row r="684">
          <cell r="E684">
            <v>374.71588907768944</v>
          </cell>
          <cell r="H684">
            <v>-374.71588907768944</v>
          </cell>
          <cell r="I684">
            <v>-374.71588907768944</v>
          </cell>
          <cell r="J684">
            <v>1134.5258384162946</v>
          </cell>
          <cell r="M684">
            <v>-1134.5258384162946</v>
          </cell>
          <cell r="N684">
            <v>-324.19252229471113</v>
          </cell>
          <cell r="O684">
            <v>1125.893303753676</v>
          </cell>
          <cell r="R684">
            <v>-1125.893303753676</v>
          </cell>
          <cell r="S684">
            <v>-222.37816625387052</v>
          </cell>
          <cell r="V684" t="str">
            <v>Embedded</v>
          </cell>
          <cell r="W684" t="str">
            <v>Finance</v>
          </cell>
          <cell r="AA684" t="str">
            <v>[10200]  PECO Energy CompanyEmbeddedFinance</v>
          </cell>
          <cell r="AB684" t="str">
            <v>[10200]  PECO Energy CompanyEmbedded (Finance)Travel, Entertainment &amp; Reimb</v>
          </cell>
          <cell r="AC684" t="str">
            <v>[10200]  PECO Energy CompanyEmbedded (Finance)EDSS Business Ops PED (00198)</v>
          </cell>
          <cell r="AF684" t="str">
            <v>EEDFinanceTravel, Entertainment &amp; Reimb</v>
          </cell>
        </row>
        <row r="685">
          <cell r="E685">
            <v>3667.3367802641342</v>
          </cell>
          <cell r="H685">
            <v>1429.154771802434</v>
          </cell>
          <cell r="I685">
            <v>1429.1547539749399</v>
          </cell>
          <cell r="J685">
            <v>13748.351141536104</v>
          </cell>
          <cell r="M685">
            <v>6637.6148844954459</v>
          </cell>
          <cell r="N685">
            <v>1384.739861181095</v>
          </cell>
          <cell r="O685">
            <v>46121.670244182809</v>
          </cell>
          <cell r="R685">
            <v>15036.227442771218</v>
          </cell>
          <cell r="S685">
            <v>9770.4331739925838</v>
          </cell>
          <cell r="V685" t="str">
            <v>Embedded</v>
          </cell>
          <cell r="W685" t="str">
            <v>Finance</v>
          </cell>
          <cell r="AA685" t="str">
            <v>[10200]  PECO Energy CompanyEmbeddedFinance</v>
          </cell>
          <cell r="AB685" t="str">
            <v>[10200]  PECO Energy CompanyEmbedded (Finance)Business Services</v>
          </cell>
          <cell r="AC685" t="str">
            <v>[10200]  PECO Energy CompanyEmbedded (Finance)EDSS Business Ops PED (00198)</v>
          </cell>
          <cell r="AF685" t="str">
            <v>EEDFinanceBusiness Services</v>
          </cell>
        </row>
        <row r="686">
          <cell r="E686">
            <v>16570.233961733331</v>
          </cell>
          <cell r="H686">
            <v>10213.934380008148</v>
          </cell>
          <cell r="I686">
            <v>14677.96322046468</v>
          </cell>
          <cell r="J686">
            <v>36699.60379330015</v>
          </cell>
          <cell r="M686">
            <v>70437.068615947021</v>
          </cell>
          <cell r="N686">
            <v>11551.017731638953</v>
          </cell>
          <cell r="O686">
            <v>235552.7822873737</v>
          </cell>
          <cell r="R686">
            <v>85857.232884762256</v>
          </cell>
          <cell r="S686">
            <v>57483.010783026199</v>
          </cell>
          <cell r="V686" t="str">
            <v>Embedded</v>
          </cell>
          <cell r="W686" t="str">
            <v>Finance</v>
          </cell>
          <cell r="AA686" t="str">
            <v>[10200]  PECO Energy CompanyEmbeddedFinance</v>
          </cell>
          <cell r="AB686" t="str">
            <v>[10200]  PECO Energy CompanyEmbedded (Finance)Contracting</v>
          </cell>
          <cell r="AC686" t="str">
            <v>[10200]  PECO Energy CompanyEmbedded (Finance)EDSS Business Ops PED (00198)</v>
          </cell>
          <cell r="AF686" t="str">
            <v>EEDFinanceContracting</v>
          </cell>
        </row>
        <row r="687">
          <cell r="E687">
            <v>1970.5464684258095</v>
          </cell>
          <cell r="H687">
            <v>1808.946098942657</v>
          </cell>
          <cell r="I687">
            <v>1808.9460857220165</v>
          </cell>
          <cell r="J687">
            <v>6708.5575359162958</v>
          </cell>
          <cell r="M687">
            <v>8409.4125984146467</v>
          </cell>
          <cell r="N687">
            <v>1590.5381293687096</v>
          </cell>
          <cell r="O687">
            <v>30742.718643279055</v>
          </cell>
          <cell r="R687">
            <v>14611.180755981739</v>
          </cell>
          <cell r="S687">
            <v>7446.5573450739248</v>
          </cell>
          <cell r="V687" t="str">
            <v>Embedded</v>
          </cell>
          <cell r="W687" t="str">
            <v>Finance</v>
          </cell>
          <cell r="AA687" t="str">
            <v>[10200]  PECO Energy CompanyEmbeddedFinance</v>
          </cell>
          <cell r="AB687" t="str">
            <v>[10200]  PECO Energy CompanyEmbedded (Finance)Travel, Entertainment &amp; Reimb</v>
          </cell>
          <cell r="AC687" t="str">
            <v>[10200]  PECO Energy CompanyEmbedded (Finance)EDSS Business Ops PED (00198)</v>
          </cell>
          <cell r="AF687" t="str">
            <v>EEDFinanceTravel, Entertainment &amp; Reimb</v>
          </cell>
        </row>
        <row r="688">
          <cell r="E688">
            <v>104688.97658339886</v>
          </cell>
          <cell r="H688">
            <v>34904.486816822799</v>
          </cell>
          <cell r="I688">
            <v>28647.96978904678</v>
          </cell>
          <cell r="J688">
            <v>404281.59605254169</v>
          </cell>
          <cell r="M688">
            <v>151522.1937771595</v>
          </cell>
          <cell r="N688">
            <v>29920.396608615236</v>
          </cell>
          <cell r="O688">
            <v>1292431.7106696384</v>
          </cell>
          <cell r="R688">
            <v>426654.30316843954</v>
          </cell>
          <cell r="S688">
            <v>262414.98284061882</v>
          </cell>
          <cell r="V688" t="str">
            <v>Embedded</v>
          </cell>
          <cell r="W688" t="str">
            <v>Finance</v>
          </cell>
          <cell r="AA688" t="str">
            <v>[10200]  PECO Energy CompanyEmbeddedFinance</v>
          </cell>
          <cell r="AB688" t="str">
            <v>[10200]  PECO Energy CompanyEmbedded (Finance)Salaries and Wages</v>
          </cell>
          <cell r="AC688" t="str">
            <v>[10200]  PECO Energy CompanyEmbedded (Finance)EDSS Business Ops PED (00198)</v>
          </cell>
          <cell r="AF688" t="str">
            <v>EEDFinanceSalaries and Wages</v>
          </cell>
        </row>
        <row r="689">
          <cell r="E689">
            <v>0</v>
          </cell>
          <cell r="H689">
            <v>642.82004020179545</v>
          </cell>
          <cell r="I689">
            <v>321.4100189766076</v>
          </cell>
          <cell r="J689">
            <v>6.4497608805829083</v>
          </cell>
          <cell r="M689">
            <v>2564.8303769413492</v>
          </cell>
          <cell r="N689">
            <v>276.31446905903141</v>
          </cell>
          <cell r="O689">
            <v>2054.6199048613998</v>
          </cell>
          <cell r="R689">
            <v>5659.2204592698627</v>
          </cell>
          <cell r="S689">
            <v>721.38067930682519</v>
          </cell>
          <cell r="V689" t="str">
            <v>Embedded</v>
          </cell>
          <cell r="W689" t="str">
            <v>Finance</v>
          </cell>
          <cell r="AA689" t="str">
            <v>[10200]  PECO Energy CompanyEmbeddedFinance</v>
          </cell>
          <cell r="AB689" t="str">
            <v>[10200]  PECO Energy CompanyEmbedded (Finance)Transportation</v>
          </cell>
          <cell r="AC689" t="str">
            <v>[10200]  PECO Energy CompanyEmbedded (Finance)EDSS Business Ops PED (00198)</v>
          </cell>
          <cell r="AF689" t="str">
            <v>EEDFinanceTransportation</v>
          </cell>
        </row>
        <row r="690">
          <cell r="E690">
            <v>74941.11837300811</v>
          </cell>
          <cell r="H690">
            <v>18226.529123338623</v>
          </cell>
          <cell r="I690">
            <v>13313.910578222582</v>
          </cell>
          <cell r="J690">
            <v>283883.84519709175</v>
          </cell>
          <cell r="M690">
            <v>87070.52713683591</v>
          </cell>
          <cell r="N690">
            <v>14861.625903495529</v>
          </cell>
          <cell r="O690">
            <v>872375.1533092946</v>
          </cell>
          <cell r="R690">
            <v>274977.59481774049</v>
          </cell>
          <cell r="S690">
            <v>170329.35837466759</v>
          </cell>
          <cell r="V690" t="str">
            <v>Embedded</v>
          </cell>
          <cell r="W690" t="str">
            <v>Finance</v>
          </cell>
          <cell r="AA690" t="str">
            <v>[10200]  PECO Energy CompanyEmbeddedFinance</v>
          </cell>
          <cell r="AB690" t="str">
            <v>[10200]  PECO Energy CompanyEmbedded (Finance)Pension and Benefits</v>
          </cell>
          <cell r="AC690" t="str">
            <v>[10200]  PECO Energy CompanyEmbedded (Finance)EDSS Business Ops PED (00198)</v>
          </cell>
          <cell r="AF690" t="str">
            <v>EEDFinancePension and Benefits</v>
          </cell>
        </row>
        <row r="691">
          <cell r="E691">
            <v>24328.461925412426</v>
          </cell>
          <cell r="H691">
            <v>-20525.110020885135</v>
          </cell>
          <cell r="I691">
            <v>-21917.88678308787</v>
          </cell>
          <cell r="J691">
            <v>32003.889782916456</v>
          </cell>
          <cell r="M691">
            <v>-16790.482300803356</v>
          </cell>
          <cell r="N691">
            <v>-21865.670278246238</v>
          </cell>
          <cell r="O691">
            <v>47122.018377571214</v>
          </cell>
          <cell r="R691">
            <v>-1481.7962231279089</v>
          </cell>
          <cell r="S691">
            <v>-17362.579531573712</v>
          </cell>
          <cell r="V691" t="str">
            <v>Embedded</v>
          </cell>
          <cell r="W691" t="str">
            <v>Finance</v>
          </cell>
          <cell r="AA691" t="str">
            <v>[10200]  PECO Energy CompanyEmbeddedFinance</v>
          </cell>
          <cell r="AB691" t="str">
            <v>[10200]  PECO Energy CompanyEmbedded (Finance)Other Operating Expenses</v>
          </cell>
          <cell r="AC691" t="str">
            <v>[10200]  PECO Energy CompanyEmbedded (Finance)EDSS Business Ops PED (00198)</v>
          </cell>
          <cell r="AF691" t="str">
            <v>EEDFinanceOther Operating Expenses</v>
          </cell>
        </row>
        <row r="692">
          <cell r="E692">
            <v>0</v>
          </cell>
          <cell r="H692">
            <v>147.31291704207817</v>
          </cell>
          <cell r="I692">
            <v>147.31290204518575</v>
          </cell>
          <cell r="J692">
            <v>1013.2883298003229</v>
          </cell>
          <cell r="M692">
            <v>-424.03665277590949</v>
          </cell>
          <cell r="N692">
            <v>85.920105263005894</v>
          </cell>
          <cell r="O692">
            <v>2549.4709746969934</v>
          </cell>
          <cell r="R692">
            <v>-781.71585088465827</v>
          </cell>
          <cell r="S692">
            <v>-315.2801970108012</v>
          </cell>
          <cell r="V692" t="str">
            <v>Embedded</v>
          </cell>
          <cell r="W692" t="str">
            <v>Finance</v>
          </cell>
          <cell r="AA692" t="str">
            <v>[10200]  PECO Energy CompanyEmbeddedFinance</v>
          </cell>
          <cell r="AB692" t="str">
            <v>[10200]  PECO Energy CompanyEmbedded (Finance)Other Operating Expenses</v>
          </cell>
          <cell r="AC692" t="str">
            <v>[10200]  PECO Energy CompanyEmbedded (Finance)Controller EED PECO (00825)</v>
          </cell>
          <cell r="AF692" t="str">
            <v>EEDControllerOther Operating Expenses</v>
          </cell>
        </row>
        <row r="693">
          <cell r="E693">
            <v>24384.873973963568</v>
          </cell>
          <cell r="H693">
            <v>-6683.8315362709836</v>
          </cell>
          <cell r="I693">
            <v>-6683.8333382896708</v>
          </cell>
          <cell r="J693">
            <v>88704.081175705811</v>
          </cell>
          <cell r="M693">
            <v>-18264.338417280276</v>
          </cell>
          <cell r="N693">
            <v>-7117.9719432322017</v>
          </cell>
          <cell r="O693">
            <v>280391.01269553526</v>
          </cell>
          <cell r="R693">
            <v>-20137.858077169309</v>
          </cell>
          <cell r="S693">
            <v>-51393.345683118911</v>
          </cell>
          <cell r="V693" t="str">
            <v>Embedded</v>
          </cell>
          <cell r="W693" t="str">
            <v>Finance</v>
          </cell>
          <cell r="AA693" t="str">
            <v>[10200]  PECO Energy CompanyEmbeddedFinance</v>
          </cell>
          <cell r="AB693" t="str">
            <v>[10200]  PECO Energy CompanyEmbedded (Finance)Salaries and Wages</v>
          </cell>
          <cell r="AC693" t="str">
            <v>[10200]  PECO Energy CompanyEmbedded (Finance)Controller EED PECO (00825)</v>
          </cell>
          <cell r="AF693" t="str">
            <v>EEDControllerSalaries and Wages</v>
          </cell>
        </row>
        <row r="694">
          <cell r="E694">
            <v>19276.963890023406</v>
          </cell>
          <cell r="H694">
            <v>-6490.0152016038755</v>
          </cell>
          <cell r="I694">
            <v>-6490.0165033532248</v>
          </cell>
          <cell r="J694">
            <v>65789.993293543012</v>
          </cell>
          <cell r="M694">
            <v>-14905.451314688165</v>
          </cell>
          <cell r="N694">
            <v>-6664.8126484479944</v>
          </cell>
          <cell r="O694">
            <v>186355.30819946944</v>
          </cell>
          <cell r="R694">
            <v>-9594.5860361051746</v>
          </cell>
          <cell r="S694">
            <v>-35385.25692472895</v>
          </cell>
          <cell r="V694" t="str">
            <v>Embedded</v>
          </cell>
          <cell r="W694" t="str">
            <v>Finance</v>
          </cell>
          <cell r="AA694" t="str">
            <v>[10200]  PECO Energy CompanyEmbeddedFinance</v>
          </cell>
          <cell r="AB694" t="str">
            <v>[10200]  PECO Energy CompanyEmbedded (Finance)Pension and Benefits</v>
          </cell>
          <cell r="AC694" t="str">
            <v>[10200]  PECO Energy CompanyEmbedded (Finance)Controller EED PECO (00825)</v>
          </cell>
          <cell r="AF694" t="str">
            <v>EEDControllerPension and Benefits</v>
          </cell>
        </row>
        <row r="695">
          <cell r="E695">
            <v>2998.8595116558831</v>
          </cell>
          <cell r="H695">
            <v>-959.98177937668379</v>
          </cell>
          <cell r="I695">
            <v>-959.98198694049188</v>
          </cell>
          <cell r="J695">
            <v>10354.665390243568</v>
          </cell>
          <cell r="M695">
            <v>-2241.1331637088733</v>
          </cell>
          <cell r="N695">
            <v>-989.17707474346571</v>
          </cell>
          <cell r="O695">
            <v>29576.683112543044</v>
          </cell>
          <cell r="R695">
            <v>-1392.211454355649</v>
          </cell>
          <cell r="S695">
            <v>-5560.6216753588269</v>
          </cell>
          <cell r="V695" t="str">
            <v>Embedded</v>
          </cell>
          <cell r="W695" t="str">
            <v>Finance</v>
          </cell>
          <cell r="AA695" t="str">
            <v>[10200]  PECO Energy CompanyEmbeddedFinance</v>
          </cell>
          <cell r="AB695" t="str">
            <v>[10200]  PECO Energy CompanyEmbedded (Finance)Salaries and Wages</v>
          </cell>
          <cell r="AC695" t="str">
            <v>[10200]  PECO Energy CompanyEmbedded (Finance)Controller EED PECO (00825)</v>
          </cell>
          <cell r="AF695" t="str">
            <v>EEDControllerSalaries and Wages</v>
          </cell>
        </row>
        <row r="696">
          <cell r="E696">
            <v>63.922915679978892</v>
          </cell>
          <cell r="H696">
            <v>632.46541942802696</v>
          </cell>
          <cell r="I696">
            <v>632.46534853362641</v>
          </cell>
          <cell r="J696">
            <v>779.93289702987215</v>
          </cell>
          <cell r="M696">
            <v>2005.6204852673554</v>
          </cell>
          <cell r="N696">
            <v>691.33688791346879</v>
          </cell>
          <cell r="O696">
            <v>7979.7574141201512</v>
          </cell>
          <cell r="R696">
            <v>376.90317117452287</v>
          </cell>
          <cell r="S696">
            <v>-787.19452421256665</v>
          </cell>
          <cell r="V696" t="str">
            <v>Embedded</v>
          </cell>
          <cell r="W696" t="str">
            <v>Finance</v>
          </cell>
          <cell r="AA696" t="str">
            <v>[10200]  PECO Energy CompanyEmbeddedFinance</v>
          </cell>
          <cell r="AB696" t="str">
            <v>[10200]  PECO Energy CompanyEmbedded (Finance)Other Operating Expenses</v>
          </cell>
          <cell r="AC696" t="str">
            <v>[10200]  PECO Energy CompanyEmbedded (Finance)Controller EED PECO (00825)</v>
          </cell>
          <cell r="AF696" t="str">
            <v>EEDControllerOther Operating Expenses</v>
          </cell>
        </row>
        <row r="697">
          <cell r="E697">
            <v>1013.7372902066104</v>
          </cell>
          <cell r="H697">
            <v>-678.93520602006902</v>
          </cell>
          <cell r="I697">
            <v>-678.93524010391548</v>
          </cell>
          <cell r="J697">
            <v>3628.8769012965181</v>
          </cell>
          <cell r="M697">
            <v>-2289.668544422851</v>
          </cell>
          <cell r="N697">
            <v>-757.54268095222142</v>
          </cell>
          <cell r="O697">
            <v>7140.7441643247448</v>
          </cell>
          <cell r="R697">
            <v>-3123.1188829330745</v>
          </cell>
          <cell r="S697">
            <v>-1725.5574401499916</v>
          </cell>
          <cell r="V697" t="str">
            <v>Embedded</v>
          </cell>
          <cell r="W697" t="str">
            <v>Finance</v>
          </cell>
          <cell r="AA697" t="str">
            <v>[10200]  PECO Energy CompanyEmbeddedFinance</v>
          </cell>
          <cell r="AB697" t="str">
            <v>[10200]  PECO Energy CompanyEmbedded (Finance)Travel, Entertainment &amp; Reimb</v>
          </cell>
          <cell r="AC697" t="str">
            <v>[10200]  PECO Energy CompanyEmbedded (Finance)Controller EED PECO (00825)</v>
          </cell>
          <cell r="AF697" t="str">
            <v>EEDControllerTravel, Entertainment &amp; Reimb</v>
          </cell>
        </row>
        <row r="698">
          <cell r="E698">
            <v>390.00528071839057</v>
          </cell>
          <cell r="H698">
            <v>92.109720510228897</v>
          </cell>
          <cell r="I698">
            <v>92.109671429490049</v>
          </cell>
          <cell r="J698">
            <v>1144.9269963886147</v>
          </cell>
          <cell r="M698">
            <v>783.53303750946543</v>
          </cell>
          <cell r="N698">
            <v>140.76392420826323</v>
          </cell>
          <cell r="O698">
            <v>6138.7938122780452</v>
          </cell>
          <cell r="R698">
            <v>-353.41340707403924</v>
          </cell>
          <cell r="S698">
            <v>-917.73089342965523</v>
          </cell>
          <cell r="V698" t="str">
            <v>Embedded</v>
          </cell>
          <cell r="W698" t="str">
            <v>Finance</v>
          </cell>
          <cell r="AA698" t="str">
            <v>[10200]  PECO Energy CompanyEmbeddedFinance</v>
          </cell>
          <cell r="AB698" t="str">
            <v>[10200]  PECO Energy CompanyEmbedded (Finance)Travel, Entertainment &amp; Reimb</v>
          </cell>
          <cell r="AC698" t="str">
            <v>[10200]  PECO Energy CompanyEmbedded (Finance)Controller EED PECO (00825)</v>
          </cell>
          <cell r="AF698" t="str">
            <v>EEDControllerTravel, Entertainment &amp; Reimb</v>
          </cell>
        </row>
        <row r="699">
          <cell r="E699">
            <v>512.08569251381653</v>
          </cell>
          <cell r="H699">
            <v>184.30264259418936</v>
          </cell>
          <cell r="I699">
            <v>184.30257169978881</v>
          </cell>
          <cell r="J699">
            <v>2043.4313363561987</v>
          </cell>
          <cell r="M699">
            <v>742.12204594102877</v>
          </cell>
          <cell r="N699">
            <v>212.98555024087545</v>
          </cell>
          <cell r="O699">
            <v>9262.8313720786537</v>
          </cell>
          <cell r="R699">
            <v>-906.17078678397957</v>
          </cell>
          <cell r="S699">
            <v>-1360.1420599050762</v>
          </cell>
          <cell r="V699" t="str">
            <v>Embedded</v>
          </cell>
          <cell r="W699" t="str">
            <v>Finance</v>
          </cell>
          <cell r="AA699" t="str">
            <v>[10200]  PECO Energy CompanyEmbeddedFinance</v>
          </cell>
          <cell r="AB699" t="str">
            <v>[10200]  PECO Energy CompanyEmbedded (Finance)Business Services</v>
          </cell>
          <cell r="AC699" t="str">
            <v>[10200]  PECO Energy CompanyEmbedded (Finance)Controller EED PECO (00825)</v>
          </cell>
          <cell r="AF699" t="str">
            <v>EEDControllerBusiness Services</v>
          </cell>
        </row>
        <row r="700">
          <cell r="E700">
            <v>0</v>
          </cell>
          <cell r="H700">
            <v>1776.6848456943617</v>
          </cell>
          <cell r="I700">
            <v>2580.2095850690357</v>
          </cell>
          <cell r="J700">
            <v>5921.9636707581367</v>
          </cell>
          <cell r="M700">
            <v>1184.7758188293592</v>
          </cell>
          <cell r="N700">
            <v>2502.253613505648</v>
          </cell>
          <cell r="O700">
            <v>38174.237226698919</v>
          </cell>
          <cell r="R700">
            <v>-16854.039066780453</v>
          </cell>
          <cell r="S700">
            <v>-8835.9702027798157</v>
          </cell>
          <cell r="V700" t="str">
            <v>Embedded</v>
          </cell>
          <cell r="W700" t="str">
            <v>Finance</v>
          </cell>
          <cell r="AA700" t="str">
            <v>[10200]  PECO Energy CompanyEmbeddedFinance</v>
          </cell>
          <cell r="AB700" t="str">
            <v>[10200]  PECO Energy CompanyEmbedded (Finance)Contracting</v>
          </cell>
          <cell r="AC700" t="str">
            <v>[10200]  PECO Energy CompanyEmbedded (Finance)Controller EED PECO (00825)</v>
          </cell>
          <cell r="AF700" t="str">
            <v>EEDControllerContracting</v>
          </cell>
        </row>
        <row r="701">
          <cell r="E701">
            <v>1320.0594778319914</v>
          </cell>
          <cell r="H701">
            <v>1023.5551114737978</v>
          </cell>
          <cell r="I701">
            <v>1023.5548728868725</v>
          </cell>
          <cell r="J701">
            <v>6061.9531099606265</v>
          </cell>
          <cell r="M701">
            <v>3312.5053881550411</v>
          </cell>
          <cell r="N701">
            <v>1120.0904037022965</v>
          </cell>
          <cell r="O701">
            <v>30345.384360058397</v>
          </cell>
          <cell r="R701">
            <v>-2222.0073903167031</v>
          </cell>
          <cell r="S701">
            <v>-4122.1277598800843</v>
          </cell>
          <cell r="V701" t="str">
            <v>Embedded</v>
          </cell>
          <cell r="W701" t="str">
            <v>Finance</v>
          </cell>
          <cell r="AA701" t="str">
            <v>[10200]  PECO Energy CompanyEmbeddedFinance</v>
          </cell>
          <cell r="AB701" t="str">
            <v>[10200]  PECO Energy CompanyEmbedded (Finance)Travel, Entertainment &amp; Reimb</v>
          </cell>
          <cell r="AC701" t="str">
            <v>[10200]  PECO Energy CompanyEmbedded (Finance)Controller EED PECO (00825)</v>
          </cell>
          <cell r="AF701" t="str">
            <v>EEDControllerTravel, Entertainment &amp; Reimb</v>
          </cell>
        </row>
        <row r="702">
          <cell r="E702">
            <v>106.12127972396287</v>
          </cell>
          <cell r="H702">
            <v>362.60163813719493</v>
          </cell>
          <cell r="I702">
            <v>362.60159041980995</v>
          </cell>
          <cell r="J702">
            <v>483.02107464434704</v>
          </cell>
          <cell r="M702">
            <v>1391.8706249787867</v>
          </cell>
          <cell r="N702">
            <v>416.51512148910336</v>
          </cell>
          <cell r="O702">
            <v>5328.4071230020281</v>
          </cell>
          <cell r="R702">
            <v>296.26827094631062</v>
          </cell>
          <cell r="S702">
            <v>-569.33022783682463</v>
          </cell>
          <cell r="V702" t="str">
            <v>Embedded</v>
          </cell>
          <cell r="W702" t="str">
            <v>Finance</v>
          </cell>
          <cell r="AA702" t="str">
            <v>[10200]  PECO Energy CompanyEmbeddedFinance</v>
          </cell>
          <cell r="AB702" t="str">
            <v>[10200]  PECO Energy CompanyEmbedded (Finance)Other Operating Expenses</v>
          </cell>
          <cell r="AC702" t="str">
            <v>[10200]  PECO Energy CompanyEmbedded (Finance)Controller EED PECO (00825)</v>
          </cell>
          <cell r="AF702" t="str">
            <v>EEDControllerOther Operating Expenses</v>
          </cell>
        </row>
        <row r="703">
          <cell r="E703">
            <v>0</v>
          </cell>
          <cell r="H703">
            <v>133.92083367461652</v>
          </cell>
          <cell r="I703">
            <v>133.92082004107792</v>
          </cell>
          <cell r="J703">
            <v>0</v>
          </cell>
          <cell r="M703">
            <v>535.68334274946676</v>
          </cell>
          <cell r="N703">
            <v>155.79675639415606</v>
          </cell>
          <cell r="O703">
            <v>1382.2578715301481</v>
          </cell>
          <cell r="R703">
            <v>224.79224102652006</v>
          </cell>
          <cell r="S703">
            <v>-114.06425931123658</v>
          </cell>
          <cell r="V703" t="str">
            <v>Embedded</v>
          </cell>
          <cell r="W703" t="str">
            <v>Finance</v>
          </cell>
          <cell r="AA703" t="str">
            <v>[10200]  PECO Energy CompanyEmbeddedFinance</v>
          </cell>
          <cell r="AB703" t="str">
            <v>[10200]  PECO Energy CompanyEmbedded (Finance)Contracting</v>
          </cell>
          <cell r="AC703" t="str">
            <v>[10200]  PECO Energy CompanyEmbedded (Finance)Tax-PECO (00817)</v>
          </cell>
          <cell r="AF703" t="str">
            <v>EEDTaxContracting</v>
          </cell>
        </row>
        <row r="704">
          <cell r="E704">
            <v>175.53918486512097</v>
          </cell>
          <cell r="H704">
            <v>-121.97085139527437</v>
          </cell>
          <cell r="I704">
            <v>-121.97085684868981</v>
          </cell>
          <cell r="J704">
            <v>517.2714928847347</v>
          </cell>
          <cell r="M704">
            <v>-302.99815578494798</v>
          </cell>
          <cell r="N704">
            <v>-126.93206754456031</v>
          </cell>
          <cell r="O704">
            <v>1078.1887849509462</v>
          </cell>
          <cell r="R704">
            <v>-435.36873992827896</v>
          </cell>
          <cell r="S704">
            <v>-274.23294462891647</v>
          </cell>
          <cell r="V704" t="str">
            <v>Embedded</v>
          </cell>
          <cell r="W704" t="str">
            <v>Finance</v>
          </cell>
          <cell r="AA704" t="str">
            <v>[10200]  PECO Energy CompanyEmbeddedFinance</v>
          </cell>
          <cell r="AB704" t="str">
            <v>[10200]  PECO Energy CompanyEmbedded (Finance)Business Services</v>
          </cell>
          <cell r="AC704" t="str">
            <v>[10200]  PECO Energy CompanyEmbedded (Finance)Tax-PECO (00817)</v>
          </cell>
          <cell r="AF704" t="str">
            <v>EEDTaxBusiness Services</v>
          </cell>
        </row>
        <row r="705">
          <cell r="E705">
            <v>0</v>
          </cell>
          <cell r="H705">
            <v>26.784166734923303</v>
          </cell>
          <cell r="I705">
            <v>26.784164008215583</v>
          </cell>
          <cell r="J705">
            <v>0</v>
          </cell>
          <cell r="M705">
            <v>107.13666854989336</v>
          </cell>
          <cell r="N705">
            <v>31.159351278831213</v>
          </cell>
          <cell r="O705">
            <v>276.45157430602967</v>
          </cell>
          <cell r="R705">
            <v>44.958448205303966</v>
          </cell>
          <cell r="S705">
            <v>-22.812851862247356</v>
          </cell>
          <cell r="V705" t="str">
            <v>Embedded</v>
          </cell>
          <cell r="W705" t="str">
            <v>Finance</v>
          </cell>
          <cell r="AA705" t="str">
            <v>[10200]  PECO Energy CompanyEmbeddedFinance</v>
          </cell>
          <cell r="AB705" t="str">
            <v>[10200]  PECO Energy CompanyEmbedded (Finance)Materials and Supplies</v>
          </cell>
          <cell r="AC705" t="str">
            <v>[10200]  PECO Energy CompanyEmbedded (Finance)Tax-PECO (00817)</v>
          </cell>
          <cell r="AF705" t="str">
            <v>EEDTaxMaterials and Supplies</v>
          </cell>
        </row>
        <row r="706">
          <cell r="E706">
            <v>8043.8194770933978</v>
          </cell>
          <cell r="H706">
            <v>-3717.4373064013998</v>
          </cell>
          <cell r="I706">
            <v>-3717.4377468399543</v>
          </cell>
          <cell r="J706">
            <v>22923.752182987693</v>
          </cell>
          <cell r="M706">
            <v>-5707.293987943609</v>
          </cell>
          <cell r="N706">
            <v>-3573.3027210833061</v>
          </cell>
          <cell r="O706">
            <v>69794.080622531517</v>
          </cell>
          <cell r="R706">
            <v>-16524.432549645877</v>
          </cell>
          <cell r="S706">
            <v>-14357.696707671807</v>
          </cell>
          <cell r="V706" t="str">
            <v>Embedded</v>
          </cell>
          <cell r="W706" t="str">
            <v>Finance</v>
          </cell>
          <cell r="AA706" t="str">
            <v>[10200]  PECO Energy CompanyEmbeddedFinance</v>
          </cell>
          <cell r="AB706" t="str">
            <v>[10200]  PECO Energy CompanyEmbedded (Finance)Salaries and Wages</v>
          </cell>
          <cell r="AC706" t="str">
            <v>[10200]  PECO Energy CompanyEmbedded (Finance)Tax-PECO (00817)</v>
          </cell>
          <cell r="AF706" t="str">
            <v>EEDTaxSalaries and Wages</v>
          </cell>
        </row>
        <row r="707">
          <cell r="E707">
            <v>6316.0114989841586</v>
          </cell>
          <cell r="H707">
            <v>-3428.4961926256287</v>
          </cell>
          <cell r="I707">
            <v>-3428.4964865832626</v>
          </cell>
          <cell r="J707">
            <v>17270.211064718558</v>
          </cell>
          <cell r="M707">
            <v>-5779.5998030722494</v>
          </cell>
          <cell r="N707">
            <v>-3337.0329380979274</v>
          </cell>
          <cell r="O707">
            <v>48582.936184763319</v>
          </cell>
          <cell r="R707">
            <v>-13029.703178556352</v>
          </cell>
          <cell r="S707">
            <v>-10662.580348524687</v>
          </cell>
          <cell r="V707" t="str">
            <v>Embedded</v>
          </cell>
          <cell r="W707" t="str">
            <v>Finance</v>
          </cell>
          <cell r="AA707" t="str">
            <v>[10200]  PECO Energy CompanyEmbeddedFinance</v>
          </cell>
          <cell r="AB707" t="str">
            <v>[10200]  PECO Energy CompanyEmbedded (Finance)Pension and Benefits</v>
          </cell>
          <cell r="AC707" t="str">
            <v>[10200]  PECO Energy CompanyEmbedded (Finance)Tax-PECO (00817)</v>
          </cell>
          <cell r="AF707" t="str">
            <v>EEDTaxPension and Benefits</v>
          </cell>
        </row>
        <row r="708">
          <cell r="E708">
            <v>1007.0854608588671</v>
          </cell>
          <cell r="H708">
            <v>-546.67099151888249</v>
          </cell>
          <cell r="I708">
            <v>-546.67103839044285</v>
          </cell>
          <cell r="J708">
            <v>2632.9366720614703</v>
          </cell>
          <cell r="M708">
            <v>-800.76036218917875</v>
          </cell>
          <cell r="N708">
            <v>-521.8999707260391</v>
          </cell>
          <cell r="O708">
            <v>7623.8709355819637</v>
          </cell>
          <cell r="R708">
            <v>-1954.9159541989802</v>
          </cell>
          <cell r="S708">
            <v>-1677.5168170734696</v>
          </cell>
          <cell r="V708" t="str">
            <v>Embedded</v>
          </cell>
          <cell r="W708" t="str">
            <v>Finance</v>
          </cell>
          <cell r="AA708" t="str">
            <v>[10200]  PECO Energy CompanyEmbeddedFinance</v>
          </cell>
          <cell r="AB708" t="str">
            <v>[10200]  PECO Energy CompanyEmbedded (Finance)Salaries and Wages</v>
          </cell>
          <cell r="AC708" t="str">
            <v>[10200]  PECO Energy CompanyEmbedded (Finance)Tax-PECO (00817)</v>
          </cell>
          <cell r="AF708" t="str">
            <v>EEDTaxSalaries and Wages</v>
          </cell>
        </row>
        <row r="709">
          <cell r="E709">
            <v>0</v>
          </cell>
          <cell r="H709">
            <v>0</v>
          </cell>
          <cell r="I709">
            <v>0</v>
          </cell>
          <cell r="J709">
            <v>-1772.6913934229158</v>
          </cell>
          <cell r="M709">
            <v>1772.6913934229158</v>
          </cell>
          <cell r="N709">
            <v>149.50107538450584</v>
          </cell>
          <cell r="O709">
            <v>-1800.1558938298581</v>
          </cell>
          <cell r="R709">
            <v>1800.1558938298581</v>
          </cell>
          <cell r="S709">
            <v>332.06114982892041</v>
          </cell>
          <cell r="V709" t="str">
            <v>Embedded</v>
          </cell>
          <cell r="W709" t="str">
            <v>Finance</v>
          </cell>
          <cell r="AA709" t="str">
            <v>[10200]  PECO Energy CompanyEmbeddedFinance</v>
          </cell>
          <cell r="AB709" t="str">
            <v>[10200]  PECO Energy CompanyEmbedded (Finance)Overtime</v>
          </cell>
          <cell r="AC709" t="str">
            <v>[10200]  PECO Energy CompanyEmbedded (Finance)Tax-PECO (00817)</v>
          </cell>
          <cell r="AF709" t="str">
            <v>EEDTaxOvertime</v>
          </cell>
        </row>
        <row r="710">
          <cell r="E710">
            <v>860.50107692076642</v>
          </cell>
          <cell r="H710">
            <v>-627.4788263269337</v>
          </cell>
          <cell r="I710">
            <v>-627.47885004929083</v>
          </cell>
          <cell r="J710">
            <v>942.34419473071478</v>
          </cell>
          <cell r="M710">
            <v>-10.255178346642538</v>
          </cell>
          <cell r="N710">
            <v>-522.25382078951236</v>
          </cell>
          <cell r="O710">
            <v>3362.072732212137</v>
          </cell>
          <cell r="R710">
            <v>-565.80553636353443</v>
          </cell>
          <cell r="S710">
            <v>-1020.6491390927677</v>
          </cell>
          <cell r="V710" t="str">
            <v>Embedded</v>
          </cell>
          <cell r="W710" t="str">
            <v>Finance</v>
          </cell>
          <cell r="AA710" t="str">
            <v>[10200]  PECO Energy CompanyEmbeddedFinance</v>
          </cell>
          <cell r="AB710" t="str">
            <v>[10200]  PECO Energy CompanyEmbedded (Finance)Other Operating Expenses</v>
          </cell>
          <cell r="AC710" t="str">
            <v>[10200]  PECO Energy CompanyEmbedded (Finance)Tax-PECO (00817)</v>
          </cell>
          <cell r="AF710" t="str">
            <v>EEDTaxOther Operating Expenses</v>
          </cell>
        </row>
        <row r="711">
          <cell r="E711">
            <v>52.681286522556199</v>
          </cell>
          <cell r="H711">
            <v>-52.681286522556199</v>
          </cell>
          <cell r="I711">
            <v>-52.681286522556199</v>
          </cell>
          <cell r="J711">
            <v>167.38637087197523</v>
          </cell>
          <cell r="M711">
            <v>-167.38637087197523</v>
          </cell>
          <cell r="N711">
            <v>-57.820743970221045</v>
          </cell>
          <cell r="O711">
            <v>169.97970610674116</v>
          </cell>
          <cell r="R711">
            <v>-169.97970610674116</v>
          </cell>
          <cell r="S711">
            <v>-70.883057247955406</v>
          </cell>
          <cell r="V711" t="str">
            <v>Embedded</v>
          </cell>
          <cell r="W711" t="str">
            <v>Finance</v>
          </cell>
          <cell r="AA711" t="str">
            <v>[10200]  PECO Energy CompanyEmbeddedFinance</v>
          </cell>
          <cell r="AB711" t="str">
            <v>[10200]  PECO Energy CompanyEmbedded (Finance)Other Operating Expenses</v>
          </cell>
          <cell r="AC711" t="str">
            <v>[10200]  PECO Energy CompanyEmbedded (Finance)Tax-PECO (00817)</v>
          </cell>
          <cell r="AF711" t="str">
            <v>EEDTaxOther Operating Expenses</v>
          </cell>
        </row>
        <row r="712">
          <cell r="E712">
            <v>146.22381046696387</v>
          </cell>
          <cell r="H712">
            <v>-79.26339362965561</v>
          </cell>
          <cell r="I712">
            <v>-79.26340044642491</v>
          </cell>
          <cell r="J712">
            <v>1180.6304626755641</v>
          </cell>
          <cell r="M712">
            <v>-912.78879130083078</v>
          </cell>
          <cell r="N712">
            <v>-142.97732606356635</v>
          </cell>
          <cell r="O712">
            <v>1890.0510345048212</v>
          </cell>
          <cell r="R712">
            <v>-1086.525978226487</v>
          </cell>
          <cell r="S712">
            <v>-387.9038829117917</v>
          </cell>
          <cell r="V712" t="str">
            <v>Embedded</v>
          </cell>
          <cell r="W712" t="str">
            <v>Finance</v>
          </cell>
          <cell r="AA712" t="str">
            <v>[10200]  PECO Energy CompanyEmbeddedFinance</v>
          </cell>
          <cell r="AB712" t="str">
            <v>[10200]  PECO Energy CompanyEmbedded (Finance)Other Operating Expenses</v>
          </cell>
          <cell r="AC712" t="str">
            <v>[10200]  PECO Energy CompanyEmbedded (Finance)Tax-PECO (00817)</v>
          </cell>
          <cell r="AF712" t="str">
            <v>EEDTaxOther Operating Expenses</v>
          </cell>
        </row>
        <row r="713">
          <cell r="E713">
            <v>59.74251699898609</v>
          </cell>
          <cell r="H713">
            <v>-59.74251699898609</v>
          </cell>
          <cell r="I713">
            <v>-59.74251699898609</v>
          </cell>
          <cell r="J713">
            <v>402.88904794542503</v>
          </cell>
          <cell r="M713">
            <v>-402.88904794542503</v>
          </cell>
          <cell r="N713">
            <v>-83.539972623811764</v>
          </cell>
          <cell r="O713">
            <v>409.13105174952977</v>
          </cell>
          <cell r="R713">
            <v>-409.13105174952977</v>
          </cell>
          <cell r="S713">
            <v>-120.29572925463191</v>
          </cell>
          <cell r="V713" t="str">
            <v>Embedded</v>
          </cell>
          <cell r="W713" t="str">
            <v>Finance</v>
          </cell>
          <cell r="AA713" t="str">
            <v>[10200]  PECO Energy CompanyEmbeddedFinance</v>
          </cell>
          <cell r="AB713" t="str">
            <v>[10200]  PECO Energy CompanyEmbedded (Finance)Travel, Entertainment &amp; Reimb</v>
          </cell>
          <cell r="AC713" t="str">
            <v>[10200]  PECO Energy CompanyEmbedded (Finance)Tax-PECO (00817)</v>
          </cell>
          <cell r="AF713" t="str">
            <v>EEDTaxTravel, Entertainment &amp; Reimb</v>
          </cell>
        </row>
        <row r="714">
          <cell r="E714">
            <v>804.8863749715656</v>
          </cell>
          <cell r="H714">
            <v>-135.28220659848296</v>
          </cell>
          <cell r="I714">
            <v>-135.28227476617599</v>
          </cell>
          <cell r="J714">
            <v>1432.8857288197967</v>
          </cell>
          <cell r="M714">
            <v>1245.5309849275375</v>
          </cell>
          <cell r="N714">
            <v>-9.5888811053443987</v>
          </cell>
          <cell r="O714">
            <v>8366.3749407871346</v>
          </cell>
          <cell r="R714">
            <v>-331.12437800379394</v>
          </cell>
          <cell r="S714">
            <v>-1442.6578238378515</v>
          </cell>
          <cell r="V714" t="str">
            <v>Embedded</v>
          </cell>
          <cell r="W714" t="str">
            <v>Finance</v>
          </cell>
          <cell r="AA714" t="str">
            <v>[10200]  PECO Energy CompanyEmbeddedFinance</v>
          </cell>
          <cell r="AB714" t="str">
            <v>[10200]  PECO Energy CompanyEmbedded (Finance)Travel, Entertainment &amp; Reimb</v>
          </cell>
          <cell r="AC714" t="str">
            <v>[10200]  PECO Energy CompanyEmbedded (Finance)Tax-PECO (00817)</v>
          </cell>
          <cell r="AF714" t="str">
            <v>EEDTaxTravel, Entertainment &amp; Reimb</v>
          </cell>
        </row>
        <row r="715">
          <cell r="E715">
            <v>0</v>
          </cell>
          <cell r="H715">
            <v>231.01013032012494</v>
          </cell>
          <cell r="I715">
            <v>231.01011456097098</v>
          </cell>
          <cell r="J715">
            <v>1886.0614532495977</v>
          </cell>
          <cell r="M715">
            <v>-962.02097079552493</v>
          </cell>
          <cell r="N715">
            <v>188.69368048295632</v>
          </cell>
          <cell r="O715">
            <v>4766.8885877195935</v>
          </cell>
          <cell r="R715">
            <v>-1994.7671676745481</v>
          </cell>
          <cell r="S715">
            <v>-1011.2794462667807</v>
          </cell>
          <cell r="V715" t="str">
            <v>Embedded</v>
          </cell>
          <cell r="W715" t="str">
            <v>Finance</v>
          </cell>
          <cell r="AA715" t="str">
            <v>[10601]  Commonwealth Edison CompanyEmbeddedFinance</v>
          </cell>
          <cell r="AB715" t="str">
            <v>[10601]  Commonwealth Edison CompanyEmbedded (Finance)Other Operating Expenses</v>
          </cell>
          <cell r="AC715" t="str">
            <v>[10601]  Commonwealth Edison CompanyEmbedded (Finance)Controller - ComEd (00824)</v>
          </cell>
          <cell r="AF715" t="str">
            <v>EEDControllerOther Operating Expenses</v>
          </cell>
        </row>
        <row r="716">
          <cell r="E716">
            <v>38171.985654171614</v>
          </cell>
          <cell r="H716">
            <v>-10413.930200246843</v>
          </cell>
          <cell r="I716">
            <v>-10413.932093858471</v>
          </cell>
          <cell r="J716">
            <v>165107.3473671508</v>
          </cell>
          <cell r="M716">
            <v>-54646.61145355647</v>
          </cell>
          <cell r="N716">
            <v>-11113.624637405475</v>
          </cell>
          <cell r="O716">
            <v>524262.77128977387</v>
          </cell>
          <cell r="R716">
            <v>-116144.39853915025</v>
          </cell>
          <cell r="S716">
            <v>-139324.41231316427</v>
          </cell>
          <cell r="V716" t="str">
            <v>Embedded</v>
          </cell>
          <cell r="W716" t="str">
            <v>Finance</v>
          </cell>
          <cell r="AA716" t="str">
            <v>[10601]  Commonwealth Edison CompanyEmbeddedFinance</v>
          </cell>
          <cell r="AB716" t="str">
            <v>[10601]  Commonwealth Edison CompanyEmbedded (Finance)Salaries and Wages</v>
          </cell>
          <cell r="AC716" t="str">
            <v>[10601]  Commonwealth Edison CompanyEmbedded (Finance)Controller - ComEd (00824)</v>
          </cell>
          <cell r="AF716" t="str">
            <v>EEDControllerSalaries and Wages</v>
          </cell>
        </row>
        <row r="717">
          <cell r="E717">
            <v>30176.083331479807</v>
          </cell>
          <cell r="H717">
            <v>-10124.110006799827</v>
          </cell>
          <cell r="I717">
            <v>-10124.111374714448</v>
          </cell>
          <cell r="J717">
            <v>122456.72501227052</v>
          </cell>
          <cell r="M717">
            <v>-42661.658569638268</v>
          </cell>
          <cell r="N717">
            <v>-10857.988900672077</v>
          </cell>
          <cell r="O717">
            <v>348438.95095632452</v>
          </cell>
          <cell r="R717">
            <v>-71250.002367701032</v>
          </cell>
          <cell r="S717">
            <v>-94662.724541047355</v>
          </cell>
          <cell r="V717" t="str">
            <v>Embedded</v>
          </cell>
          <cell r="W717" t="str">
            <v>Finance</v>
          </cell>
          <cell r="AA717" t="str">
            <v>[10601]  Commonwealth Edison CompanyEmbeddedFinance</v>
          </cell>
          <cell r="AB717" t="str">
            <v>[10601]  Commonwealth Edison CompanyEmbedded (Finance)Pension and Benefits</v>
          </cell>
          <cell r="AC717" t="str">
            <v>[10601]  Commonwealth Edison CompanyEmbedded (Finance)Controller - ComEd (00824)</v>
          </cell>
          <cell r="AF717" t="str">
            <v>EEDControllerPension and Benefits</v>
          </cell>
        </row>
        <row r="718">
          <cell r="E718">
            <v>4694.4028654825106</v>
          </cell>
          <cell r="H718">
            <v>-1497.1176572472905</v>
          </cell>
          <cell r="I718">
            <v>-1497.1178753611448</v>
          </cell>
          <cell r="J718">
            <v>19273.423644072322</v>
          </cell>
          <cell r="M718">
            <v>-6550.1128325136706</v>
          </cell>
          <cell r="N718">
            <v>-1596.0711578019655</v>
          </cell>
          <cell r="O718">
            <v>55301.179966772092</v>
          </cell>
          <cell r="R718">
            <v>-11103.442087886935</v>
          </cell>
          <cell r="S718">
            <v>-14930.885372417652</v>
          </cell>
          <cell r="V718" t="str">
            <v>Embedded</v>
          </cell>
          <cell r="W718" t="str">
            <v>Finance</v>
          </cell>
          <cell r="AA718" t="str">
            <v>[10601]  Commonwealth Edison CompanyEmbeddedFinance</v>
          </cell>
          <cell r="AB718" t="str">
            <v>[10601]  Commonwealth Edison CompanyEmbedded (Finance)Salaries and Wages</v>
          </cell>
          <cell r="AC718" t="str">
            <v>[10601]  Commonwealth Edison CompanyEmbedded (Finance)Controller - ComEd (00824)</v>
          </cell>
          <cell r="AF718" t="str">
            <v>EEDControllerSalaries and Wages</v>
          </cell>
        </row>
        <row r="719">
          <cell r="E719">
            <v>100.06468037990697</v>
          </cell>
          <cell r="H719">
            <v>991.98320840613815</v>
          </cell>
          <cell r="I719">
            <v>991.98313390831936</v>
          </cell>
          <cell r="J719">
            <v>1451.7105644542485</v>
          </cell>
          <cell r="M719">
            <v>2916.4808071468228</v>
          </cell>
          <cell r="N719">
            <v>1325.310100640012</v>
          </cell>
          <cell r="O719">
            <v>14920.199103133969</v>
          </cell>
          <cell r="R719">
            <v>-1815.6251174664831</v>
          </cell>
          <cell r="S719">
            <v>-2829.711930061736</v>
          </cell>
          <cell r="V719" t="str">
            <v>Embedded</v>
          </cell>
          <cell r="W719" t="str">
            <v>Finance</v>
          </cell>
          <cell r="AA719" t="str">
            <v>[10601]  Commonwealth Edison CompanyEmbeddedFinance</v>
          </cell>
          <cell r="AB719" t="str">
            <v>[10601]  Commonwealth Edison CompanyEmbedded (Finance)Other Operating Expenses</v>
          </cell>
          <cell r="AC719" t="str">
            <v>[10601]  Commonwealth Edison CompanyEmbedded (Finance)Controller - ComEd (00824)</v>
          </cell>
          <cell r="AF719" t="str">
            <v>EEDControllerOther Operating Expenses</v>
          </cell>
        </row>
        <row r="720">
          <cell r="E720">
            <v>1586.9003604522529</v>
          </cell>
          <cell r="H720">
            <v>-1061.8773369974235</v>
          </cell>
          <cell r="I720">
            <v>-1061.8773728136825</v>
          </cell>
          <cell r="J720">
            <v>6754.5284405593929</v>
          </cell>
          <cell r="M720">
            <v>-4654.4364349819552</v>
          </cell>
          <cell r="N720">
            <v>-1334.8871566221296</v>
          </cell>
          <cell r="O720">
            <v>13351.449066326591</v>
          </cell>
          <cell r="R720">
            <v>-7051.1731116787614</v>
          </cell>
          <cell r="S720">
            <v>-4248.6790759112373</v>
          </cell>
          <cell r="V720" t="str">
            <v>Embedded</v>
          </cell>
          <cell r="W720" t="str">
            <v>Finance</v>
          </cell>
          <cell r="AA720" t="str">
            <v>[10601]  Commonwealth Edison CompanyEmbeddedFinance</v>
          </cell>
          <cell r="AB720" t="str">
            <v>[10601]  Commonwealth Edison CompanyEmbedded (Finance)Travel, Entertainment &amp; Reimb</v>
          </cell>
          <cell r="AC720" t="str">
            <v>[10601]  Commonwealth Edison CompanyEmbedded (Finance)Controller - ComEd (00824)</v>
          </cell>
          <cell r="AF720" t="str">
            <v>EEDControllerTravel, Entertainment &amp; Reimb</v>
          </cell>
        </row>
        <row r="721">
          <cell r="E721">
            <v>610.51273000340927</v>
          </cell>
          <cell r="H721">
            <v>145.5204237715451</v>
          </cell>
          <cell r="I721">
            <v>145.52037219613214</v>
          </cell>
          <cell r="J721">
            <v>2131.0841259752156</v>
          </cell>
          <cell r="M721">
            <v>893.04836205629499</v>
          </cell>
          <cell r="N721">
            <v>295.65656560983689</v>
          </cell>
          <cell r="O721">
            <v>11478.046409055431</v>
          </cell>
          <cell r="R721">
            <v>-2405.6490343625555</v>
          </cell>
          <cell r="S721">
            <v>-2701.5928393945869</v>
          </cell>
          <cell r="V721" t="str">
            <v>Embedded</v>
          </cell>
          <cell r="W721" t="str">
            <v>Finance</v>
          </cell>
          <cell r="AA721" t="str">
            <v>[10601]  Commonwealth Edison CompanyEmbeddedFinance</v>
          </cell>
          <cell r="AB721" t="str">
            <v>[10601]  Commonwealth Edison CompanyEmbedded (Finance)Travel, Entertainment &amp; Reimb</v>
          </cell>
          <cell r="AC721" t="str">
            <v>[10601]  Commonwealth Edison CompanyEmbedded (Finance)Controller - ComEd (00824)</v>
          </cell>
          <cell r="AF721" t="str">
            <v>EEDControllerTravel, Entertainment &amp; Reimb</v>
          </cell>
        </row>
        <row r="722">
          <cell r="E722">
            <v>801.61692568988428</v>
          </cell>
          <cell r="H722">
            <v>290.43096309616089</v>
          </cell>
          <cell r="I722">
            <v>290.43088859834211</v>
          </cell>
          <cell r="J722">
            <v>3803.4949801733237</v>
          </cell>
          <cell r="M722">
            <v>564.69639142774759</v>
          </cell>
          <cell r="N722">
            <v>455.49027682971973</v>
          </cell>
          <cell r="O722">
            <v>17319.234302238176</v>
          </cell>
          <cell r="R722">
            <v>-4214.6603165706892</v>
          </cell>
          <cell r="S722">
            <v>-4035.0454499336338</v>
          </cell>
          <cell r="V722" t="str">
            <v>Embedded</v>
          </cell>
          <cell r="W722" t="str">
            <v>Finance</v>
          </cell>
          <cell r="AA722" t="str">
            <v>[10601]  Commonwealth Edison CompanyEmbeddedFinance</v>
          </cell>
          <cell r="AB722" t="str">
            <v>[10601]  Commonwealth Edison CompanyEmbedded (Finance)Business Services</v>
          </cell>
          <cell r="AC722" t="str">
            <v>[10601]  Commonwealth Edison CompanyEmbedded (Finance)Controller - ComEd (00824)</v>
          </cell>
          <cell r="AF722" t="str">
            <v>EEDControllerBusiness Services</v>
          </cell>
        </row>
        <row r="723">
          <cell r="E723">
            <v>0</v>
          </cell>
          <cell r="H723">
            <v>2786.1249779230866</v>
          </cell>
          <cell r="I723">
            <v>4046.1799581905166</v>
          </cell>
          <cell r="J723">
            <v>11022.713948716251</v>
          </cell>
          <cell r="M723">
            <v>121.78549470538201</v>
          </cell>
          <cell r="N723">
            <v>4877.9901404020493</v>
          </cell>
          <cell r="O723">
            <v>71376.508141058221</v>
          </cell>
          <cell r="R723">
            <v>-37943.043741727073</v>
          </cell>
          <cell r="S723">
            <v>-22059.742120063493</v>
          </cell>
          <cell r="V723" t="str">
            <v>Embedded</v>
          </cell>
          <cell r="W723" t="str">
            <v>Finance</v>
          </cell>
          <cell r="AA723" t="str">
            <v>[10601]  Commonwealth Edison CompanyEmbeddedFinance</v>
          </cell>
          <cell r="AB723" t="str">
            <v>[10601]  Commonwealth Edison CompanyEmbedded (Finance)Contracting</v>
          </cell>
          <cell r="AC723" t="str">
            <v>[10601]  Commonwealth Edison CompanyEmbedded (Finance)Controller - ComEd (00824)</v>
          </cell>
          <cell r="AF723" t="str">
            <v>EEDControllerContracting</v>
          </cell>
        </row>
        <row r="724">
          <cell r="E724">
            <v>2066.4159061989885</v>
          </cell>
          <cell r="H724">
            <v>1608.7452579848173</v>
          </cell>
          <cell r="I724">
            <v>1608.7450072710039</v>
          </cell>
          <cell r="J724">
            <v>11283.280144316148</v>
          </cell>
          <cell r="M724">
            <v>3417.3638947259169</v>
          </cell>
          <cell r="N724">
            <v>2272.8218426598214</v>
          </cell>
          <cell r="O724">
            <v>56738.463717210645</v>
          </cell>
          <cell r="R724">
            <v>-12636.532034675831</v>
          </cell>
          <cell r="S724">
            <v>-12657.938817592927</v>
          </cell>
          <cell r="V724" t="str">
            <v>Embedded</v>
          </cell>
          <cell r="W724" t="str">
            <v>Finance</v>
          </cell>
          <cell r="AA724" t="str">
            <v>[10601]  Commonwealth Edison CompanyEmbeddedFinance</v>
          </cell>
          <cell r="AB724" t="str">
            <v>[10601]  Commonwealth Edison CompanyEmbedded (Finance)Travel, Entertainment &amp; Reimb</v>
          </cell>
          <cell r="AC724" t="str">
            <v>[10601]  Commonwealth Edison CompanyEmbedded (Finance)Controller - ComEd (00824)</v>
          </cell>
          <cell r="AF724" t="str">
            <v>EEDControllerTravel, Entertainment &amp; Reimb</v>
          </cell>
        </row>
        <row r="725">
          <cell r="E725">
            <v>166.12183321310843</v>
          </cell>
          <cell r="H725">
            <v>568.91039962365278</v>
          </cell>
          <cell r="I725">
            <v>568.9103494808902</v>
          </cell>
          <cell r="J725">
            <v>899.06041864058705</v>
          </cell>
          <cell r="M725">
            <v>2041.0683891678259</v>
          </cell>
          <cell r="N725">
            <v>798.81350715275482</v>
          </cell>
          <cell r="O725">
            <v>9962.8210548194074</v>
          </cell>
          <cell r="R725">
            <v>-1142.4347183124446</v>
          </cell>
          <cell r="S725">
            <v>-1962.9524353322822</v>
          </cell>
          <cell r="V725" t="str">
            <v>Embedded</v>
          </cell>
          <cell r="W725" t="str">
            <v>Finance</v>
          </cell>
          <cell r="AA725" t="str">
            <v>[10601]  Commonwealth Edison CompanyEmbeddedFinance</v>
          </cell>
          <cell r="AB725" t="str">
            <v>[10601]  Commonwealth Edison CompanyEmbedded (Finance)Other Operating Expenses</v>
          </cell>
          <cell r="AC725" t="str">
            <v>[10601]  Commonwealth Edison CompanyEmbedded (Finance)Controller - ComEd (00824)</v>
          </cell>
          <cell r="AF725" t="str">
            <v>EEDControllerOther Operating Expenses</v>
          </cell>
        </row>
        <row r="726">
          <cell r="E726">
            <v>0</v>
          </cell>
          <cell r="H726">
            <v>210.00920938193175</v>
          </cell>
          <cell r="I726">
            <v>210.00919505542817</v>
          </cell>
          <cell r="J726">
            <v>0</v>
          </cell>
          <cell r="M726">
            <v>840.03680223097513</v>
          </cell>
          <cell r="N726">
            <v>294.06626608449614</v>
          </cell>
          <cell r="O726">
            <v>2584.4849141166455</v>
          </cell>
          <cell r="R726">
            <v>-64.374532257513238</v>
          </cell>
          <cell r="S726">
            <v>-452.68866343389254</v>
          </cell>
          <cell r="V726" t="str">
            <v>Embedded</v>
          </cell>
          <cell r="W726" t="str">
            <v>Finance</v>
          </cell>
          <cell r="AA726" t="str">
            <v>[10601]  Commonwealth Edison CompanyEmbeddedFinance</v>
          </cell>
          <cell r="AB726" t="str">
            <v>[10601]  Commonwealth Edison CompanyEmbedded (Finance)Contracting</v>
          </cell>
          <cell r="AC726" t="str">
            <v>[10601]  Commonwealth Edison CompanyEmbedded (Finance)Tax ComEd (00841)</v>
          </cell>
          <cell r="AF726" t="str">
            <v>EEDTaxContracting</v>
          </cell>
        </row>
        <row r="727">
          <cell r="E727">
            <v>274.78834844793073</v>
          </cell>
          <cell r="H727">
            <v>-190.78466469515803</v>
          </cell>
          <cell r="I727">
            <v>-190.78467042575949</v>
          </cell>
          <cell r="J727">
            <v>962.8116646591825</v>
          </cell>
          <cell r="M727">
            <v>-626.79694376679242</v>
          </cell>
          <cell r="N727">
            <v>-226.04627896044246</v>
          </cell>
          <cell r="O727">
            <v>2015.9499227092658</v>
          </cell>
          <cell r="R727">
            <v>-1007.905769965613</v>
          </cell>
          <cell r="S727">
            <v>-664.52374487644283</v>
          </cell>
          <cell r="V727" t="str">
            <v>Embedded</v>
          </cell>
          <cell r="W727" t="str">
            <v>Finance</v>
          </cell>
          <cell r="AA727" t="str">
            <v>[10601]  Commonwealth Edison CompanyEmbeddedFinance</v>
          </cell>
          <cell r="AB727" t="str">
            <v>[10601]  Commonwealth Edison CompanyEmbedded (Finance)Business Services</v>
          </cell>
          <cell r="AC727" t="str">
            <v>[10601]  Commonwealth Edison CompanyEmbedded (Finance)Tax ComEd (00841)</v>
          </cell>
          <cell r="AF727" t="str">
            <v>EEDTaxBusiness Services</v>
          </cell>
        </row>
        <row r="728">
          <cell r="E728">
            <v>0</v>
          </cell>
          <cell r="H728">
            <v>42.001841876386351</v>
          </cell>
          <cell r="I728">
            <v>42.001839011085629</v>
          </cell>
          <cell r="J728">
            <v>0</v>
          </cell>
          <cell r="M728">
            <v>168.00736044619504</v>
          </cell>
          <cell r="N728">
            <v>58.813253216899227</v>
          </cell>
          <cell r="O728">
            <v>516.89698282332915</v>
          </cell>
          <cell r="R728">
            <v>-12.874906451502738</v>
          </cell>
          <cell r="S728">
            <v>-90.537732686778611</v>
          </cell>
          <cell r="V728" t="str">
            <v>Embedded</v>
          </cell>
          <cell r="W728" t="str">
            <v>Finance</v>
          </cell>
          <cell r="AA728" t="str">
            <v>[10601]  Commonwealth Edison CompanyEmbeddedFinance</v>
          </cell>
          <cell r="AB728" t="str">
            <v>[10601]  Commonwealth Edison CompanyEmbedded (Finance)Materials and Supplies</v>
          </cell>
          <cell r="AC728" t="str">
            <v>[10601]  Commonwealth Edison CompanyEmbedded (Finance)Tax ComEd (00841)</v>
          </cell>
          <cell r="AF728" t="str">
            <v>EEDTaxMaterials and Supplies</v>
          </cell>
        </row>
        <row r="729">
          <cell r="E729">
            <v>12591.76332066346</v>
          </cell>
          <cell r="H729">
            <v>-5807.306606791276</v>
          </cell>
          <cell r="I729">
            <v>-5807.307069616425</v>
          </cell>
          <cell r="J729">
            <v>42668.610783960525</v>
          </cell>
          <cell r="M729">
            <v>-15670.462188042671</v>
          </cell>
          <cell r="N729">
            <v>-6144.651286865279</v>
          </cell>
          <cell r="O729">
            <v>130497.89925514584</v>
          </cell>
          <cell r="R729">
            <v>-46962.611775597732</v>
          </cell>
          <cell r="S729">
            <v>-37310.964513900748</v>
          </cell>
          <cell r="V729" t="str">
            <v>Embedded</v>
          </cell>
          <cell r="W729" t="str">
            <v>Finance</v>
          </cell>
          <cell r="AA729" t="str">
            <v>[10601]  Commonwealth Edison CompanyEmbeddedFinance</v>
          </cell>
          <cell r="AB729" t="str">
            <v>[10601]  Commonwealth Edison CompanyEmbedded (Finance)Salaries and Wages</v>
          </cell>
          <cell r="AC729" t="str">
            <v>[10601]  Commonwealth Edison CompanyEmbedded (Finance)Tax ComEd (00841)</v>
          </cell>
          <cell r="AF729" t="str">
            <v>EEDTaxSalaries and Wages</v>
          </cell>
        </row>
        <row r="730">
          <cell r="E730">
            <v>9887.059518463373</v>
          </cell>
          <cell r="H730">
            <v>-5358.9753516641649</v>
          </cell>
          <cell r="I730">
            <v>-5358.9756605630664</v>
          </cell>
          <cell r="J730">
            <v>32145.519118994584</v>
          </cell>
          <cell r="M730">
            <v>-14126.410497155317</v>
          </cell>
          <cell r="N730">
            <v>-5846.6553864297857</v>
          </cell>
          <cell r="O730">
            <v>90838.235208613085</v>
          </cell>
          <cell r="R730">
            <v>-35085.106598916733</v>
          </cell>
          <cell r="S730">
            <v>-27095.229710573032</v>
          </cell>
          <cell r="V730" t="str">
            <v>Embedded</v>
          </cell>
          <cell r="W730" t="str">
            <v>Finance</v>
          </cell>
          <cell r="AA730" t="str">
            <v>[10601]  Commonwealth Edison CompanyEmbeddedFinance</v>
          </cell>
          <cell r="AB730" t="str">
            <v>[10601]  Commonwealth Edison CompanyEmbedded (Finance)Pension and Benefits</v>
          </cell>
          <cell r="AC730" t="str">
            <v>[10601]  Commonwealth Edison CompanyEmbedded (Finance)Tax ComEd (00841)</v>
          </cell>
          <cell r="AF730" t="str">
            <v>EEDTaxPension and Benefits</v>
          </cell>
        </row>
        <row r="731">
          <cell r="E731">
            <v>1576.4876129963027</v>
          </cell>
          <cell r="H731">
            <v>-854.48435150959654</v>
          </cell>
          <cell r="I731">
            <v>-854.48440076354291</v>
          </cell>
          <cell r="J731">
            <v>4900.7574842996419</v>
          </cell>
          <cell r="M731">
            <v>-2027.6132111011266</v>
          </cell>
          <cell r="N731">
            <v>-916.17722283068451</v>
          </cell>
          <cell r="O731">
            <v>14254.778233508641</v>
          </cell>
          <cell r="R731">
            <v>-5364.9544556135206</v>
          </cell>
          <cell r="S731">
            <v>-4259.131438782324</v>
          </cell>
          <cell r="V731" t="str">
            <v>Embedded</v>
          </cell>
          <cell r="W731" t="str">
            <v>Finance</v>
          </cell>
          <cell r="AA731" t="str">
            <v>[10601]  Commonwealth Edison CompanyEmbeddedFinance</v>
          </cell>
          <cell r="AB731" t="str">
            <v>[10601]  Commonwealth Edison CompanyEmbedded (Finance)Salaries and Wages</v>
          </cell>
          <cell r="AC731" t="str">
            <v>[10601]  Commonwealth Edison CompanyEmbedded (Finance)Tax ComEd (00841)</v>
          </cell>
          <cell r="AF731" t="str">
            <v>EEDTaxSalaries and Wages</v>
          </cell>
        </row>
        <row r="732">
          <cell r="E732">
            <v>0</v>
          </cell>
          <cell r="H732">
            <v>0</v>
          </cell>
          <cell r="I732">
            <v>0</v>
          </cell>
          <cell r="J732">
            <v>-3299.5592738160967</v>
          </cell>
          <cell r="M732">
            <v>3299.5592738160967</v>
          </cell>
          <cell r="N732">
            <v>235.78871133752227</v>
          </cell>
          <cell r="O732">
            <v>-3365.8522382015312</v>
          </cell>
          <cell r="R732">
            <v>3365.8522382015312</v>
          </cell>
          <cell r="S732">
            <v>898.02805051115865</v>
          </cell>
          <cell r="V732" t="str">
            <v>Embedded</v>
          </cell>
          <cell r="W732" t="str">
            <v>Finance</v>
          </cell>
          <cell r="AA732" t="str">
            <v>[10601]  Commonwealth Edison CompanyEmbeddedFinance</v>
          </cell>
          <cell r="AB732" t="str">
            <v>[10601]  Commonwealth Edison CompanyEmbedded (Finance)Overtime</v>
          </cell>
          <cell r="AC732" t="str">
            <v>[10601]  Commonwealth Edison CompanyEmbedded (Finance)Tax ComEd (00841)</v>
          </cell>
          <cell r="AF732" t="str">
            <v>EEDTaxOvertime</v>
          </cell>
        </row>
        <row r="733">
          <cell r="E733">
            <v>1347.0249958515453</v>
          </cell>
          <cell r="H733">
            <v>-981.60897152698408</v>
          </cell>
          <cell r="I733">
            <v>-981.6089964551004</v>
          </cell>
          <cell r="J733">
            <v>1754.0111823111295</v>
          </cell>
          <cell r="M733">
            <v>-292.34714642923268</v>
          </cell>
          <cell r="N733">
            <v>-961.09090244089407</v>
          </cell>
          <cell r="O733">
            <v>6286.2555790304878</v>
          </cell>
          <cell r="R733">
            <v>-1901.2635145955983</v>
          </cell>
          <cell r="S733">
            <v>-2350.3912212699438</v>
          </cell>
          <cell r="V733" t="str">
            <v>Embedded</v>
          </cell>
          <cell r="W733" t="str">
            <v>Finance</v>
          </cell>
          <cell r="AA733" t="str">
            <v>[10601]  Commonwealth Edison CompanyEmbeddedFinance</v>
          </cell>
          <cell r="AB733" t="str">
            <v>[10601]  Commonwealth Edison CompanyEmbedded (Finance)Other Operating Expenses</v>
          </cell>
          <cell r="AC733" t="str">
            <v>[10601]  Commonwealth Edison CompanyEmbedded (Finance)Tax ComEd (00841)</v>
          </cell>
          <cell r="AF733" t="str">
            <v>EEDTaxOther Operating Expenses</v>
          </cell>
        </row>
        <row r="734">
          <cell r="E734">
            <v>82.467078383487589</v>
          </cell>
          <cell r="H734">
            <v>-82.467078383487589</v>
          </cell>
          <cell r="I734">
            <v>-82.467078383487589</v>
          </cell>
          <cell r="J734">
            <v>311.56085846087393</v>
          </cell>
          <cell r="M734">
            <v>-311.56085846087393</v>
          </cell>
          <cell r="N734">
            <v>-104.7558161742912</v>
          </cell>
          <cell r="O734">
            <v>317.82057110120923</v>
          </cell>
          <cell r="R734">
            <v>-317.82057110120923</v>
          </cell>
          <cell r="S734">
            <v>-151.24201207285893</v>
          </cell>
          <cell r="V734" t="str">
            <v>Embedded</v>
          </cell>
          <cell r="W734" t="str">
            <v>Finance</v>
          </cell>
          <cell r="AA734" t="str">
            <v>[10601]  Commonwealth Edison CompanyEmbeddedFinance</v>
          </cell>
          <cell r="AB734" t="str">
            <v>[10601]  Commonwealth Edison CompanyEmbedded (Finance)Other Operating Expenses</v>
          </cell>
          <cell r="AC734" t="str">
            <v>[10601]  Commonwealth Edison CompanyEmbedded (Finance)Tax ComEd (00841)</v>
          </cell>
          <cell r="AF734" t="str">
            <v>EEDTaxOther Operating Expenses</v>
          </cell>
        </row>
        <row r="735">
          <cell r="E735">
            <v>228.89817685352597</v>
          </cell>
          <cell r="H735">
            <v>-123.89357216256009</v>
          </cell>
          <cell r="I735">
            <v>-123.89357932581188</v>
          </cell>
          <cell r="J735">
            <v>2197.5399703097514</v>
          </cell>
          <cell r="M735">
            <v>-1777.521569194264</v>
          </cell>
          <cell r="N735">
            <v>-238.97041830718172</v>
          </cell>
          <cell r="O735">
            <v>3533.9342145911073</v>
          </cell>
          <cell r="R735">
            <v>-2273.8790236615414</v>
          </cell>
          <cell r="S735">
            <v>-1008.8689289074014</v>
          </cell>
          <cell r="V735" t="str">
            <v>Embedded</v>
          </cell>
          <cell r="W735" t="str">
            <v>Finance</v>
          </cell>
          <cell r="AA735" t="str">
            <v>[10601]  Commonwealth Edison CompanyEmbeddedFinance</v>
          </cell>
          <cell r="AB735" t="str">
            <v>[10601]  Commonwealth Edison CompanyEmbedded (Finance)Other Operating Expenses</v>
          </cell>
          <cell r="AC735" t="str">
            <v>[10601]  Commonwealth Edison CompanyEmbedded (Finance)Tax ComEd (00841)</v>
          </cell>
          <cell r="AF735" t="str">
            <v>EEDTaxOther Operating Expenses</v>
          </cell>
        </row>
        <row r="736">
          <cell r="E736">
            <v>93.520700753440295</v>
          </cell>
          <cell r="H736">
            <v>-93.520700753440295</v>
          </cell>
          <cell r="I736">
            <v>-93.520700753440295</v>
          </cell>
          <cell r="J736">
            <v>749.90847216806969</v>
          </cell>
          <cell r="M736">
            <v>-749.90847216806969</v>
          </cell>
          <cell r="N736">
            <v>-147.13732127339108</v>
          </cell>
          <cell r="O736">
            <v>764.97522851710062</v>
          </cell>
          <cell r="R736">
            <v>-764.97522851710062</v>
          </cell>
          <cell r="S736">
            <v>-279.4515264366014</v>
          </cell>
          <cell r="V736" t="str">
            <v>Embedded</v>
          </cell>
          <cell r="W736" t="str">
            <v>Finance</v>
          </cell>
          <cell r="AA736" t="str">
            <v>[10601]  Commonwealth Edison CompanyEmbeddedFinance</v>
          </cell>
          <cell r="AB736" t="str">
            <v>[10601]  Commonwealth Edison CompanyEmbedded (Finance)Travel, Entertainment &amp; Reimb</v>
          </cell>
          <cell r="AC736" t="str">
            <v>[10601]  Commonwealth Edison CompanyEmbedded (Finance)Tax ComEd (00841)</v>
          </cell>
          <cell r="AF736" t="str">
            <v>EEDTaxTravel, Entertainment &amp; Reimb</v>
          </cell>
        </row>
        <row r="737">
          <cell r="E737">
            <v>1259.9659605154336</v>
          </cell>
          <cell r="H737">
            <v>-209.91991360577481</v>
          </cell>
          <cell r="I737">
            <v>-209.91998523829284</v>
          </cell>
          <cell r="J737">
            <v>2667.0696390740309</v>
          </cell>
          <cell r="M737">
            <v>1533.1143720808445</v>
          </cell>
          <cell r="N737">
            <v>19.402141367492277</v>
          </cell>
          <cell r="O737">
            <v>15643.079533612394</v>
          </cell>
          <cell r="R737">
            <v>-3042.5276243167336</v>
          </cell>
          <cell r="S737">
            <v>-4004.5142163848977</v>
          </cell>
          <cell r="V737" t="str">
            <v>Embedded</v>
          </cell>
          <cell r="W737" t="str">
            <v>Finance</v>
          </cell>
          <cell r="AA737" t="str">
            <v>[10601]  Commonwealth Edison CompanyEmbeddedFinance</v>
          </cell>
          <cell r="AB737" t="str">
            <v>[10601]  Commonwealth Edison CompanyEmbedded (Finance)Travel, Entertainment &amp; Reimb</v>
          </cell>
          <cell r="AC737" t="str">
            <v>[10601]  Commonwealth Edison CompanyEmbedded (Finance)Tax ComEd (00841)</v>
          </cell>
          <cell r="AF737" t="str">
            <v>EEDTaxTravel, Entertainment &amp; Reimb</v>
          </cell>
        </row>
        <row r="738">
          <cell r="V738" t="e">
            <v>#N/A</v>
          </cell>
          <cell r="W738" t="e">
            <v>#N/A</v>
          </cell>
          <cell r="AA738" t="e">
            <v>#N/A</v>
          </cell>
          <cell r="AB738" t="e">
            <v>#N/A</v>
          </cell>
          <cell r="AC738" t="e">
            <v>#N/A</v>
          </cell>
          <cell r="AF738" t="e">
            <v>#N/A</v>
          </cell>
        </row>
        <row r="739">
          <cell r="V739" t="e">
            <v>#N/A</v>
          </cell>
          <cell r="W739" t="e">
            <v>#N/A</v>
          </cell>
          <cell r="AA739" t="e">
            <v>#N/A</v>
          </cell>
          <cell r="AB739" t="e">
            <v>#N/A</v>
          </cell>
          <cell r="AC739" t="e">
            <v>#N/A</v>
          </cell>
          <cell r="AF739" t="e">
            <v>#N/A</v>
          </cell>
        </row>
        <row r="740">
          <cell r="V740" t="e">
            <v>#N/A</v>
          </cell>
          <cell r="W740" t="e">
            <v>#N/A</v>
          </cell>
          <cell r="AA740" t="e">
            <v>#N/A</v>
          </cell>
          <cell r="AB740" t="e">
            <v>#N/A</v>
          </cell>
          <cell r="AC740" t="e">
            <v>#N/A</v>
          </cell>
          <cell r="AF740" t="e">
            <v>#N/A</v>
          </cell>
        </row>
        <row r="741">
          <cell r="V741" t="e">
            <v>#N/A</v>
          </cell>
          <cell r="W741" t="e">
            <v>#N/A</v>
          </cell>
          <cell r="AA741" t="e">
            <v>#N/A</v>
          </cell>
          <cell r="AB741" t="e">
            <v>#N/A</v>
          </cell>
          <cell r="AC741" t="e">
            <v>#N/A</v>
          </cell>
          <cell r="AF741" t="e">
            <v>#N/A</v>
          </cell>
        </row>
        <row r="742">
          <cell r="V742" t="e">
            <v>#N/A</v>
          </cell>
          <cell r="W742" t="e">
            <v>#N/A</v>
          </cell>
          <cell r="AA742" t="e">
            <v>#N/A</v>
          </cell>
          <cell r="AB742" t="e">
            <v>#N/A</v>
          </cell>
          <cell r="AC742" t="e">
            <v>#N/A</v>
          </cell>
          <cell r="AF742" t="e">
            <v>#N/A</v>
          </cell>
        </row>
        <row r="743">
          <cell r="V743" t="e">
            <v>#N/A</v>
          </cell>
          <cell r="W743" t="e">
            <v>#N/A</v>
          </cell>
          <cell r="AA743" t="e">
            <v>#N/A</v>
          </cell>
          <cell r="AB743" t="e">
            <v>#N/A</v>
          </cell>
          <cell r="AC743" t="e">
            <v>#N/A</v>
          </cell>
          <cell r="AF743" t="e">
            <v>#N/A</v>
          </cell>
        </row>
        <row r="744">
          <cell r="V744" t="e">
            <v>#N/A</v>
          </cell>
          <cell r="W744" t="e">
            <v>#N/A</v>
          </cell>
          <cell r="AA744" t="e">
            <v>#N/A</v>
          </cell>
          <cell r="AB744" t="e">
            <v>#N/A</v>
          </cell>
          <cell r="AC744" t="e">
            <v>#N/A</v>
          </cell>
          <cell r="AF744" t="e">
            <v>#N/A</v>
          </cell>
        </row>
        <row r="745">
          <cell r="V745" t="e">
            <v>#N/A</v>
          </cell>
          <cell r="W745" t="e">
            <v>#N/A</v>
          </cell>
          <cell r="AA745" t="e">
            <v>#N/A</v>
          </cell>
          <cell r="AB745" t="e">
            <v>#N/A</v>
          </cell>
          <cell r="AC745" t="e">
            <v>#N/A</v>
          </cell>
          <cell r="AF745" t="e">
            <v>#N/A</v>
          </cell>
        </row>
        <row r="746">
          <cell r="V746" t="e">
            <v>#N/A</v>
          </cell>
          <cell r="W746" t="e">
            <v>#N/A</v>
          </cell>
          <cell r="AA746" t="e">
            <v>#N/A</v>
          </cell>
          <cell r="AB746" t="e">
            <v>#N/A</v>
          </cell>
          <cell r="AC746" t="e">
            <v>#N/A</v>
          </cell>
          <cell r="AF746" t="e">
            <v>#N/A</v>
          </cell>
        </row>
        <row r="747">
          <cell r="V747" t="e">
            <v>#N/A</v>
          </cell>
          <cell r="W747" t="e">
            <v>#N/A</v>
          </cell>
          <cell r="AA747" t="e">
            <v>#N/A</v>
          </cell>
          <cell r="AB747" t="e">
            <v>#N/A</v>
          </cell>
          <cell r="AC747" t="e">
            <v>#N/A</v>
          </cell>
          <cell r="AF747" t="e">
            <v>#N/A</v>
          </cell>
        </row>
        <row r="748">
          <cell r="V748" t="e">
            <v>#N/A</v>
          </cell>
          <cell r="W748" t="e">
            <v>#N/A</v>
          </cell>
          <cell r="AA748" t="e">
            <v>#N/A</v>
          </cell>
          <cell r="AB748" t="e">
            <v>#N/A</v>
          </cell>
          <cell r="AC748" t="e">
            <v>#N/A</v>
          </cell>
          <cell r="AF748" t="e">
            <v>#N/A</v>
          </cell>
        </row>
        <row r="749">
          <cell r="V749" t="e">
            <v>#N/A</v>
          </cell>
          <cell r="W749" t="e">
            <v>#N/A</v>
          </cell>
          <cell r="AA749" t="e">
            <v>#N/A</v>
          </cell>
          <cell r="AB749" t="e">
            <v>#N/A</v>
          </cell>
          <cell r="AC749" t="e">
            <v>#N/A</v>
          </cell>
          <cell r="AF749" t="e">
            <v>#N/A</v>
          </cell>
        </row>
        <row r="750">
          <cell r="V750" t="e">
            <v>#N/A</v>
          </cell>
          <cell r="W750" t="e">
            <v>#N/A</v>
          </cell>
          <cell r="AA750" t="e">
            <v>#N/A</v>
          </cell>
          <cell r="AB750" t="e">
            <v>#N/A</v>
          </cell>
          <cell r="AC750" t="e">
            <v>#N/A</v>
          </cell>
          <cell r="AF750" t="e">
            <v>#N/A</v>
          </cell>
        </row>
        <row r="751">
          <cell r="V751" t="e">
            <v>#N/A</v>
          </cell>
          <cell r="W751" t="e">
            <v>#N/A</v>
          </cell>
          <cell r="AA751" t="e">
            <v>#N/A</v>
          </cell>
          <cell r="AB751" t="e">
            <v>#N/A</v>
          </cell>
          <cell r="AC751" t="e">
            <v>#N/A</v>
          </cell>
          <cell r="AF751" t="e">
            <v>#N/A</v>
          </cell>
        </row>
        <row r="752">
          <cell r="V752" t="e">
            <v>#N/A</v>
          </cell>
          <cell r="W752" t="e">
            <v>#N/A</v>
          </cell>
          <cell r="AA752" t="e">
            <v>#N/A</v>
          </cell>
          <cell r="AB752" t="e">
            <v>#N/A</v>
          </cell>
          <cell r="AC752" t="e">
            <v>#N/A</v>
          </cell>
          <cell r="AF752" t="e">
            <v>#N/A</v>
          </cell>
        </row>
        <row r="753">
          <cell r="V753" t="e">
            <v>#N/A</v>
          </cell>
          <cell r="W753" t="e">
            <v>#N/A</v>
          </cell>
          <cell r="AA753" t="e">
            <v>#N/A</v>
          </cell>
          <cell r="AB753" t="e">
            <v>#N/A</v>
          </cell>
          <cell r="AC753" t="e">
            <v>#N/A</v>
          </cell>
          <cell r="AF753" t="e">
            <v>#N/A</v>
          </cell>
        </row>
        <row r="754">
          <cell r="V754" t="e">
            <v>#N/A</v>
          </cell>
          <cell r="W754" t="e">
            <v>#N/A</v>
          </cell>
          <cell r="AA754" t="e">
            <v>#N/A</v>
          </cell>
          <cell r="AB754" t="e">
            <v>#N/A</v>
          </cell>
          <cell r="AC754" t="e">
            <v>#N/A</v>
          </cell>
          <cell r="AF754" t="e">
            <v>#N/A</v>
          </cell>
        </row>
        <row r="755">
          <cell r="V755" t="e">
            <v>#N/A</v>
          </cell>
          <cell r="W755" t="e">
            <v>#N/A</v>
          </cell>
          <cell r="AA755" t="e">
            <v>#N/A</v>
          </cell>
          <cell r="AB755" t="e">
            <v>#N/A</v>
          </cell>
          <cell r="AC755" t="e">
            <v>#N/A</v>
          </cell>
          <cell r="AF755" t="e">
            <v>#N/A</v>
          </cell>
        </row>
        <row r="756">
          <cell r="V756" t="e">
            <v>#N/A</v>
          </cell>
          <cell r="W756" t="e">
            <v>#N/A</v>
          </cell>
          <cell r="AA756" t="e">
            <v>#N/A</v>
          </cell>
          <cell r="AB756" t="e">
            <v>#N/A</v>
          </cell>
          <cell r="AC756" t="e">
            <v>#N/A</v>
          </cell>
          <cell r="AF756" t="e">
            <v>#N/A</v>
          </cell>
        </row>
        <row r="757">
          <cell r="V757" t="e">
            <v>#N/A</v>
          </cell>
          <cell r="W757" t="e">
            <v>#N/A</v>
          </cell>
          <cell r="AA757" t="e">
            <v>#N/A</v>
          </cell>
          <cell r="AB757" t="e">
            <v>#N/A</v>
          </cell>
          <cell r="AC757" t="e">
            <v>#N/A</v>
          </cell>
          <cell r="AF757" t="e">
            <v>#N/A</v>
          </cell>
        </row>
        <row r="758">
          <cell r="V758" t="e">
            <v>#N/A</v>
          </cell>
          <cell r="W758" t="e">
            <v>#N/A</v>
          </cell>
          <cell r="AA758" t="e">
            <v>#N/A</v>
          </cell>
          <cell r="AB758" t="e">
            <v>#N/A</v>
          </cell>
          <cell r="AC758" t="e">
            <v>#N/A</v>
          </cell>
          <cell r="AF758" t="e">
            <v>#N/A</v>
          </cell>
        </row>
        <row r="759">
          <cell r="V759" t="e">
            <v>#N/A</v>
          </cell>
          <cell r="W759" t="e">
            <v>#N/A</v>
          </cell>
          <cell r="AA759" t="e">
            <v>#N/A</v>
          </cell>
          <cell r="AB759" t="e">
            <v>#N/A</v>
          </cell>
          <cell r="AC759" t="e">
            <v>#N/A</v>
          </cell>
          <cell r="AF759" t="e">
            <v>#N/A</v>
          </cell>
        </row>
        <row r="760">
          <cell r="V760" t="e">
            <v>#N/A</v>
          </cell>
          <cell r="W760" t="e">
            <v>#N/A</v>
          </cell>
          <cell r="AA760" t="e">
            <v>#N/A</v>
          </cell>
          <cell r="AB760" t="e">
            <v>#N/A</v>
          </cell>
          <cell r="AC760" t="e">
            <v>#N/A</v>
          </cell>
          <cell r="AF760" t="e">
            <v>#N/A</v>
          </cell>
        </row>
        <row r="761">
          <cell r="V761" t="e">
            <v>#N/A</v>
          </cell>
          <cell r="W761" t="e">
            <v>#N/A</v>
          </cell>
          <cell r="AA761" t="e">
            <v>#N/A</v>
          </cell>
          <cell r="AB761" t="e">
            <v>#N/A</v>
          </cell>
          <cell r="AC761" t="e">
            <v>#N/A</v>
          </cell>
          <cell r="AF761" t="e">
            <v>#N/A</v>
          </cell>
        </row>
        <row r="762">
          <cell r="V762" t="e">
            <v>#N/A</v>
          </cell>
          <cell r="W762" t="e">
            <v>#N/A</v>
          </cell>
          <cell r="AA762" t="e">
            <v>#N/A</v>
          </cell>
          <cell r="AB762" t="e">
            <v>#N/A</v>
          </cell>
          <cell r="AC762" t="e">
            <v>#N/A</v>
          </cell>
          <cell r="AF762" t="e">
            <v>#N/A</v>
          </cell>
        </row>
        <row r="763">
          <cell r="V763" t="e">
            <v>#N/A</v>
          </cell>
          <cell r="W763" t="e">
            <v>#N/A</v>
          </cell>
          <cell r="AA763" t="e">
            <v>#N/A</v>
          </cell>
          <cell r="AB763" t="e">
            <v>#N/A</v>
          </cell>
          <cell r="AC763" t="e">
            <v>#N/A</v>
          </cell>
          <cell r="AF763" t="e">
            <v>#N/A</v>
          </cell>
        </row>
        <row r="764">
          <cell r="V764" t="e">
            <v>#N/A</v>
          </cell>
          <cell r="W764" t="e">
            <v>#N/A</v>
          </cell>
          <cell r="AA764" t="e">
            <v>#N/A</v>
          </cell>
          <cell r="AB764" t="e">
            <v>#N/A</v>
          </cell>
          <cell r="AC764" t="e">
            <v>#N/A</v>
          </cell>
          <cell r="AF764" t="e">
            <v>#N/A</v>
          </cell>
        </row>
        <row r="765">
          <cell r="V765" t="e">
            <v>#N/A</v>
          </cell>
          <cell r="W765" t="e">
            <v>#N/A</v>
          </cell>
          <cell r="AA765" t="e">
            <v>#N/A</v>
          </cell>
          <cell r="AB765" t="e">
            <v>#N/A</v>
          </cell>
          <cell r="AC765" t="e">
            <v>#N/A</v>
          </cell>
          <cell r="AF765" t="e">
            <v>#N/A</v>
          </cell>
        </row>
        <row r="766">
          <cell r="V766" t="e">
            <v>#N/A</v>
          </cell>
          <cell r="W766" t="e">
            <v>#N/A</v>
          </cell>
          <cell r="AA766" t="e">
            <v>#N/A</v>
          </cell>
          <cell r="AB766" t="e">
            <v>#N/A</v>
          </cell>
          <cell r="AC766" t="e">
            <v>#N/A</v>
          </cell>
          <cell r="AF766" t="e">
            <v>#N/A</v>
          </cell>
        </row>
        <row r="767">
          <cell r="V767" t="e">
            <v>#N/A</v>
          </cell>
          <cell r="W767" t="e">
            <v>#N/A</v>
          </cell>
          <cell r="AA767" t="e">
            <v>#N/A</v>
          </cell>
          <cell r="AB767" t="e">
            <v>#N/A</v>
          </cell>
          <cell r="AC767" t="e">
            <v>#N/A</v>
          </cell>
          <cell r="AF767" t="e">
            <v>#N/A</v>
          </cell>
        </row>
        <row r="768">
          <cell r="V768" t="e">
            <v>#N/A</v>
          </cell>
          <cell r="W768" t="e">
            <v>#N/A</v>
          </cell>
          <cell r="AA768" t="e">
            <v>#N/A</v>
          </cell>
          <cell r="AB768" t="e">
            <v>#N/A</v>
          </cell>
          <cell r="AC768" t="e">
            <v>#N/A</v>
          </cell>
          <cell r="AF768" t="e">
            <v>#N/A</v>
          </cell>
        </row>
        <row r="769">
          <cell r="V769" t="e">
            <v>#N/A</v>
          </cell>
          <cell r="W769" t="e">
            <v>#N/A</v>
          </cell>
          <cell r="AA769" t="e">
            <v>#N/A</v>
          </cell>
          <cell r="AB769" t="e">
            <v>#N/A</v>
          </cell>
          <cell r="AC769" t="e">
            <v>#N/A</v>
          </cell>
          <cell r="AF769" t="e">
            <v>#N/A</v>
          </cell>
        </row>
        <row r="770">
          <cell r="V770" t="e">
            <v>#N/A</v>
          </cell>
          <cell r="W770" t="e">
            <v>#N/A</v>
          </cell>
          <cell r="AA770" t="e">
            <v>#N/A</v>
          </cell>
          <cell r="AB770" t="e">
            <v>#N/A</v>
          </cell>
          <cell r="AC770" t="e">
            <v>#N/A</v>
          </cell>
          <cell r="AF770" t="e">
            <v>#N/A</v>
          </cell>
        </row>
        <row r="771">
          <cell r="V771" t="e">
            <v>#N/A</v>
          </cell>
          <cell r="W771" t="e">
            <v>#N/A</v>
          </cell>
          <cell r="AA771" t="e">
            <v>#N/A</v>
          </cell>
          <cell r="AB771" t="e">
            <v>#N/A</v>
          </cell>
          <cell r="AC771" t="e">
            <v>#N/A</v>
          </cell>
          <cell r="AF771" t="e">
            <v>#N/A</v>
          </cell>
        </row>
        <row r="772">
          <cell r="V772" t="e">
            <v>#N/A</v>
          </cell>
          <cell r="W772" t="e">
            <v>#N/A</v>
          </cell>
          <cell r="AA772" t="e">
            <v>#N/A</v>
          </cell>
          <cell r="AB772" t="e">
            <v>#N/A</v>
          </cell>
          <cell r="AC772" t="e">
            <v>#N/A</v>
          </cell>
          <cell r="AF772" t="e">
            <v>#N/A</v>
          </cell>
        </row>
        <row r="773">
          <cell r="V773" t="e">
            <v>#N/A</v>
          </cell>
          <cell r="W773" t="e">
            <v>#N/A</v>
          </cell>
          <cell r="AA773" t="e">
            <v>#N/A</v>
          </cell>
          <cell r="AB773" t="e">
            <v>#N/A</v>
          </cell>
          <cell r="AC773" t="e">
            <v>#N/A</v>
          </cell>
          <cell r="AF773" t="e">
            <v>#N/A</v>
          </cell>
        </row>
        <row r="774">
          <cell r="V774" t="e">
            <v>#N/A</v>
          </cell>
          <cell r="W774" t="e">
            <v>#N/A</v>
          </cell>
          <cell r="AA774" t="e">
            <v>#N/A</v>
          </cell>
          <cell r="AB774" t="e">
            <v>#N/A</v>
          </cell>
          <cell r="AC774" t="e">
            <v>#N/A</v>
          </cell>
          <cell r="AF774" t="e">
            <v>#N/A</v>
          </cell>
        </row>
        <row r="775">
          <cell r="V775" t="e">
            <v>#N/A</v>
          </cell>
          <cell r="W775" t="e">
            <v>#N/A</v>
          </cell>
          <cell r="AA775" t="e">
            <v>#N/A</v>
          </cell>
          <cell r="AB775" t="e">
            <v>#N/A</v>
          </cell>
          <cell r="AC775" t="e">
            <v>#N/A</v>
          </cell>
          <cell r="AF775" t="e">
            <v>#N/A</v>
          </cell>
        </row>
        <row r="776">
          <cell r="V776" t="e">
            <v>#N/A</v>
          </cell>
          <cell r="W776" t="e">
            <v>#N/A</v>
          </cell>
          <cell r="AA776" t="e">
            <v>#N/A</v>
          </cell>
          <cell r="AB776" t="e">
            <v>#N/A</v>
          </cell>
          <cell r="AC776" t="e">
            <v>#N/A</v>
          </cell>
          <cell r="AF776" t="e">
            <v>#N/A</v>
          </cell>
        </row>
        <row r="777">
          <cell r="V777" t="e">
            <v>#N/A</v>
          </cell>
          <cell r="W777" t="e">
            <v>#N/A</v>
          </cell>
          <cell r="AA777" t="e">
            <v>#N/A</v>
          </cell>
          <cell r="AB777" t="e">
            <v>#N/A</v>
          </cell>
          <cell r="AC777" t="e">
            <v>#N/A</v>
          </cell>
          <cell r="AF777" t="e">
            <v>#N/A</v>
          </cell>
        </row>
        <row r="778">
          <cell r="V778" t="e">
            <v>#N/A</v>
          </cell>
          <cell r="W778" t="e">
            <v>#N/A</v>
          </cell>
          <cell r="AA778" t="e">
            <v>#N/A</v>
          </cell>
          <cell r="AB778" t="e">
            <v>#N/A</v>
          </cell>
          <cell r="AC778" t="e">
            <v>#N/A</v>
          </cell>
          <cell r="AF778" t="e">
            <v>#N/A</v>
          </cell>
        </row>
        <row r="779">
          <cell r="V779" t="e">
            <v>#N/A</v>
          </cell>
          <cell r="W779" t="e">
            <v>#N/A</v>
          </cell>
          <cell r="AA779" t="e">
            <v>#N/A</v>
          </cell>
          <cell r="AB779" t="e">
            <v>#N/A</v>
          </cell>
          <cell r="AC779" t="e">
            <v>#N/A</v>
          </cell>
          <cell r="AF779" t="e">
            <v>#N/A</v>
          </cell>
        </row>
        <row r="780">
          <cell r="V780" t="e">
            <v>#N/A</v>
          </cell>
          <cell r="W780" t="e">
            <v>#N/A</v>
          </cell>
          <cell r="AA780" t="e">
            <v>#N/A</v>
          </cell>
          <cell r="AB780" t="e">
            <v>#N/A</v>
          </cell>
          <cell r="AC780" t="e">
            <v>#N/A</v>
          </cell>
          <cell r="AF780" t="e">
            <v>#N/A</v>
          </cell>
        </row>
        <row r="781">
          <cell r="V781" t="e">
            <v>#N/A</v>
          </cell>
          <cell r="W781" t="e">
            <v>#N/A</v>
          </cell>
          <cell r="AA781" t="e">
            <v>#N/A</v>
          </cell>
          <cell r="AB781" t="e">
            <v>#N/A</v>
          </cell>
          <cell r="AC781" t="e">
            <v>#N/A</v>
          </cell>
          <cell r="AF781" t="e">
            <v>#N/A</v>
          </cell>
        </row>
        <row r="782">
          <cell r="V782" t="e">
            <v>#N/A</v>
          </cell>
          <cell r="W782" t="e">
            <v>#N/A</v>
          </cell>
          <cell r="AA782" t="e">
            <v>#N/A</v>
          </cell>
          <cell r="AB782" t="e">
            <v>#N/A</v>
          </cell>
          <cell r="AC782" t="e">
            <v>#N/A</v>
          </cell>
          <cell r="AF782" t="e">
            <v>#N/A</v>
          </cell>
        </row>
        <row r="783">
          <cell r="V783" t="e">
            <v>#N/A</v>
          </cell>
          <cell r="W783" t="e">
            <v>#N/A</v>
          </cell>
          <cell r="AA783" t="e">
            <v>#N/A</v>
          </cell>
          <cell r="AB783" t="e">
            <v>#N/A</v>
          </cell>
          <cell r="AC783" t="e">
            <v>#N/A</v>
          </cell>
          <cell r="AF783" t="e">
            <v>#N/A</v>
          </cell>
        </row>
        <row r="784">
          <cell r="V784" t="e">
            <v>#N/A</v>
          </cell>
          <cell r="W784" t="e">
            <v>#N/A</v>
          </cell>
          <cell r="AA784" t="e">
            <v>#N/A</v>
          </cell>
          <cell r="AB784" t="e">
            <v>#N/A</v>
          </cell>
          <cell r="AC784" t="e">
            <v>#N/A</v>
          </cell>
          <cell r="AF784" t="e">
            <v>#N/A</v>
          </cell>
        </row>
        <row r="785">
          <cell r="V785" t="e">
            <v>#N/A</v>
          </cell>
          <cell r="W785" t="e">
            <v>#N/A</v>
          </cell>
          <cell r="AA785" t="e">
            <v>#N/A</v>
          </cell>
          <cell r="AB785" t="e">
            <v>#N/A</v>
          </cell>
          <cell r="AC785" t="e">
            <v>#N/A</v>
          </cell>
          <cell r="AF785" t="e">
            <v>#N/A</v>
          </cell>
        </row>
        <row r="786">
          <cell r="V786" t="e">
            <v>#N/A</v>
          </cell>
          <cell r="W786" t="e">
            <v>#N/A</v>
          </cell>
          <cell r="AA786" t="e">
            <v>#N/A</v>
          </cell>
          <cell r="AB786" t="e">
            <v>#N/A</v>
          </cell>
          <cell r="AC786" t="e">
            <v>#N/A</v>
          </cell>
          <cell r="AF786" t="e">
            <v>#N/A</v>
          </cell>
        </row>
        <row r="787">
          <cell r="V787" t="e">
            <v>#N/A</v>
          </cell>
          <cell r="W787" t="e">
            <v>#N/A</v>
          </cell>
          <cell r="AA787" t="e">
            <v>#N/A</v>
          </cell>
          <cell r="AB787" t="e">
            <v>#N/A</v>
          </cell>
          <cell r="AC787" t="e">
            <v>#N/A</v>
          </cell>
          <cell r="AF787" t="e">
            <v>#N/A</v>
          </cell>
        </row>
        <row r="788">
          <cell r="V788" t="e">
            <v>#N/A</v>
          </cell>
          <cell r="W788" t="e">
            <v>#N/A</v>
          </cell>
          <cell r="AA788" t="e">
            <v>#N/A</v>
          </cell>
          <cell r="AB788" t="e">
            <v>#N/A</v>
          </cell>
          <cell r="AC788" t="e">
            <v>#N/A</v>
          </cell>
          <cell r="AF788" t="e">
            <v>#N/A</v>
          </cell>
        </row>
        <row r="789">
          <cell r="V789" t="e">
            <v>#N/A</v>
          </cell>
          <cell r="W789" t="e">
            <v>#N/A</v>
          </cell>
          <cell r="AA789" t="e">
            <v>#N/A</v>
          </cell>
          <cell r="AB789" t="e">
            <v>#N/A</v>
          </cell>
          <cell r="AC789" t="e">
            <v>#N/A</v>
          </cell>
          <cell r="AF789" t="e">
            <v>#N/A</v>
          </cell>
        </row>
        <row r="790">
          <cell r="V790" t="e">
            <v>#N/A</v>
          </cell>
          <cell r="W790" t="e">
            <v>#N/A</v>
          </cell>
          <cell r="AA790" t="e">
            <v>#N/A</v>
          </cell>
          <cell r="AB790" t="e">
            <v>#N/A</v>
          </cell>
          <cell r="AC790" t="e">
            <v>#N/A</v>
          </cell>
          <cell r="AF790" t="e">
            <v>#N/A</v>
          </cell>
        </row>
        <row r="791">
          <cell r="V791" t="e">
            <v>#N/A</v>
          </cell>
          <cell r="W791" t="e">
            <v>#N/A</v>
          </cell>
          <cell r="AA791" t="e">
            <v>#N/A</v>
          </cell>
          <cell r="AB791" t="e">
            <v>#N/A</v>
          </cell>
          <cell r="AC791" t="e">
            <v>#N/A</v>
          </cell>
          <cell r="AF791" t="e">
            <v>#N/A</v>
          </cell>
        </row>
        <row r="792">
          <cell r="V792" t="e">
            <v>#N/A</v>
          </cell>
          <cell r="W792" t="e">
            <v>#N/A</v>
          </cell>
          <cell r="AA792" t="e">
            <v>#N/A</v>
          </cell>
          <cell r="AB792" t="e">
            <v>#N/A</v>
          </cell>
          <cell r="AC792" t="e">
            <v>#N/A</v>
          </cell>
          <cell r="AF792" t="e">
            <v>#N/A</v>
          </cell>
        </row>
        <row r="793">
          <cell r="V793" t="e">
            <v>#N/A</v>
          </cell>
          <cell r="W793" t="e">
            <v>#N/A</v>
          </cell>
          <cell r="AA793" t="e">
            <v>#N/A</v>
          </cell>
          <cell r="AB793" t="e">
            <v>#N/A</v>
          </cell>
          <cell r="AC793" t="e">
            <v>#N/A</v>
          </cell>
          <cell r="AF793" t="e">
            <v>#N/A</v>
          </cell>
        </row>
        <row r="794">
          <cell r="V794" t="e">
            <v>#N/A</v>
          </cell>
          <cell r="W794" t="e">
            <v>#N/A</v>
          </cell>
          <cell r="AA794" t="e">
            <v>#N/A</v>
          </cell>
          <cell r="AB794" t="e">
            <v>#N/A</v>
          </cell>
          <cell r="AC794" t="e">
            <v>#N/A</v>
          </cell>
          <cell r="AF794" t="e">
            <v>#N/A</v>
          </cell>
        </row>
        <row r="795">
          <cell r="V795" t="e">
            <v>#N/A</v>
          </cell>
          <cell r="W795" t="e">
            <v>#N/A</v>
          </cell>
          <cell r="AA795" t="e">
            <v>#N/A</v>
          </cell>
          <cell r="AB795" t="e">
            <v>#N/A</v>
          </cell>
          <cell r="AC795" t="e">
            <v>#N/A</v>
          </cell>
          <cell r="AF795" t="e">
            <v>#N/A</v>
          </cell>
        </row>
        <row r="796">
          <cell r="V796" t="e">
            <v>#N/A</v>
          </cell>
          <cell r="W796" t="e">
            <v>#N/A</v>
          </cell>
          <cell r="AA796" t="e">
            <v>#N/A</v>
          </cell>
          <cell r="AB796" t="e">
            <v>#N/A</v>
          </cell>
          <cell r="AC796" t="e">
            <v>#N/A</v>
          </cell>
          <cell r="AF796" t="e">
            <v>#N/A</v>
          </cell>
        </row>
        <row r="797">
          <cell r="V797" t="e">
            <v>#N/A</v>
          </cell>
          <cell r="W797" t="e">
            <v>#N/A</v>
          </cell>
          <cell r="AA797" t="e">
            <v>#N/A</v>
          </cell>
          <cell r="AB797" t="e">
            <v>#N/A</v>
          </cell>
          <cell r="AC797" t="e">
            <v>#N/A</v>
          </cell>
          <cell r="AF797" t="e">
            <v>#N/A</v>
          </cell>
        </row>
        <row r="798">
          <cell r="V798" t="e">
            <v>#N/A</v>
          </cell>
          <cell r="W798" t="e">
            <v>#N/A</v>
          </cell>
          <cell r="AA798" t="e">
            <v>#N/A</v>
          </cell>
          <cell r="AB798" t="e">
            <v>#N/A</v>
          </cell>
          <cell r="AC798" t="e">
            <v>#N/A</v>
          </cell>
          <cell r="AF798" t="e">
            <v>#N/A</v>
          </cell>
        </row>
        <row r="799">
          <cell r="V799" t="e">
            <v>#N/A</v>
          </cell>
          <cell r="W799" t="e">
            <v>#N/A</v>
          </cell>
          <cell r="AA799" t="e">
            <v>#N/A</v>
          </cell>
          <cell r="AB799" t="e">
            <v>#N/A</v>
          </cell>
          <cell r="AC799" t="e">
            <v>#N/A</v>
          </cell>
          <cell r="AF799" t="e">
            <v>#N/A</v>
          </cell>
        </row>
        <row r="800">
          <cell r="V800" t="e">
            <v>#N/A</v>
          </cell>
          <cell r="W800" t="e">
            <v>#N/A</v>
          </cell>
          <cell r="AA800" t="e">
            <v>#N/A</v>
          </cell>
          <cell r="AB800" t="e">
            <v>#N/A</v>
          </cell>
          <cell r="AC800" t="e">
            <v>#N/A</v>
          </cell>
          <cell r="AF800" t="e">
            <v>#N/A</v>
          </cell>
        </row>
        <row r="801">
          <cell r="V801" t="e">
            <v>#N/A</v>
          </cell>
          <cell r="W801" t="e">
            <v>#N/A</v>
          </cell>
          <cell r="AA801" t="e">
            <v>#N/A</v>
          </cell>
          <cell r="AB801" t="e">
            <v>#N/A</v>
          </cell>
          <cell r="AC801" t="e">
            <v>#N/A</v>
          </cell>
          <cell r="AF801" t="e">
            <v>#N/A</v>
          </cell>
        </row>
        <row r="802">
          <cell r="V802" t="e">
            <v>#N/A</v>
          </cell>
          <cell r="W802" t="e">
            <v>#N/A</v>
          </cell>
          <cell r="AA802" t="e">
            <v>#N/A</v>
          </cell>
          <cell r="AB802" t="e">
            <v>#N/A</v>
          </cell>
          <cell r="AC802" t="e">
            <v>#N/A</v>
          </cell>
          <cell r="AF802" t="e">
            <v>#N/A</v>
          </cell>
        </row>
        <row r="803">
          <cell r="V803" t="e">
            <v>#N/A</v>
          </cell>
          <cell r="W803" t="e">
            <v>#N/A</v>
          </cell>
          <cell r="AA803" t="e">
            <v>#N/A</v>
          </cell>
          <cell r="AB803" t="e">
            <v>#N/A</v>
          </cell>
          <cell r="AC803" t="e">
            <v>#N/A</v>
          </cell>
          <cell r="AF803" t="e">
            <v>#N/A</v>
          </cell>
        </row>
        <row r="804">
          <cell r="V804" t="e">
            <v>#N/A</v>
          </cell>
          <cell r="W804" t="e">
            <v>#N/A</v>
          </cell>
          <cell r="AA804" t="e">
            <v>#N/A</v>
          </cell>
          <cell r="AB804" t="e">
            <v>#N/A</v>
          </cell>
          <cell r="AC804" t="e">
            <v>#N/A</v>
          </cell>
          <cell r="AF804" t="e">
            <v>#N/A</v>
          </cell>
        </row>
        <row r="805">
          <cell r="V805" t="e">
            <v>#N/A</v>
          </cell>
          <cell r="W805" t="e">
            <v>#N/A</v>
          </cell>
          <cell r="AA805" t="e">
            <v>#N/A</v>
          </cell>
          <cell r="AB805" t="e">
            <v>#N/A</v>
          </cell>
          <cell r="AC805" t="e">
            <v>#N/A</v>
          </cell>
          <cell r="AF805" t="e">
            <v>#N/A</v>
          </cell>
        </row>
        <row r="806">
          <cell r="V806" t="e">
            <v>#N/A</v>
          </cell>
          <cell r="W806" t="e">
            <v>#N/A</v>
          </cell>
          <cell r="AA806" t="e">
            <v>#N/A</v>
          </cell>
          <cell r="AB806" t="e">
            <v>#N/A</v>
          </cell>
          <cell r="AC806" t="e">
            <v>#N/A</v>
          </cell>
          <cell r="AF806" t="e">
            <v>#N/A</v>
          </cell>
        </row>
        <row r="807">
          <cell r="V807" t="e">
            <v>#N/A</v>
          </cell>
          <cell r="W807" t="e">
            <v>#N/A</v>
          </cell>
          <cell r="AA807" t="e">
            <v>#N/A</v>
          </cell>
          <cell r="AB807" t="e">
            <v>#N/A</v>
          </cell>
          <cell r="AC807" t="e">
            <v>#N/A</v>
          </cell>
          <cell r="AF807" t="e">
            <v>#N/A</v>
          </cell>
        </row>
        <row r="808">
          <cell r="V808" t="e">
            <v>#N/A</v>
          </cell>
          <cell r="W808" t="e">
            <v>#N/A</v>
          </cell>
          <cell r="AA808" t="e">
            <v>#N/A</v>
          </cell>
          <cell r="AB808" t="e">
            <v>#N/A</v>
          </cell>
          <cell r="AC808" t="e">
            <v>#N/A</v>
          </cell>
          <cell r="AF808" t="e">
            <v>#N/A</v>
          </cell>
        </row>
        <row r="809">
          <cell r="V809" t="e">
            <v>#N/A</v>
          </cell>
          <cell r="W809" t="e">
            <v>#N/A</v>
          </cell>
          <cell r="AA809" t="e">
            <v>#N/A</v>
          </cell>
          <cell r="AB809" t="e">
            <v>#N/A</v>
          </cell>
          <cell r="AC809" t="e">
            <v>#N/A</v>
          </cell>
          <cell r="AF809" t="e">
            <v>#N/A</v>
          </cell>
        </row>
        <row r="810">
          <cell r="V810" t="e">
            <v>#N/A</v>
          </cell>
          <cell r="W810" t="e">
            <v>#N/A</v>
          </cell>
          <cell r="AA810" t="e">
            <v>#N/A</v>
          </cell>
          <cell r="AB810" t="e">
            <v>#N/A</v>
          </cell>
          <cell r="AC810" t="e">
            <v>#N/A</v>
          </cell>
          <cell r="AF810" t="e">
            <v>#N/A</v>
          </cell>
        </row>
        <row r="811">
          <cell r="V811" t="e">
            <v>#N/A</v>
          </cell>
          <cell r="W811" t="e">
            <v>#N/A</v>
          </cell>
          <cell r="AA811" t="e">
            <v>#N/A</v>
          </cell>
          <cell r="AB811" t="e">
            <v>#N/A</v>
          </cell>
          <cell r="AC811" t="e">
            <v>#N/A</v>
          </cell>
          <cell r="AF811" t="e">
            <v>#N/A</v>
          </cell>
        </row>
        <row r="812">
          <cell r="V812" t="e">
            <v>#N/A</v>
          </cell>
          <cell r="W812" t="e">
            <v>#N/A</v>
          </cell>
          <cell r="AA812" t="e">
            <v>#N/A</v>
          </cell>
          <cell r="AB812" t="e">
            <v>#N/A</v>
          </cell>
          <cell r="AC812" t="e">
            <v>#N/A</v>
          </cell>
          <cell r="AF812" t="e">
            <v>#N/A</v>
          </cell>
        </row>
        <row r="813">
          <cell r="V813" t="e">
            <v>#N/A</v>
          </cell>
          <cell r="W813" t="e">
            <v>#N/A</v>
          </cell>
          <cell r="AA813" t="e">
            <v>#N/A</v>
          </cell>
          <cell r="AB813" t="e">
            <v>#N/A</v>
          </cell>
          <cell r="AC813" t="e">
            <v>#N/A</v>
          </cell>
          <cell r="AF813" t="e">
            <v>#N/A</v>
          </cell>
        </row>
        <row r="814">
          <cell r="V814" t="e">
            <v>#N/A</v>
          </cell>
          <cell r="W814" t="e">
            <v>#N/A</v>
          </cell>
          <cell r="AA814" t="e">
            <v>#N/A</v>
          </cell>
          <cell r="AB814" t="e">
            <v>#N/A</v>
          </cell>
          <cell r="AC814" t="e">
            <v>#N/A</v>
          </cell>
          <cell r="AF814" t="e">
            <v>#N/A</v>
          </cell>
        </row>
        <row r="815">
          <cell r="V815" t="e">
            <v>#N/A</v>
          </cell>
          <cell r="W815" t="e">
            <v>#N/A</v>
          </cell>
          <cell r="AA815" t="e">
            <v>#N/A</v>
          </cell>
          <cell r="AB815" t="e">
            <v>#N/A</v>
          </cell>
          <cell r="AC815" t="e">
            <v>#N/A</v>
          </cell>
          <cell r="AF815" t="e">
            <v>#N/A</v>
          </cell>
        </row>
        <row r="816">
          <cell r="V816" t="e">
            <v>#N/A</v>
          </cell>
          <cell r="W816" t="e">
            <v>#N/A</v>
          </cell>
          <cell r="AA816" t="e">
            <v>#N/A</v>
          </cell>
          <cell r="AB816" t="e">
            <v>#N/A</v>
          </cell>
          <cell r="AC816" t="e">
            <v>#N/A</v>
          </cell>
          <cell r="AF816" t="e">
            <v>#N/A</v>
          </cell>
        </row>
        <row r="817">
          <cell r="V817" t="e">
            <v>#N/A</v>
          </cell>
          <cell r="W817" t="e">
            <v>#N/A</v>
          </cell>
          <cell r="AA817" t="e">
            <v>#N/A</v>
          </cell>
          <cell r="AB817" t="e">
            <v>#N/A</v>
          </cell>
          <cell r="AC817" t="e">
            <v>#N/A</v>
          </cell>
          <cell r="AF817" t="e">
            <v>#N/A</v>
          </cell>
        </row>
        <row r="818">
          <cell r="V818" t="e">
            <v>#N/A</v>
          </cell>
          <cell r="W818" t="e">
            <v>#N/A</v>
          </cell>
          <cell r="AA818" t="e">
            <v>#N/A</v>
          </cell>
          <cell r="AB818" t="e">
            <v>#N/A</v>
          </cell>
          <cell r="AC818" t="e">
            <v>#N/A</v>
          </cell>
          <cell r="AF818" t="e">
            <v>#N/A</v>
          </cell>
        </row>
        <row r="819">
          <cell r="V819" t="e">
            <v>#N/A</v>
          </cell>
          <cell r="W819" t="e">
            <v>#N/A</v>
          </cell>
          <cell r="AA819" t="e">
            <v>#N/A</v>
          </cell>
          <cell r="AB819" t="e">
            <v>#N/A</v>
          </cell>
          <cell r="AC819" t="e">
            <v>#N/A</v>
          </cell>
          <cell r="AF819" t="e">
            <v>#N/A</v>
          </cell>
        </row>
        <row r="820">
          <cell r="V820" t="e">
            <v>#N/A</v>
          </cell>
          <cell r="W820" t="e">
            <v>#N/A</v>
          </cell>
          <cell r="AA820" t="e">
            <v>#N/A</v>
          </cell>
          <cell r="AB820" t="e">
            <v>#N/A</v>
          </cell>
          <cell r="AC820" t="e">
            <v>#N/A</v>
          </cell>
          <cell r="AF820" t="e">
            <v>#N/A</v>
          </cell>
        </row>
        <row r="821">
          <cell r="V821" t="e">
            <v>#N/A</v>
          </cell>
          <cell r="W821" t="e">
            <v>#N/A</v>
          </cell>
          <cell r="AA821" t="e">
            <v>#N/A</v>
          </cell>
          <cell r="AB821" t="e">
            <v>#N/A</v>
          </cell>
          <cell r="AC821" t="e">
            <v>#N/A</v>
          </cell>
          <cell r="AF821" t="e">
            <v>#N/A</v>
          </cell>
        </row>
        <row r="822">
          <cell r="V822" t="e">
            <v>#N/A</v>
          </cell>
          <cell r="W822" t="e">
            <v>#N/A</v>
          </cell>
          <cell r="AA822" t="e">
            <v>#N/A</v>
          </cell>
          <cell r="AB822" t="e">
            <v>#N/A</v>
          </cell>
          <cell r="AC822" t="e">
            <v>#N/A</v>
          </cell>
          <cell r="AF822" t="e">
            <v>#N/A</v>
          </cell>
        </row>
        <row r="823">
          <cell r="V823" t="e">
            <v>#N/A</v>
          </cell>
          <cell r="W823" t="e">
            <v>#N/A</v>
          </cell>
          <cell r="AA823" t="e">
            <v>#N/A</v>
          </cell>
          <cell r="AB823" t="e">
            <v>#N/A</v>
          </cell>
          <cell r="AC823" t="e">
            <v>#N/A</v>
          </cell>
          <cell r="AF823" t="e">
            <v>#N/A</v>
          </cell>
        </row>
        <row r="824">
          <cell r="V824" t="e">
            <v>#N/A</v>
          </cell>
          <cell r="W824" t="e">
            <v>#N/A</v>
          </cell>
          <cell r="AA824" t="e">
            <v>#N/A</v>
          </cell>
          <cell r="AB824" t="e">
            <v>#N/A</v>
          </cell>
          <cell r="AC824" t="e">
            <v>#N/A</v>
          </cell>
          <cell r="AF824" t="e">
            <v>#N/A</v>
          </cell>
        </row>
        <row r="825">
          <cell r="V825" t="e">
            <v>#N/A</v>
          </cell>
          <cell r="W825" t="e">
            <v>#N/A</v>
          </cell>
          <cell r="AA825" t="e">
            <v>#N/A</v>
          </cell>
          <cell r="AB825" t="e">
            <v>#N/A</v>
          </cell>
          <cell r="AC825" t="e">
            <v>#N/A</v>
          </cell>
          <cell r="AF825" t="e">
            <v>#N/A</v>
          </cell>
        </row>
        <row r="826">
          <cell r="V826" t="e">
            <v>#N/A</v>
          </cell>
          <cell r="W826" t="e">
            <v>#N/A</v>
          </cell>
          <cell r="AA826" t="e">
            <v>#N/A</v>
          </cell>
          <cell r="AB826" t="e">
            <v>#N/A</v>
          </cell>
          <cell r="AC826" t="e">
            <v>#N/A</v>
          </cell>
          <cell r="AF826" t="e">
            <v>#N/A</v>
          </cell>
        </row>
        <row r="827">
          <cell r="V827" t="e">
            <v>#N/A</v>
          </cell>
          <cell r="W827" t="e">
            <v>#N/A</v>
          </cell>
          <cell r="AA827" t="e">
            <v>#N/A</v>
          </cell>
          <cell r="AB827" t="e">
            <v>#N/A</v>
          </cell>
          <cell r="AC827" t="e">
            <v>#N/A</v>
          </cell>
          <cell r="AF827" t="e">
            <v>#N/A</v>
          </cell>
        </row>
        <row r="828">
          <cell r="V828" t="e">
            <v>#N/A</v>
          </cell>
          <cell r="W828" t="e">
            <v>#N/A</v>
          </cell>
          <cell r="AA828" t="e">
            <v>#N/A</v>
          </cell>
          <cell r="AB828" t="e">
            <v>#N/A</v>
          </cell>
          <cell r="AC828" t="e">
            <v>#N/A</v>
          </cell>
          <cell r="AF828" t="e">
            <v>#N/A</v>
          </cell>
        </row>
        <row r="829">
          <cell r="V829" t="e">
            <v>#N/A</v>
          </cell>
          <cell r="W829" t="e">
            <v>#N/A</v>
          </cell>
          <cell r="AA829" t="e">
            <v>#N/A</v>
          </cell>
          <cell r="AB829" t="e">
            <v>#N/A</v>
          </cell>
          <cell r="AC829" t="e">
            <v>#N/A</v>
          </cell>
          <cell r="AF829" t="e">
            <v>#N/A</v>
          </cell>
        </row>
        <row r="830">
          <cell r="V830" t="e">
            <v>#N/A</v>
          </cell>
          <cell r="W830" t="e">
            <v>#N/A</v>
          </cell>
          <cell r="AA830" t="e">
            <v>#N/A</v>
          </cell>
          <cell r="AB830" t="e">
            <v>#N/A</v>
          </cell>
          <cell r="AC830" t="e">
            <v>#N/A</v>
          </cell>
          <cell r="AF830" t="e">
            <v>#N/A</v>
          </cell>
        </row>
        <row r="831">
          <cell r="V831" t="e">
            <v>#N/A</v>
          </cell>
          <cell r="W831" t="e">
            <v>#N/A</v>
          </cell>
          <cell r="AA831" t="e">
            <v>#N/A</v>
          </cell>
          <cell r="AB831" t="e">
            <v>#N/A</v>
          </cell>
          <cell r="AC831" t="e">
            <v>#N/A</v>
          </cell>
          <cell r="AF831" t="e">
            <v>#N/A</v>
          </cell>
        </row>
        <row r="832">
          <cell r="V832" t="e">
            <v>#N/A</v>
          </cell>
          <cell r="W832" t="e">
            <v>#N/A</v>
          </cell>
          <cell r="AA832" t="e">
            <v>#N/A</v>
          </cell>
          <cell r="AB832" t="e">
            <v>#N/A</v>
          </cell>
          <cell r="AC832" t="e">
            <v>#N/A</v>
          </cell>
          <cell r="AF832" t="e">
            <v>#N/A</v>
          </cell>
        </row>
        <row r="833">
          <cell r="V833" t="e">
            <v>#N/A</v>
          </cell>
          <cell r="W833" t="e">
            <v>#N/A</v>
          </cell>
          <cell r="AA833" t="e">
            <v>#N/A</v>
          </cell>
          <cell r="AB833" t="e">
            <v>#N/A</v>
          </cell>
          <cell r="AC833" t="e">
            <v>#N/A</v>
          </cell>
          <cell r="AF833" t="e">
            <v>#N/A</v>
          </cell>
        </row>
        <row r="834">
          <cell r="V834" t="e">
            <v>#N/A</v>
          </cell>
          <cell r="W834" t="e">
            <v>#N/A</v>
          </cell>
          <cell r="AA834" t="e">
            <v>#N/A</v>
          </cell>
          <cell r="AB834" t="e">
            <v>#N/A</v>
          </cell>
          <cell r="AC834" t="e">
            <v>#N/A</v>
          </cell>
          <cell r="AF834" t="e">
            <v>#N/A</v>
          </cell>
        </row>
        <row r="835">
          <cell r="V835" t="e">
            <v>#N/A</v>
          </cell>
          <cell r="W835" t="e">
            <v>#N/A</v>
          </cell>
          <cell r="AA835" t="e">
            <v>#N/A</v>
          </cell>
          <cell r="AB835" t="e">
            <v>#N/A</v>
          </cell>
          <cell r="AC835" t="e">
            <v>#N/A</v>
          </cell>
          <cell r="AF835" t="e">
            <v>#N/A</v>
          </cell>
        </row>
        <row r="836">
          <cell r="V836" t="e">
            <v>#N/A</v>
          </cell>
          <cell r="W836" t="e">
            <v>#N/A</v>
          </cell>
          <cell r="AA836" t="e">
            <v>#N/A</v>
          </cell>
          <cell r="AB836" t="e">
            <v>#N/A</v>
          </cell>
          <cell r="AC836" t="e">
            <v>#N/A</v>
          </cell>
          <cell r="AF836" t="e">
            <v>#N/A</v>
          </cell>
        </row>
        <row r="837">
          <cell r="V837" t="e">
            <v>#N/A</v>
          </cell>
          <cell r="W837" t="e">
            <v>#N/A</v>
          </cell>
          <cell r="AA837" t="e">
            <v>#N/A</v>
          </cell>
          <cell r="AB837" t="e">
            <v>#N/A</v>
          </cell>
          <cell r="AC837" t="e">
            <v>#N/A</v>
          </cell>
          <cell r="AF837" t="e">
            <v>#N/A</v>
          </cell>
        </row>
        <row r="838">
          <cell r="V838" t="e">
            <v>#N/A</v>
          </cell>
          <cell r="W838" t="e">
            <v>#N/A</v>
          </cell>
          <cell r="AA838" t="e">
            <v>#N/A</v>
          </cell>
          <cell r="AB838" t="e">
            <v>#N/A</v>
          </cell>
          <cell r="AC838" t="e">
            <v>#N/A</v>
          </cell>
          <cell r="AF838" t="e">
            <v>#N/A</v>
          </cell>
        </row>
        <row r="839">
          <cell r="V839" t="e">
            <v>#N/A</v>
          </cell>
          <cell r="W839" t="e">
            <v>#N/A</v>
          </cell>
          <cell r="AA839" t="e">
            <v>#N/A</v>
          </cell>
          <cell r="AB839" t="e">
            <v>#N/A</v>
          </cell>
          <cell r="AC839" t="e">
            <v>#N/A</v>
          </cell>
          <cell r="AF839" t="e">
            <v>#N/A</v>
          </cell>
        </row>
        <row r="840">
          <cell r="V840" t="e">
            <v>#N/A</v>
          </cell>
          <cell r="W840" t="e">
            <v>#N/A</v>
          </cell>
          <cell r="AA840" t="e">
            <v>#N/A</v>
          </cell>
          <cell r="AB840" t="e">
            <v>#N/A</v>
          </cell>
          <cell r="AC840" t="e">
            <v>#N/A</v>
          </cell>
          <cell r="AF840" t="e">
            <v>#N/A</v>
          </cell>
        </row>
        <row r="841">
          <cell r="V841" t="e">
            <v>#N/A</v>
          </cell>
          <cell r="W841" t="e">
            <v>#N/A</v>
          </cell>
          <cell r="AA841" t="e">
            <v>#N/A</v>
          </cell>
          <cell r="AB841" t="e">
            <v>#N/A</v>
          </cell>
          <cell r="AC841" t="e">
            <v>#N/A</v>
          </cell>
          <cell r="AF841" t="e">
            <v>#N/A</v>
          </cell>
        </row>
        <row r="842">
          <cell r="V842" t="e">
            <v>#N/A</v>
          </cell>
          <cell r="W842" t="e">
            <v>#N/A</v>
          </cell>
          <cell r="AA842" t="e">
            <v>#N/A</v>
          </cell>
          <cell r="AB842" t="e">
            <v>#N/A</v>
          </cell>
          <cell r="AC842" t="e">
            <v>#N/A</v>
          </cell>
          <cell r="AF842" t="e">
            <v>#N/A</v>
          </cell>
        </row>
        <row r="843">
          <cell r="V843" t="e">
            <v>#N/A</v>
          </cell>
          <cell r="W843" t="e">
            <v>#N/A</v>
          </cell>
          <cell r="AA843" t="e">
            <v>#N/A</v>
          </cell>
          <cell r="AB843" t="e">
            <v>#N/A</v>
          </cell>
          <cell r="AC843" t="e">
            <v>#N/A</v>
          </cell>
          <cell r="AF843" t="e">
            <v>#N/A</v>
          </cell>
        </row>
        <row r="844">
          <cell r="V844" t="e">
            <v>#N/A</v>
          </cell>
          <cell r="W844" t="e">
            <v>#N/A</v>
          </cell>
          <cell r="AA844" t="e">
            <v>#N/A</v>
          </cell>
          <cell r="AB844" t="e">
            <v>#N/A</v>
          </cell>
          <cell r="AC844" t="e">
            <v>#N/A</v>
          </cell>
          <cell r="AF844" t="e">
            <v>#N/A</v>
          </cell>
        </row>
        <row r="845">
          <cell r="V845" t="e">
            <v>#N/A</v>
          </cell>
          <cell r="W845" t="e">
            <v>#N/A</v>
          </cell>
          <cell r="AA845" t="e">
            <v>#N/A</v>
          </cell>
          <cell r="AB845" t="e">
            <v>#N/A</v>
          </cell>
          <cell r="AC845" t="e">
            <v>#N/A</v>
          </cell>
          <cell r="AF845" t="e">
            <v>#N/A</v>
          </cell>
        </row>
        <row r="846">
          <cell r="V846" t="e">
            <v>#N/A</v>
          </cell>
          <cell r="W846" t="e">
            <v>#N/A</v>
          </cell>
          <cell r="AA846" t="e">
            <v>#N/A</v>
          </cell>
          <cell r="AB846" t="e">
            <v>#N/A</v>
          </cell>
          <cell r="AC846" t="e">
            <v>#N/A</v>
          </cell>
          <cell r="AF846" t="e">
            <v>#N/A</v>
          </cell>
        </row>
        <row r="847">
          <cell r="V847" t="e">
            <v>#N/A</v>
          </cell>
          <cell r="W847" t="e">
            <v>#N/A</v>
          </cell>
          <cell r="AA847" t="e">
            <v>#N/A</v>
          </cell>
          <cell r="AB847" t="e">
            <v>#N/A</v>
          </cell>
          <cell r="AC847" t="e">
            <v>#N/A</v>
          </cell>
          <cell r="AF847" t="e">
            <v>#N/A</v>
          </cell>
        </row>
        <row r="848">
          <cell r="V848" t="e">
            <v>#N/A</v>
          </cell>
          <cell r="W848" t="e">
            <v>#N/A</v>
          </cell>
          <cell r="AA848" t="e">
            <v>#N/A</v>
          </cell>
          <cell r="AB848" t="e">
            <v>#N/A</v>
          </cell>
          <cell r="AC848" t="e">
            <v>#N/A</v>
          </cell>
          <cell r="AF848" t="e">
            <v>#N/A</v>
          </cell>
        </row>
        <row r="849">
          <cell r="V849" t="e">
            <v>#N/A</v>
          </cell>
          <cell r="W849" t="e">
            <v>#N/A</v>
          </cell>
          <cell r="AA849" t="e">
            <v>#N/A</v>
          </cell>
          <cell r="AB849" t="e">
            <v>#N/A</v>
          </cell>
          <cell r="AC849" t="e">
            <v>#N/A</v>
          </cell>
          <cell r="AF849" t="e">
            <v>#N/A</v>
          </cell>
        </row>
        <row r="850">
          <cell r="V850" t="e">
            <v>#N/A</v>
          </cell>
          <cell r="W850" t="e">
            <v>#N/A</v>
          </cell>
          <cell r="AA850" t="e">
            <v>#N/A</v>
          </cell>
          <cell r="AB850" t="e">
            <v>#N/A</v>
          </cell>
          <cell r="AC850" t="e">
            <v>#N/A</v>
          </cell>
          <cell r="AF850" t="e">
            <v>#N/A</v>
          </cell>
        </row>
        <row r="851">
          <cell r="V851" t="e">
            <v>#N/A</v>
          </cell>
          <cell r="W851" t="e">
            <v>#N/A</v>
          </cell>
          <cell r="AA851" t="e">
            <v>#N/A</v>
          </cell>
          <cell r="AB851" t="e">
            <v>#N/A</v>
          </cell>
          <cell r="AC851" t="e">
            <v>#N/A</v>
          </cell>
          <cell r="AF851" t="e">
            <v>#N/A</v>
          </cell>
        </row>
        <row r="852">
          <cell r="V852" t="e">
            <v>#N/A</v>
          </cell>
          <cell r="W852" t="e">
            <v>#N/A</v>
          </cell>
          <cell r="AA852" t="e">
            <v>#N/A</v>
          </cell>
          <cell r="AB852" t="e">
            <v>#N/A</v>
          </cell>
          <cell r="AC852" t="e">
            <v>#N/A</v>
          </cell>
          <cell r="AF852" t="e">
            <v>#N/A</v>
          </cell>
        </row>
        <row r="853">
          <cell r="V853" t="e">
            <v>#N/A</v>
          </cell>
          <cell r="W853" t="e">
            <v>#N/A</v>
          </cell>
          <cell r="AA853" t="e">
            <v>#N/A</v>
          </cell>
          <cell r="AB853" t="e">
            <v>#N/A</v>
          </cell>
          <cell r="AC853" t="e">
            <v>#N/A</v>
          </cell>
          <cell r="AF853" t="e">
            <v>#N/A</v>
          </cell>
        </row>
        <row r="854">
          <cell r="V854" t="e">
            <v>#N/A</v>
          </cell>
          <cell r="W854" t="e">
            <v>#N/A</v>
          </cell>
          <cell r="AA854" t="e">
            <v>#N/A</v>
          </cell>
          <cell r="AB854" t="e">
            <v>#N/A</v>
          </cell>
          <cell r="AC854" t="e">
            <v>#N/A</v>
          </cell>
          <cell r="AF854" t="e">
            <v>#N/A</v>
          </cell>
        </row>
        <row r="855">
          <cell r="V855" t="e">
            <v>#N/A</v>
          </cell>
          <cell r="W855" t="e">
            <v>#N/A</v>
          </cell>
          <cell r="AA855" t="e">
            <v>#N/A</v>
          </cell>
          <cell r="AB855" t="e">
            <v>#N/A</v>
          </cell>
          <cell r="AC855" t="e">
            <v>#N/A</v>
          </cell>
          <cell r="AF855" t="e">
            <v>#N/A</v>
          </cell>
        </row>
        <row r="856">
          <cell r="V856" t="e">
            <v>#N/A</v>
          </cell>
          <cell r="W856" t="e">
            <v>#N/A</v>
          </cell>
          <cell r="AA856" t="e">
            <v>#N/A</v>
          </cell>
          <cell r="AB856" t="e">
            <v>#N/A</v>
          </cell>
          <cell r="AC856" t="e">
            <v>#N/A</v>
          </cell>
          <cell r="AF856" t="e">
            <v>#N/A</v>
          </cell>
        </row>
        <row r="857">
          <cell r="V857" t="e">
            <v>#N/A</v>
          </cell>
          <cell r="W857" t="e">
            <v>#N/A</v>
          </cell>
          <cell r="AA857" t="e">
            <v>#N/A</v>
          </cell>
          <cell r="AB857" t="e">
            <v>#N/A</v>
          </cell>
          <cell r="AC857" t="e">
            <v>#N/A</v>
          </cell>
          <cell r="AF857" t="e">
            <v>#N/A</v>
          </cell>
        </row>
        <row r="858">
          <cell r="V858" t="e">
            <v>#N/A</v>
          </cell>
          <cell r="W858" t="e">
            <v>#N/A</v>
          </cell>
          <cell r="AA858" t="e">
            <v>#N/A</v>
          </cell>
          <cell r="AB858" t="e">
            <v>#N/A</v>
          </cell>
          <cell r="AC858" t="e">
            <v>#N/A</v>
          </cell>
          <cell r="AF858" t="e">
            <v>#N/A</v>
          </cell>
        </row>
        <row r="859">
          <cell r="V859" t="e">
            <v>#N/A</v>
          </cell>
          <cell r="W859" t="e">
            <v>#N/A</v>
          </cell>
          <cell r="AA859" t="e">
            <v>#N/A</v>
          </cell>
          <cell r="AB859" t="e">
            <v>#N/A</v>
          </cell>
          <cell r="AC859" t="e">
            <v>#N/A</v>
          </cell>
          <cell r="AF859" t="e">
            <v>#N/A</v>
          </cell>
        </row>
        <row r="860">
          <cell r="V860" t="e">
            <v>#N/A</v>
          </cell>
          <cell r="W860" t="e">
            <v>#N/A</v>
          </cell>
          <cell r="AA860" t="e">
            <v>#N/A</v>
          </cell>
          <cell r="AB860" t="e">
            <v>#N/A</v>
          </cell>
          <cell r="AC860" t="e">
            <v>#N/A</v>
          </cell>
          <cell r="AF860" t="e">
            <v>#N/A</v>
          </cell>
        </row>
        <row r="861">
          <cell r="V861" t="e">
            <v>#N/A</v>
          </cell>
          <cell r="W861" t="e">
            <v>#N/A</v>
          </cell>
          <cell r="AA861" t="e">
            <v>#N/A</v>
          </cell>
          <cell r="AB861" t="e">
            <v>#N/A</v>
          </cell>
          <cell r="AC861" t="e">
            <v>#N/A</v>
          </cell>
          <cell r="AF861" t="e">
            <v>#N/A</v>
          </cell>
        </row>
        <row r="862">
          <cell r="V862" t="e">
            <v>#N/A</v>
          </cell>
          <cell r="W862" t="e">
            <v>#N/A</v>
          </cell>
          <cell r="AA862" t="e">
            <v>#N/A</v>
          </cell>
          <cell r="AB862" t="e">
            <v>#N/A</v>
          </cell>
          <cell r="AC862" t="e">
            <v>#N/A</v>
          </cell>
          <cell r="AF862" t="e">
            <v>#N/A</v>
          </cell>
        </row>
        <row r="863">
          <cell r="V863" t="e">
            <v>#N/A</v>
          </cell>
          <cell r="W863" t="e">
            <v>#N/A</v>
          </cell>
          <cell r="AA863" t="e">
            <v>#N/A</v>
          </cell>
          <cell r="AB863" t="e">
            <v>#N/A</v>
          </cell>
          <cell r="AC863" t="e">
            <v>#N/A</v>
          </cell>
          <cell r="AF863" t="e">
            <v>#N/A</v>
          </cell>
        </row>
        <row r="864">
          <cell r="V864" t="e">
            <v>#N/A</v>
          </cell>
          <cell r="W864" t="e">
            <v>#N/A</v>
          </cell>
          <cell r="AA864" t="e">
            <v>#N/A</v>
          </cell>
          <cell r="AB864" t="e">
            <v>#N/A</v>
          </cell>
          <cell r="AC864" t="e">
            <v>#N/A</v>
          </cell>
          <cell r="AF864" t="e">
            <v>#N/A</v>
          </cell>
        </row>
        <row r="865">
          <cell r="V865" t="e">
            <v>#N/A</v>
          </cell>
          <cell r="W865" t="e">
            <v>#N/A</v>
          </cell>
          <cell r="AA865" t="e">
            <v>#N/A</v>
          </cell>
          <cell r="AB865" t="e">
            <v>#N/A</v>
          </cell>
          <cell r="AC865" t="e">
            <v>#N/A</v>
          </cell>
          <cell r="AF865" t="e">
            <v>#N/A</v>
          </cell>
        </row>
        <row r="866">
          <cell r="V866" t="e">
            <v>#N/A</v>
          </cell>
          <cell r="W866" t="e">
            <v>#N/A</v>
          </cell>
          <cell r="AA866" t="e">
            <v>#N/A</v>
          </cell>
          <cell r="AB866" t="e">
            <v>#N/A</v>
          </cell>
          <cell r="AC866" t="e">
            <v>#N/A</v>
          </cell>
          <cell r="AF866" t="e">
            <v>#N/A</v>
          </cell>
        </row>
        <row r="867">
          <cell r="V867" t="e">
            <v>#N/A</v>
          </cell>
          <cell r="W867" t="e">
            <v>#N/A</v>
          </cell>
          <cell r="AA867" t="e">
            <v>#N/A</v>
          </cell>
          <cell r="AB867" t="e">
            <v>#N/A</v>
          </cell>
          <cell r="AC867" t="e">
            <v>#N/A</v>
          </cell>
          <cell r="AF867" t="e">
            <v>#N/A</v>
          </cell>
        </row>
        <row r="868">
          <cell r="V868" t="e">
            <v>#N/A</v>
          </cell>
          <cell r="W868" t="e">
            <v>#N/A</v>
          </cell>
          <cell r="AA868" t="e">
            <v>#N/A</v>
          </cell>
          <cell r="AB868" t="e">
            <v>#N/A</v>
          </cell>
          <cell r="AC868" t="e">
            <v>#N/A</v>
          </cell>
          <cell r="AF868" t="e">
            <v>#N/A</v>
          </cell>
        </row>
        <row r="869">
          <cell r="V869" t="e">
            <v>#N/A</v>
          </cell>
          <cell r="W869" t="e">
            <v>#N/A</v>
          </cell>
          <cell r="AA869" t="e">
            <v>#N/A</v>
          </cell>
          <cell r="AB869" t="e">
            <v>#N/A</v>
          </cell>
          <cell r="AC869" t="e">
            <v>#N/A</v>
          </cell>
          <cell r="AF869" t="e">
            <v>#N/A</v>
          </cell>
        </row>
        <row r="870">
          <cell r="V870" t="e">
            <v>#N/A</v>
          </cell>
          <cell r="W870" t="e">
            <v>#N/A</v>
          </cell>
          <cell r="AA870" t="e">
            <v>#N/A</v>
          </cell>
          <cell r="AB870" t="e">
            <v>#N/A</v>
          </cell>
          <cell r="AC870" t="e">
            <v>#N/A</v>
          </cell>
          <cell r="AF870" t="e">
            <v>#N/A</v>
          </cell>
        </row>
        <row r="871">
          <cell r="V871" t="e">
            <v>#N/A</v>
          </cell>
          <cell r="W871" t="e">
            <v>#N/A</v>
          </cell>
          <cell r="AA871" t="e">
            <v>#N/A</v>
          </cell>
          <cell r="AB871" t="e">
            <v>#N/A</v>
          </cell>
          <cell r="AC871" t="e">
            <v>#N/A</v>
          </cell>
          <cell r="AF871" t="e">
            <v>#N/A</v>
          </cell>
        </row>
        <row r="872">
          <cell r="V872" t="e">
            <v>#N/A</v>
          </cell>
          <cell r="W872" t="e">
            <v>#N/A</v>
          </cell>
          <cell r="AA872" t="e">
            <v>#N/A</v>
          </cell>
          <cell r="AB872" t="e">
            <v>#N/A</v>
          </cell>
          <cell r="AC872" t="e">
            <v>#N/A</v>
          </cell>
          <cell r="AF872" t="e">
            <v>#N/A</v>
          </cell>
        </row>
        <row r="873">
          <cell r="V873" t="e">
            <v>#N/A</v>
          </cell>
          <cell r="W873" t="e">
            <v>#N/A</v>
          </cell>
          <cell r="AA873" t="e">
            <v>#N/A</v>
          </cell>
          <cell r="AB873" t="e">
            <v>#N/A</v>
          </cell>
          <cell r="AC873" t="e">
            <v>#N/A</v>
          </cell>
          <cell r="AF873" t="e">
            <v>#N/A</v>
          </cell>
        </row>
        <row r="874">
          <cell r="V874" t="e">
            <v>#N/A</v>
          </cell>
          <cell r="W874" t="e">
            <v>#N/A</v>
          </cell>
          <cell r="AA874" t="e">
            <v>#N/A</v>
          </cell>
          <cell r="AB874" t="e">
            <v>#N/A</v>
          </cell>
          <cell r="AC874" t="e">
            <v>#N/A</v>
          </cell>
          <cell r="AF874" t="e">
            <v>#N/A</v>
          </cell>
        </row>
        <row r="875">
          <cell r="V875" t="e">
            <v>#N/A</v>
          </cell>
          <cell r="W875" t="e">
            <v>#N/A</v>
          </cell>
          <cell r="AA875" t="e">
            <v>#N/A</v>
          </cell>
          <cell r="AB875" t="e">
            <v>#N/A</v>
          </cell>
          <cell r="AC875" t="e">
            <v>#N/A</v>
          </cell>
          <cell r="AF875" t="e">
            <v>#N/A</v>
          </cell>
        </row>
        <row r="876">
          <cell r="V876" t="e">
            <v>#N/A</v>
          </cell>
          <cell r="W876" t="e">
            <v>#N/A</v>
          </cell>
          <cell r="AA876" t="e">
            <v>#N/A</v>
          </cell>
          <cell r="AB876" t="e">
            <v>#N/A</v>
          </cell>
          <cell r="AC876" t="e">
            <v>#N/A</v>
          </cell>
          <cell r="AF876" t="e">
            <v>#N/A</v>
          </cell>
        </row>
        <row r="877">
          <cell r="V877" t="e">
            <v>#N/A</v>
          </cell>
          <cell r="W877" t="e">
            <v>#N/A</v>
          </cell>
          <cell r="AA877" t="e">
            <v>#N/A</v>
          </cell>
          <cell r="AB877" t="e">
            <v>#N/A</v>
          </cell>
          <cell r="AC877" t="e">
            <v>#N/A</v>
          </cell>
          <cell r="AF877" t="e">
            <v>#N/A</v>
          </cell>
        </row>
        <row r="878">
          <cell r="V878" t="e">
            <v>#N/A</v>
          </cell>
          <cell r="W878" t="e">
            <v>#N/A</v>
          </cell>
          <cell r="AA878" t="e">
            <v>#N/A</v>
          </cell>
          <cell r="AB878" t="e">
            <v>#N/A</v>
          </cell>
          <cell r="AC878" t="e">
            <v>#N/A</v>
          </cell>
          <cell r="AF878" t="e">
            <v>#N/A</v>
          </cell>
        </row>
        <row r="879">
          <cell r="V879" t="e">
            <v>#N/A</v>
          </cell>
          <cell r="W879" t="e">
            <v>#N/A</v>
          </cell>
          <cell r="AA879" t="e">
            <v>#N/A</v>
          </cell>
          <cell r="AB879" t="e">
            <v>#N/A</v>
          </cell>
          <cell r="AC879" t="e">
            <v>#N/A</v>
          </cell>
          <cell r="AF879" t="e">
            <v>#N/A</v>
          </cell>
        </row>
        <row r="880">
          <cell r="V880" t="e">
            <v>#N/A</v>
          </cell>
          <cell r="W880" t="e">
            <v>#N/A</v>
          </cell>
          <cell r="AA880" t="e">
            <v>#N/A</v>
          </cell>
          <cell r="AB880" t="e">
            <v>#N/A</v>
          </cell>
          <cell r="AC880" t="e">
            <v>#N/A</v>
          </cell>
          <cell r="AF880" t="e">
            <v>#N/A</v>
          </cell>
        </row>
        <row r="881">
          <cell r="V881" t="e">
            <v>#N/A</v>
          </cell>
          <cell r="W881" t="e">
            <v>#N/A</v>
          </cell>
          <cell r="AA881" t="e">
            <v>#N/A</v>
          </cell>
          <cell r="AB881" t="e">
            <v>#N/A</v>
          </cell>
          <cell r="AC881" t="e">
            <v>#N/A</v>
          </cell>
          <cell r="AF881" t="e">
            <v>#N/A</v>
          </cell>
        </row>
        <row r="882">
          <cell r="V882" t="e">
            <v>#N/A</v>
          </cell>
          <cell r="W882" t="e">
            <v>#N/A</v>
          </cell>
          <cell r="AA882" t="e">
            <v>#N/A</v>
          </cell>
          <cell r="AB882" t="e">
            <v>#N/A</v>
          </cell>
          <cell r="AC882" t="e">
            <v>#N/A</v>
          </cell>
          <cell r="AF882" t="e">
            <v>#N/A</v>
          </cell>
        </row>
        <row r="883">
          <cell r="V883" t="e">
            <v>#N/A</v>
          </cell>
          <cell r="W883" t="e">
            <v>#N/A</v>
          </cell>
          <cell r="AA883" t="e">
            <v>#N/A</v>
          </cell>
          <cell r="AB883" t="e">
            <v>#N/A</v>
          </cell>
          <cell r="AC883" t="e">
            <v>#N/A</v>
          </cell>
          <cell r="AF883" t="e">
            <v>#N/A</v>
          </cell>
        </row>
        <row r="884">
          <cell r="V884" t="e">
            <v>#N/A</v>
          </cell>
          <cell r="W884" t="e">
            <v>#N/A</v>
          </cell>
          <cell r="AA884" t="e">
            <v>#N/A</v>
          </cell>
          <cell r="AB884" t="e">
            <v>#N/A</v>
          </cell>
          <cell r="AC884" t="e">
            <v>#N/A</v>
          </cell>
          <cell r="AF884" t="e">
            <v>#N/A</v>
          </cell>
        </row>
        <row r="885">
          <cell r="V885" t="e">
            <v>#N/A</v>
          </cell>
          <cell r="W885" t="e">
            <v>#N/A</v>
          </cell>
          <cell r="AA885" t="e">
            <v>#N/A</v>
          </cell>
          <cell r="AB885" t="e">
            <v>#N/A</v>
          </cell>
          <cell r="AC885" t="e">
            <v>#N/A</v>
          </cell>
          <cell r="AF885" t="e">
            <v>#N/A</v>
          </cell>
        </row>
        <row r="886">
          <cell r="V886" t="e">
            <v>#N/A</v>
          </cell>
          <cell r="W886" t="e">
            <v>#N/A</v>
          </cell>
          <cell r="AA886" t="e">
            <v>#N/A</v>
          </cell>
          <cell r="AB886" t="e">
            <v>#N/A</v>
          </cell>
          <cell r="AC886" t="e">
            <v>#N/A</v>
          </cell>
          <cell r="AF886" t="e">
            <v>#N/A</v>
          </cell>
        </row>
        <row r="887">
          <cell r="V887" t="e">
            <v>#N/A</v>
          </cell>
          <cell r="W887" t="e">
            <v>#N/A</v>
          </cell>
          <cell r="AA887" t="e">
            <v>#N/A</v>
          </cell>
          <cell r="AB887" t="e">
            <v>#N/A</v>
          </cell>
          <cell r="AC887" t="e">
            <v>#N/A</v>
          </cell>
          <cell r="AF887" t="e">
            <v>#N/A</v>
          </cell>
        </row>
        <row r="888">
          <cell r="V888" t="e">
            <v>#N/A</v>
          </cell>
          <cell r="W888" t="e">
            <v>#N/A</v>
          </cell>
          <cell r="AA888" t="e">
            <v>#N/A</v>
          </cell>
          <cell r="AB888" t="e">
            <v>#N/A</v>
          </cell>
          <cell r="AC888" t="e">
            <v>#N/A</v>
          </cell>
          <cell r="AF888" t="e">
            <v>#N/A</v>
          </cell>
        </row>
        <row r="889">
          <cell r="V889" t="e">
            <v>#N/A</v>
          </cell>
          <cell r="W889" t="e">
            <v>#N/A</v>
          </cell>
          <cell r="AA889" t="e">
            <v>#N/A</v>
          </cell>
          <cell r="AB889" t="e">
            <v>#N/A</v>
          </cell>
          <cell r="AC889" t="e">
            <v>#N/A</v>
          </cell>
          <cell r="AF889" t="e">
            <v>#N/A</v>
          </cell>
        </row>
        <row r="890">
          <cell r="V890" t="e">
            <v>#N/A</v>
          </cell>
          <cell r="W890" t="e">
            <v>#N/A</v>
          </cell>
          <cell r="AA890" t="e">
            <v>#N/A</v>
          </cell>
          <cell r="AB890" t="e">
            <v>#N/A</v>
          </cell>
          <cell r="AC890" t="e">
            <v>#N/A</v>
          </cell>
          <cell r="AF890" t="e">
            <v>#N/A</v>
          </cell>
        </row>
        <row r="891">
          <cell r="V891" t="e">
            <v>#N/A</v>
          </cell>
          <cell r="W891" t="e">
            <v>#N/A</v>
          </cell>
          <cell r="AA891" t="e">
            <v>#N/A</v>
          </cell>
          <cell r="AB891" t="e">
            <v>#N/A</v>
          </cell>
          <cell r="AC891" t="e">
            <v>#N/A</v>
          </cell>
          <cell r="AF891" t="e">
            <v>#N/A</v>
          </cell>
        </row>
        <row r="892">
          <cell r="V892" t="e">
            <v>#N/A</v>
          </cell>
          <cell r="W892" t="e">
            <v>#N/A</v>
          </cell>
          <cell r="AA892" t="e">
            <v>#N/A</v>
          </cell>
          <cell r="AB892" t="e">
            <v>#N/A</v>
          </cell>
          <cell r="AC892" t="e">
            <v>#N/A</v>
          </cell>
          <cell r="AF892" t="e">
            <v>#N/A</v>
          </cell>
        </row>
        <row r="893">
          <cell r="V893" t="e">
            <v>#N/A</v>
          </cell>
          <cell r="W893" t="e">
            <v>#N/A</v>
          </cell>
          <cell r="AA893" t="e">
            <v>#N/A</v>
          </cell>
          <cell r="AB893" t="e">
            <v>#N/A</v>
          </cell>
          <cell r="AC893" t="e">
            <v>#N/A</v>
          </cell>
          <cell r="AF893" t="e">
            <v>#N/A</v>
          </cell>
        </row>
        <row r="894">
          <cell r="V894" t="e">
            <v>#N/A</v>
          </cell>
          <cell r="W894" t="e">
            <v>#N/A</v>
          </cell>
          <cell r="AA894" t="e">
            <v>#N/A</v>
          </cell>
          <cell r="AB894" t="e">
            <v>#N/A</v>
          </cell>
          <cell r="AC894" t="e">
            <v>#N/A</v>
          </cell>
          <cell r="AF894" t="e">
            <v>#N/A</v>
          </cell>
        </row>
        <row r="895">
          <cell r="V895" t="e">
            <v>#N/A</v>
          </cell>
          <cell r="W895" t="e">
            <v>#N/A</v>
          </cell>
          <cell r="AA895" t="e">
            <v>#N/A</v>
          </cell>
          <cell r="AB895" t="e">
            <v>#N/A</v>
          </cell>
          <cell r="AC895" t="e">
            <v>#N/A</v>
          </cell>
          <cell r="AF895" t="e">
            <v>#N/A</v>
          </cell>
        </row>
        <row r="896">
          <cell r="V896" t="e">
            <v>#N/A</v>
          </cell>
          <cell r="W896" t="e">
            <v>#N/A</v>
          </cell>
          <cell r="AA896" t="e">
            <v>#N/A</v>
          </cell>
          <cell r="AB896" t="e">
            <v>#N/A</v>
          </cell>
          <cell r="AC896" t="e">
            <v>#N/A</v>
          </cell>
          <cell r="AF896" t="e">
            <v>#N/A</v>
          </cell>
        </row>
        <row r="897">
          <cell r="V897" t="e">
            <v>#N/A</v>
          </cell>
          <cell r="W897" t="e">
            <v>#N/A</v>
          </cell>
          <cell r="AA897" t="e">
            <v>#N/A</v>
          </cell>
          <cell r="AB897" t="e">
            <v>#N/A</v>
          </cell>
          <cell r="AC897" t="e">
            <v>#N/A</v>
          </cell>
          <cell r="AF897" t="e">
            <v>#N/A</v>
          </cell>
        </row>
        <row r="898">
          <cell r="V898" t="e">
            <v>#N/A</v>
          </cell>
          <cell r="W898" t="e">
            <v>#N/A</v>
          </cell>
          <cell r="AA898" t="e">
            <v>#N/A</v>
          </cell>
          <cell r="AB898" t="e">
            <v>#N/A</v>
          </cell>
          <cell r="AC898" t="e">
            <v>#N/A</v>
          </cell>
          <cell r="AF898" t="e">
            <v>#N/A</v>
          </cell>
        </row>
        <row r="899">
          <cell r="V899" t="e">
            <v>#N/A</v>
          </cell>
          <cell r="W899" t="e">
            <v>#N/A</v>
          </cell>
          <cell r="AA899" t="e">
            <v>#N/A</v>
          </cell>
          <cell r="AB899" t="e">
            <v>#N/A</v>
          </cell>
          <cell r="AC899" t="e">
            <v>#N/A</v>
          </cell>
          <cell r="AF899" t="e">
            <v>#N/A</v>
          </cell>
        </row>
        <row r="900">
          <cell r="V900" t="e">
            <v>#N/A</v>
          </cell>
          <cell r="W900" t="e">
            <v>#N/A</v>
          </cell>
          <cell r="AA900" t="e">
            <v>#N/A</v>
          </cell>
          <cell r="AB900" t="e">
            <v>#N/A</v>
          </cell>
          <cell r="AC900" t="e">
            <v>#N/A</v>
          </cell>
          <cell r="AF900" t="e">
            <v>#N/A</v>
          </cell>
        </row>
        <row r="901">
          <cell r="V901" t="e">
            <v>#N/A</v>
          </cell>
          <cell r="W901" t="e">
            <v>#N/A</v>
          </cell>
          <cell r="AA901" t="e">
            <v>#N/A</v>
          </cell>
          <cell r="AB901" t="e">
            <v>#N/A</v>
          </cell>
          <cell r="AC901" t="e">
            <v>#N/A</v>
          </cell>
          <cell r="AF901" t="e">
            <v>#N/A</v>
          </cell>
        </row>
        <row r="902">
          <cell r="V902" t="e">
            <v>#N/A</v>
          </cell>
          <cell r="W902" t="e">
            <v>#N/A</v>
          </cell>
          <cell r="AA902" t="e">
            <v>#N/A</v>
          </cell>
          <cell r="AB902" t="e">
            <v>#N/A</v>
          </cell>
          <cell r="AC902" t="e">
            <v>#N/A</v>
          </cell>
          <cell r="AF902" t="e">
            <v>#N/A</v>
          </cell>
        </row>
        <row r="903">
          <cell r="V903" t="e">
            <v>#N/A</v>
          </cell>
          <cell r="W903" t="e">
            <v>#N/A</v>
          </cell>
          <cell r="AA903" t="e">
            <v>#N/A</v>
          </cell>
          <cell r="AB903" t="e">
            <v>#N/A</v>
          </cell>
          <cell r="AC903" t="e">
            <v>#N/A</v>
          </cell>
          <cell r="AF903" t="e">
            <v>#N/A</v>
          </cell>
        </row>
        <row r="904">
          <cell r="V904" t="e">
            <v>#N/A</v>
          </cell>
          <cell r="W904" t="e">
            <v>#N/A</v>
          </cell>
          <cell r="AA904" t="e">
            <v>#N/A</v>
          </cell>
          <cell r="AB904" t="e">
            <v>#N/A</v>
          </cell>
          <cell r="AC904" t="e">
            <v>#N/A</v>
          </cell>
          <cell r="AF904" t="e">
            <v>#N/A</v>
          </cell>
        </row>
        <row r="905">
          <cell r="V905" t="e">
            <v>#N/A</v>
          </cell>
          <cell r="W905" t="e">
            <v>#N/A</v>
          </cell>
          <cell r="AA905" t="e">
            <v>#N/A</v>
          </cell>
          <cell r="AB905" t="e">
            <v>#N/A</v>
          </cell>
          <cell r="AC905" t="e">
            <v>#N/A</v>
          </cell>
          <cell r="AF905" t="e">
            <v>#N/A</v>
          </cell>
        </row>
        <row r="906">
          <cell r="V906" t="e">
            <v>#N/A</v>
          </cell>
          <cell r="W906" t="e">
            <v>#N/A</v>
          </cell>
          <cell r="AA906" t="e">
            <v>#N/A</v>
          </cell>
          <cell r="AB906" t="e">
            <v>#N/A</v>
          </cell>
          <cell r="AC906" t="e">
            <v>#N/A</v>
          </cell>
          <cell r="AF906" t="e">
            <v>#N/A</v>
          </cell>
        </row>
        <row r="907">
          <cell r="V907" t="e">
            <v>#N/A</v>
          </cell>
          <cell r="W907" t="e">
            <v>#N/A</v>
          </cell>
          <cell r="AA907" t="e">
            <v>#N/A</v>
          </cell>
          <cell r="AB907" t="e">
            <v>#N/A</v>
          </cell>
          <cell r="AC907" t="e">
            <v>#N/A</v>
          </cell>
          <cell r="AF907" t="e">
            <v>#N/A</v>
          </cell>
        </row>
        <row r="908">
          <cell r="V908" t="e">
            <v>#N/A</v>
          </cell>
          <cell r="W908" t="e">
            <v>#N/A</v>
          </cell>
          <cell r="AA908" t="e">
            <v>#N/A</v>
          </cell>
          <cell r="AB908" t="e">
            <v>#N/A</v>
          </cell>
          <cell r="AC908" t="e">
            <v>#N/A</v>
          </cell>
          <cell r="AF908" t="e">
            <v>#N/A</v>
          </cell>
        </row>
        <row r="909">
          <cell r="V909" t="e">
            <v>#N/A</v>
          </cell>
          <cell r="W909" t="e">
            <v>#N/A</v>
          </cell>
          <cell r="AA909" t="e">
            <v>#N/A</v>
          </cell>
          <cell r="AB909" t="e">
            <v>#N/A</v>
          </cell>
          <cell r="AC909" t="e">
            <v>#N/A</v>
          </cell>
          <cell r="AF909" t="e">
            <v>#N/A</v>
          </cell>
        </row>
        <row r="910">
          <cell r="V910" t="e">
            <v>#N/A</v>
          </cell>
          <cell r="W910" t="e">
            <v>#N/A</v>
          </cell>
          <cell r="AA910" t="e">
            <v>#N/A</v>
          </cell>
          <cell r="AB910" t="e">
            <v>#N/A</v>
          </cell>
          <cell r="AC910" t="e">
            <v>#N/A</v>
          </cell>
          <cell r="AF910" t="e">
            <v>#N/A</v>
          </cell>
        </row>
        <row r="911">
          <cell r="V911" t="e">
            <v>#N/A</v>
          </cell>
          <cell r="W911" t="e">
            <v>#N/A</v>
          </cell>
          <cell r="AA911" t="e">
            <v>#N/A</v>
          </cell>
          <cell r="AB911" t="e">
            <v>#N/A</v>
          </cell>
          <cell r="AC911" t="e">
            <v>#N/A</v>
          </cell>
          <cell r="AF911" t="e">
            <v>#N/A</v>
          </cell>
        </row>
        <row r="912">
          <cell r="V912" t="e">
            <v>#N/A</v>
          </cell>
          <cell r="W912" t="e">
            <v>#N/A</v>
          </cell>
          <cell r="AA912" t="e">
            <v>#N/A</v>
          </cell>
          <cell r="AB912" t="e">
            <v>#N/A</v>
          </cell>
          <cell r="AC912" t="e">
            <v>#N/A</v>
          </cell>
          <cell r="AF912" t="e">
            <v>#N/A</v>
          </cell>
        </row>
        <row r="913">
          <cell r="V913" t="e">
            <v>#N/A</v>
          </cell>
          <cell r="W913" t="e">
            <v>#N/A</v>
          </cell>
          <cell r="AA913" t="e">
            <v>#N/A</v>
          </cell>
          <cell r="AB913" t="e">
            <v>#N/A</v>
          </cell>
          <cell r="AC913" t="e">
            <v>#N/A</v>
          </cell>
          <cell r="AF913" t="e">
            <v>#N/A</v>
          </cell>
        </row>
        <row r="914">
          <cell r="V914" t="e">
            <v>#N/A</v>
          </cell>
          <cell r="W914" t="e">
            <v>#N/A</v>
          </cell>
          <cell r="AA914" t="e">
            <v>#N/A</v>
          </cell>
          <cell r="AB914" t="e">
            <v>#N/A</v>
          </cell>
          <cell r="AC914" t="e">
            <v>#N/A</v>
          </cell>
          <cell r="AF914" t="e">
            <v>#N/A</v>
          </cell>
        </row>
        <row r="915">
          <cell r="V915" t="e">
            <v>#N/A</v>
          </cell>
          <cell r="W915" t="e">
            <v>#N/A</v>
          </cell>
          <cell r="AA915" t="e">
            <v>#N/A</v>
          </cell>
          <cell r="AB915" t="e">
            <v>#N/A</v>
          </cell>
          <cell r="AC915" t="e">
            <v>#N/A</v>
          </cell>
          <cell r="AF915" t="e">
            <v>#N/A</v>
          </cell>
        </row>
        <row r="916">
          <cell r="V916" t="e">
            <v>#N/A</v>
          </cell>
          <cell r="W916" t="e">
            <v>#N/A</v>
          </cell>
          <cell r="AA916" t="e">
            <v>#N/A</v>
          </cell>
          <cell r="AB916" t="e">
            <v>#N/A</v>
          </cell>
          <cell r="AC916" t="e">
            <v>#N/A</v>
          </cell>
          <cell r="AF916" t="e">
            <v>#N/A</v>
          </cell>
        </row>
        <row r="917">
          <cell r="V917" t="e">
            <v>#N/A</v>
          </cell>
          <cell r="W917" t="e">
            <v>#N/A</v>
          </cell>
          <cell r="AA917" t="e">
            <v>#N/A</v>
          </cell>
          <cell r="AB917" t="e">
            <v>#N/A</v>
          </cell>
          <cell r="AC917" t="e">
            <v>#N/A</v>
          </cell>
          <cell r="AF917" t="e">
            <v>#N/A</v>
          </cell>
        </row>
        <row r="918">
          <cell r="V918" t="e">
            <v>#N/A</v>
          </cell>
          <cell r="W918" t="e">
            <v>#N/A</v>
          </cell>
          <cell r="AA918" t="e">
            <v>#N/A</v>
          </cell>
          <cell r="AB918" t="e">
            <v>#N/A</v>
          </cell>
          <cell r="AC918" t="e">
            <v>#N/A</v>
          </cell>
          <cell r="AF918" t="e">
            <v>#N/A</v>
          </cell>
        </row>
        <row r="919">
          <cell r="V919" t="e">
            <v>#N/A</v>
          </cell>
          <cell r="W919" t="e">
            <v>#N/A</v>
          </cell>
          <cell r="AA919" t="e">
            <v>#N/A</v>
          </cell>
          <cell r="AB919" t="e">
            <v>#N/A</v>
          </cell>
          <cell r="AC919" t="e">
            <v>#N/A</v>
          </cell>
          <cell r="AF919" t="e">
            <v>#N/A</v>
          </cell>
        </row>
        <row r="920">
          <cell r="V920" t="e">
            <v>#N/A</v>
          </cell>
          <cell r="W920" t="e">
            <v>#N/A</v>
          </cell>
          <cell r="AA920" t="e">
            <v>#N/A</v>
          </cell>
          <cell r="AB920" t="e">
            <v>#N/A</v>
          </cell>
          <cell r="AC920" t="e">
            <v>#N/A</v>
          </cell>
          <cell r="AF920" t="e">
            <v>#N/A</v>
          </cell>
        </row>
        <row r="921">
          <cell r="V921" t="e">
            <v>#N/A</v>
          </cell>
          <cell r="W921" t="e">
            <v>#N/A</v>
          </cell>
          <cell r="AA921" t="e">
            <v>#N/A</v>
          </cell>
          <cell r="AB921" t="e">
            <v>#N/A</v>
          </cell>
          <cell r="AC921" t="e">
            <v>#N/A</v>
          </cell>
          <cell r="AF921" t="e">
            <v>#N/A</v>
          </cell>
        </row>
        <row r="922">
          <cell r="V922" t="e">
            <v>#N/A</v>
          </cell>
          <cell r="W922" t="e">
            <v>#N/A</v>
          </cell>
          <cell r="AA922" t="e">
            <v>#N/A</v>
          </cell>
          <cell r="AB922" t="e">
            <v>#N/A</v>
          </cell>
          <cell r="AC922" t="e">
            <v>#N/A</v>
          </cell>
          <cell r="AF922" t="e">
            <v>#N/A</v>
          </cell>
        </row>
        <row r="923">
          <cell r="V923" t="e">
            <v>#N/A</v>
          </cell>
          <cell r="W923" t="e">
            <v>#N/A</v>
          </cell>
          <cell r="AA923" t="e">
            <v>#N/A</v>
          </cell>
          <cell r="AB923" t="e">
            <v>#N/A</v>
          </cell>
          <cell r="AC923" t="e">
            <v>#N/A</v>
          </cell>
          <cell r="AF923" t="e">
            <v>#N/A</v>
          </cell>
        </row>
        <row r="924">
          <cell r="V924" t="e">
            <v>#N/A</v>
          </cell>
          <cell r="W924" t="e">
            <v>#N/A</v>
          </cell>
          <cell r="AA924" t="e">
            <v>#N/A</v>
          </cell>
          <cell r="AB924" t="e">
            <v>#N/A</v>
          </cell>
          <cell r="AC924" t="e">
            <v>#N/A</v>
          </cell>
          <cell r="AF924" t="e">
            <v>#N/A</v>
          </cell>
        </row>
        <row r="925">
          <cell r="V925" t="e">
            <v>#N/A</v>
          </cell>
          <cell r="W925" t="e">
            <v>#N/A</v>
          </cell>
          <cell r="AA925" t="e">
            <v>#N/A</v>
          </cell>
          <cell r="AB925" t="e">
            <v>#N/A</v>
          </cell>
          <cell r="AC925" t="e">
            <v>#N/A</v>
          </cell>
          <cell r="AF925" t="e">
            <v>#N/A</v>
          </cell>
        </row>
        <row r="926">
          <cell r="V926" t="e">
            <v>#N/A</v>
          </cell>
          <cell r="W926" t="e">
            <v>#N/A</v>
          </cell>
          <cell r="AA926" t="e">
            <v>#N/A</v>
          </cell>
          <cell r="AB926" t="e">
            <v>#N/A</v>
          </cell>
          <cell r="AC926" t="e">
            <v>#N/A</v>
          </cell>
          <cell r="AF926" t="e">
            <v>#N/A</v>
          </cell>
        </row>
        <row r="927">
          <cell r="V927" t="e">
            <v>#N/A</v>
          </cell>
          <cell r="W927" t="e">
            <v>#N/A</v>
          </cell>
          <cell r="AA927" t="e">
            <v>#N/A</v>
          </cell>
          <cell r="AB927" t="e">
            <v>#N/A</v>
          </cell>
          <cell r="AC927" t="e">
            <v>#N/A</v>
          </cell>
          <cell r="AF927" t="e">
            <v>#N/A</v>
          </cell>
        </row>
        <row r="928">
          <cell r="V928" t="e">
            <v>#N/A</v>
          </cell>
          <cell r="W928" t="e">
            <v>#N/A</v>
          </cell>
          <cell r="AA928" t="e">
            <v>#N/A</v>
          </cell>
          <cell r="AB928" t="e">
            <v>#N/A</v>
          </cell>
          <cell r="AC928" t="e">
            <v>#N/A</v>
          </cell>
          <cell r="AF928" t="e">
            <v>#N/A</v>
          </cell>
        </row>
        <row r="929">
          <cell r="V929" t="e">
            <v>#N/A</v>
          </cell>
          <cell r="W929" t="e">
            <v>#N/A</v>
          </cell>
          <cell r="AA929" t="e">
            <v>#N/A</v>
          </cell>
          <cell r="AB929" t="e">
            <v>#N/A</v>
          </cell>
          <cell r="AC929" t="e">
            <v>#N/A</v>
          </cell>
          <cell r="AF929" t="e">
            <v>#N/A</v>
          </cell>
        </row>
        <row r="930">
          <cell r="V930" t="e">
            <v>#N/A</v>
          </cell>
          <cell r="W930" t="e">
            <v>#N/A</v>
          </cell>
          <cell r="AA930" t="e">
            <v>#N/A</v>
          </cell>
          <cell r="AB930" t="e">
            <v>#N/A</v>
          </cell>
          <cell r="AC930" t="e">
            <v>#N/A</v>
          </cell>
          <cell r="AF930" t="e">
            <v>#N/A</v>
          </cell>
        </row>
        <row r="931">
          <cell r="V931" t="e">
            <v>#N/A</v>
          </cell>
          <cell r="W931" t="e">
            <v>#N/A</v>
          </cell>
          <cell r="AA931" t="e">
            <v>#N/A</v>
          </cell>
          <cell r="AB931" t="e">
            <v>#N/A</v>
          </cell>
          <cell r="AC931" t="e">
            <v>#N/A</v>
          </cell>
          <cell r="AF931" t="e">
            <v>#N/A</v>
          </cell>
        </row>
        <row r="932">
          <cell r="V932" t="e">
            <v>#N/A</v>
          </cell>
          <cell r="W932" t="e">
            <v>#N/A</v>
          </cell>
          <cell r="AA932" t="e">
            <v>#N/A</v>
          </cell>
          <cell r="AB932" t="e">
            <v>#N/A</v>
          </cell>
          <cell r="AC932" t="e">
            <v>#N/A</v>
          </cell>
          <cell r="AF932" t="e">
            <v>#N/A</v>
          </cell>
        </row>
        <row r="933">
          <cell r="V933" t="e">
            <v>#N/A</v>
          </cell>
          <cell r="W933" t="e">
            <v>#N/A</v>
          </cell>
          <cell r="AA933" t="e">
            <v>#N/A</v>
          </cell>
          <cell r="AB933" t="e">
            <v>#N/A</v>
          </cell>
          <cell r="AC933" t="e">
            <v>#N/A</v>
          </cell>
          <cell r="AF933" t="e">
            <v>#N/A</v>
          </cell>
        </row>
        <row r="934">
          <cell r="V934" t="e">
            <v>#N/A</v>
          </cell>
          <cell r="W934" t="e">
            <v>#N/A</v>
          </cell>
          <cell r="AA934" t="e">
            <v>#N/A</v>
          </cell>
          <cell r="AB934" t="e">
            <v>#N/A</v>
          </cell>
          <cell r="AC934" t="e">
            <v>#N/A</v>
          </cell>
          <cell r="AF934" t="e">
            <v>#N/A</v>
          </cell>
        </row>
        <row r="935">
          <cell r="V935" t="e">
            <v>#N/A</v>
          </cell>
          <cell r="W935" t="e">
            <v>#N/A</v>
          </cell>
          <cell r="AA935" t="e">
            <v>#N/A</v>
          </cell>
          <cell r="AB935" t="e">
            <v>#N/A</v>
          </cell>
          <cell r="AC935" t="e">
            <v>#N/A</v>
          </cell>
          <cell r="AF935" t="e">
            <v>#N/A</v>
          </cell>
        </row>
        <row r="936">
          <cell r="V936" t="e">
            <v>#N/A</v>
          </cell>
          <cell r="W936" t="e">
            <v>#N/A</v>
          </cell>
          <cell r="AA936" t="e">
            <v>#N/A</v>
          </cell>
          <cell r="AB936" t="e">
            <v>#N/A</v>
          </cell>
          <cell r="AC936" t="e">
            <v>#N/A</v>
          </cell>
          <cell r="AF936" t="e">
            <v>#N/A</v>
          </cell>
        </row>
        <row r="937">
          <cell r="V937" t="e">
            <v>#N/A</v>
          </cell>
          <cell r="W937" t="e">
            <v>#N/A</v>
          </cell>
          <cell r="AA937" t="e">
            <v>#N/A</v>
          </cell>
          <cell r="AB937" t="e">
            <v>#N/A</v>
          </cell>
          <cell r="AC937" t="e">
            <v>#N/A</v>
          </cell>
          <cell r="AF937" t="e">
            <v>#N/A</v>
          </cell>
        </row>
        <row r="938">
          <cell r="V938" t="e">
            <v>#N/A</v>
          </cell>
          <cell r="W938" t="e">
            <v>#N/A</v>
          </cell>
          <cell r="AA938" t="e">
            <v>#N/A</v>
          </cell>
          <cell r="AB938" t="e">
            <v>#N/A</v>
          </cell>
          <cell r="AC938" t="e">
            <v>#N/A</v>
          </cell>
          <cell r="AF938" t="e">
            <v>#N/A</v>
          </cell>
        </row>
        <row r="939">
          <cell r="V939" t="e">
            <v>#N/A</v>
          </cell>
          <cell r="W939" t="e">
            <v>#N/A</v>
          </cell>
          <cell r="AA939" t="e">
            <v>#N/A</v>
          </cell>
          <cell r="AB939" t="e">
            <v>#N/A</v>
          </cell>
          <cell r="AC939" t="e">
            <v>#N/A</v>
          </cell>
          <cell r="AF939" t="e">
            <v>#N/A</v>
          </cell>
        </row>
        <row r="940">
          <cell r="V940" t="e">
            <v>#N/A</v>
          </cell>
          <cell r="W940" t="e">
            <v>#N/A</v>
          </cell>
          <cell r="AA940" t="e">
            <v>#N/A</v>
          </cell>
          <cell r="AB940" t="e">
            <v>#N/A</v>
          </cell>
          <cell r="AC940" t="e">
            <v>#N/A</v>
          </cell>
          <cell r="AF940" t="e">
            <v>#N/A</v>
          </cell>
        </row>
        <row r="941">
          <cell r="V941" t="e">
            <v>#N/A</v>
          </cell>
          <cell r="W941" t="e">
            <v>#N/A</v>
          </cell>
          <cell r="AA941" t="e">
            <v>#N/A</v>
          </cell>
          <cell r="AB941" t="e">
            <v>#N/A</v>
          </cell>
          <cell r="AC941" t="e">
            <v>#N/A</v>
          </cell>
          <cell r="AF941" t="e">
            <v>#N/A</v>
          </cell>
        </row>
        <row r="942">
          <cell r="V942" t="e">
            <v>#N/A</v>
          </cell>
          <cell r="W942" t="e">
            <v>#N/A</v>
          </cell>
          <cell r="AA942" t="e">
            <v>#N/A</v>
          </cell>
          <cell r="AB942" t="e">
            <v>#N/A</v>
          </cell>
          <cell r="AC942" t="e">
            <v>#N/A</v>
          </cell>
          <cell r="AF942" t="e">
            <v>#N/A</v>
          </cell>
        </row>
        <row r="943">
          <cell r="V943" t="e">
            <v>#N/A</v>
          </cell>
          <cell r="W943" t="e">
            <v>#N/A</v>
          </cell>
          <cell r="AA943" t="e">
            <v>#N/A</v>
          </cell>
          <cell r="AB943" t="e">
            <v>#N/A</v>
          </cell>
          <cell r="AC943" t="e">
            <v>#N/A</v>
          </cell>
          <cell r="AF943" t="e">
            <v>#N/A</v>
          </cell>
        </row>
        <row r="944">
          <cell r="V944" t="e">
            <v>#N/A</v>
          </cell>
          <cell r="W944" t="e">
            <v>#N/A</v>
          </cell>
          <cell r="AA944" t="e">
            <v>#N/A</v>
          </cell>
          <cell r="AB944" t="e">
            <v>#N/A</v>
          </cell>
          <cell r="AC944" t="e">
            <v>#N/A</v>
          </cell>
          <cell r="AF944" t="e">
            <v>#N/A</v>
          </cell>
        </row>
        <row r="945">
          <cell r="V945" t="e">
            <v>#N/A</v>
          </cell>
          <cell r="W945" t="e">
            <v>#N/A</v>
          </cell>
          <cell r="AA945" t="e">
            <v>#N/A</v>
          </cell>
          <cell r="AB945" t="e">
            <v>#N/A</v>
          </cell>
          <cell r="AC945" t="e">
            <v>#N/A</v>
          </cell>
          <cell r="AF945" t="e">
            <v>#N/A</v>
          </cell>
        </row>
        <row r="946">
          <cell r="V946" t="e">
            <v>#N/A</v>
          </cell>
          <cell r="W946" t="e">
            <v>#N/A</v>
          </cell>
          <cell r="AA946" t="e">
            <v>#N/A</v>
          </cell>
          <cell r="AB946" t="e">
            <v>#N/A</v>
          </cell>
          <cell r="AC946" t="e">
            <v>#N/A</v>
          </cell>
          <cell r="AF946" t="e">
            <v>#N/A</v>
          </cell>
        </row>
        <row r="947">
          <cell r="V947" t="e">
            <v>#N/A</v>
          </cell>
          <cell r="W947" t="e">
            <v>#N/A</v>
          </cell>
          <cell r="AA947" t="e">
            <v>#N/A</v>
          </cell>
          <cell r="AB947" t="e">
            <v>#N/A</v>
          </cell>
          <cell r="AC947" t="e">
            <v>#N/A</v>
          </cell>
          <cell r="AF947" t="e">
            <v>#N/A</v>
          </cell>
        </row>
        <row r="948">
          <cell r="V948" t="e">
            <v>#N/A</v>
          </cell>
          <cell r="W948" t="e">
            <v>#N/A</v>
          </cell>
          <cell r="AA948" t="e">
            <v>#N/A</v>
          </cell>
          <cell r="AB948" t="e">
            <v>#N/A</v>
          </cell>
          <cell r="AC948" t="e">
            <v>#N/A</v>
          </cell>
          <cell r="AF948" t="e">
            <v>#N/A</v>
          </cell>
        </row>
        <row r="949">
          <cell r="V949" t="e">
            <v>#N/A</v>
          </cell>
          <cell r="W949" t="e">
            <v>#N/A</v>
          </cell>
          <cell r="AA949" t="e">
            <v>#N/A</v>
          </cell>
          <cell r="AB949" t="e">
            <v>#N/A</v>
          </cell>
          <cell r="AC949" t="e">
            <v>#N/A</v>
          </cell>
          <cell r="AF949" t="e">
            <v>#N/A</v>
          </cell>
        </row>
        <row r="950">
          <cell r="V950" t="e">
            <v>#N/A</v>
          </cell>
          <cell r="W950" t="e">
            <v>#N/A</v>
          </cell>
          <cell r="AA950" t="e">
            <v>#N/A</v>
          </cell>
          <cell r="AB950" t="e">
            <v>#N/A</v>
          </cell>
          <cell r="AC950" t="e">
            <v>#N/A</v>
          </cell>
          <cell r="AF950" t="e">
            <v>#N/A</v>
          </cell>
        </row>
        <row r="951">
          <cell r="V951" t="e">
            <v>#N/A</v>
          </cell>
          <cell r="W951" t="e">
            <v>#N/A</v>
          </cell>
          <cell r="AA951" t="e">
            <v>#N/A</v>
          </cell>
          <cell r="AB951" t="e">
            <v>#N/A</v>
          </cell>
          <cell r="AC951" t="e">
            <v>#N/A</v>
          </cell>
          <cell r="AF951" t="e">
            <v>#N/A</v>
          </cell>
        </row>
        <row r="952">
          <cell r="V952" t="e">
            <v>#N/A</v>
          </cell>
          <cell r="W952" t="e">
            <v>#N/A</v>
          </cell>
          <cell r="AA952" t="e">
            <v>#N/A</v>
          </cell>
          <cell r="AB952" t="e">
            <v>#N/A</v>
          </cell>
          <cell r="AC952" t="e">
            <v>#N/A</v>
          </cell>
          <cell r="AF952" t="e">
            <v>#N/A</v>
          </cell>
        </row>
        <row r="953">
          <cell r="V953" t="e">
            <v>#N/A</v>
          </cell>
          <cell r="W953" t="e">
            <v>#N/A</v>
          </cell>
          <cell r="AA953" t="e">
            <v>#N/A</v>
          </cell>
          <cell r="AB953" t="e">
            <v>#N/A</v>
          </cell>
          <cell r="AC953" t="e">
            <v>#N/A</v>
          </cell>
          <cell r="AF953" t="e">
            <v>#N/A</v>
          </cell>
        </row>
        <row r="954">
          <cell r="V954" t="e">
            <v>#N/A</v>
          </cell>
          <cell r="W954" t="e">
            <v>#N/A</v>
          </cell>
          <cell r="AA954" t="e">
            <v>#N/A</v>
          </cell>
          <cell r="AB954" t="e">
            <v>#N/A</v>
          </cell>
          <cell r="AC954" t="e">
            <v>#N/A</v>
          </cell>
          <cell r="AF954" t="e">
            <v>#N/A</v>
          </cell>
        </row>
        <row r="955">
          <cell r="V955" t="e">
            <v>#N/A</v>
          </cell>
          <cell r="W955" t="e">
            <v>#N/A</v>
          </cell>
          <cell r="AA955" t="e">
            <v>#N/A</v>
          </cell>
          <cell r="AB955" t="e">
            <v>#N/A</v>
          </cell>
          <cell r="AC955" t="e">
            <v>#N/A</v>
          </cell>
          <cell r="AF955" t="e">
            <v>#N/A</v>
          </cell>
        </row>
        <row r="956">
          <cell r="V956" t="e">
            <v>#N/A</v>
          </cell>
          <cell r="W956" t="e">
            <v>#N/A</v>
          </cell>
          <cell r="AA956" t="e">
            <v>#N/A</v>
          </cell>
          <cell r="AB956" t="e">
            <v>#N/A</v>
          </cell>
          <cell r="AC956" t="e">
            <v>#N/A</v>
          </cell>
          <cell r="AF956" t="e">
            <v>#N/A</v>
          </cell>
        </row>
        <row r="957">
          <cell r="V957" t="e">
            <v>#N/A</v>
          </cell>
          <cell r="W957" t="e">
            <v>#N/A</v>
          </cell>
          <cell r="AA957" t="e">
            <v>#N/A</v>
          </cell>
          <cell r="AB957" t="e">
            <v>#N/A</v>
          </cell>
          <cell r="AC957" t="e">
            <v>#N/A</v>
          </cell>
          <cell r="AF957" t="e">
            <v>#N/A</v>
          </cell>
        </row>
        <row r="958">
          <cell r="V958" t="e">
            <v>#N/A</v>
          </cell>
          <cell r="W958" t="e">
            <v>#N/A</v>
          </cell>
          <cell r="AA958" t="e">
            <v>#N/A</v>
          </cell>
          <cell r="AB958" t="e">
            <v>#N/A</v>
          </cell>
          <cell r="AC958" t="e">
            <v>#N/A</v>
          </cell>
          <cell r="AF958" t="e">
            <v>#N/A</v>
          </cell>
        </row>
        <row r="959">
          <cell r="V959" t="e">
            <v>#N/A</v>
          </cell>
          <cell r="W959" t="e">
            <v>#N/A</v>
          </cell>
          <cell r="AA959" t="e">
            <v>#N/A</v>
          </cell>
          <cell r="AB959" t="e">
            <v>#N/A</v>
          </cell>
          <cell r="AC959" t="e">
            <v>#N/A</v>
          </cell>
          <cell r="AF959" t="e">
            <v>#N/A</v>
          </cell>
        </row>
        <row r="960">
          <cell r="V960" t="e">
            <v>#N/A</v>
          </cell>
          <cell r="W960" t="e">
            <v>#N/A</v>
          </cell>
          <cell r="AA960" t="e">
            <v>#N/A</v>
          </cell>
          <cell r="AB960" t="e">
            <v>#N/A</v>
          </cell>
          <cell r="AC960" t="e">
            <v>#N/A</v>
          </cell>
          <cell r="AF960" t="e">
            <v>#N/A</v>
          </cell>
        </row>
        <row r="961">
          <cell r="V961" t="e">
            <v>#N/A</v>
          </cell>
          <cell r="W961" t="e">
            <v>#N/A</v>
          </cell>
          <cell r="AA961" t="e">
            <v>#N/A</v>
          </cell>
          <cell r="AB961" t="e">
            <v>#N/A</v>
          </cell>
          <cell r="AC961" t="e">
            <v>#N/A</v>
          </cell>
          <cell r="AF961" t="e">
            <v>#N/A</v>
          </cell>
        </row>
        <row r="962">
          <cell r="V962" t="e">
            <v>#N/A</v>
          </cell>
          <cell r="W962" t="e">
            <v>#N/A</v>
          </cell>
          <cell r="AA962" t="e">
            <v>#N/A</v>
          </cell>
          <cell r="AB962" t="e">
            <v>#N/A</v>
          </cell>
          <cell r="AC962" t="e">
            <v>#N/A</v>
          </cell>
          <cell r="AF962" t="e">
            <v>#N/A</v>
          </cell>
        </row>
        <row r="963">
          <cell r="V963" t="e">
            <v>#N/A</v>
          </cell>
          <cell r="W963" t="e">
            <v>#N/A</v>
          </cell>
          <cell r="AA963" t="e">
            <v>#N/A</v>
          </cell>
          <cell r="AB963" t="e">
            <v>#N/A</v>
          </cell>
          <cell r="AC963" t="e">
            <v>#N/A</v>
          </cell>
          <cell r="AF963" t="e">
            <v>#N/A</v>
          </cell>
        </row>
        <row r="964">
          <cell r="V964" t="e">
            <v>#N/A</v>
          </cell>
          <cell r="W964" t="e">
            <v>#N/A</v>
          </cell>
          <cell r="AA964" t="e">
            <v>#N/A</v>
          </cell>
          <cell r="AB964" t="e">
            <v>#N/A</v>
          </cell>
          <cell r="AC964" t="e">
            <v>#N/A</v>
          </cell>
          <cell r="AF964" t="e">
            <v>#N/A</v>
          </cell>
        </row>
        <row r="965">
          <cell r="V965" t="e">
            <v>#N/A</v>
          </cell>
          <cell r="W965" t="e">
            <v>#N/A</v>
          </cell>
          <cell r="AA965" t="e">
            <v>#N/A</v>
          </cell>
          <cell r="AB965" t="e">
            <v>#N/A</v>
          </cell>
          <cell r="AC965" t="e">
            <v>#N/A</v>
          </cell>
          <cell r="AF965" t="e">
            <v>#N/A</v>
          </cell>
        </row>
        <row r="966">
          <cell r="V966" t="e">
            <v>#N/A</v>
          </cell>
          <cell r="W966" t="e">
            <v>#N/A</v>
          </cell>
          <cell r="AA966" t="e">
            <v>#N/A</v>
          </cell>
          <cell r="AB966" t="e">
            <v>#N/A</v>
          </cell>
          <cell r="AC966" t="e">
            <v>#N/A</v>
          </cell>
          <cell r="AF966" t="e">
            <v>#N/A</v>
          </cell>
        </row>
        <row r="967">
          <cell r="V967" t="e">
            <v>#N/A</v>
          </cell>
          <cell r="W967" t="e">
            <v>#N/A</v>
          </cell>
          <cell r="AA967" t="e">
            <v>#N/A</v>
          </cell>
          <cell r="AB967" t="e">
            <v>#N/A</v>
          </cell>
          <cell r="AC967" t="e">
            <v>#N/A</v>
          </cell>
          <cell r="AF967" t="e">
            <v>#N/A</v>
          </cell>
        </row>
        <row r="968">
          <cell r="V968" t="e">
            <v>#N/A</v>
          </cell>
          <cell r="W968" t="e">
            <v>#N/A</v>
          </cell>
          <cell r="AA968" t="e">
            <v>#N/A</v>
          </cell>
          <cell r="AB968" t="e">
            <v>#N/A</v>
          </cell>
          <cell r="AC968" t="e">
            <v>#N/A</v>
          </cell>
          <cell r="AF968" t="e">
            <v>#N/A</v>
          </cell>
        </row>
        <row r="969">
          <cell r="V969" t="e">
            <v>#N/A</v>
          </cell>
          <cell r="W969" t="e">
            <v>#N/A</v>
          </cell>
          <cell r="AA969" t="e">
            <v>#N/A</v>
          </cell>
          <cell r="AB969" t="e">
            <v>#N/A</v>
          </cell>
          <cell r="AC969" t="e">
            <v>#N/A</v>
          </cell>
          <cell r="AF969" t="e">
            <v>#N/A</v>
          </cell>
        </row>
        <row r="970">
          <cell r="V970" t="e">
            <v>#N/A</v>
          </cell>
          <cell r="W970" t="e">
            <v>#N/A</v>
          </cell>
          <cell r="AA970" t="e">
            <v>#N/A</v>
          </cell>
          <cell r="AB970" t="e">
            <v>#N/A</v>
          </cell>
          <cell r="AC970" t="e">
            <v>#N/A</v>
          </cell>
          <cell r="AF970" t="e">
            <v>#N/A</v>
          </cell>
        </row>
        <row r="971">
          <cell r="V971" t="e">
            <v>#N/A</v>
          </cell>
          <cell r="W971" t="e">
            <v>#N/A</v>
          </cell>
          <cell r="AA971" t="e">
            <v>#N/A</v>
          </cell>
          <cell r="AB971" t="e">
            <v>#N/A</v>
          </cell>
          <cell r="AC971" t="e">
            <v>#N/A</v>
          </cell>
          <cell r="AF971" t="e">
            <v>#N/A</v>
          </cell>
        </row>
        <row r="972">
          <cell r="V972" t="e">
            <v>#N/A</v>
          </cell>
          <cell r="W972" t="e">
            <v>#N/A</v>
          </cell>
          <cell r="AA972" t="e">
            <v>#N/A</v>
          </cell>
          <cell r="AB972" t="e">
            <v>#N/A</v>
          </cell>
          <cell r="AC972" t="e">
            <v>#N/A</v>
          </cell>
          <cell r="AF972" t="e">
            <v>#N/A</v>
          </cell>
        </row>
        <row r="973">
          <cell r="V973" t="e">
            <v>#N/A</v>
          </cell>
          <cell r="W973" t="e">
            <v>#N/A</v>
          </cell>
          <cell r="AA973" t="e">
            <v>#N/A</v>
          </cell>
          <cell r="AB973" t="e">
            <v>#N/A</v>
          </cell>
          <cell r="AC973" t="e">
            <v>#N/A</v>
          </cell>
          <cell r="AF973" t="e">
            <v>#N/A</v>
          </cell>
        </row>
        <row r="974">
          <cell r="V974" t="e">
            <v>#N/A</v>
          </cell>
          <cell r="W974" t="e">
            <v>#N/A</v>
          </cell>
          <cell r="AA974" t="e">
            <v>#N/A</v>
          </cell>
          <cell r="AB974" t="e">
            <v>#N/A</v>
          </cell>
          <cell r="AC974" t="e">
            <v>#N/A</v>
          </cell>
          <cell r="AF974" t="e">
            <v>#N/A</v>
          </cell>
        </row>
        <row r="975">
          <cell r="V975" t="e">
            <v>#N/A</v>
          </cell>
          <cell r="W975" t="e">
            <v>#N/A</v>
          </cell>
          <cell r="AA975" t="e">
            <v>#N/A</v>
          </cell>
          <cell r="AB975" t="e">
            <v>#N/A</v>
          </cell>
          <cell r="AC975" t="e">
            <v>#N/A</v>
          </cell>
          <cell r="AF975" t="e">
            <v>#N/A</v>
          </cell>
        </row>
        <row r="976">
          <cell r="V976" t="e">
            <v>#N/A</v>
          </cell>
          <cell r="W976" t="e">
            <v>#N/A</v>
          </cell>
          <cell r="AA976" t="e">
            <v>#N/A</v>
          </cell>
          <cell r="AB976" t="e">
            <v>#N/A</v>
          </cell>
          <cell r="AC976" t="e">
            <v>#N/A</v>
          </cell>
          <cell r="AF976" t="e">
            <v>#N/A</v>
          </cell>
        </row>
        <row r="977">
          <cell r="V977" t="e">
            <v>#N/A</v>
          </cell>
          <cell r="W977" t="e">
            <v>#N/A</v>
          </cell>
          <cell r="AA977" t="e">
            <v>#N/A</v>
          </cell>
          <cell r="AB977" t="e">
            <v>#N/A</v>
          </cell>
          <cell r="AC977" t="e">
            <v>#N/A</v>
          </cell>
          <cell r="AF977" t="e">
            <v>#N/A</v>
          </cell>
        </row>
        <row r="978">
          <cell r="V978" t="e">
            <v>#N/A</v>
          </cell>
          <cell r="W978" t="e">
            <v>#N/A</v>
          </cell>
          <cell r="AA978" t="e">
            <v>#N/A</v>
          </cell>
          <cell r="AB978" t="e">
            <v>#N/A</v>
          </cell>
          <cell r="AC978" t="e">
            <v>#N/A</v>
          </cell>
          <cell r="AF978" t="e">
            <v>#N/A</v>
          </cell>
        </row>
        <row r="979">
          <cell r="V979" t="e">
            <v>#N/A</v>
          </cell>
          <cell r="W979" t="e">
            <v>#N/A</v>
          </cell>
          <cell r="AA979" t="e">
            <v>#N/A</v>
          </cell>
          <cell r="AB979" t="e">
            <v>#N/A</v>
          </cell>
          <cell r="AC979" t="e">
            <v>#N/A</v>
          </cell>
          <cell r="AF979" t="e">
            <v>#N/A</v>
          </cell>
        </row>
        <row r="980">
          <cell r="V980" t="e">
            <v>#N/A</v>
          </cell>
          <cell r="W980" t="e">
            <v>#N/A</v>
          </cell>
          <cell r="AA980" t="e">
            <v>#N/A</v>
          </cell>
          <cell r="AB980" t="e">
            <v>#N/A</v>
          </cell>
          <cell r="AC980" t="e">
            <v>#N/A</v>
          </cell>
          <cell r="AF980" t="e">
            <v>#N/A</v>
          </cell>
        </row>
        <row r="981">
          <cell r="V981" t="e">
            <v>#N/A</v>
          </cell>
          <cell r="W981" t="e">
            <v>#N/A</v>
          </cell>
          <cell r="AA981" t="e">
            <v>#N/A</v>
          </cell>
          <cell r="AB981" t="e">
            <v>#N/A</v>
          </cell>
          <cell r="AC981" t="e">
            <v>#N/A</v>
          </cell>
          <cell r="AF981" t="e">
            <v>#N/A</v>
          </cell>
        </row>
        <row r="982">
          <cell r="V982" t="e">
            <v>#N/A</v>
          </cell>
          <cell r="W982" t="e">
            <v>#N/A</v>
          </cell>
          <cell r="AA982" t="e">
            <v>#N/A</v>
          </cell>
          <cell r="AB982" t="e">
            <v>#N/A</v>
          </cell>
          <cell r="AC982" t="e">
            <v>#N/A</v>
          </cell>
          <cell r="AF982" t="e">
            <v>#N/A</v>
          </cell>
        </row>
        <row r="983">
          <cell r="V983" t="e">
            <v>#N/A</v>
          </cell>
          <cell r="W983" t="e">
            <v>#N/A</v>
          </cell>
          <cell r="AA983" t="e">
            <v>#N/A</v>
          </cell>
          <cell r="AB983" t="e">
            <v>#N/A</v>
          </cell>
          <cell r="AC983" t="e">
            <v>#N/A</v>
          </cell>
          <cell r="AF983" t="e">
            <v>#N/A</v>
          </cell>
        </row>
        <row r="984">
          <cell r="V984" t="e">
            <v>#N/A</v>
          </cell>
          <cell r="W984" t="e">
            <v>#N/A</v>
          </cell>
          <cell r="AA984" t="e">
            <v>#N/A</v>
          </cell>
          <cell r="AB984" t="e">
            <v>#N/A</v>
          </cell>
          <cell r="AC984" t="e">
            <v>#N/A</v>
          </cell>
          <cell r="AF984" t="e">
            <v>#N/A</v>
          </cell>
        </row>
        <row r="985">
          <cell r="V985" t="e">
            <v>#N/A</v>
          </cell>
          <cell r="W985" t="e">
            <v>#N/A</v>
          </cell>
          <cell r="AA985" t="e">
            <v>#N/A</v>
          </cell>
          <cell r="AB985" t="e">
            <v>#N/A</v>
          </cell>
          <cell r="AC985" t="e">
            <v>#N/A</v>
          </cell>
          <cell r="AF985" t="e">
            <v>#N/A</v>
          </cell>
        </row>
        <row r="986">
          <cell r="V986" t="e">
            <v>#N/A</v>
          </cell>
          <cell r="W986" t="e">
            <v>#N/A</v>
          </cell>
          <cell r="AA986" t="e">
            <v>#N/A</v>
          </cell>
          <cell r="AB986" t="e">
            <v>#N/A</v>
          </cell>
          <cell r="AC986" t="e">
            <v>#N/A</v>
          </cell>
          <cell r="AF986" t="e">
            <v>#N/A</v>
          </cell>
        </row>
        <row r="987">
          <cell r="V987" t="e">
            <v>#N/A</v>
          </cell>
          <cell r="W987" t="e">
            <v>#N/A</v>
          </cell>
          <cell r="AA987" t="e">
            <v>#N/A</v>
          </cell>
          <cell r="AB987" t="e">
            <v>#N/A</v>
          </cell>
          <cell r="AC987" t="e">
            <v>#N/A</v>
          </cell>
          <cell r="AF987" t="e">
            <v>#N/A</v>
          </cell>
        </row>
        <row r="988">
          <cell r="V988" t="e">
            <v>#N/A</v>
          </cell>
          <cell r="W988" t="e">
            <v>#N/A</v>
          </cell>
          <cell r="AA988" t="e">
            <v>#N/A</v>
          </cell>
          <cell r="AB988" t="e">
            <v>#N/A</v>
          </cell>
          <cell r="AC988" t="e">
            <v>#N/A</v>
          </cell>
          <cell r="AF988" t="e">
            <v>#N/A</v>
          </cell>
        </row>
        <row r="989">
          <cell r="V989" t="e">
            <v>#N/A</v>
          </cell>
          <cell r="W989" t="e">
            <v>#N/A</v>
          </cell>
          <cell r="AA989" t="e">
            <v>#N/A</v>
          </cell>
          <cell r="AB989" t="e">
            <v>#N/A</v>
          </cell>
          <cell r="AC989" t="e">
            <v>#N/A</v>
          </cell>
          <cell r="AF989" t="e">
            <v>#N/A</v>
          </cell>
        </row>
        <row r="990">
          <cell r="V990" t="e">
            <v>#N/A</v>
          </cell>
          <cell r="W990" t="e">
            <v>#N/A</v>
          </cell>
          <cell r="AA990" t="e">
            <v>#N/A</v>
          </cell>
          <cell r="AB990" t="e">
            <v>#N/A</v>
          </cell>
          <cell r="AC990" t="e">
            <v>#N/A</v>
          </cell>
          <cell r="AF990" t="e">
            <v>#N/A</v>
          </cell>
        </row>
        <row r="991">
          <cell r="V991" t="e">
            <v>#N/A</v>
          </cell>
          <cell r="W991" t="e">
            <v>#N/A</v>
          </cell>
          <cell r="AA991" t="e">
            <v>#N/A</v>
          </cell>
          <cell r="AB991" t="e">
            <v>#N/A</v>
          </cell>
          <cell r="AC991" t="e">
            <v>#N/A</v>
          </cell>
          <cell r="AF991" t="e">
            <v>#N/A</v>
          </cell>
        </row>
        <row r="992">
          <cell r="V992" t="e">
            <v>#N/A</v>
          </cell>
          <cell r="W992" t="e">
            <v>#N/A</v>
          </cell>
          <cell r="AA992" t="e">
            <v>#N/A</v>
          </cell>
          <cell r="AB992" t="e">
            <v>#N/A</v>
          </cell>
          <cell r="AC992" t="e">
            <v>#N/A</v>
          </cell>
          <cell r="AF992" t="e">
            <v>#N/A</v>
          </cell>
        </row>
        <row r="993">
          <cell r="V993" t="e">
            <v>#N/A</v>
          </cell>
          <cell r="W993" t="e">
            <v>#N/A</v>
          </cell>
          <cell r="AA993" t="e">
            <v>#N/A</v>
          </cell>
          <cell r="AB993" t="e">
            <v>#N/A</v>
          </cell>
          <cell r="AC993" t="e">
            <v>#N/A</v>
          </cell>
          <cell r="AF993" t="e">
            <v>#N/A</v>
          </cell>
        </row>
        <row r="994">
          <cell r="V994" t="e">
            <v>#N/A</v>
          </cell>
          <cell r="W994" t="e">
            <v>#N/A</v>
          </cell>
          <cell r="AA994" t="e">
            <v>#N/A</v>
          </cell>
          <cell r="AB994" t="e">
            <v>#N/A</v>
          </cell>
          <cell r="AC994" t="e">
            <v>#N/A</v>
          </cell>
          <cell r="AF994" t="e">
            <v>#N/A</v>
          </cell>
        </row>
        <row r="995">
          <cell r="V995" t="e">
            <v>#N/A</v>
          </cell>
          <cell r="W995" t="e">
            <v>#N/A</v>
          </cell>
          <cell r="AA995" t="e">
            <v>#N/A</v>
          </cell>
          <cell r="AB995" t="e">
            <v>#N/A</v>
          </cell>
          <cell r="AC995" t="e">
            <v>#N/A</v>
          </cell>
          <cell r="AF995" t="e">
            <v>#N/A</v>
          </cell>
        </row>
        <row r="996">
          <cell r="V996" t="e">
            <v>#N/A</v>
          </cell>
          <cell r="W996" t="e">
            <v>#N/A</v>
          </cell>
          <cell r="AA996" t="e">
            <v>#N/A</v>
          </cell>
          <cell r="AB996" t="e">
            <v>#N/A</v>
          </cell>
          <cell r="AC996" t="e">
            <v>#N/A</v>
          </cell>
          <cell r="AF996" t="e">
            <v>#N/A</v>
          </cell>
        </row>
        <row r="997">
          <cell r="V997" t="e">
            <v>#N/A</v>
          </cell>
          <cell r="W997" t="e">
            <v>#N/A</v>
          </cell>
          <cell r="AA997" t="e">
            <v>#N/A</v>
          </cell>
          <cell r="AB997" t="e">
            <v>#N/A</v>
          </cell>
          <cell r="AC997" t="e">
            <v>#N/A</v>
          </cell>
          <cell r="AF997" t="e">
            <v>#N/A</v>
          </cell>
        </row>
        <row r="998">
          <cell r="V998" t="e">
            <v>#N/A</v>
          </cell>
          <cell r="W998" t="e">
            <v>#N/A</v>
          </cell>
          <cell r="AA998" t="e">
            <v>#N/A</v>
          </cell>
          <cell r="AB998" t="e">
            <v>#N/A</v>
          </cell>
          <cell r="AC998" t="e">
            <v>#N/A</v>
          </cell>
          <cell r="AF998" t="e">
            <v>#N/A</v>
          </cell>
        </row>
        <row r="999">
          <cell r="V999" t="e">
            <v>#N/A</v>
          </cell>
          <cell r="W999" t="e">
            <v>#N/A</v>
          </cell>
          <cell r="AA999" t="e">
            <v>#N/A</v>
          </cell>
          <cell r="AB999" t="e">
            <v>#N/A</v>
          </cell>
          <cell r="AC999" t="e">
            <v>#N/A</v>
          </cell>
          <cell r="AF999" t="e">
            <v>#N/A</v>
          </cell>
        </row>
        <row r="1000">
          <cell r="V1000" t="e">
            <v>#N/A</v>
          </cell>
          <cell r="W1000" t="e">
            <v>#N/A</v>
          </cell>
          <cell r="AA1000" t="e">
            <v>#N/A</v>
          </cell>
          <cell r="AB1000" t="e">
            <v>#N/A</v>
          </cell>
          <cell r="AC1000" t="e">
            <v>#N/A</v>
          </cell>
          <cell r="AF1000" t="e">
            <v>#N/A</v>
          </cell>
        </row>
        <row r="1001">
          <cell r="V1001" t="e">
            <v>#N/A</v>
          </cell>
          <cell r="W1001" t="e">
            <v>#N/A</v>
          </cell>
          <cell r="AA1001" t="e">
            <v>#N/A</v>
          </cell>
          <cell r="AB1001" t="e">
            <v>#N/A</v>
          </cell>
          <cell r="AC1001" t="e">
            <v>#N/A</v>
          </cell>
          <cell r="AF1001" t="e">
            <v>#N/A</v>
          </cell>
        </row>
        <row r="1002">
          <cell r="V1002" t="e">
            <v>#N/A</v>
          </cell>
          <cell r="W1002" t="e">
            <v>#N/A</v>
          </cell>
          <cell r="AA1002" t="e">
            <v>#N/A</v>
          </cell>
          <cell r="AB1002" t="e">
            <v>#N/A</v>
          </cell>
          <cell r="AC1002" t="e">
            <v>#N/A</v>
          </cell>
          <cell r="AF1002" t="e">
            <v>#N/A</v>
          </cell>
        </row>
        <row r="1003">
          <cell r="V1003" t="e">
            <v>#N/A</v>
          </cell>
          <cell r="W1003" t="e">
            <v>#N/A</v>
          </cell>
          <cell r="AA1003" t="e">
            <v>#N/A</v>
          </cell>
          <cell r="AB1003" t="e">
            <v>#N/A</v>
          </cell>
          <cell r="AC1003" t="e">
            <v>#N/A</v>
          </cell>
          <cell r="AF1003" t="e">
            <v>#N/A</v>
          </cell>
        </row>
        <row r="1004">
          <cell r="V1004" t="e">
            <v>#N/A</v>
          </cell>
          <cell r="W1004" t="e">
            <v>#N/A</v>
          </cell>
          <cell r="AA1004" t="e">
            <v>#N/A</v>
          </cell>
          <cell r="AB1004" t="e">
            <v>#N/A</v>
          </cell>
          <cell r="AC1004" t="e">
            <v>#N/A</v>
          </cell>
          <cell r="AF1004" t="e">
            <v>#N/A</v>
          </cell>
        </row>
        <row r="1005">
          <cell r="V1005" t="e">
            <v>#N/A</v>
          </cell>
          <cell r="W1005" t="e">
            <v>#N/A</v>
          </cell>
          <cell r="AA1005" t="e">
            <v>#N/A</v>
          </cell>
          <cell r="AB1005" t="e">
            <v>#N/A</v>
          </cell>
          <cell r="AC1005" t="e">
            <v>#N/A</v>
          </cell>
          <cell r="AF1005" t="e">
            <v>#N/A</v>
          </cell>
        </row>
        <row r="1006">
          <cell r="V1006" t="e">
            <v>#N/A</v>
          </cell>
          <cell r="W1006" t="e">
            <v>#N/A</v>
          </cell>
          <cell r="AA1006" t="e">
            <v>#N/A</v>
          </cell>
          <cell r="AB1006" t="e">
            <v>#N/A</v>
          </cell>
          <cell r="AC1006" t="e">
            <v>#N/A</v>
          </cell>
          <cell r="AF1006" t="e">
            <v>#N/A</v>
          </cell>
        </row>
        <row r="1007">
          <cell r="V1007" t="e">
            <v>#N/A</v>
          </cell>
          <cell r="W1007" t="e">
            <v>#N/A</v>
          </cell>
          <cell r="AA1007" t="e">
            <v>#N/A</v>
          </cell>
          <cell r="AB1007" t="e">
            <v>#N/A</v>
          </cell>
          <cell r="AC1007" t="e">
            <v>#N/A</v>
          </cell>
          <cell r="AF1007" t="e">
            <v>#N/A</v>
          </cell>
        </row>
        <row r="1008">
          <cell r="V1008" t="e">
            <v>#N/A</v>
          </cell>
          <cell r="W1008" t="e">
            <v>#N/A</v>
          </cell>
          <cell r="AA1008" t="e">
            <v>#N/A</v>
          </cell>
          <cell r="AB1008" t="e">
            <v>#N/A</v>
          </cell>
          <cell r="AC1008" t="e">
            <v>#N/A</v>
          </cell>
          <cell r="AF1008" t="e">
            <v>#N/A</v>
          </cell>
        </row>
        <row r="1009">
          <cell r="V1009" t="e">
            <v>#N/A</v>
          </cell>
          <cell r="W1009" t="e">
            <v>#N/A</v>
          </cell>
          <cell r="AA1009" t="e">
            <v>#N/A</v>
          </cell>
          <cell r="AB1009" t="e">
            <v>#N/A</v>
          </cell>
          <cell r="AC1009" t="e">
            <v>#N/A</v>
          </cell>
          <cell r="AF1009" t="e">
            <v>#N/A</v>
          </cell>
        </row>
        <row r="1010">
          <cell r="V1010" t="e">
            <v>#N/A</v>
          </cell>
          <cell r="W1010" t="e">
            <v>#N/A</v>
          </cell>
          <cell r="AA1010" t="e">
            <v>#N/A</v>
          </cell>
          <cell r="AB1010" t="e">
            <v>#N/A</v>
          </cell>
          <cell r="AC1010" t="e">
            <v>#N/A</v>
          </cell>
          <cell r="AF1010" t="e">
            <v>#N/A</v>
          </cell>
        </row>
        <row r="1011">
          <cell r="V1011" t="e">
            <v>#N/A</v>
          </cell>
          <cell r="W1011" t="e">
            <v>#N/A</v>
          </cell>
          <cell r="AA1011" t="e">
            <v>#N/A</v>
          </cell>
          <cell r="AB1011" t="e">
            <v>#N/A</v>
          </cell>
          <cell r="AC1011" t="e">
            <v>#N/A</v>
          </cell>
          <cell r="AF1011" t="e">
            <v>#N/A</v>
          </cell>
        </row>
        <row r="1012">
          <cell r="V1012" t="e">
            <v>#N/A</v>
          </cell>
          <cell r="W1012" t="e">
            <v>#N/A</v>
          </cell>
          <cell r="AA1012" t="e">
            <v>#N/A</v>
          </cell>
          <cell r="AB1012" t="e">
            <v>#N/A</v>
          </cell>
          <cell r="AC1012" t="e">
            <v>#N/A</v>
          </cell>
          <cell r="AF1012" t="e">
            <v>#N/A</v>
          </cell>
        </row>
        <row r="1013">
          <cell r="V1013" t="e">
            <v>#N/A</v>
          </cell>
          <cell r="W1013" t="e">
            <v>#N/A</v>
          </cell>
          <cell r="AA1013" t="e">
            <v>#N/A</v>
          </cell>
          <cell r="AB1013" t="e">
            <v>#N/A</v>
          </cell>
          <cell r="AC1013" t="e">
            <v>#N/A</v>
          </cell>
          <cell r="AF1013" t="e">
            <v>#N/A</v>
          </cell>
        </row>
        <row r="1014">
          <cell r="V1014" t="e">
            <v>#N/A</v>
          </cell>
          <cell r="W1014" t="e">
            <v>#N/A</v>
          </cell>
          <cell r="AA1014" t="e">
            <v>#N/A</v>
          </cell>
          <cell r="AB1014" t="e">
            <v>#N/A</v>
          </cell>
          <cell r="AC1014" t="e">
            <v>#N/A</v>
          </cell>
          <cell r="AF1014" t="e">
            <v>#N/A</v>
          </cell>
        </row>
        <row r="1015">
          <cell r="V1015" t="e">
            <v>#N/A</v>
          </cell>
          <cell r="W1015" t="e">
            <v>#N/A</v>
          </cell>
          <cell r="AA1015" t="e">
            <v>#N/A</v>
          </cell>
          <cell r="AB1015" t="e">
            <v>#N/A</v>
          </cell>
          <cell r="AC1015" t="e">
            <v>#N/A</v>
          </cell>
          <cell r="AF1015" t="e">
            <v>#N/A</v>
          </cell>
        </row>
        <row r="1016">
          <cell r="V1016" t="e">
            <v>#N/A</v>
          </cell>
          <cell r="W1016" t="e">
            <v>#N/A</v>
          </cell>
          <cell r="AA1016" t="e">
            <v>#N/A</v>
          </cell>
          <cell r="AB1016" t="e">
            <v>#N/A</v>
          </cell>
          <cell r="AC1016" t="e">
            <v>#N/A</v>
          </cell>
          <cell r="AF1016" t="e">
            <v>#N/A</v>
          </cell>
        </row>
        <row r="1017">
          <cell r="V1017" t="e">
            <v>#N/A</v>
          </cell>
          <cell r="W1017" t="e">
            <v>#N/A</v>
          </cell>
          <cell r="AA1017" t="e">
            <v>#N/A</v>
          </cell>
          <cell r="AB1017" t="e">
            <v>#N/A</v>
          </cell>
          <cell r="AC1017" t="e">
            <v>#N/A</v>
          </cell>
          <cell r="AF1017" t="e">
            <v>#N/A</v>
          </cell>
        </row>
        <row r="1018">
          <cell r="V1018" t="e">
            <v>#N/A</v>
          </cell>
          <cell r="W1018" t="e">
            <v>#N/A</v>
          </cell>
          <cell r="AA1018" t="e">
            <v>#N/A</v>
          </cell>
          <cell r="AB1018" t="e">
            <v>#N/A</v>
          </cell>
          <cell r="AC1018" t="e">
            <v>#N/A</v>
          </cell>
          <cell r="AF1018" t="e">
            <v>#N/A</v>
          </cell>
        </row>
        <row r="1019">
          <cell r="V1019" t="e">
            <v>#N/A</v>
          </cell>
          <cell r="W1019" t="e">
            <v>#N/A</v>
          </cell>
          <cell r="AA1019" t="e">
            <v>#N/A</v>
          </cell>
          <cell r="AB1019" t="e">
            <v>#N/A</v>
          </cell>
          <cell r="AC1019" t="e">
            <v>#N/A</v>
          </cell>
          <cell r="AF1019" t="e">
            <v>#N/A</v>
          </cell>
        </row>
        <row r="1020">
          <cell r="V1020" t="e">
            <v>#N/A</v>
          </cell>
          <cell r="W1020" t="e">
            <v>#N/A</v>
          </cell>
          <cell r="AA1020" t="e">
            <v>#N/A</v>
          </cell>
          <cell r="AB1020" t="e">
            <v>#N/A</v>
          </cell>
          <cell r="AC1020" t="e">
            <v>#N/A</v>
          </cell>
          <cell r="AF1020" t="e">
            <v>#N/A</v>
          </cell>
        </row>
        <row r="1021">
          <cell r="V1021" t="e">
            <v>#N/A</v>
          </cell>
          <cell r="W1021" t="e">
            <v>#N/A</v>
          </cell>
          <cell r="AA1021" t="e">
            <v>#N/A</v>
          </cell>
          <cell r="AB1021" t="e">
            <v>#N/A</v>
          </cell>
          <cell r="AC1021" t="e">
            <v>#N/A</v>
          </cell>
          <cell r="AF1021" t="e">
            <v>#N/A</v>
          </cell>
        </row>
        <row r="1022">
          <cell r="V1022" t="e">
            <v>#N/A</v>
          </cell>
          <cell r="W1022" t="e">
            <v>#N/A</v>
          </cell>
          <cell r="AA1022" t="e">
            <v>#N/A</v>
          </cell>
          <cell r="AB1022" t="e">
            <v>#N/A</v>
          </cell>
          <cell r="AC1022" t="e">
            <v>#N/A</v>
          </cell>
          <cell r="AF1022" t="e">
            <v>#N/A</v>
          </cell>
        </row>
        <row r="1023">
          <cell r="V1023" t="e">
            <v>#N/A</v>
          </cell>
          <cell r="W1023" t="e">
            <v>#N/A</v>
          </cell>
          <cell r="AA1023" t="e">
            <v>#N/A</v>
          </cell>
          <cell r="AB1023" t="e">
            <v>#N/A</v>
          </cell>
          <cell r="AC1023" t="e">
            <v>#N/A</v>
          </cell>
          <cell r="AF1023" t="e">
            <v>#N/A</v>
          </cell>
        </row>
        <row r="1024">
          <cell r="V1024" t="e">
            <v>#N/A</v>
          </cell>
          <cell r="W1024" t="e">
            <v>#N/A</v>
          </cell>
          <cell r="AA1024" t="e">
            <v>#N/A</v>
          </cell>
          <cell r="AB1024" t="e">
            <v>#N/A</v>
          </cell>
          <cell r="AC1024" t="e">
            <v>#N/A</v>
          </cell>
          <cell r="AF1024" t="e">
            <v>#N/A</v>
          </cell>
        </row>
        <row r="1025">
          <cell r="V1025" t="e">
            <v>#N/A</v>
          </cell>
          <cell r="W1025" t="e">
            <v>#N/A</v>
          </cell>
          <cell r="AA1025" t="e">
            <v>#N/A</v>
          </cell>
          <cell r="AB1025" t="e">
            <v>#N/A</v>
          </cell>
          <cell r="AC1025" t="e">
            <v>#N/A</v>
          </cell>
          <cell r="AF1025" t="e">
            <v>#N/A</v>
          </cell>
        </row>
        <row r="1026">
          <cell r="V1026" t="e">
            <v>#N/A</v>
          </cell>
          <cell r="W1026" t="e">
            <v>#N/A</v>
          </cell>
          <cell r="AA1026" t="e">
            <v>#N/A</v>
          </cell>
          <cell r="AB1026" t="e">
            <v>#N/A</v>
          </cell>
          <cell r="AC1026" t="e">
            <v>#N/A</v>
          </cell>
          <cell r="AF1026" t="e">
            <v>#N/A</v>
          </cell>
        </row>
        <row r="1027">
          <cell r="V1027" t="e">
            <v>#N/A</v>
          </cell>
          <cell r="W1027" t="e">
            <v>#N/A</v>
          </cell>
          <cell r="AA1027" t="e">
            <v>#N/A</v>
          </cell>
          <cell r="AB1027" t="e">
            <v>#N/A</v>
          </cell>
          <cell r="AC1027" t="e">
            <v>#N/A</v>
          </cell>
          <cell r="AF1027" t="e">
            <v>#N/A</v>
          </cell>
        </row>
        <row r="1028">
          <cell r="V1028" t="e">
            <v>#N/A</v>
          </cell>
          <cell r="W1028" t="e">
            <v>#N/A</v>
          </cell>
          <cell r="AA1028" t="e">
            <v>#N/A</v>
          </cell>
          <cell r="AB1028" t="e">
            <v>#N/A</v>
          </cell>
          <cell r="AC1028" t="e">
            <v>#N/A</v>
          </cell>
          <cell r="AF1028" t="e">
            <v>#N/A</v>
          </cell>
        </row>
        <row r="1029">
          <cell r="V1029" t="e">
            <v>#N/A</v>
          </cell>
          <cell r="W1029" t="e">
            <v>#N/A</v>
          </cell>
          <cell r="AA1029" t="e">
            <v>#N/A</v>
          </cell>
          <cell r="AB1029" t="e">
            <v>#N/A</v>
          </cell>
          <cell r="AC1029" t="e">
            <v>#N/A</v>
          </cell>
          <cell r="AF1029" t="e">
            <v>#N/A</v>
          </cell>
        </row>
        <row r="1030">
          <cell r="V1030" t="e">
            <v>#N/A</v>
          </cell>
          <cell r="W1030" t="e">
            <v>#N/A</v>
          </cell>
          <cell r="AA1030" t="e">
            <v>#N/A</v>
          </cell>
          <cell r="AB1030" t="e">
            <v>#N/A</v>
          </cell>
          <cell r="AC1030" t="e">
            <v>#N/A</v>
          </cell>
          <cell r="AF1030" t="e">
            <v>#N/A</v>
          </cell>
        </row>
        <row r="1031">
          <cell r="V1031" t="e">
            <v>#N/A</v>
          </cell>
          <cell r="W1031" t="e">
            <v>#N/A</v>
          </cell>
          <cell r="AA1031" t="e">
            <v>#N/A</v>
          </cell>
          <cell r="AB1031" t="e">
            <v>#N/A</v>
          </cell>
          <cell r="AC1031" t="e">
            <v>#N/A</v>
          </cell>
          <cell r="AF1031" t="e">
            <v>#N/A</v>
          </cell>
        </row>
        <row r="1032">
          <cell r="V1032" t="e">
            <v>#N/A</v>
          </cell>
          <cell r="W1032" t="e">
            <v>#N/A</v>
          </cell>
          <cell r="AA1032" t="e">
            <v>#N/A</v>
          </cell>
          <cell r="AB1032" t="e">
            <v>#N/A</v>
          </cell>
          <cell r="AC1032" t="e">
            <v>#N/A</v>
          </cell>
          <cell r="AF1032" t="e">
            <v>#N/A</v>
          </cell>
        </row>
        <row r="1033">
          <cell r="V1033" t="e">
            <v>#N/A</v>
          </cell>
          <cell r="W1033" t="e">
            <v>#N/A</v>
          </cell>
          <cell r="AA1033" t="e">
            <v>#N/A</v>
          </cell>
          <cell r="AB1033" t="e">
            <v>#N/A</v>
          </cell>
          <cell r="AC1033" t="e">
            <v>#N/A</v>
          </cell>
          <cell r="AF1033" t="e">
            <v>#N/A</v>
          </cell>
        </row>
        <row r="1034">
          <cell r="V1034" t="e">
            <v>#N/A</v>
          </cell>
          <cell r="W1034" t="e">
            <v>#N/A</v>
          </cell>
          <cell r="AA1034" t="e">
            <v>#N/A</v>
          </cell>
          <cell r="AB1034" t="e">
            <v>#N/A</v>
          </cell>
          <cell r="AC1034" t="e">
            <v>#N/A</v>
          </cell>
          <cell r="AF1034" t="e">
            <v>#N/A</v>
          </cell>
        </row>
        <row r="1035">
          <cell r="V1035" t="e">
            <v>#N/A</v>
          </cell>
          <cell r="W1035" t="e">
            <v>#N/A</v>
          </cell>
          <cell r="AA1035" t="e">
            <v>#N/A</v>
          </cell>
          <cell r="AB1035" t="e">
            <v>#N/A</v>
          </cell>
          <cell r="AC1035" t="e">
            <v>#N/A</v>
          </cell>
          <cell r="AF1035" t="e">
            <v>#N/A</v>
          </cell>
        </row>
        <row r="1036">
          <cell r="V1036" t="e">
            <v>#N/A</v>
          </cell>
          <cell r="W1036" t="e">
            <v>#N/A</v>
          </cell>
          <cell r="AA1036" t="e">
            <v>#N/A</v>
          </cell>
          <cell r="AB1036" t="e">
            <v>#N/A</v>
          </cell>
          <cell r="AC1036" t="e">
            <v>#N/A</v>
          </cell>
          <cell r="AF1036" t="e">
            <v>#N/A</v>
          </cell>
        </row>
        <row r="1037">
          <cell r="V1037" t="e">
            <v>#N/A</v>
          </cell>
          <cell r="W1037" t="e">
            <v>#N/A</v>
          </cell>
          <cell r="AA1037" t="e">
            <v>#N/A</v>
          </cell>
          <cell r="AB1037" t="e">
            <v>#N/A</v>
          </cell>
          <cell r="AC1037" t="e">
            <v>#N/A</v>
          </cell>
          <cell r="AF1037" t="e">
            <v>#N/A</v>
          </cell>
        </row>
        <row r="1038">
          <cell r="V1038" t="e">
            <v>#N/A</v>
          </cell>
          <cell r="W1038" t="e">
            <v>#N/A</v>
          </cell>
          <cell r="AA1038" t="e">
            <v>#N/A</v>
          </cell>
          <cell r="AB1038" t="e">
            <v>#N/A</v>
          </cell>
          <cell r="AC1038" t="e">
            <v>#N/A</v>
          </cell>
          <cell r="AF1038" t="e">
            <v>#N/A</v>
          </cell>
        </row>
        <row r="1039">
          <cell r="V1039" t="e">
            <v>#N/A</v>
          </cell>
          <cell r="W1039" t="e">
            <v>#N/A</v>
          </cell>
          <cell r="AA1039" t="e">
            <v>#N/A</v>
          </cell>
          <cell r="AB1039" t="e">
            <v>#N/A</v>
          </cell>
          <cell r="AC1039" t="e">
            <v>#N/A</v>
          </cell>
          <cell r="AF1039" t="e">
            <v>#N/A</v>
          </cell>
        </row>
        <row r="1040">
          <cell r="V1040" t="e">
            <v>#N/A</v>
          </cell>
          <cell r="W1040" t="e">
            <v>#N/A</v>
          </cell>
          <cell r="AA1040" t="e">
            <v>#N/A</v>
          </cell>
          <cell r="AB1040" t="e">
            <v>#N/A</v>
          </cell>
          <cell r="AC1040" t="e">
            <v>#N/A</v>
          </cell>
          <cell r="AF1040" t="e">
            <v>#N/A</v>
          </cell>
        </row>
        <row r="1041">
          <cell r="V1041" t="e">
            <v>#N/A</v>
          </cell>
          <cell r="W1041" t="e">
            <v>#N/A</v>
          </cell>
          <cell r="AA1041" t="e">
            <v>#N/A</v>
          </cell>
          <cell r="AB1041" t="e">
            <v>#N/A</v>
          </cell>
          <cell r="AC1041" t="e">
            <v>#N/A</v>
          </cell>
          <cell r="AF1041" t="e">
            <v>#N/A</v>
          </cell>
        </row>
        <row r="1042">
          <cell r="V1042" t="e">
            <v>#N/A</v>
          </cell>
          <cell r="W1042" t="e">
            <v>#N/A</v>
          </cell>
          <cell r="AA1042" t="e">
            <v>#N/A</v>
          </cell>
          <cell r="AB1042" t="e">
            <v>#N/A</v>
          </cell>
          <cell r="AC1042" t="e">
            <v>#N/A</v>
          </cell>
          <cell r="AF1042" t="e">
            <v>#N/A</v>
          </cell>
        </row>
        <row r="1043">
          <cell r="V1043" t="e">
            <v>#N/A</v>
          </cell>
          <cell r="W1043" t="e">
            <v>#N/A</v>
          </cell>
          <cell r="AA1043" t="e">
            <v>#N/A</v>
          </cell>
          <cell r="AB1043" t="e">
            <v>#N/A</v>
          </cell>
          <cell r="AC1043" t="e">
            <v>#N/A</v>
          </cell>
          <cell r="AF1043" t="e">
            <v>#N/A</v>
          </cell>
        </row>
        <row r="1044">
          <cell r="V1044" t="e">
            <v>#N/A</v>
          </cell>
          <cell r="W1044" t="e">
            <v>#N/A</v>
          </cell>
          <cell r="AA1044" t="e">
            <v>#N/A</v>
          </cell>
          <cell r="AB1044" t="e">
            <v>#N/A</v>
          </cell>
          <cell r="AC1044" t="e">
            <v>#N/A</v>
          </cell>
          <cell r="AF1044" t="e">
            <v>#N/A</v>
          </cell>
        </row>
        <row r="1045">
          <cell r="V1045" t="e">
            <v>#N/A</v>
          </cell>
          <cell r="W1045" t="e">
            <v>#N/A</v>
          </cell>
          <cell r="AA1045" t="e">
            <v>#N/A</v>
          </cell>
          <cell r="AB1045" t="e">
            <v>#N/A</v>
          </cell>
          <cell r="AC1045" t="e">
            <v>#N/A</v>
          </cell>
          <cell r="AF1045" t="e">
            <v>#N/A</v>
          </cell>
        </row>
        <row r="1046">
          <cell r="V1046" t="e">
            <v>#N/A</v>
          </cell>
          <cell r="W1046" t="e">
            <v>#N/A</v>
          </cell>
          <cell r="AA1046" t="e">
            <v>#N/A</v>
          </cell>
          <cell r="AB1046" t="e">
            <v>#N/A</v>
          </cell>
          <cell r="AC1046" t="e">
            <v>#N/A</v>
          </cell>
          <cell r="AF1046" t="e">
            <v>#N/A</v>
          </cell>
        </row>
        <row r="1047">
          <cell r="V1047" t="e">
            <v>#N/A</v>
          </cell>
          <cell r="W1047" t="e">
            <v>#N/A</v>
          </cell>
          <cell r="AA1047" t="e">
            <v>#N/A</v>
          </cell>
          <cell r="AB1047" t="e">
            <v>#N/A</v>
          </cell>
          <cell r="AC1047" t="e">
            <v>#N/A</v>
          </cell>
          <cell r="AF1047" t="e">
            <v>#N/A</v>
          </cell>
        </row>
        <row r="1048">
          <cell r="V1048" t="e">
            <v>#N/A</v>
          </cell>
          <cell r="W1048" t="e">
            <v>#N/A</v>
          </cell>
          <cell r="AA1048" t="e">
            <v>#N/A</v>
          </cell>
          <cell r="AB1048" t="e">
            <v>#N/A</v>
          </cell>
          <cell r="AC1048" t="e">
            <v>#N/A</v>
          </cell>
          <cell r="AF1048" t="e">
            <v>#N/A</v>
          </cell>
        </row>
        <row r="1049">
          <cell r="V1049" t="e">
            <v>#N/A</v>
          </cell>
          <cell r="W1049" t="e">
            <v>#N/A</v>
          </cell>
          <cell r="AA1049" t="e">
            <v>#N/A</v>
          </cell>
          <cell r="AB1049" t="e">
            <v>#N/A</v>
          </cell>
          <cell r="AC1049" t="e">
            <v>#N/A</v>
          </cell>
          <cell r="AF1049" t="e">
            <v>#N/A</v>
          </cell>
        </row>
        <row r="1050">
          <cell r="V1050" t="e">
            <v>#N/A</v>
          </cell>
          <cell r="W1050" t="e">
            <v>#N/A</v>
          </cell>
          <cell r="AA1050" t="e">
            <v>#N/A</v>
          </cell>
          <cell r="AB1050" t="e">
            <v>#N/A</v>
          </cell>
          <cell r="AC1050" t="e">
            <v>#N/A</v>
          </cell>
          <cell r="AF1050" t="e">
            <v>#N/A</v>
          </cell>
        </row>
        <row r="1051">
          <cell r="V1051" t="e">
            <v>#N/A</v>
          </cell>
          <cell r="W1051" t="e">
            <v>#N/A</v>
          </cell>
          <cell r="AA1051" t="e">
            <v>#N/A</v>
          </cell>
          <cell r="AB1051" t="e">
            <v>#N/A</v>
          </cell>
          <cell r="AC1051" t="e">
            <v>#N/A</v>
          </cell>
          <cell r="AF1051" t="e">
            <v>#N/A</v>
          </cell>
        </row>
        <row r="1052">
          <cell r="V1052" t="e">
            <v>#N/A</v>
          </cell>
          <cell r="W1052" t="e">
            <v>#N/A</v>
          </cell>
          <cell r="AA1052" t="e">
            <v>#N/A</v>
          </cell>
          <cell r="AB1052" t="e">
            <v>#N/A</v>
          </cell>
          <cell r="AC1052" t="e">
            <v>#N/A</v>
          </cell>
          <cell r="AF1052" t="e">
            <v>#N/A</v>
          </cell>
        </row>
        <row r="1053">
          <cell r="V1053" t="e">
            <v>#N/A</v>
          </cell>
          <cell r="W1053" t="e">
            <v>#N/A</v>
          </cell>
          <cell r="AA1053" t="e">
            <v>#N/A</v>
          </cell>
          <cell r="AB1053" t="e">
            <v>#N/A</v>
          </cell>
          <cell r="AC1053" t="e">
            <v>#N/A</v>
          </cell>
          <cell r="AF1053" t="e">
            <v>#N/A</v>
          </cell>
        </row>
        <row r="1054">
          <cell r="V1054" t="e">
            <v>#N/A</v>
          </cell>
          <cell r="W1054" t="e">
            <v>#N/A</v>
          </cell>
          <cell r="AA1054" t="e">
            <v>#N/A</v>
          </cell>
          <cell r="AB1054" t="e">
            <v>#N/A</v>
          </cell>
          <cell r="AC1054" t="e">
            <v>#N/A</v>
          </cell>
          <cell r="AF1054" t="e">
            <v>#N/A</v>
          </cell>
        </row>
        <row r="1055">
          <cell r="V1055" t="e">
            <v>#N/A</v>
          </cell>
          <cell r="W1055" t="e">
            <v>#N/A</v>
          </cell>
          <cell r="AA1055" t="e">
            <v>#N/A</v>
          </cell>
          <cell r="AB1055" t="e">
            <v>#N/A</v>
          </cell>
          <cell r="AC1055" t="e">
            <v>#N/A</v>
          </cell>
          <cell r="AF1055" t="e">
            <v>#N/A</v>
          </cell>
        </row>
        <row r="1056">
          <cell r="V1056" t="e">
            <v>#N/A</v>
          </cell>
          <cell r="W1056" t="e">
            <v>#N/A</v>
          </cell>
          <cell r="AA1056" t="e">
            <v>#N/A</v>
          </cell>
          <cell r="AB1056" t="e">
            <v>#N/A</v>
          </cell>
          <cell r="AC1056" t="e">
            <v>#N/A</v>
          </cell>
          <cell r="AF1056" t="e">
            <v>#N/A</v>
          </cell>
        </row>
        <row r="1057">
          <cell r="V1057" t="e">
            <v>#N/A</v>
          </cell>
          <cell r="W1057" t="e">
            <v>#N/A</v>
          </cell>
          <cell r="AA1057" t="e">
            <v>#N/A</v>
          </cell>
          <cell r="AB1057" t="e">
            <v>#N/A</v>
          </cell>
          <cell r="AC1057" t="e">
            <v>#N/A</v>
          </cell>
          <cell r="AF1057" t="e">
            <v>#N/A</v>
          </cell>
        </row>
        <row r="1058">
          <cell r="V1058" t="e">
            <v>#N/A</v>
          </cell>
          <cell r="W1058" t="e">
            <v>#N/A</v>
          </cell>
          <cell r="AA1058" t="e">
            <v>#N/A</v>
          </cell>
          <cell r="AB1058" t="e">
            <v>#N/A</v>
          </cell>
          <cell r="AC1058" t="e">
            <v>#N/A</v>
          </cell>
          <cell r="AF1058" t="e">
            <v>#N/A</v>
          </cell>
        </row>
        <row r="1059">
          <cell r="V1059" t="e">
            <v>#N/A</v>
          </cell>
          <cell r="W1059" t="e">
            <v>#N/A</v>
          </cell>
          <cell r="AA1059" t="e">
            <v>#N/A</v>
          </cell>
          <cell r="AB1059" t="e">
            <v>#N/A</v>
          </cell>
          <cell r="AC1059" t="e">
            <v>#N/A</v>
          </cell>
          <cell r="AF1059" t="e">
            <v>#N/A</v>
          </cell>
        </row>
        <row r="1060">
          <cell r="V1060" t="e">
            <v>#N/A</v>
          </cell>
          <cell r="W1060" t="e">
            <v>#N/A</v>
          </cell>
          <cell r="AA1060" t="e">
            <v>#N/A</v>
          </cell>
          <cell r="AB1060" t="e">
            <v>#N/A</v>
          </cell>
          <cell r="AC1060" t="e">
            <v>#N/A</v>
          </cell>
          <cell r="AF1060" t="e">
            <v>#N/A</v>
          </cell>
        </row>
        <row r="1061">
          <cell r="V1061" t="e">
            <v>#N/A</v>
          </cell>
          <cell r="W1061" t="e">
            <v>#N/A</v>
          </cell>
          <cell r="AA1061" t="e">
            <v>#N/A</v>
          </cell>
          <cell r="AB1061" t="e">
            <v>#N/A</v>
          </cell>
          <cell r="AC1061" t="e">
            <v>#N/A</v>
          </cell>
          <cell r="AF1061" t="e">
            <v>#N/A</v>
          </cell>
        </row>
        <row r="1062">
          <cell r="V1062" t="e">
            <v>#N/A</v>
          </cell>
          <cell r="W1062" t="e">
            <v>#N/A</v>
          </cell>
          <cell r="AA1062" t="e">
            <v>#N/A</v>
          </cell>
          <cell r="AB1062" t="e">
            <v>#N/A</v>
          </cell>
          <cell r="AC1062" t="e">
            <v>#N/A</v>
          </cell>
          <cell r="AF1062" t="e">
            <v>#N/A</v>
          </cell>
        </row>
        <row r="1063">
          <cell r="V1063" t="e">
            <v>#N/A</v>
          </cell>
          <cell r="W1063" t="e">
            <v>#N/A</v>
          </cell>
          <cell r="AA1063" t="e">
            <v>#N/A</v>
          </cell>
          <cell r="AB1063" t="e">
            <v>#N/A</v>
          </cell>
          <cell r="AC1063" t="e">
            <v>#N/A</v>
          </cell>
          <cell r="AF1063" t="e">
            <v>#N/A</v>
          </cell>
        </row>
        <row r="1064">
          <cell r="V1064" t="e">
            <v>#N/A</v>
          </cell>
          <cell r="W1064" t="e">
            <v>#N/A</v>
          </cell>
          <cell r="AA1064" t="e">
            <v>#N/A</v>
          </cell>
          <cell r="AB1064" t="e">
            <v>#N/A</v>
          </cell>
          <cell r="AC1064" t="e">
            <v>#N/A</v>
          </cell>
          <cell r="AF1064" t="e">
            <v>#N/A</v>
          </cell>
        </row>
        <row r="1065">
          <cell r="V1065" t="e">
            <v>#N/A</v>
          </cell>
          <cell r="W1065" t="e">
            <v>#N/A</v>
          </cell>
          <cell r="AA1065" t="e">
            <v>#N/A</v>
          </cell>
          <cell r="AB1065" t="e">
            <v>#N/A</v>
          </cell>
          <cell r="AC1065" t="e">
            <v>#N/A</v>
          </cell>
          <cell r="AF1065" t="e">
            <v>#N/A</v>
          </cell>
        </row>
        <row r="1066">
          <cell r="V1066" t="e">
            <v>#N/A</v>
          </cell>
          <cell r="W1066" t="e">
            <v>#N/A</v>
          </cell>
          <cell r="AA1066" t="e">
            <v>#N/A</v>
          </cell>
          <cell r="AB1066" t="e">
            <v>#N/A</v>
          </cell>
          <cell r="AC1066" t="e">
            <v>#N/A</v>
          </cell>
          <cell r="AF1066" t="e">
            <v>#N/A</v>
          </cell>
        </row>
        <row r="1067">
          <cell r="V1067" t="e">
            <v>#N/A</v>
          </cell>
          <cell r="W1067" t="e">
            <v>#N/A</v>
          </cell>
          <cell r="AA1067" t="e">
            <v>#N/A</v>
          </cell>
          <cell r="AB1067" t="e">
            <v>#N/A</v>
          </cell>
          <cell r="AC1067" t="e">
            <v>#N/A</v>
          </cell>
          <cell r="AF1067" t="e">
            <v>#N/A</v>
          </cell>
        </row>
        <row r="1068">
          <cell r="V1068" t="e">
            <v>#N/A</v>
          </cell>
          <cell r="W1068" t="e">
            <v>#N/A</v>
          </cell>
          <cell r="AA1068" t="e">
            <v>#N/A</v>
          </cell>
          <cell r="AB1068" t="e">
            <v>#N/A</v>
          </cell>
          <cell r="AC1068" t="e">
            <v>#N/A</v>
          </cell>
          <cell r="AF1068" t="e">
            <v>#N/A</v>
          </cell>
        </row>
        <row r="1069">
          <cell r="V1069" t="e">
            <v>#N/A</v>
          </cell>
          <cell r="W1069" t="e">
            <v>#N/A</v>
          </cell>
          <cell r="AA1069" t="e">
            <v>#N/A</v>
          </cell>
          <cell r="AB1069" t="e">
            <v>#N/A</v>
          </cell>
          <cell r="AC1069" t="e">
            <v>#N/A</v>
          </cell>
          <cell r="AF1069" t="e">
            <v>#N/A</v>
          </cell>
        </row>
        <row r="1070">
          <cell r="V1070" t="e">
            <v>#N/A</v>
          </cell>
          <cell r="W1070" t="e">
            <v>#N/A</v>
          </cell>
          <cell r="AA1070" t="e">
            <v>#N/A</v>
          </cell>
          <cell r="AB1070" t="e">
            <v>#N/A</v>
          </cell>
          <cell r="AC1070" t="e">
            <v>#N/A</v>
          </cell>
          <cell r="AF1070" t="e">
            <v>#N/A</v>
          </cell>
        </row>
        <row r="1071">
          <cell r="V1071" t="e">
            <v>#N/A</v>
          </cell>
          <cell r="W1071" t="e">
            <v>#N/A</v>
          </cell>
          <cell r="AA1071" t="e">
            <v>#N/A</v>
          </cell>
          <cell r="AB1071" t="e">
            <v>#N/A</v>
          </cell>
          <cell r="AC1071" t="e">
            <v>#N/A</v>
          </cell>
          <cell r="AF1071" t="e">
            <v>#N/A</v>
          </cell>
        </row>
        <row r="1072">
          <cell r="V1072" t="e">
            <v>#N/A</v>
          </cell>
          <cell r="W1072" t="e">
            <v>#N/A</v>
          </cell>
          <cell r="AA1072" t="e">
            <v>#N/A</v>
          </cell>
          <cell r="AB1072" t="e">
            <v>#N/A</v>
          </cell>
          <cell r="AC1072" t="e">
            <v>#N/A</v>
          </cell>
          <cell r="AF1072" t="e">
            <v>#N/A</v>
          </cell>
        </row>
        <row r="1073">
          <cell r="V1073" t="e">
            <v>#N/A</v>
          </cell>
          <cell r="W1073" t="e">
            <v>#N/A</v>
          </cell>
          <cell r="AA1073" t="e">
            <v>#N/A</v>
          </cell>
          <cell r="AB1073" t="e">
            <v>#N/A</v>
          </cell>
          <cell r="AC1073" t="e">
            <v>#N/A</v>
          </cell>
          <cell r="AF1073" t="e">
            <v>#N/A</v>
          </cell>
        </row>
        <row r="1074">
          <cell r="V1074" t="e">
            <v>#N/A</v>
          </cell>
          <cell r="W1074" t="e">
            <v>#N/A</v>
          </cell>
          <cell r="AA1074" t="e">
            <v>#N/A</v>
          </cell>
          <cell r="AB1074" t="e">
            <v>#N/A</v>
          </cell>
          <cell r="AC1074" t="e">
            <v>#N/A</v>
          </cell>
          <cell r="AF1074" t="e">
            <v>#N/A</v>
          </cell>
        </row>
        <row r="1075">
          <cell r="V1075" t="e">
            <v>#N/A</v>
          </cell>
          <cell r="W1075" t="e">
            <v>#N/A</v>
          </cell>
          <cell r="AA1075" t="e">
            <v>#N/A</v>
          </cell>
          <cell r="AB1075" t="e">
            <v>#N/A</v>
          </cell>
          <cell r="AC1075" t="e">
            <v>#N/A</v>
          </cell>
          <cell r="AF1075" t="e">
            <v>#N/A</v>
          </cell>
        </row>
        <row r="1076">
          <cell r="V1076" t="e">
            <v>#N/A</v>
          </cell>
          <cell r="W1076" t="e">
            <v>#N/A</v>
          </cell>
          <cell r="AA1076" t="e">
            <v>#N/A</v>
          </cell>
          <cell r="AB1076" t="e">
            <v>#N/A</v>
          </cell>
          <cell r="AC1076" t="e">
            <v>#N/A</v>
          </cell>
          <cell r="AF1076" t="e">
            <v>#N/A</v>
          </cell>
        </row>
        <row r="1077">
          <cell r="V1077" t="e">
            <v>#N/A</v>
          </cell>
          <cell r="W1077" t="e">
            <v>#N/A</v>
          </cell>
          <cell r="AA1077" t="e">
            <v>#N/A</v>
          </cell>
          <cell r="AB1077" t="e">
            <v>#N/A</v>
          </cell>
          <cell r="AC1077" t="e">
            <v>#N/A</v>
          </cell>
          <cell r="AF1077" t="e">
            <v>#N/A</v>
          </cell>
        </row>
        <row r="1078">
          <cell r="V1078" t="e">
            <v>#N/A</v>
          </cell>
          <cell r="W1078" t="e">
            <v>#N/A</v>
          </cell>
          <cell r="AA1078" t="e">
            <v>#N/A</v>
          </cell>
          <cell r="AB1078" t="e">
            <v>#N/A</v>
          </cell>
          <cell r="AC1078" t="e">
            <v>#N/A</v>
          </cell>
          <cell r="AF1078" t="e">
            <v>#N/A</v>
          </cell>
        </row>
        <row r="1079">
          <cell r="V1079" t="e">
            <v>#N/A</v>
          </cell>
          <cell r="W1079" t="e">
            <v>#N/A</v>
          </cell>
          <cell r="AA1079" t="e">
            <v>#N/A</v>
          </cell>
          <cell r="AB1079" t="e">
            <v>#N/A</v>
          </cell>
          <cell r="AC1079" t="e">
            <v>#N/A</v>
          </cell>
          <cell r="AF1079" t="e">
            <v>#N/A</v>
          </cell>
        </row>
        <row r="1080">
          <cell r="V1080" t="e">
            <v>#N/A</v>
          </cell>
          <cell r="W1080" t="e">
            <v>#N/A</v>
          </cell>
          <cell r="AA1080" t="e">
            <v>#N/A</v>
          </cell>
          <cell r="AB1080" t="e">
            <v>#N/A</v>
          </cell>
          <cell r="AC1080" t="e">
            <v>#N/A</v>
          </cell>
          <cell r="AF1080" t="e">
            <v>#N/A</v>
          </cell>
        </row>
        <row r="1081">
          <cell r="V1081" t="e">
            <v>#N/A</v>
          </cell>
          <cell r="W1081" t="e">
            <v>#N/A</v>
          </cell>
          <cell r="AA1081" t="e">
            <v>#N/A</v>
          </cell>
          <cell r="AB1081" t="e">
            <v>#N/A</v>
          </cell>
          <cell r="AC1081" t="e">
            <v>#N/A</v>
          </cell>
          <cell r="AF1081" t="e">
            <v>#N/A</v>
          </cell>
        </row>
        <row r="1082">
          <cell r="V1082" t="e">
            <v>#N/A</v>
          </cell>
          <cell r="W1082" t="e">
            <v>#N/A</v>
          </cell>
          <cell r="AA1082" t="e">
            <v>#N/A</v>
          </cell>
          <cell r="AB1082" t="e">
            <v>#N/A</v>
          </cell>
          <cell r="AC1082" t="e">
            <v>#N/A</v>
          </cell>
          <cell r="AF1082" t="e">
            <v>#N/A</v>
          </cell>
        </row>
        <row r="1083">
          <cell r="V1083" t="e">
            <v>#N/A</v>
          </cell>
          <cell r="W1083" t="e">
            <v>#N/A</v>
          </cell>
          <cell r="AA1083" t="e">
            <v>#N/A</v>
          </cell>
          <cell r="AB1083" t="e">
            <v>#N/A</v>
          </cell>
          <cell r="AC1083" t="e">
            <v>#N/A</v>
          </cell>
          <cell r="AF1083" t="e">
            <v>#N/A</v>
          </cell>
        </row>
        <row r="1084">
          <cell r="V1084" t="e">
            <v>#N/A</v>
          </cell>
          <cell r="W1084" t="e">
            <v>#N/A</v>
          </cell>
          <cell r="AA1084" t="e">
            <v>#N/A</v>
          </cell>
          <cell r="AB1084" t="e">
            <v>#N/A</v>
          </cell>
          <cell r="AC1084" t="e">
            <v>#N/A</v>
          </cell>
          <cell r="AF1084" t="e">
            <v>#N/A</v>
          </cell>
        </row>
        <row r="1085">
          <cell r="V1085" t="e">
            <v>#N/A</v>
          </cell>
          <cell r="W1085" t="e">
            <v>#N/A</v>
          </cell>
          <cell r="AA1085" t="e">
            <v>#N/A</v>
          </cell>
          <cell r="AB1085" t="e">
            <v>#N/A</v>
          </cell>
          <cell r="AC1085" t="e">
            <v>#N/A</v>
          </cell>
          <cell r="AF1085" t="e">
            <v>#N/A</v>
          </cell>
        </row>
        <row r="1086">
          <cell r="V1086" t="e">
            <v>#N/A</v>
          </cell>
          <cell r="W1086" t="e">
            <v>#N/A</v>
          </cell>
          <cell r="AA1086" t="e">
            <v>#N/A</v>
          </cell>
          <cell r="AB1086" t="e">
            <v>#N/A</v>
          </cell>
          <cell r="AC1086" t="e">
            <v>#N/A</v>
          </cell>
          <cell r="AF1086" t="e">
            <v>#N/A</v>
          </cell>
        </row>
        <row r="1087">
          <cell r="V1087" t="e">
            <v>#N/A</v>
          </cell>
          <cell r="W1087" t="e">
            <v>#N/A</v>
          </cell>
          <cell r="AA1087" t="e">
            <v>#N/A</v>
          </cell>
          <cell r="AB1087" t="e">
            <v>#N/A</v>
          </cell>
          <cell r="AC1087" t="e">
            <v>#N/A</v>
          </cell>
          <cell r="AF1087" t="e">
            <v>#N/A</v>
          </cell>
        </row>
        <row r="1088">
          <cell r="V1088" t="e">
            <v>#N/A</v>
          </cell>
          <cell r="W1088" t="e">
            <v>#N/A</v>
          </cell>
          <cell r="AA1088" t="e">
            <v>#N/A</v>
          </cell>
          <cell r="AB1088" t="e">
            <v>#N/A</v>
          </cell>
          <cell r="AC1088" t="e">
            <v>#N/A</v>
          </cell>
          <cell r="AF1088" t="e">
            <v>#N/A</v>
          </cell>
        </row>
        <row r="1089">
          <cell r="V1089" t="e">
            <v>#N/A</v>
          </cell>
          <cell r="W1089" t="e">
            <v>#N/A</v>
          </cell>
          <cell r="AA1089" t="e">
            <v>#N/A</v>
          </cell>
          <cell r="AB1089" t="e">
            <v>#N/A</v>
          </cell>
          <cell r="AC1089" t="e">
            <v>#N/A</v>
          </cell>
          <cell r="AF1089" t="e">
            <v>#N/A</v>
          </cell>
        </row>
        <row r="1090">
          <cell r="V1090" t="e">
            <v>#N/A</v>
          </cell>
          <cell r="W1090" t="e">
            <v>#N/A</v>
          </cell>
          <cell r="AA1090" t="e">
            <v>#N/A</v>
          </cell>
          <cell r="AB1090" t="e">
            <v>#N/A</v>
          </cell>
          <cell r="AC1090" t="e">
            <v>#N/A</v>
          </cell>
          <cell r="AF1090" t="e">
            <v>#N/A</v>
          </cell>
        </row>
        <row r="1091">
          <cell r="V1091" t="e">
            <v>#N/A</v>
          </cell>
          <cell r="W1091" t="e">
            <v>#N/A</v>
          </cell>
          <cell r="AA1091" t="e">
            <v>#N/A</v>
          </cell>
          <cell r="AB1091" t="e">
            <v>#N/A</v>
          </cell>
          <cell r="AC1091" t="e">
            <v>#N/A</v>
          </cell>
          <cell r="AF1091" t="e">
            <v>#N/A</v>
          </cell>
        </row>
        <row r="1092">
          <cell r="V1092" t="e">
            <v>#N/A</v>
          </cell>
          <cell r="W1092" t="e">
            <v>#N/A</v>
          </cell>
          <cell r="AA1092" t="e">
            <v>#N/A</v>
          </cell>
          <cell r="AB1092" t="e">
            <v>#N/A</v>
          </cell>
          <cell r="AC1092" t="e">
            <v>#N/A</v>
          </cell>
          <cell r="AF1092" t="e">
            <v>#N/A</v>
          </cell>
        </row>
        <row r="1093">
          <cell r="V1093" t="e">
            <v>#N/A</v>
          </cell>
          <cell r="W1093" t="e">
            <v>#N/A</v>
          </cell>
          <cell r="AA1093" t="e">
            <v>#N/A</v>
          </cell>
          <cell r="AB1093" t="e">
            <v>#N/A</v>
          </cell>
          <cell r="AC1093" t="e">
            <v>#N/A</v>
          </cell>
          <cell r="AF1093" t="e">
            <v>#N/A</v>
          </cell>
        </row>
        <row r="1094">
          <cell r="V1094" t="e">
            <v>#N/A</v>
          </cell>
          <cell r="W1094" t="e">
            <v>#N/A</v>
          </cell>
          <cell r="AA1094" t="e">
            <v>#N/A</v>
          </cell>
          <cell r="AB1094" t="e">
            <v>#N/A</v>
          </cell>
          <cell r="AC1094" t="e">
            <v>#N/A</v>
          </cell>
          <cell r="AF1094" t="e">
            <v>#N/A</v>
          </cell>
        </row>
        <row r="1095">
          <cell r="V1095" t="e">
            <v>#N/A</v>
          </cell>
          <cell r="W1095" t="e">
            <v>#N/A</v>
          </cell>
          <cell r="AA1095" t="e">
            <v>#N/A</v>
          </cell>
          <cell r="AB1095" t="e">
            <v>#N/A</v>
          </cell>
          <cell r="AC1095" t="e">
            <v>#N/A</v>
          </cell>
          <cell r="AF1095" t="e">
            <v>#N/A</v>
          </cell>
        </row>
        <row r="1096">
          <cell r="V1096" t="e">
            <v>#N/A</v>
          </cell>
          <cell r="W1096" t="e">
            <v>#N/A</v>
          </cell>
          <cell r="AA1096" t="e">
            <v>#N/A</v>
          </cell>
          <cell r="AB1096" t="e">
            <v>#N/A</v>
          </cell>
          <cell r="AC1096" t="e">
            <v>#N/A</v>
          </cell>
          <cell r="AF1096" t="e">
            <v>#N/A</v>
          </cell>
        </row>
        <row r="1097">
          <cell r="V1097" t="e">
            <v>#N/A</v>
          </cell>
          <cell r="W1097" t="e">
            <v>#N/A</v>
          </cell>
          <cell r="AA1097" t="e">
            <v>#N/A</v>
          </cell>
          <cell r="AB1097" t="e">
            <v>#N/A</v>
          </cell>
          <cell r="AC1097" t="e">
            <v>#N/A</v>
          </cell>
          <cell r="AF1097" t="e">
            <v>#N/A</v>
          </cell>
        </row>
        <row r="1098">
          <cell r="V1098" t="e">
            <v>#N/A</v>
          </cell>
          <cell r="W1098" t="e">
            <v>#N/A</v>
          </cell>
          <cell r="AA1098" t="e">
            <v>#N/A</v>
          </cell>
          <cell r="AB1098" t="e">
            <v>#N/A</v>
          </cell>
          <cell r="AC1098" t="e">
            <v>#N/A</v>
          </cell>
          <cell r="AF1098" t="e">
            <v>#N/A</v>
          </cell>
        </row>
        <row r="1099">
          <cell r="V1099" t="e">
            <v>#N/A</v>
          </cell>
          <cell r="W1099" t="e">
            <v>#N/A</v>
          </cell>
          <cell r="AA1099" t="e">
            <v>#N/A</v>
          </cell>
          <cell r="AB1099" t="e">
            <v>#N/A</v>
          </cell>
          <cell r="AC1099" t="e">
            <v>#N/A</v>
          </cell>
          <cell r="AF1099" t="e">
            <v>#N/A</v>
          </cell>
        </row>
        <row r="1100">
          <cell r="V1100" t="e">
            <v>#N/A</v>
          </cell>
          <cell r="W1100" t="e">
            <v>#N/A</v>
          </cell>
          <cell r="AA1100" t="e">
            <v>#N/A</v>
          </cell>
          <cell r="AB1100" t="e">
            <v>#N/A</v>
          </cell>
          <cell r="AC1100" t="e">
            <v>#N/A</v>
          </cell>
          <cell r="AF1100" t="e">
            <v>#N/A</v>
          </cell>
        </row>
        <row r="1101">
          <cell r="V1101" t="e">
            <v>#N/A</v>
          </cell>
          <cell r="W1101" t="e">
            <v>#N/A</v>
          </cell>
          <cell r="AA1101" t="e">
            <v>#N/A</v>
          </cell>
          <cell r="AB1101" t="e">
            <v>#N/A</v>
          </cell>
          <cell r="AC1101" t="e">
            <v>#N/A</v>
          </cell>
          <cell r="AF1101" t="e">
            <v>#N/A</v>
          </cell>
        </row>
        <row r="1102">
          <cell r="V1102" t="e">
            <v>#N/A</v>
          </cell>
          <cell r="W1102" t="e">
            <v>#N/A</v>
          </cell>
          <cell r="AA1102" t="e">
            <v>#N/A</v>
          </cell>
          <cell r="AB1102" t="e">
            <v>#N/A</v>
          </cell>
          <cell r="AC1102" t="e">
            <v>#N/A</v>
          </cell>
          <cell r="AF1102" t="e">
            <v>#N/A</v>
          </cell>
        </row>
        <row r="1103">
          <cell r="V1103" t="e">
            <v>#N/A</v>
          </cell>
          <cell r="W1103" t="e">
            <v>#N/A</v>
          </cell>
          <cell r="AA1103" t="e">
            <v>#N/A</v>
          </cell>
          <cell r="AB1103" t="e">
            <v>#N/A</v>
          </cell>
          <cell r="AC1103" t="e">
            <v>#N/A</v>
          </cell>
          <cell r="AF1103" t="e">
            <v>#N/A</v>
          </cell>
        </row>
        <row r="1104">
          <cell r="V1104" t="e">
            <v>#N/A</v>
          </cell>
          <cell r="W1104" t="e">
            <v>#N/A</v>
          </cell>
          <cell r="AA1104" t="e">
            <v>#N/A</v>
          </cell>
          <cell r="AB1104" t="e">
            <v>#N/A</v>
          </cell>
          <cell r="AC1104" t="e">
            <v>#N/A</v>
          </cell>
          <cell r="AF1104" t="e">
            <v>#N/A</v>
          </cell>
        </row>
        <row r="1105">
          <cell r="V1105" t="e">
            <v>#N/A</v>
          </cell>
          <cell r="W1105" t="e">
            <v>#N/A</v>
          </cell>
          <cell r="AA1105" t="e">
            <v>#N/A</v>
          </cell>
          <cell r="AB1105" t="e">
            <v>#N/A</v>
          </cell>
          <cell r="AC1105" t="e">
            <v>#N/A</v>
          </cell>
          <cell r="AF1105" t="e">
            <v>#N/A</v>
          </cell>
        </row>
        <row r="1106">
          <cell r="V1106" t="e">
            <v>#N/A</v>
          </cell>
          <cell r="W1106" t="e">
            <v>#N/A</v>
          </cell>
          <cell r="AA1106" t="e">
            <v>#N/A</v>
          </cell>
          <cell r="AB1106" t="e">
            <v>#N/A</v>
          </cell>
          <cell r="AC1106" t="e">
            <v>#N/A</v>
          </cell>
          <cell r="AF1106" t="e">
            <v>#N/A</v>
          </cell>
        </row>
        <row r="1107">
          <cell r="V1107" t="e">
            <v>#N/A</v>
          </cell>
          <cell r="W1107" t="e">
            <v>#N/A</v>
          </cell>
          <cell r="AA1107" t="e">
            <v>#N/A</v>
          </cell>
          <cell r="AB1107" t="e">
            <v>#N/A</v>
          </cell>
          <cell r="AC1107" t="e">
            <v>#N/A</v>
          </cell>
          <cell r="AF1107" t="e">
            <v>#N/A</v>
          </cell>
        </row>
        <row r="1108">
          <cell r="V1108" t="e">
            <v>#N/A</v>
          </cell>
          <cell r="W1108" t="e">
            <v>#N/A</v>
          </cell>
          <cell r="AA1108" t="e">
            <v>#N/A</v>
          </cell>
          <cell r="AB1108" t="e">
            <v>#N/A</v>
          </cell>
          <cell r="AC1108" t="e">
            <v>#N/A</v>
          </cell>
          <cell r="AF1108" t="e">
            <v>#N/A</v>
          </cell>
        </row>
        <row r="1109">
          <cell r="V1109" t="e">
            <v>#N/A</v>
          </cell>
          <cell r="W1109" t="e">
            <v>#N/A</v>
          </cell>
          <cell r="AA1109" t="e">
            <v>#N/A</v>
          </cell>
          <cell r="AB1109" t="e">
            <v>#N/A</v>
          </cell>
          <cell r="AC1109" t="e">
            <v>#N/A</v>
          </cell>
          <cell r="AF1109" t="e">
            <v>#N/A</v>
          </cell>
        </row>
        <row r="1110">
          <cell r="V1110" t="e">
            <v>#N/A</v>
          </cell>
          <cell r="W1110" t="e">
            <v>#N/A</v>
          </cell>
          <cell r="AA1110" t="e">
            <v>#N/A</v>
          </cell>
          <cell r="AB1110" t="e">
            <v>#N/A</v>
          </cell>
          <cell r="AC1110" t="e">
            <v>#N/A</v>
          </cell>
          <cell r="AF1110" t="e">
            <v>#N/A</v>
          </cell>
        </row>
        <row r="1111">
          <cell r="V1111" t="e">
            <v>#N/A</v>
          </cell>
          <cell r="W1111" t="e">
            <v>#N/A</v>
          </cell>
          <cell r="AA1111" t="e">
            <v>#N/A</v>
          </cell>
          <cell r="AB1111" t="e">
            <v>#N/A</v>
          </cell>
          <cell r="AC1111" t="e">
            <v>#N/A</v>
          </cell>
          <cell r="AF1111" t="e">
            <v>#N/A</v>
          </cell>
        </row>
        <row r="1112">
          <cell r="V1112" t="e">
            <v>#N/A</v>
          </cell>
          <cell r="W1112" t="e">
            <v>#N/A</v>
          </cell>
          <cell r="AA1112" t="e">
            <v>#N/A</v>
          </cell>
          <cell r="AB1112" t="e">
            <v>#N/A</v>
          </cell>
          <cell r="AC1112" t="e">
            <v>#N/A</v>
          </cell>
          <cell r="AF1112" t="e">
            <v>#N/A</v>
          </cell>
        </row>
        <row r="1113">
          <cell r="V1113" t="e">
            <v>#N/A</v>
          </cell>
          <cell r="W1113" t="e">
            <v>#N/A</v>
          </cell>
          <cell r="AA1113" t="e">
            <v>#N/A</v>
          </cell>
          <cell r="AB1113" t="e">
            <v>#N/A</v>
          </cell>
          <cell r="AC1113" t="e">
            <v>#N/A</v>
          </cell>
          <cell r="AF1113" t="e">
            <v>#N/A</v>
          </cell>
        </row>
        <row r="1114">
          <cell r="V1114" t="e">
            <v>#N/A</v>
          </cell>
          <cell r="W1114" t="e">
            <v>#N/A</v>
          </cell>
          <cell r="AA1114" t="e">
            <v>#N/A</v>
          </cell>
          <cell r="AB1114" t="e">
            <v>#N/A</v>
          </cell>
          <cell r="AC1114" t="e">
            <v>#N/A</v>
          </cell>
          <cell r="AF1114" t="e">
            <v>#N/A</v>
          </cell>
        </row>
        <row r="1115">
          <cell r="V1115" t="e">
            <v>#N/A</v>
          </cell>
          <cell r="W1115" t="e">
            <v>#N/A</v>
          </cell>
          <cell r="AA1115" t="e">
            <v>#N/A</v>
          </cell>
          <cell r="AB1115" t="e">
            <v>#N/A</v>
          </cell>
          <cell r="AC1115" t="e">
            <v>#N/A</v>
          </cell>
          <cell r="AF1115" t="e">
            <v>#N/A</v>
          </cell>
        </row>
        <row r="1116">
          <cell r="V1116" t="e">
            <v>#N/A</v>
          </cell>
          <cell r="W1116" t="e">
            <v>#N/A</v>
          </cell>
          <cell r="AA1116" t="e">
            <v>#N/A</v>
          </cell>
          <cell r="AB1116" t="e">
            <v>#N/A</v>
          </cell>
          <cell r="AC1116" t="e">
            <v>#N/A</v>
          </cell>
          <cell r="AF1116" t="e">
            <v>#N/A</v>
          </cell>
        </row>
        <row r="1117">
          <cell r="V1117" t="e">
            <v>#N/A</v>
          </cell>
          <cell r="W1117" t="e">
            <v>#N/A</v>
          </cell>
          <cell r="AA1117" t="e">
            <v>#N/A</v>
          </cell>
          <cell r="AB1117" t="e">
            <v>#N/A</v>
          </cell>
          <cell r="AC1117" t="e">
            <v>#N/A</v>
          </cell>
          <cell r="AF1117" t="e">
            <v>#N/A</v>
          </cell>
        </row>
        <row r="1118">
          <cell r="V1118" t="e">
            <v>#N/A</v>
          </cell>
          <cell r="W1118" t="e">
            <v>#N/A</v>
          </cell>
          <cell r="AA1118" t="e">
            <v>#N/A</v>
          </cell>
          <cell r="AB1118" t="e">
            <v>#N/A</v>
          </cell>
          <cell r="AC1118" t="e">
            <v>#N/A</v>
          </cell>
          <cell r="AF1118" t="e">
            <v>#N/A</v>
          </cell>
        </row>
        <row r="1119">
          <cell r="V1119" t="e">
            <v>#N/A</v>
          </cell>
          <cell r="W1119" t="e">
            <v>#N/A</v>
          </cell>
          <cell r="AA1119" t="e">
            <v>#N/A</v>
          </cell>
          <cell r="AB1119" t="e">
            <v>#N/A</v>
          </cell>
          <cell r="AC1119" t="e">
            <v>#N/A</v>
          </cell>
          <cell r="AF1119" t="e">
            <v>#N/A</v>
          </cell>
        </row>
        <row r="1120">
          <cell r="V1120" t="e">
            <v>#N/A</v>
          </cell>
          <cell r="W1120" t="e">
            <v>#N/A</v>
          </cell>
          <cell r="AA1120" t="e">
            <v>#N/A</v>
          </cell>
          <cell r="AB1120" t="e">
            <v>#N/A</v>
          </cell>
          <cell r="AC1120" t="e">
            <v>#N/A</v>
          </cell>
          <cell r="AF1120" t="e">
            <v>#N/A</v>
          </cell>
        </row>
        <row r="1121">
          <cell r="V1121" t="e">
            <v>#N/A</v>
          </cell>
          <cell r="W1121" t="e">
            <v>#N/A</v>
          </cell>
          <cell r="AA1121" t="e">
            <v>#N/A</v>
          </cell>
          <cell r="AB1121" t="e">
            <v>#N/A</v>
          </cell>
          <cell r="AC1121" t="e">
            <v>#N/A</v>
          </cell>
          <cell r="AF1121" t="e">
            <v>#N/A</v>
          </cell>
        </row>
        <row r="1122">
          <cell r="V1122" t="e">
            <v>#N/A</v>
          </cell>
          <cell r="W1122" t="e">
            <v>#N/A</v>
          </cell>
          <cell r="AA1122" t="e">
            <v>#N/A</v>
          </cell>
          <cell r="AB1122" t="e">
            <v>#N/A</v>
          </cell>
          <cell r="AC1122" t="e">
            <v>#N/A</v>
          </cell>
          <cell r="AF1122" t="e">
            <v>#N/A</v>
          </cell>
        </row>
        <row r="1123">
          <cell r="V1123" t="e">
            <v>#N/A</v>
          </cell>
          <cell r="W1123" t="e">
            <v>#N/A</v>
          </cell>
          <cell r="AA1123" t="e">
            <v>#N/A</v>
          </cell>
          <cell r="AB1123" t="e">
            <v>#N/A</v>
          </cell>
          <cell r="AC1123" t="e">
            <v>#N/A</v>
          </cell>
          <cell r="AF1123" t="e">
            <v>#N/A</v>
          </cell>
        </row>
        <row r="1124">
          <cell r="V1124" t="e">
            <v>#N/A</v>
          </cell>
          <cell r="W1124" t="e">
            <v>#N/A</v>
          </cell>
          <cell r="AA1124" t="e">
            <v>#N/A</v>
          </cell>
          <cell r="AB1124" t="e">
            <v>#N/A</v>
          </cell>
          <cell r="AC1124" t="e">
            <v>#N/A</v>
          </cell>
          <cell r="AF1124" t="e">
            <v>#N/A</v>
          </cell>
        </row>
        <row r="1125">
          <cell r="V1125" t="e">
            <v>#N/A</v>
          </cell>
          <cell r="W1125" t="e">
            <v>#N/A</v>
          </cell>
          <cell r="AA1125" t="e">
            <v>#N/A</v>
          </cell>
          <cell r="AB1125" t="e">
            <v>#N/A</v>
          </cell>
          <cell r="AC1125" t="e">
            <v>#N/A</v>
          </cell>
          <cell r="AF1125" t="e">
            <v>#N/A</v>
          </cell>
        </row>
        <row r="1126">
          <cell r="V1126" t="e">
            <v>#N/A</v>
          </cell>
          <cell r="W1126" t="e">
            <v>#N/A</v>
          </cell>
          <cell r="AA1126" t="e">
            <v>#N/A</v>
          </cell>
          <cell r="AB1126" t="e">
            <v>#N/A</v>
          </cell>
          <cell r="AC1126" t="e">
            <v>#N/A</v>
          </cell>
          <cell r="AF1126" t="e">
            <v>#N/A</v>
          </cell>
        </row>
        <row r="1127">
          <cell r="V1127" t="e">
            <v>#N/A</v>
          </cell>
          <cell r="W1127" t="e">
            <v>#N/A</v>
          </cell>
          <cell r="AA1127" t="e">
            <v>#N/A</v>
          </cell>
          <cell r="AB1127" t="e">
            <v>#N/A</v>
          </cell>
          <cell r="AC1127" t="e">
            <v>#N/A</v>
          </cell>
          <cell r="AF1127" t="e">
            <v>#N/A</v>
          </cell>
        </row>
        <row r="1128">
          <cell r="V1128" t="e">
            <v>#N/A</v>
          </cell>
          <cell r="W1128" t="e">
            <v>#N/A</v>
          </cell>
          <cell r="AA1128" t="e">
            <v>#N/A</v>
          </cell>
          <cell r="AB1128" t="e">
            <v>#N/A</v>
          </cell>
          <cell r="AC1128" t="e">
            <v>#N/A</v>
          </cell>
          <cell r="AF1128" t="e">
            <v>#N/A</v>
          </cell>
        </row>
        <row r="1129">
          <cell r="V1129" t="e">
            <v>#N/A</v>
          </cell>
          <cell r="W1129" t="e">
            <v>#N/A</v>
          </cell>
          <cell r="AA1129" t="e">
            <v>#N/A</v>
          </cell>
          <cell r="AB1129" t="e">
            <v>#N/A</v>
          </cell>
          <cell r="AC1129" t="e">
            <v>#N/A</v>
          </cell>
          <cell r="AF1129" t="e">
            <v>#N/A</v>
          </cell>
        </row>
        <row r="1130">
          <cell r="V1130" t="e">
            <v>#N/A</v>
          </cell>
          <cell r="W1130" t="e">
            <v>#N/A</v>
          </cell>
          <cell r="AA1130" t="e">
            <v>#N/A</v>
          </cell>
          <cell r="AB1130" t="e">
            <v>#N/A</v>
          </cell>
          <cell r="AC1130" t="e">
            <v>#N/A</v>
          </cell>
          <cell r="AF1130" t="e">
            <v>#N/A</v>
          </cell>
        </row>
        <row r="1131">
          <cell r="V1131" t="e">
            <v>#N/A</v>
          </cell>
          <cell r="W1131" t="e">
            <v>#N/A</v>
          </cell>
          <cell r="AA1131" t="e">
            <v>#N/A</v>
          </cell>
          <cell r="AB1131" t="e">
            <v>#N/A</v>
          </cell>
          <cell r="AC1131" t="e">
            <v>#N/A</v>
          </cell>
          <cell r="AF1131" t="e">
            <v>#N/A</v>
          </cell>
        </row>
        <row r="1132">
          <cell r="V1132" t="e">
            <v>#N/A</v>
          </cell>
          <cell r="W1132" t="e">
            <v>#N/A</v>
          </cell>
          <cell r="AA1132" t="e">
            <v>#N/A</v>
          </cell>
          <cell r="AB1132" t="e">
            <v>#N/A</v>
          </cell>
          <cell r="AC1132" t="e">
            <v>#N/A</v>
          </cell>
          <cell r="AF1132" t="e">
            <v>#N/A</v>
          </cell>
        </row>
        <row r="1133">
          <cell r="V1133" t="e">
            <v>#N/A</v>
          </cell>
          <cell r="W1133" t="e">
            <v>#N/A</v>
          </cell>
          <cell r="AA1133" t="e">
            <v>#N/A</v>
          </cell>
          <cell r="AB1133" t="e">
            <v>#N/A</v>
          </cell>
          <cell r="AC1133" t="e">
            <v>#N/A</v>
          </cell>
          <cell r="AF1133" t="e">
            <v>#N/A</v>
          </cell>
        </row>
        <row r="1134">
          <cell r="V1134" t="e">
            <v>#N/A</v>
          </cell>
          <cell r="W1134" t="e">
            <v>#N/A</v>
          </cell>
          <cell r="AA1134" t="e">
            <v>#N/A</v>
          </cell>
          <cell r="AB1134" t="e">
            <v>#N/A</v>
          </cell>
          <cell r="AC1134" t="e">
            <v>#N/A</v>
          </cell>
          <cell r="AF1134" t="e">
            <v>#N/A</v>
          </cell>
        </row>
        <row r="1135">
          <cell r="V1135" t="e">
            <v>#N/A</v>
          </cell>
          <cell r="W1135" t="e">
            <v>#N/A</v>
          </cell>
          <cell r="AA1135" t="e">
            <v>#N/A</v>
          </cell>
          <cell r="AB1135" t="e">
            <v>#N/A</v>
          </cell>
          <cell r="AC1135" t="e">
            <v>#N/A</v>
          </cell>
          <cell r="AF1135" t="e">
            <v>#N/A</v>
          </cell>
        </row>
        <row r="1136">
          <cell r="V1136" t="e">
            <v>#N/A</v>
          </cell>
          <cell r="W1136" t="e">
            <v>#N/A</v>
          </cell>
          <cell r="AA1136" t="e">
            <v>#N/A</v>
          </cell>
          <cell r="AB1136" t="e">
            <v>#N/A</v>
          </cell>
          <cell r="AC1136" t="e">
            <v>#N/A</v>
          </cell>
          <cell r="AF1136" t="e">
            <v>#N/A</v>
          </cell>
        </row>
        <row r="1137">
          <cell r="V1137" t="e">
            <v>#N/A</v>
          </cell>
          <cell r="W1137" t="e">
            <v>#N/A</v>
          </cell>
          <cell r="AA1137" t="e">
            <v>#N/A</v>
          </cell>
          <cell r="AB1137" t="e">
            <v>#N/A</v>
          </cell>
          <cell r="AC1137" t="e">
            <v>#N/A</v>
          </cell>
          <cell r="AF1137" t="e">
            <v>#N/A</v>
          </cell>
        </row>
        <row r="1138">
          <cell r="V1138" t="e">
            <v>#N/A</v>
          </cell>
          <cell r="W1138" t="e">
            <v>#N/A</v>
          </cell>
          <cell r="AA1138" t="e">
            <v>#N/A</v>
          </cell>
          <cell r="AB1138" t="e">
            <v>#N/A</v>
          </cell>
          <cell r="AC1138" t="e">
            <v>#N/A</v>
          </cell>
          <cell r="AF1138" t="e">
            <v>#N/A</v>
          </cell>
        </row>
        <row r="1139">
          <cell r="V1139" t="e">
            <v>#N/A</v>
          </cell>
          <cell r="W1139" t="e">
            <v>#N/A</v>
          </cell>
          <cell r="AA1139" t="e">
            <v>#N/A</v>
          </cell>
          <cell r="AB1139" t="e">
            <v>#N/A</v>
          </cell>
          <cell r="AC1139" t="e">
            <v>#N/A</v>
          </cell>
          <cell r="AF1139" t="e">
            <v>#N/A</v>
          </cell>
        </row>
        <row r="1140">
          <cell r="V1140" t="e">
            <v>#N/A</v>
          </cell>
          <cell r="W1140" t="e">
            <v>#N/A</v>
          </cell>
          <cell r="AA1140" t="e">
            <v>#N/A</v>
          </cell>
          <cell r="AB1140" t="e">
            <v>#N/A</v>
          </cell>
          <cell r="AC1140" t="e">
            <v>#N/A</v>
          </cell>
          <cell r="AF1140" t="e">
            <v>#N/A</v>
          </cell>
        </row>
        <row r="1141">
          <cell r="V1141" t="e">
            <v>#N/A</v>
          </cell>
          <cell r="W1141" t="e">
            <v>#N/A</v>
          </cell>
          <cell r="AA1141" t="e">
            <v>#N/A</v>
          </cell>
          <cell r="AB1141" t="e">
            <v>#N/A</v>
          </cell>
          <cell r="AC1141" t="e">
            <v>#N/A</v>
          </cell>
          <cell r="AF1141" t="e">
            <v>#N/A</v>
          </cell>
        </row>
        <row r="1142">
          <cell r="V1142" t="e">
            <v>#N/A</v>
          </cell>
          <cell r="W1142" t="e">
            <v>#N/A</v>
          </cell>
          <cell r="AA1142" t="e">
            <v>#N/A</v>
          </cell>
          <cell r="AB1142" t="e">
            <v>#N/A</v>
          </cell>
          <cell r="AC1142" t="e">
            <v>#N/A</v>
          </cell>
          <cell r="AF1142" t="e">
            <v>#N/A</v>
          </cell>
        </row>
        <row r="1143">
          <cell r="V1143" t="e">
            <v>#N/A</v>
          </cell>
          <cell r="W1143" t="e">
            <v>#N/A</v>
          </cell>
          <cell r="AA1143" t="e">
            <v>#N/A</v>
          </cell>
          <cell r="AB1143" t="e">
            <v>#N/A</v>
          </cell>
          <cell r="AC1143" t="e">
            <v>#N/A</v>
          </cell>
          <cell r="AF1143" t="e">
            <v>#N/A</v>
          </cell>
        </row>
        <row r="1144">
          <cell r="V1144" t="e">
            <v>#N/A</v>
          </cell>
          <cell r="W1144" t="e">
            <v>#N/A</v>
          </cell>
          <cell r="AA1144" t="e">
            <v>#N/A</v>
          </cell>
          <cell r="AB1144" t="e">
            <v>#N/A</v>
          </cell>
          <cell r="AC1144" t="e">
            <v>#N/A</v>
          </cell>
          <cell r="AF1144" t="e">
            <v>#N/A</v>
          </cell>
        </row>
        <row r="1145">
          <cell r="V1145" t="e">
            <v>#N/A</v>
          </cell>
          <cell r="W1145" t="e">
            <v>#N/A</v>
          </cell>
          <cell r="AA1145" t="e">
            <v>#N/A</v>
          </cell>
          <cell r="AB1145" t="e">
            <v>#N/A</v>
          </cell>
          <cell r="AC1145" t="e">
            <v>#N/A</v>
          </cell>
          <cell r="AF1145" t="e">
            <v>#N/A</v>
          </cell>
        </row>
        <row r="1146">
          <cell r="V1146" t="e">
            <v>#N/A</v>
          </cell>
          <cell r="W1146" t="e">
            <v>#N/A</v>
          </cell>
          <cell r="AA1146" t="e">
            <v>#N/A</v>
          </cell>
          <cell r="AB1146" t="e">
            <v>#N/A</v>
          </cell>
          <cell r="AC1146" t="e">
            <v>#N/A</v>
          </cell>
          <cell r="AF1146" t="e">
            <v>#N/A</v>
          </cell>
        </row>
        <row r="1147">
          <cell r="V1147" t="e">
            <v>#N/A</v>
          </cell>
          <cell r="W1147" t="e">
            <v>#N/A</v>
          </cell>
          <cell r="AA1147" t="e">
            <v>#N/A</v>
          </cell>
          <cell r="AB1147" t="e">
            <v>#N/A</v>
          </cell>
          <cell r="AC1147" t="e">
            <v>#N/A</v>
          </cell>
          <cell r="AF1147" t="e">
            <v>#N/A</v>
          </cell>
        </row>
        <row r="1148">
          <cell r="V1148" t="e">
            <v>#N/A</v>
          </cell>
          <cell r="W1148" t="e">
            <v>#N/A</v>
          </cell>
          <cell r="AA1148" t="e">
            <v>#N/A</v>
          </cell>
          <cell r="AB1148" t="e">
            <v>#N/A</v>
          </cell>
          <cell r="AC1148" t="e">
            <v>#N/A</v>
          </cell>
          <cell r="AF1148" t="e">
            <v>#N/A</v>
          </cell>
        </row>
        <row r="1149">
          <cell r="V1149" t="e">
            <v>#N/A</v>
          </cell>
          <cell r="W1149" t="e">
            <v>#N/A</v>
          </cell>
          <cell r="AA1149" t="e">
            <v>#N/A</v>
          </cell>
          <cell r="AB1149" t="e">
            <v>#N/A</v>
          </cell>
          <cell r="AC1149" t="e">
            <v>#N/A</v>
          </cell>
          <cell r="AF1149" t="e">
            <v>#N/A</v>
          </cell>
        </row>
        <row r="1150">
          <cell r="V1150" t="e">
            <v>#N/A</v>
          </cell>
          <cell r="W1150" t="e">
            <v>#N/A</v>
          </cell>
          <cell r="AA1150" t="e">
            <v>#N/A</v>
          </cell>
          <cell r="AB1150" t="e">
            <v>#N/A</v>
          </cell>
          <cell r="AC1150" t="e">
            <v>#N/A</v>
          </cell>
          <cell r="AF1150" t="e">
            <v>#N/A</v>
          </cell>
        </row>
        <row r="1151">
          <cell r="V1151" t="e">
            <v>#N/A</v>
          </cell>
          <cell r="W1151" t="e">
            <v>#N/A</v>
          </cell>
          <cell r="AA1151" t="e">
            <v>#N/A</v>
          </cell>
          <cell r="AB1151" t="e">
            <v>#N/A</v>
          </cell>
          <cell r="AC1151" t="e">
            <v>#N/A</v>
          </cell>
          <cell r="AF1151" t="e">
            <v>#N/A</v>
          </cell>
        </row>
        <row r="1152">
          <cell r="V1152" t="e">
            <v>#N/A</v>
          </cell>
          <cell r="W1152" t="e">
            <v>#N/A</v>
          </cell>
          <cell r="AA1152" t="e">
            <v>#N/A</v>
          </cell>
          <cell r="AB1152" t="e">
            <v>#N/A</v>
          </cell>
          <cell r="AC1152" t="e">
            <v>#N/A</v>
          </cell>
          <cell r="AF1152" t="e">
            <v>#N/A</v>
          </cell>
        </row>
        <row r="1153">
          <cell r="V1153" t="e">
            <v>#N/A</v>
          </cell>
          <cell r="W1153" t="e">
            <v>#N/A</v>
          </cell>
          <cell r="AA1153" t="e">
            <v>#N/A</v>
          </cell>
          <cell r="AB1153" t="e">
            <v>#N/A</v>
          </cell>
          <cell r="AC1153" t="e">
            <v>#N/A</v>
          </cell>
          <cell r="AF1153" t="e">
            <v>#N/A</v>
          </cell>
        </row>
        <row r="1154">
          <cell r="V1154" t="e">
            <v>#N/A</v>
          </cell>
          <cell r="W1154" t="e">
            <v>#N/A</v>
          </cell>
          <cell r="AA1154" t="e">
            <v>#N/A</v>
          </cell>
          <cell r="AB1154" t="e">
            <v>#N/A</v>
          </cell>
          <cell r="AC1154" t="e">
            <v>#N/A</v>
          </cell>
          <cell r="AF1154" t="e">
            <v>#N/A</v>
          </cell>
        </row>
        <row r="1155">
          <cell r="V1155" t="e">
            <v>#N/A</v>
          </cell>
          <cell r="W1155" t="e">
            <v>#N/A</v>
          </cell>
          <cell r="AA1155" t="e">
            <v>#N/A</v>
          </cell>
          <cell r="AB1155" t="e">
            <v>#N/A</v>
          </cell>
          <cell r="AC1155" t="e">
            <v>#N/A</v>
          </cell>
          <cell r="AF1155" t="e">
            <v>#N/A</v>
          </cell>
        </row>
        <row r="1156">
          <cell r="V1156" t="e">
            <v>#N/A</v>
          </cell>
          <cell r="W1156" t="e">
            <v>#N/A</v>
          </cell>
          <cell r="AA1156" t="e">
            <v>#N/A</v>
          </cell>
          <cell r="AB1156" t="e">
            <v>#N/A</v>
          </cell>
          <cell r="AC1156" t="e">
            <v>#N/A</v>
          </cell>
          <cell r="AF1156" t="e">
            <v>#N/A</v>
          </cell>
        </row>
        <row r="1157">
          <cell r="V1157" t="e">
            <v>#N/A</v>
          </cell>
          <cell r="W1157" t="e">
            <v>#N/A</v>
          </cell>
          <cell r="AA1157" t="e">
            <v>#N/A</v>
          </cell>
          <cell r="AB1157" t="e">
            <v>#N/A</v>
          </cell>
          <cell r="AC1157" t="e">
            <v>#N/A</v>
          </cell>
          <cell r="AF1157" t="e">
            <v>#N/A</v>
          </cell>
        </row>
        <row r="1158">
          <cell r="V1158" t="e">
            <v>#N/A</v>
          </cell>
          <cell r="W1158" t="e">
            <v>#N/A</v>
          </cell>
          <cell r="AA1158" t="e">
            <v>#N/A</v>
          </cell>
          <cell r="AB1158" t="e">
            <v>#N/A</v>
          </cell>
          <cell r="AC1158" t="e">
            <v>#N/A</v>
          </cell>
          <cell r="AF1158" t="e">
            <v>#N/A</v>
          </cell>
        </row>
        <row r="1159">
          <cell r="V1159" t="e">
            <v>#N/A</v>
          </cell>
          <cell r="W1159" t="e">
            <v>#N/A</v>
          </cell>
          <cell r="AA1159" t="e">
            <v>#N/A</v>
          </cell>
          <cell r="AB1159" t="e">
            <v>#N/A</v>
          </cell>
          <cell r="AC1159" t="e">
            <v>#N/A</v>
          </cell>
          <cell r="AF1159" t="e">
            <v>#N/A</v>
          </cell>
        </row>
        <row r="1160">
          <cell r="V1160" t="e">
            <v>#N/A</v>
          </cell>
          <cell r="W1160" t="e">
            <v>#N/A</v>
          </cell>
          <cell r="AA1160" t="e">
            <v>#N/A</v>
          </cell>
          <cell r="AB1160" t="e">
            <v>#N/A</v>
          </cell>
          <cell r="AC1160" t="e">
            <v>#N/A</v>
          </cell>
          <cell r="AF1160" t="e">
            <v>#N/A</v>
          </cell>
        </row>
        <row r="1161">
          <cell r="V1161" t="e">
            <v>#N/A</v>
          </cell>
          <cell r="W1161" t="e">
            <v>#N/A</v>
          </cell>
          <cell r="AA1161" t="e">
            <v>#N/A</v>
          </cell>
          <cell r="AB1161" t="e">
            <v>#N/A</v>
          </cell>
          <cell r="AC1161" t="e">
            <v>#N/A</v>
          </cell>
          <cell r="AF1161" t="e">
            <v>#N/A</v>
          </cell>
        </row>
        <row r="1162">
          <cell r="V1162" t="e">
            <v>#N/A</v>
          </cell>
          <cell r="W1162" t="e">
            <v>#N/A</v>
          </cell>
          <cell r="AA1162" t="e">
            <v>#N/A</v>
          </cell>
          <cell r="AB1162" t="e">
            <v>#N/A</v>
          </cell>
          <cell r="AC1162" t="e">
            <v>#N/A</v>
          </cell>
          <cell r="AF1162" t="e">
            <v>#N/A</v>
          </cell>
        </row>
        <row r="1163">
          <cell r="V1163" t="e">
            <v>#N/A</v>
          </cell>
          <cell r="W1163" t="e">
            <v>#N/A</v>
          </cell>
          <cell r="AA1163" t="e">
            <v>#N/A</v>
          </cell>
          <cell r="AB1163" t="e">
            <v>#N/A</v>
          </cell>
          <cell r="AC1163" t="e">
            <v>#N/A</v>
          </cell>
          <cell r="AF1163" t="e">
            <v>#N/A</v>
          </cell>
        </row>
        <row r="1164">
          <cell r="V1164" t="e">
            <v>#N/A</v>
          </cell>
          <cell r="W1164" t="e">
            <v>#N/A</v>
          </cell>
          <cell r="AA1164" t="e">
            <v>#N/A</v>
          </cell>
          <cell r="AB1164" t="e">
            <v>#N/A</v>
          </cell>
          <cell r="AC1164" t="e">
            <v>#N/A</v>
          </cell>
          <cell r="AF1164" t="e">
            <v>#N/A</v>
          </cell>
        </row>
        <row r="1165">
          <cell r="V1165" t="e">
            <v>#N/A</v>
          </cell>
          <cell r="W1165" t="e">
            <v>#N/A</v>
          </cell>
          <cell r="AA1165" t="e">
            <v>#N/A</v>
          </cell>
          <cell r="AB1165" t="e">
            <v>#N/A</v>
          </cell>
          <cell r="AC1165" t="e">
            <v>#N/A</v>
          </cell>
          <cell r="AF1165" t="e">
            <v>#N/A</v>
          </cell>
        </row>
        <row r="1166">
          <cell r="V1166" t="e">
            <v>#N/A</v>
          </cell>
          <cell r="W1166" t="e">
            <v>#N/A</v>
          </cell>
          <cell r="AA1166" t="e">
            <v>#N/A</v>
          </cell>
          <cell r="AB1166" t="e">
            <v>#N/A</v>
          </cell>
          <cell r="AC1166" t="e">
            <v>#N/A</v>
          </cell>
          <cell r="AF1166" t="e">
            <v>#N/A</v>
          </cell>
        </row>
        <row r="1167">
          <cell r="V1167" t="e">
            <v>#N/A</v>
          </cell>
          <cell r="W1167" t="e">
            <v>#N/A</v>
          </cell>
          <cell r="AA1167" t="e">
            <v>#N/A</v>
          </cell>
          <cell r="AB1167" t="e">
            <v>#N/A</v>
          </cell>
          <cell r="AC1167" t="e">
            <v>#N/A</v>
          </cell>
          <cell r="AF1167" t="e">
            <v>#N/A</v>
          </cell>
        </row>
        <row r="1168">
          <cell r="V1168" t="e">
            <v>#N/A</v>
          </cell>
          <cell r="W1168" t="e">
            <v>#N/A</v>
          </cell>
          <cell r="AA1168" t="e">
            <v>#N/A</v>
          </cell>
          <cell r="AB1168" t="e">
            <v>#N/A</v>
          </cell>
          <cell r="AC1168" t="e">
            <v>#N/A</v>
          </cell>
          <cell r="AF1168" t="e">
            <v>#N/A</v>
          </cell>
        </row>
        <row r="1169">
          <cell r="V1169" t="e">
            <v>#N/A</v>
          </cell>
          <cell r="W1169" t="e">
            <v>#N/A</v>
          </cell>
          <cell r="AA1169" t="e">
            <v>#N/A</v>
          </cell>
          <cell r="AB1169" t="e">
            <v>#N/A</v>
          </cell>
          <cell r="AC1169" t="e">
            <v>#N/A</v>
          </cell>
          <cell r="AF1169" t="e">
            <v>#N/A</v>
          </cell>
        </row>
        <row r="1170">
          <cell r="V1170" t="e">
            <v>#N/A</v>
          </cell>
          <cell r="W1170" t="e">
            <v>#N/A</v>
          </cell>
          <cell r="AA1170" t="e">
            <v>#N/A</v>
          </cell>
          <cell r="AB1170" t="e">
            <v>#N/A</v>
          </cell>
          <cell r="AC1170" t="e">
            <v>#N/A</v>
          </cell>
          <cell r="AF1170" t="e">
            <v>#N/A</v>
          </cell>
        </row>
        <row r="1171">
          <cell r="V1171" t="e">
            <v>#N/A</v>
          </cell>
          <cell r="W1171" t="e">
            <v>#N/A</v>
          </cell>
          <cell r="AA1171" t="e">
            <v>#N/A</v>
          </cell>
          <cell r="AB1171" t="e">
            <v>#N/A</v>
          </cell>
          <cell r="AC1171" t="e">
            <v>#N/A</v>
          </cell>
          <cell r="AF1171" t="e">
            <v>#N/A</v>
          </cell>
        </row>
        <row r="1172">
          <cell r="V1172" t="e">
            <v>#N/A</v>
          </cell>
          <cell r="W1172" t="e">
            <v>#N/A</v>
          </cell>
          <cell r="AA1172" t="e">
            <v>#N/A</v>
          </cell>
          <cell r="AB1172" t="e">
            <v>#N/A</v>
          </cell>
          <cell r="AC1172" t="e">
            <v>#N/A</v>
          </cell>
          <cell r="AF1172" t="e">
            <v>#N/A</v>
          </cell>
        </row>
        <row r="1173">
          <cell r="V1173" t="e">
            <v>#N/A</v>
          </cell>
          <cell r="W1173" t="e">
            <v>#N/A</v>
          </cell>
          <cell r="AA1173" t="e">
            <v>#N/A</v>
          </cell>
          <cell r="AB1173" t="e">
            <v>#N/A</v>
          </cell>
          <cell r="AC1173" t="e">
            <v>#N/A</v>
          </cell>
          <cell r="AF1173" t="e">
            <v>#N/A</v>
          </cell>
        </row>
        <row r="1174">
          <cell r="V1174" t="e">
            <v>#N/A</v>
          </cell>
          <cell r="W1174" t="e">
            <v>#N/A</v>
          </cell>
          <cell r="AA1174" t="e">
            <v>#N/A</v>
          </cell>
          <cell r="AB1174" t="e">
            <v>#N/A</v>
          </cell>
          <cell r="AC1174" t="e">
            <v>#N/A</v>
          </cell>
          <cell r="AF1174" t="e">
            <v>#N/A</v>
          </cell>
        </row>
        <row r="1175">
          <cell r="V1175" t="e">
            <v>#N/A</v>
          </cell>
          <cell r="W1175" t="e">
            <v>#N/A</v>
          </cell>
          <cell r="AA1175" t="e">
            <v>#N/A</v>
          </cell>
          <cell r="AB1175" t="e">
            <v>#N/A</v>
          </cell>
          <cell r="AC1175" t="e">
            <v>#N/A</v>
          </cell>
          <cell r="AF1175" t="e">
            <v>#N/A</v>
          </cell>
        </row>
        <row r="1176">
          <cell r="V1176" t="e">
            <v>#N/A</v>
          </cell>
          <cell r="W1176" t="e">
            <v>#N/A</v>
          </cell>
          <cell r="AA1176" t="e">
            <v>#N/A</v>
          </cell>
          <cell r="AB1176" t="e">
            <v>#N/A</v>
          </cell>
          <cell r="AC1176" t="e">
            <v>#N/A</v>
          </cell>
          <cell r="AF1176" t="e">
            <v>#N/A</v>
          </cell>
        </row>
        <row r="1177">
          <cell r="V1177" t="e">
            <v>#N/A</v>
          </cell>
          <cell r="W1177" t="e">
            <v>#N/A</v>
          </cell>
          <cell r="AA1177" t="e">
            <v>#N/A</v>
          </cell>
          <cell r="AB1177" t="e">
            <v>#N/A</v>
          </cell>
          <cell r="AC1177" t="e">
            <v>#N/A</v>
          </cell>
          <cell r="AF1177" t="e">
            <v>#N/A</v>
          </cell>
        </row>
        <row r="1178">
          <cell r="V1178" t="e">
            <v>#N/A</v>
          </cell>
          <cell r="W1178" t="e">
            <v>#N/A</v>
          </cell>
          <cell r="AA1178" t="e">
            <v>#N/A</v>
          </cell>
          <cell r="AB1178" t="e">
            <v>#N/A</v>
          </cell>
          <cell r="AC1178" t="e">
            <v>#N/A</v>
          </cell>
          <cell r="AF1178" t="e">
            <v>#N/A</v>
          </cell>
        </row>
        <row r="1179">
          <cell r="V1179" t="e">
            <v>#N/A</v>
          </cell>
          <cell r="W1179" t="e">
            <v>#N/A</v>
          </cell>
          <cell r="AA1179" t="e">
            <v>#N/A</v>
          </cell>
          <cell r="AB1179" t="e">
            <v>#N/A</v>
          </cell>
          <cell r="AC1179" t="e">
            <v>#N/A</v>
          </cell>
          <cell r="AF1179" t="e">
            <v>#N/A</v>
          </cell>
        </row>
        <row r="1180">
          <cell r="V1180" t="e">
            <v>#N/A</v>
          </cell>
          <cell r="W1180" t="e">
            <v>#N/A</v>
          </cell>
          <cell r="AA1180" t="e">
            <v>#N/A</v>
          </cell>
          <cell r="AB1180" t="e">
            <v>#N/A</v>
          </cell>
          <cell r="AC1180" t="e">
            <v>#N/A</v>
          </cell>
          <cell r="AF1180" t="e">
            <v>#N/A</v>
          </cell>
        </row>
        <row r="1181">
          <cell r="V1181" t="e">
            <v>#N/A</v>
          </cell>
          <cell r="W1181" t="e">
            <v>#N/A</v>
          </cell>
          <cell r="AA1181" t="e">
            <v>#N/A</v>
          </cell>
          <cell r="AB1181" t="e">
            <v>#N/A</v>
          </cell>
          <cell r="AC1181" t="e">
            <v>#N/A</v>
          </cell>
          <cell r="AF1181" t="e">
            <v>#N/A</v>
          </cell>
        </row>
        <row r="1182">
          <cell r="V1182" t="e">
            <v>#N/A</v>
          </cell>
          <cell r="W1182" t="e">
            <v>#N/A</v>
          </cell>
          <cell r="AA1182" t="e">
            <v>#N/A</v>
          </cell>
          <cell r="AB1182" t="e">
            <v>#N/A</v>
          </cell>
          <cell r="AC1182" t="e">
            <v>#N/A</v>
          </cell>
          <cell r="AF1182" t="e">
            <v>#N/A</v>
          </cell>
        </row>
        <row r="1183">
          <cell r="V1183" t="e">
            <v>#N/A</v>
          </cell>
          <cell r="W1183" t="e">
            <v>#N/A</v>
          </cell>
          <cell r="AA1183" t="e">
            <v>#N/A</v>
          </cell>
          <cell r="AB1183" t="e">
            <v>#N/A</v>
          </cell>
          <cell r="AC1183" t="e">
            <v>#N/A</v>
          </cell>
          <cell r="AF1183" t="e">
            <v>#N/A</v>
          </cell>
        </row>
        <row r="1184">
          <cell r="V1184" t="e">
            <v>#N/A</v>
          </cell>
          <cell r="W1184" t="e">
            <v>#N/A</v>
          </cell>
          <cell r="AA1184" t="e">
            <v>#N/A</v>
          </cell>
          <cell r="AB1184" t="e">
            <v>#N/A</v>
          </cell>
          <cell r="AC1184" t="e">
            <v>#N/A</v>
          </cell>
          <cell r="AF1184" t="e">
            <v>#N/A</v>
          </cell>
        </row>
        <row r="1185">
          <cell r="V1185" t="e">
            <v>#N/A</v>
          </cell>
          <cell r="W1185" t="e">
            <v>#N/A</v>
          </cell>
          <cell r="AA1185" t="e">
            <v>#N/A</v>
          </cell>
          <cell r="AB1185" t="e">
            <v>#N/A</v>
          </cell>
          <cell r="AC1185" t="e">
            <v>#N/A</v>
          </cell>
          <cell r="AF1185" t="e">
            <v>#N/A</v>
          </cell>
        </row>
        <row r="1186">
          <cell r="V1186" t="e">
            <v>#N/A</v>
          </cell>
          <cell r="W1186" t="e">
            <v>#N/A</v>
          </cell>
          <cell r="AA1186" t="e">
            <v>#N/A</v>
          </cell>
          <cell r="AB1186" t="e">
            <v>#N/A</v>
          </cell>
          <cell r="AC1186" t="e">
            <v>#N/A</v>
          </cell>
          <cell r="AF1186" t="e">
            <v>#N/A</v>
          </cell>
        </row>
        <row r="1187">
          <cell r="V1187" t="e">
            <v>#N/A</v>
          </cell>
          <cell r="W1187" t="e">
            <v>#N/A</v>
          </cell>
          <cell r="AA1187" t="e">
            <v>#N/A</v>
          </cell>
          <cell r="AB1187" t="e">
            <v>#N/A</v>
          </cell>
          <cell r="AC1187" t="e">
            <v>#N/A</v>
          </cell>
          <cell r="AF1187" t="e">
            <v>#N/A</v>
          </cell>
        </row>
        <row r="1188">
          <cell r="V1188" t="e">
            <v>#N/A</v>
          </cell>
          <cell r="W1188" t="e">
            <v>#N/A</v>
          </cell>
          <cell r="AA1188" t="e">
            <v>#N/A</v>
          </cell>
          <cell r="AB1188" t="e">
            <v>#N/A</v>
          </cell>
          <cell r="AC1188" t="e">
            <v>#N/A</v>
          </cell>
          <cell r="AF1188" t="e">
            <v>#N/A</v>
          </cell>
        </row>
        <row r="1189">
          <cell r="V1189" t="e">
            <v>#N/A</v>
          </cell>
          <cell r="W1189" t="e">
            <v>#N/A</v>
          </cell>
          <cell r="AA1189" t="e">
            <v>#N/A</v>
          </cell>
          <cell r="AB1189" t="e">
            <v>#N/A</v>
          </cell>
          <cell r="AC1189" t="e">
            <v>#N/A</v>
          </cell>
          <cell r="AF1189" t="e">
            <v>#N/A</v>
          </cell>
        </row>
        <row r="1190">
          <cell r="V1190" t="e">
            <v>#N/A</v>
          </cell>
          <cell r="W1190" t="e">
            <v>#N/A</v>
          </cell>
          <cell r="AA1190" t="e">
            <v>#N/A</v>
          </cell>
          <cell r="AB1190" t="e">
            <v>#N/A</v>
          </cell>
          <cell r="AC1190" t="e">
            <v>#N/A</v>
          </cell>
          <cell r="AF1190" t="e">
            <v>#N/A</v>
          </cell>
        </row>
        <row r="1191">
          <cell r="V1191" t="e">
            <v>#N/A</v>
          </cell>
          <cell r="W1191" t="e">
            <v>#N/A</v>
          </cell>
          <cell r="AA1191" t="e">
            <v>#N/A</v>
          </cell>
          <cell r="AB1191" t="e">
            <v>#N/A</v>
          </cell>
          <cell r="AC1191" t="e">
            <v>#N/A</v>
          </cell>
          <cell r="AF1191" t="e">
            <v>#N/A</v>
          </cell>
        </row>
        <row r="1192">
          <cell r="V1192" t="e">
            <v>#N/A</v>
          </cell>
          <cell r="W1192" t="e">
            <v>#N/A</v>
          </cell>
          <cell r="AA1192" t="e">
            <v>#N/A</v>
          </cell>
          <cell r="AB1192" t="e">
            <v>#N/A</v>
          </cell>
          <cell r="AC1192" t="e">
            <v>#N/A</v>
          </cell>
          <cell r="AF1192" t="e">
            <v>#N/A</v>
          </cell>
        </row>
        <row r="1193">
          <cell r="V1193" t="e">
            <v>#N/A</v>
          </cell>
          <cell r="W1193" t="e">
            <v>#N/A</v>
          </cell>
          <cell r="AA1193" t="e">
            <v>#N/A</v>
          </cell>
          <cell r="AB1193" t="e">
            <v>#N/A</v>
          </cell>
          <cell r="AC1193" t="e">
            <v>#N/A</v>
          </cell>
          <cell r="AF1193" t="e">
            <v>#N/A</v>
          </cell>
        </row>
        <row r="1194">
          <cell r="V1194" t="e">
            <v>#N/A</v>
          </cell>
          <cell r="W1194" t="e">
            <v>#N/A</v>
          </cell>
          <cell r="AA1194" t="e">
            <v>#N/A</v>
          </cell>
          <cell r="AB1194" t="e">
            <v>#N/A</v>
          </cell>
          <cell r="AC1194" t="e">
            <v>#N/A</v>
          </cell>
          <cell r="AF1194" t="e">
            <v>#N/A</v>
          </cell>
        </row>
        <row r="1195">
          <cell r="V1195" t="e">
            <v>#N/A</v>
          </cell>
          <cell r="W1195" t="e">
            <v>#N/A</v>
          </cell>
          <cell r="AA1195" t="e">
            <v>#N/A</v>
          </cell>
          <cell r="AB1195" t="e">
            <v>#N/A</v>
          </cell>
          <cell r="AC1195" t="e">
            <v>#N/A</v>
          </cell>
          <cell r="AF1195" t="e">
            <v>#N/A</v>
          </cell>
        </row>
        <row r="1196">
          <cell r="V1196" t="e">
            <v>#N/A</v>
          </cell>
          <cell r="W1196" t="e">
            <v>#N/A</v>
          </cell>
          <cell r="AA1196" t="e">
            <v>#N/A</v>
          </cell>
          <cell r="AB1196" t="e">
            <v>#N/A</v>
          </cell>
          <cell r="AC1196" t="e">
            <v>#N/A</v>
          </cell>
          <cell r="AF1196" t="e">
            <v>#N/A</v>
          </cell>
        </row>
        <row r="1197">
          <cell r="V1197" t="e">
            <v>#N/A</v>
          </cell>
          <cell r="W1197" t="e">
            <v>#N/A</v>
          </cell>
          <cell r="AA1197" t="e">
            <v>#N/A</v>
          </cell>
          <cell r="AB1197" t="e">
            <v>#N/A</v>
          </cell>
          <cell r="AC1197" t="e">
            <v>#N/A</v>
          </cell>
          <cell r="AF1197" t="e">
            <v>#N/A</v>
          </cell>
        </row>
        <row r="1198">
          <cell r="V1198" t="e">
            <v>#N/A</v>
          </cell>
          <cell r="W1198" t="e">
            <v>#N/A</v>
          </cell>
          <cell r="AA1198" t="e">
            <v>#N/A</v>
          </cell>
          <cell r="AB1198" t="e">
            <v>#N/A</v>
          </cell>
          <cell r="AC1198" t="e">
            <v>#N/A</v>
          </cell>
          <cell r="AF1198" t="e">
            <v>#N/A</v>
          </cell>
        </row>
        <row r="1199">
          <cell r="V1199" t="e">
            <v>#N/A</v>
          </cell>
          <cell r="W1199" t="e">
            <v>#N/A</v>
          </cell>
          <cell r="AA1199" t="e">
            <v>#N/A</v>
          </cell>
          <cell r="AB1199" t="e">
            <v>#N/A</v>
          </cell>
          <cell r="AC1199" t="e">
            <v>#N/A</v>
          </cell>
          <cell r="AF1199" t="e">
            <v>#N/A</v>
          </cell>
        </row>
        <row r="1200">
          <cell r="V1200" t="e">
            <v>#N/A</v>
          </cell>
          <cell r="W1200" t="e">
            <v>#N/A</v>
          </cell>
          <cell r="AA1200" t="e">
            <v>#N/A</v>
          </cell>
          <cell r="AB1200" t="e">
            <v>#N/A</v>
          </cell>
          <cell r="AC1200" t="e">
            <v>#N/A</v>
          </cell>
          <cell r="AF1200" t="e">
            <v>#N/A</v>
          </cell>
        </row>
        <row r="1201">
          <cell r="V1201" t="e">
            <v>#N/A</v>
          </cell>
          <cell r="W1201" t="e">
            <v>#N/A</v>
          </cell>
          <cell r="AA1201" t="e">
            <v>#N/A</v>
          </cell>
          <cell r="AB1201" t="e">
            <v>#N/A</v>
          </cell>
          <cell r="AC1201" t="e">
            <v>#N/A</v>
          </cell>
          <cell r="AF1201" t="e">
            <v>#N/A</v>
          </cell>
        </row>
        <row r="1202">
          <cell r="V1202" t="e">
            <v>#N/A</v>
          </cell>
          <cell r="W1202" t="e">
            <v>#N/A</v>
          </cell>
          <cell r="AA1202" t="e">
            <v>#N/A</v>
          </cell>
          <cell r="AB1202" t="e">
            <v>#N/A</v>
          </cell>
          <cell r="AC1202" t="e">
            <v>#N/A</v>
          </cell>
          <cell r="AF1202" t="e">
            <v>#N/A</v>
          </cell>
        </row>
        <row r="1203">
          <cell r="V1203" t="e">
            <v>#N/A</v>
          </cell>
          <cell r="W1203" t="e">
            <v>#N/A</v>
          </cell>
          <cell r="AA1203" t="e">
            <v>#N/A</v>
          </cell>
          <cell r="AB1203" t="e">
            <v>#N/A</v>
          </cell>
          <cell r="AC1203" t="e">
            <v>#N/A</v>
          </cell>
          <cell r="AF1203" t="e">
            <v>#N/A</v>
          </cell>
        </row>
        <row r="1204">
          <cell r="V1204" t="e">
            <v>#N/A</v>
          </cell>
          <cell r="W1204" t="e">
            <v>#N/A</v>
          </cell>
          <cell r="AA1204" t="e">
            <v>#N/A</v>
          </cell>
          <cell r="AB1204" t="e">
            <v>#N/A</v>
          </cell>
          <cell r="AC1204" t="e">
            <v>#N/A</v>
          </cell>
          <cell r="AF1204" t="e">
            <v>#N/A</v>
          </cell>
        </row>
        <row r="1205">
          <cell r="V1205" t="e">
            <v>#N/A</v>
          </cell>
          <cell r="W1205" t="e">
            <v>#N/A</v>
          </cell>
          <cell r="AA1205" t="e">
            <v>#N/A</v>
          </cell>
          <cell r="AB1205" t="e">
            <v>#N/A</v>
          </cell>
          <cell r="AC1205" t="e">
            <v>#N/A</v>
          </cell>
          <cell r="AF1205" t="e">
            <v>#N/A</v>
          </cell>
        </row>
        <row r="1206">
          <cell r="V1206" t="e">
            <v>#N/A</v>
          </cell>
          <cell r="W1206" t="e">
            <v>#N/A</v>
          </cell>
          <cell r="AA1206" t="e">
            <v>#N/A</v>
          </cell>
          <cell r="AB1206" t="e">
            <v>#N/A</v>
          </cell>
          <cell r="AC1206" t="e">
            <v>#N/A</v>
          </cell>
          <cell r="AF1206" t="e">
            <v>#N/A</v>
          </cell>
        </row>
        <row r="1207">
          <cell r="V1207" t="e">
            <v>#N/A</v>
          </cell>
          <cell r="W1207" t="e">
            <v>#N/A</v>
          </cell>
          <cell r="AA1207" t="e">
            <v>#N/A</v>
          </cell>
          <cell r="AB1207" t="e">
            <v>#N/A</v>
          </cell>
          <cell r="AC1207" t="e">
            <v>#N/A</v>
          </cell>
          <cell r="AF1207" t="e">
            <v>#N/A</v>
          </cell>
        </row>
        <row r="1208">
          <cell r="V1208" t="e">
            <v>#N/A</v>
          </cell>
          <cell r="W1208" t="e">
            <v>#N/A</v>
          </cell>
          <cell r="AA1208" t="e">
            <v>#N/A</v>
          </cell>
          <cell r="AB1208" t="e">
            <v>#N/A</v>
          </cell>
          <cell r="AC1208" t="e">
            <v>#N/A</v>
          </cell>
          <cell r="AF1208" t="e">
            <v>#N/A</v>
          </cell>
        </row>
        <row r="1209">
          <cell r="V1209" t="e">
            <v>#N/A</v>
          </cell>
          <cell r="W1209" t="e">
            <v>#N/A</v>
          </cell>
          <cell r="AA1209" t="e">
            <v>#N/A</v>
          </cell>
          <cell r="AB1209" t="e">
            <v>#N/A</v>
          </cell>
          <cell r="AC1209" t="e">
            <v>#N/A</v>
          </cell>
          <cell r="AF1209" t="e">
            <v>#N/A</v>
          </cell>
        </row>
        <row r="1210">
          <cell r="V1210" t="e">
            <v>#N/A</v>
          </cell>
          <cell r="W1210" t="e">
            <v>#N/A</v>
          </cell>
          <cell r="AA1210" t="e">
            <v>#N/A</v>
          </cell>
          <cell r="AB1210" t="e">
            <v>#N/A</v>
          </cell>
          <cell r="AC1210" t="e">
            <v>#N/A</v>
          </cell>
          <cell r="AF1210" t="e">
            <v>#N/A</v>
          </cell>
        </row>
        <row r="1211">
          <cell r="V1211" t="e">
            <v>#N/A</v>
          </cell>
          <cell r="W1211" t="e">
            <v>#N/A</v>
          </cell>
          <cell r="AA1211" t="e">
            <v>#N/A</v>
          </cell>
          <cell r="AB1211" t="e">
            <v>#N/A</v>
          </cell>
          <cell r="AC1211" t="e">
            <v>#N/A</v>
          </cell>
          <cell r="AF1211" t="e">
            <v>#N/A</v>
          </cell>
        </row>
        <row r="1212">
          <cell r="V1212" t="e">
            <v>#N/A</v>
          </cell>
          <cell r="W1212" t="e">
            <v>#N/A</v>
          </cell>
          <cell r="AA1212" t="e">
            <v>#N/A</v>
          </cell>
          <cell r="AB1212" t="e">
            <v>#N/A</v>
          </cell>
          <cell r="AC1212" t="e">
            <v>#N/A</v>
          </cell>
          <cell r="AF1212" t="e">
            <v>#N/A</v>
          </cell>
        </row>
        <row r="1213">
          <cell r="V1213" t="e">
            <v>#N/A</v>
          </cell>
          <cell r="W1213" t="e">
            <v>#N/A</v>
          </cell>
          <cell r="AA1213" t="e">
            <v>#N/A</v>
          </cell>
          <cell r="AB1213" t="e">
            <v>#N/A</v>
          </cell>
          <cell r="AC1213" t="e">
            <v>#N/A</v>
          </cell>
          <cell r="AF1213" t="e">
            <v>#N/A</v>
          </cell>
        </row>
        <row r="1214">
          <cell r="V1214" t="e">
            <v>#N/A</v>
          </cell>
          <cell r="W1214" t="e">
            <v>#N/A</v>
          </cell>
          <cell r="AA1214" t="e">
            <v>#N/A</v>
          </cell>
          <cell r="AB1214" t="e">
            <v>#N/A</v>
          </cell>
          <cell r="AC1214" t="e">
            <v>#N/A</v>
          </cell>
          <cell r="AF1214" t="e">
            <v>#N/A</v>
          </cell>
        </row>
        <row r="1215">
          <cell r="V1215" t="e">
            <v>#N/A</v>
          </cell>
          <cell r="W1215" t="e">
            <v>#N/A</v>
          </cell>
          <cell r="AA1215" t="e">
            <v>#N/A</v>
          </cell>
          <cell r="AB1215" t="e">
            <v>#N/A</v>
          </cell>
          <cell r="AC1215" t="e">
            <v>#N/A</v>
          </cell>
          <cell r="AF1215" t="e">
            <v>#N/A</v>
          </cell>
        </row>
        <row r="1216">
          <cell r="V1216" t="e">
            <v>#N/A</v>
          </cell>
          <cell r="W1216" t="e">
            <v>#N/A</v>
          </cell>
          <cell r="AA1216" t="e">
            <v>#N/A</v>
          </cell>
          <cell r="AB1216" t="e">
            <v>#N/A</v>
          </cell>
          <cell r="AC1216" t="e">
            <v>#N/A</v>
          </cell>
          <cell r="AF1216" t="e">
            <v>#N/A</v>
          </cell>
        </row>
        <row r="1217">
          <cell r="V1217" t="e">
            <v>#N/A</v>
          </cell>
          <cell r="W1217" t="e">
            <v>#N/A</v>
          </cell>
          <cell r="AA1217" t="e">
            <v>#N/A</v>
          </cell>
          <cell r="AB1217" t="e">
            <v>#N/A</v>
          </cell>
          <cell r="AC1217" t="e">
            <v>#N/A</v>
          </cell>
          <cell r="AF1217" t="e">
            <v>#N/A</v>
          </cell>
        </row>
        <row r="1218">
          <cell r="V1218" t="e">
            <v>#N/A</v>
          </cell>
          <cell r="W1218" t="e">
            <v>#N/A</v>
          </cell>
          <cell r="AA1218" t="e">
            <v>#N/A</v>
          </cell>
          <cell r="AB1218" t="e">
            <v>#N/A</v>
          </cell>
          <cell r="AC1218" t="e">
            <v>#N/A</v>
          </cell>
          <cell r="AF1218" t="e">
            <v>#N/A</v>
          </cell>
        </row>
        <row r="1219">
          <cell r="V1219" t="e">
            <v>#N/A</v>
          </cell>
          <cell r="W1219" t="e">
            <v>#N/A</v>
          </cell>
          <cell r="AA1219" t="e">
            <v>#N/A</v>
          </cell>
          <cell r="AB1219" t="e">
            <v>#N/A</v>
          </cell>
          <cell r="AC1219" t="e">
            <v>#N/A</v>
          </cell>
          <cell r="AF1219" t="e">
            <v>#N/A</v>
          </cell>
        </row>
        <row r="1220">
          <cell r="V1220" t="e">
            <v>#N/A</v>
          </cell>
          <cell r="W1220" t="e">
            <v>#N/A</v>
          </cell>
          <cell r="AA1220" t="e">
            <v>#N/A</v>
          </cell>
          <cell r="AB1220" t="e">
            <v>#N/A</v>
          </cell>
          <cell r="AC1220" t="e">
            <v>#N/A</v>
          </cell>
          <cell r="AF1220" t="e">
            <v>#N/A</v>
          </cell>
        </row>
        <row r="1221">
          <cell r="V1221" t="e">
            <v>#N/A</v>
          </cell>
          <cell r="W1221" t="e">
            <v>#N/A</v>
          </cell>
          <cell r="AA1221" t="e">
            <v>#N/A</v>
          </cell>
          <cell r="AB1221" t="e">
            <v>#N/A</v>
          </cell>
          <cell r="AC1221" t="e">
            <v>#N/A</v>
          </cell>
          <cell r="AF1221" t="e">
            <v>#N/A</v>
          </cell>
        </row>
        <row r="1222">
          <cell r="V1222" t="e">
            <v>#N/A</v>
          </cell>
          <cell r="W1222" t="e">
            <v>#N/A</v>
          </cell>
          <cell r="AA1222" t="e">
            <v>#N/A</v>
          </cell>
          <cell r="AB1222" t="e">
            <v>#N/A</v>
          </cell>
          <cell r="AC1222" t="e">
            <v>#N/A</v>
          </cell>
          <cell r="AF1222" t="e">
            <v>#N/A</v>
          </cell>
        </row>
        <row r="1223">
          <cell r="V1223" t="e">
            <v>#N/A</v>
          </cell>
          <cell r="W1223" t="e">
            <v>#N/A</v>
          </cell>
          <cell r="AA1223" t="e">
            <v>#N/A</v>
          </cell>
          <cell r="AB1223" t="e">
            <v>#N/A</v>
          </cell>
          <cell r="AC1223" t="e">
            <v>#N/A</v>
          </cell>
          <cell r="AF1223" t="e">
            <v>#N/A</v>
          </cell>
        </row>
        <row r="1224">
          <cell r="V1224" t="e">
            <v>#N/A</v>
          </cell>
          <cell r="W1224" t="e">
            <v>#N/A</v>
          </cell>
          <cell r="AA1224" t="e">
            <v>#N/A</v>
          </cell>
          <cell r="AB1224" t="e">
            <v>#N/A</v>
          </cell>
          <cell r="AC1224" t="e">
            <v>#N/A</v>
          </cell>
          <cell r="AF1224" t="e">
            <v>#N/A</v>
          </cell>
        </row>
        <row r="1225">
          <cell r="V1225" t="e">
            <v>#N/A</v>
          </cell>
          <cell r="W1225" t="e">
            <v>#N/A</v>
          </cell>
          <cell r="AA1225" t="e">
            <v>#N/A</v>
          </cell>
          <cell r="AB1225" t="e">
            <v>#N/A</v>
          </cell>
          <cell r="AC1225" t="e">
            <v>#N/A</v>
          </cell>
          <cell r="AF1225" t="e">
            <v>#N/A</v>
          </cell>
        </row>
        <row r="1226">
          <cell r="V1226" t="e">
            <v>#N/A</v>
          </cell>
          <cell r="W1226" t="e">
            <v>#N/A</v>
          </cell>
          <cell r="AA1226" t="e">
            <v>#N/A</v>
          </cell>
          <cell r="AB1226" t="e">
            <v>#N/A</v>
          </cell>
          <cell r="AC1226" t="e">
            <v>#N/A</v>
          </cell>
          <cell r="AF1226" t="e">
            <v>#N/A</v>
          </cell>
        </row>
        <row r="1227">
          <cell r="V1227" t="e">
            <v>#N/A</v>
          </cell>
          <cell r="W1227" t="e">
            <v>#N/A</v>
          </cell>
          <cell r="AA1227" t="e">
            <v>#N/A</v>
          </cell>
          <cell r="AB1227" t="e">
            <v>#N/A</v>
          </cell>
          <cell r="AC1227" t="e">
            <v>#N/A</v>
          </cell>
          <cell r="AF1227" t="e">
            <v>#N/A</v>
          </cell>
        </row>
        <row r="1228">
          <cell r="V1228" t="e">
            <v>#N/A</v>
          </cell>
          <cell r="W1228" t="e">
            <v>#N/A</v>
          </cell>
          <cell r="AA1228" t="e">
            <v>#N/A</v>
          </cell>
          <cell r="AB1228" t="e">
            <v>#N/A</v>
          </cell>
          <cell r="AC1228" t="e">
            <v>#N/A</v>
          </cell>
          <cell r="AF1228" t="e">
            <v>#N/A</v>
          </cell>
        </row>
        <row r="1229">
          <cell r="V1229" t="e">
            <v>#N/A</v>
          </cell>
          <cell r="W1229" t="e">
            <v>#N/A</v>
          </cell>
          <cell r="AA1229" t="e">
            <v>#N/A</v>
          </cell>
          <cell r="AB1229" t="e">
            <v>#N/A</v>
          </cell>
          <cell r="AC1229" t="e">
            <v>#N/A</v>
          </cell>
          <cell r="AF1229" t="e">
            <v>#N/A</v>
          </cell>
        </row>
        <row r="1230">
          <cell r="V1230" t="e">
            <v>#N/A</v>
          </cell>
          <cell r="W1230" t="e">
            <v>#N/A</v>
          </cell>
          <cell r="AA1230" t="e">
            <v>#N/A</v>
          </cell>
          <cell r="AB1230" t="e">
            <v>#N/A</v>
          </cell>
          <cell r="AC1230" t="e">
            <v>#N/A</v>
          </cell>
          <cell r="AF1230" t="e">
            <v>#N/A</v>
          </cell>
        </row>
        <row r="1231">
          <cell r="V1231" t="e">
            <v>#N/A</v>
          </cell>
          <cell r="W1231" t="e">
            <v>#N/A</v>
          </cell>
          <cell r="AA1231" t="e">
            <v>#N/A</v>
          </cell>
          <cell r="AB1231" t="e">
            <v>#N/A</v>
          </cell>
          <cell r="AC1231" t="e">
            <v>#N/A</v>
          </cell>
          <cell r="AF1231" t="e">
            <v>#N/A</v>
          </cell>
        </row>
        <row r="1232">
          <cell r="V1232" t="e">
            <v>#N/A</v>
          </cell>
          <cell r="W1232" t="e">
            <v>#N/A</v>
          </cell>
          <cell r="AA1232" t="e">
            <v>#N/A</v>
          </cell>
          <cell r="AB1232" t="e">
            <v>#N/A</v>
          </cell>
          <cell r="AC1232" t="e">
            <v>#N/A</v>
          </cell>
          <cell r="AF1232" t="e">
            <v>#N/A</v>
          </cell>
        </row>
        <row r="1233">
          <cell r="V1233" t="e">
            <v>#N/A</v>
          </cell>
          <cell r="W1233" t="e">
            <v>#N/A</v>
          </cell>
          <cell r="AA1233" t="e">
            <v>#N/A</v>
          </cell>
          <cell r="AB1233" t="e">
            <v>#N/A</v>
          </cell>
          <cell r="AC1233" t="e">
            <v>#N/A</v>
          </cell>
          <cell r="AF1233" t="e">
            <v>#N/A</v>
          </cell>
        </row>
        <row r="1234">
          <cell r="V1234" t="e">
            <v>#N/A</v>
          </cell>
          <cell r="W1234" t="e">
            <v>#N/A</v>
          </cell>
          <cell r="AA1234" t="e">
            <v>#N/A</v>
          </cell>
          <cell r="AB1234" t="e">
            <v>#N/A</v>
          </cell>
          <cell r="AC1234" t="e">
            <v>#N/A</v>
          </cell>
          <cell r="AF1234" t="e">
            <v>#N/A</v>
          </cell>
        </row>
        <row r="1235">
          <cell r="V1235" t="e">
            <v>#N/A</v>
          </cell>
          <cell r="W1235" t="e">
            <v>#N/A</v>
          </cell>
          <cell r="AA1235" t="e">
            <v>#N/A</v>
          </cell>
          <cell r="AB1235" t="e">
            <v>#N/A</v>
          </cell>
          <cell r="AC1235" t="e">
            <v>#N/A</v>
          </cell>
          <cell r="AF1235" t="e">
            <v>#N/A</v>
          </cell>
        </row>
        <row r="1236">
          <cell r="V1236" t="e">
            <v>#N/A</v>
          </cell>
          <cell r="W1236" t="e">
            <v>#N/A</v>
          </cell>
          <cell r="AA1236" t="e">
            <v>#N/A</v>
          </cell>
          <cell r="AB1236" t="e">
            <v>#N/A</v>
          </cell>
          <cell r="AC1236" t="e">
            <v>#N/A</v>
          </cell>
          <cell r="AF1236" t="e">
            <v>#N/A</v>
          </cell>
        </row>
        <row r="1237">
          <cell r="V1237" t="e">
            <v>#N/A</v>
          </cell>
          <cell r="W1237" t="e">
            <v>#N/A</v>
          </cell>
          <cell r="AA1237" t="e">
            <v>#N/A</v>
          </cell>
          <cell r="AB1237" t="e">
            <v>#N/A</v>
          </cell>
          <cell r="AC1237" t="e">
            <v>#N/A</v>
          </cell>
          <cell r="AF1237" t="e">
            <v>#N/A</v>
          </cell>
        </row>
        <row r="1238">
          <cell r="V1238" t="e">
            <v>#N/A</v>
          </cell>
          <cell r="W1238" t="e">
            <v>#N/A</v>
          </cell>
          <cell r="AA1238" t="e">
            <v>#N/A</v>
          </cell>
          <cell r="AB1238" t="e">
            <v>#N/A</v>
          </cell>
          <cell r="AC1238" t="e">
            <v>#N/A</v>
          </cell>
          <cell r="AF1238" t="e">
            <v>#N/A</v>
          </cell>
        </row>
        <row r="1239">
          <cell r="V1239" t="e">
            <v>#N/A</v>
          </cell>
          <cell r="W1239" t="e">
            <v>#N/A</v>
          </cell>
          <cell r="AA1239" t="e">
            <v>#N/A</v>
          </cell>
          <cell r="AB1239" t="e">
            <v>#N/A</v>
          </cell>
          <cell r="AC1239" t="e">
            <v>#N/A</v>
          </cell>
          <cell r="AF1239" t="e">
            <v>#N/A</v>
          </cell>
        </row>
        <row r="1240">
          <cell r="V1240" t="e">
            <v>#N/A</v>
          </cell>
          <cell r="W1240" t="e">
            <v>#N/A</v>
          </cell>
          <cell r="AA1240" t="e">
            <v>#N/A</v>
          </cell>
          <cell r="AB1240" t="e">
            <v>#N/A</v>
          </cell>
          <cell r="AC1240" t="e">
            <v>#N/A</v>
          </cell>
          <cell r="AF1240" t="e">
            <v>#N/A</v>
          </cell>
        </row>
        <row r="1241">
          <cell r="V1241" t="e">
            <v>#N/A</v>
          </cell>
          <cell r="W1241" t="e">
            <v>#N/A</v>
          </cell>
          <cell r="AA1241" t="e">
            <v>#N/A</v>
          </cell>
          <cell r="AB1241" t="e">
            <v>#N/A</v>
          </cell>
          <cell r="AC1241" t="e">
            <v>#N/A</v>
          </cell>
          <cell r="AF1241" t="e">
            <v>#N/A</v>
          </cell>
        </row>
        <row r="1242">
          <cell r="V1242" t="e">
            <v>#N/A</v>
          </cell>
          <cell r="W1242" t="e">
            <v>#N/A</v>
          </cell>
          <cell r="AA1242" t="e">
            <v>#N/A</v>
          </cell>
          <cell r="AB1242" t="e">
            <v>#N/A</v>
          </cell>
          <cell r="AC1242" t="e">
            <v>#N/A</v>
          </cell>
          <cell r="AF1242" t="e">
            <v>#N/A</v>
          </cell>
        </row>
        <row r="1243">
          <cell r="V1243" t="e">
            <v>#N/A</v>
          </cell>
          <cell r="W1243" t="e">
            <v>#N/A</v>
          </cell>
          <cell r="AA1243" t="e">
            <v>#N/A</v>
          </cell>
          <cell r="AB1243" t="e">
            <v>#N/A</v>
          </cell>
          <cell r="AC1243" t="e">
            <v>#N/A</v>
          </cell>
          <cell r="AF1243" t="e">
            <v>#N/A</v>
          </cell>
        </row>
        <row r="1244">
          <cell r="V1244" t="e">
            <v>#N/A</v>
          </cell>
          <cell r="W1244" t="e">
            <v>#N/A</v>
          </cell>
          <cell r="AA1244" t="e">
            <v>#N/A</v>
          </cell>
          <cell r="AB1244" t="e">
            <v>#N/A</v>
          </cell>
          <cell r="AC1244" t="e">
            <v>#N/A</v>
          </cell>
          <cell r="AF1244" t="e">
            <v>#N/A</v>
          </cell>
        </row>
        <row r="1245">
          <cell r="V1245" t="e">
            <v>#N/A</v>
          </cell>
          <cell r="W1245" t="e">
            <v>#N/A</v>
          </cell>
          <cell r="AA1245" t="e">
            <v>#N/A</v>
          </cell>
          <cell r="AB1245" t="e">
            <v>#N/A</v>
          </cell>
          <cell r="AC1245" t="e">
            <v>#N/A</v>
          </cell>
          <cell r="AF1245" t="e">
            <v>#N/A</v>
          </cell>
        </row>
        <row r="1246">
          <cell r="V1246" t="e">
            <v>#N/A</v>
          </cell>
          <cell r="W1246" t="e">
            <v>#N/A</v>
          </cell>
          <cell r="AA1246" t="e">
            <v>#N/A</v>
          </cell>
          <cell r="AB1246" t="e">
            <v>#N/A</v>
          </cell>
          <cell r="AC1246" t="e">
            <v>#N/A</v>
          </cell>
          <cell r="AF1246" t="e">
            <v>#N/A</v>
          </cell>
        </row>
        <row r="1247">
          <cell r="V1247" t="e">
            <v>#N/A</v>
          </cell>
          <cell r="W1247" t="e">
            <v>#N/A</v>
          </cell>
          <cell r="AA1247" t="e">
            <v>#N/A</v>
          </cell>
          <cell r="AB1247" t="e">
            <v>#N/A</v>
          </cell>
          <cell r="AC1247" t="e">
            <v>#N/A</v>
          </cell>
          <cell r="AF1247" t="e">
            <v>#N/A</v>
          </cell>
        </row>
        <row r="1248">
          <cell r="V1248" t="e">
            <v>#N/A</v>
          </cell>
          <cell r="W1248" t="e">
            <v>#N/A</v>
          </cell>
          <cell r="AA1248" t="e">
            <v>#N/A</v>
          </cell>
          <cell r="AB1248" t="e">
            <v>#N/A</v>
          </cell>
          <cell r="AC1248" t="e">
            <v>#N/A</v>
          </cell>
          <cell r="AF1248" t="e">
            <v>#N/A</v>
          </cell>
        </row>
        <row r="1249">
          <cell r="V1249" t="e">
            <v>#N/A</v>
          </cell>
          <cell r="W1249" t="e">
            <v>#N/A</v>
          </cell>
          <cell r="AA1249" t="e">
            <v>#N/A</v>
          </cell>
          <cell r="AB1249" t="e">
            <v>#N/A</v>
          </cell>
          <cell r="AC1249" t="e">
            <v>#N/A</v>
          </cell>
          <cell r="AF1249" t="e">
            <v>#N/A</v>
          </cell>
        </row>
        <row r="1250">
          <cell r="V1250" t="e">
            <v>#N/A</v>
          </cell>
          <cell r="W1250" t="e">
            <v>#N/A</v>
          </cell>
          <cell r="AA1250" t="e">
            <v>#N/A</v>
          </cell>
          <cell r="AB1250" t="e">
            <v>#N/A</v>
          </cell>
          <cell r="AC1250" t="e">
            <v>#N/A</v>
          </cell>
          <cell r="AF1250" t="e">
            <v>#N/A</v>
          </cell>
        </row>
        <row r="1251">
          <cell r="V1251" t="e">
            <v>#N/A</v>
          </cell>
          <cell r="W1251" t="e">
            <v>#N/A</v>
          </cell>
          <cell r="AA1251" t="e">
            <v>#N/A</v>
          </cell>
          <cell r="AB1251" t="e">
            <v>#N/A</v>
          </cell>
          <cell r="AC1251" t="e">
            <v>#N/A</v>
          </cell>
          <cell r="AF1251" t="e">
            <v>#N/A</v>
          </cell>
        </row>
        <row r="1252">
          <cell r="V1252" t="e">
            <v>#N/A</v>
          </cell>
          <cell r="W1252" t="e">
            <v>#N/A</v>
          </cell>
          <cell r="AA1252" t="e">
            <v>#N/A</v>
          </cell>
          <cell r="AB1252" t="e">
            <v>#N/A</v>
          </cell>
          <cell r="AC1252" t="e">
            <v>#N/A</v>
          </cell>
          <cell r="AF1252" t="e">
            <v>#N/A</v>
          </cell>
        </row>
        <row r="1253">
          <cell r="V1253" t="e">
            <v>#N/A</v>
          </cell>
          <cell r="W1253" t="e">
            <v>#N/A</v>
          </cell>
          <cell r="AA1253" t="e">
            <v>#N/A</v>
          </cell>
          <cell r="AB1253" t="e">
            <v>#N/A</v>
          </cell>
          <cell r="AC1253" t="e">
            <v>#N/A</v>
          </cell>
          <cell r="AF1253" t="e">
            <v>#N/A</v>
          </cell>
        </row>
        <row r="1254">
          <cell r="V1254" t="e">
            <v>#N/A</v>
          </cell>
          <cell r="W1254" t="e">
            <v>#N/A</v>
          </cell>
          <cell r="AA1254" t="e">
            <v>#N/A</v>
          </cell>
          <cell r="AB1254" t="e">
            <v>#N/A</v>
          </cell>
          <cell r="AC1254" t="e">
            <v>#N/A</v>
          </cell>
          <cell r="AF1254" t="e">
            <v>#N/A</v>
          </cell>
        </row>
        <row r="1255">
          <cell r="V1255" t="e">
            <v>#N/A</v>
          </cell>
          <cell r="W1255" t="e">
            <v>#N/A</v>
          </cell>
          <cell r="AA1255" t="e">
            <v>#N/A</v>
          </cell>
          <cell r="AB1255" t="e">
            <v>#N/A</v>
          </cell>
          <cell r="AC1255" t="e">
            <v>#N/A</v>
          </cell>
          <cell r="AF1255" t="e">
            <v>#N/A</v>
          </cell>
        </row>
        <row r="1256">
          <cell r="V1256" t="e">
            <v>#N/A</v>
          </cell>
          <cell r="W1256" t="e">
            <v>#N/A</v>
          </cell>
          <cell r="AA1256" t="e">
            <v>#N/A</v>
          </cell>
          <cell r="AB1256" t="e">
            <v>#N/A</v>
          </cell>
          <cell r="AC1256" t="e">
            <v>#N/A</v>
          </cell>
          <cell r="AF1256" t="e">
            <v>#N/A</v>
          </cell>
        </row>
        <row r="1257">
          <cell r="V1257" t="e">
            <v>#N/A</v>
          </cell>
          <cell r="W1257" t="e">
            <v>#N/A</v>
          </cell>
          <cell r="AA1257" t="e">
            <v>#N/A</v>
          </cell>
          <cell r="AB1257" t="e">
            <v>#N/A</v>
          </cell>
          <cell r="AC1257" t="e">
            <v>#N/A</v>
          </cell>
          <cell r="AF1257" t="e">
            <v>#N/A</v>
          </cell>
        </row>
        <row r="1258">
          <cell r="V1258" t="e">
            <v>#N/A</v>
          </cell>
          <cell r="W1258" t="e">
            <v>#N/A</v>
          </cell>
          <cell r="AA1258" t="e">
            <v>#N/A</v>
          </cell>
          <cell r="AB1258" t="e">
            <v>#N/A</v>
          </cell>
          <cell r="AC1258" t="e">
            <v>#N/A</v>
          </cell>
          <cell r="AF1258" t="e">
            <v>#N/A</v>
          </cell>
        </row>
        <row r="1259">
          <cell r="V1259" t="e">
            <v>#N/A</v>
          </cell>
          <cell r="W1259" t="e">
            <v>#N/A</v>
          </cell>
          <cell r="AA1259" t="e">
            <v>#N/A</v>
          </cell>
          <cell r="AB1259" t="e">
            <v>#N/A</v>
          </cell>
          <cell r="AC1259" t="e">
            <v>#N/A</v>
          </cell>
          <cell r="AF1259" t="e">
            <v>#N/A</v>
          </cell>
        </row>
        <row r="1260">
          <cell r="V1260" t="e">
            <v>#N/A</v>
          </cell>
          <cell r="W1260" t="e">
            <v>#N/A</v>
          </cell>
          <cell r="AA1260" t="e">
            <v>#N/A</v>
          </cell>
          <cell r="AB1260" t="e">
            <v>#N/A</v>
          </cell>
          <cell r="AC1260" t="e">
            <v>#N/A</v>
          </cell>
          <cell r="AF1260" t="e">
            <v>#N/A</v>
          </cell>
        </row>
        <row r="1261">
          <cell r="V1261" t="e">
            <v>#N/A</v>
          </cell>
          <cell r="W1261" t="e">
            <v>#N/A</v>
          </cell>
          <cell r="AA1261" t="e">
            <v>#N/A</v>
          </cell>
          <cell r="AB1261" t="e">
            <v>#N/A</v>
          </cell>
          <cell r="AC1261" t="e">
            <v>#N/A</v>
          </cell>
          <cell r="AF1261" t="e">
            <v>#N/A</v>
          </cell>
        </row>
        <row r="1262">
          <cell r="V1262" t="e">
            <v>#N/A</v>
          </cell>
          <cell r="W1262" t="e">
            <v>#N/A</v>
          </cell>
          <cell r="AA1262" t="e">
            <v>#N/A</v>
          </cell>
          <cell r="AB1262" t="e">
            <v>#N/A</v>
          </cell>
          <cell r="AC1262" t="e">
            <v>#N/A</v>
          </cell>
          <cell r="AF1262" t="e">
            <v>#N/A</v>
          </cell>
        </row>
        <row r="1263">
          <cell r="V1263" t="e">
            <v>#N/A</v>
          </cell>
          <cell r="W1263" t="e">
            <v>#N/A</v>
          </cell>
          <cell r="AA1263" t="e">
            <v>#N/A</v>
          </cell>
          <cell r="AB1263" t="e">
            <v>#N/A</v>
          </cell>
          <cell r="AC1263" t="e">
            <v>#N/A</v>
          </cell>
          <cell r="AF1263" t="e">
            <v>#N/A</v>
          </cell>
        </row>
        <row r="1264">
          <cell r="V1264" t="e">
            <v>#N/A</v>
          </cell>
          <cell r="W1264" t="e">
            <v>#N/A</v>
          </cell>
          <cell r="AA1264" t="e">
            <v>#N/A</v>
          </cell>
          <cell r="AB1264" t="e">
            <v>#N/A</v>
          </cell>
          <cell r="AC1264" t="e">
            <v>#N/A</v>
          </cell>
          <cell r="AF1264" t="e">
            <v>#N/A</v>
          </cell>
        </row>
        <row r="1265">
          <cell r="V1265" t="e">
            <v>#N/A</v>
          </cell>
          <cell r="W1265" t="e">
            <v>#N/A</v>
          </cell>
          <cell r="AA1265" t="e">
            <v>#N/A</v>
          </cell>
          <cell r="AB1265" t="e">
            <v>#N/A</v>
          </cell>
          <cell r="AC1265" t="e">
            <v>#N/A</v>
          </cell>
          <cell r="AF1265" t="e">
            <v>#N/A</v>
          </cell>
        </row>
        <row r="1266">
          <cell r="V1266" t="e">
            <v>#N/A</v>
          </cell>
          <cell r="W1266" t="e">
            <v>#N/A</v>
          </cell>
          <cell r="AA1266" t="e">
            <v>#N/A</v>
          </cell>
          <cell r="AB1266" t="e">
            <v>#N/A</v>
          </cell>
          <cell r="AC1266" t="e">
            <v>#N/A</v>
          </cell>
          <cell r="AF1266" t="e">
            <v>#N/A</v>
          </cell>
        </row>
        <row r="1267">
          <cell r="V1267" t="e">
            <v>#N/A</v>
          </cell>
          <cell r="W1267" t="e">
            <v>#N/A</v>
          </cell>
          <cell r="AA1267" t="e">
            <v>#N/A</v>
          </cell>
          <cell r="AB1267" t="e">
            <v>#N/A</v>
          </cell>
          <cell r="AC1267" t="e">
            <v>#N/A</v>
          </cell>
          <cell r="AF1267" t="e">
            <v>#N/A</v>
          </cell>
        </row>
        <row r="1268">
          <cell r="V1268" t="e">
            <v>#N/A</v>
          </cell>
          <cell r="W1268" t="e">
            <v>#N/A</v>
          </cell>
          <cell r="AA1268" t="e">
            <v>#N/A</v>
          </cell>
          <cell r="AB1268" t="e">
            <v>#N/A</v>
          </cell>
          <cell r="AC1268" t="e">
            <v>#N/A</v>
          </cell>
          <cell r="AF1268" t="e">
            <v>#N/A</v>
          </cell>
        </row>
        <row r="1269">
          <cell r="V1269" t="e">
            <v>#N/A</v>
          </cell>
          <cell r="W1269" t="e">
            <v>#N/A</v>
          </cell>
          <cell r="AA1269" t="e">
            <v>#N/A</v>
          </cell>
          <cell r="AB1269" t="e">
            <v>#N/A</v>
          </cell>
          <cell r="AC1269" t="e">
            <v>#N/A</v>
          </cell>
          <cell r="AF1269" t="e">
            <v>#N/A</v>
          </cell>
        </row>
        <row r="1270">
          <cell r="V1270" t="e">
            <v>#N/A</v>
          </cell>
          <cell r="W1270" t="e">
            <v>#N/A</v>
          </cell>
          <cell r="AA1270" t="e">
            <v>#N/A</v>
          </cell>
          <cell r="AB1270" t="e">
            <v>#N/A</v>
          </cell>
          <cell r="AC1270" t="e">
            <v>#N/A</v>
          </cell>
          <cell r="AF1270" t="e">
            <v>#N/A</v>
          </cell>
        </row>
        <row r="1271">
          <cell r="V1271" t="e">
            <v>#N/A</v>
          </cell>
          <cell r="W1271" t="e">
            <v>#N/A</v>
          </cell>
          <cell r="AA1271" t="e">
            <v>#N/A</v>
          </cell>
          <cell r="AB1271" t="e">
            <v>#N/A</v>
          </cell>
          <cell r="AC1271" t="e">
            <v>#N/A</v>
          </cell>
          <cell r="AF1271" t="e">
            <v>#N/A</v>
          </cell>
        </row>
        <row r="1272">
          <cell r="V1272" t="e">
            <v>#N/A</v>
          </cell>
          <cell r="W1272" t="e">
            <v>#N/A</v>
          </cell>
          <cell r="AA1272" t="e">
            <v>#N/A</v>
          </cell>
          <cell r="AB1272" t="e">
            <v>#N/A</v>
          </cell>
          <cell r="AC1272" t="e">
            <v>#N/A</v>
          </cell>
          <cell r="AF1272" t="e">
            <v>#N/A</v>
          </cell>
        </row>
        <row r="1273">
          <cell r="V1273" t="e">
            <v>#N/A</v>
          </cell>
          <cell r="W1273" t="e">
            <v>#N/A</v>
          </cell>
          <cell r="AA1273" t="e">
            <v>#N/A</v>
          </cell>
          <cell r="AB1273" t="e">
            <v>#N/A</v>
          </cell>
          <cell r="AC1273" t="e">
            <v>#N/A</v>
          </cell>
          <cell r="AF1273" t="e">
            <v>#N/A</v>
          </cell>
        </row>
        <row r="1274">
          <cell r="V1274" t="e">
            <v>#N/A</v>
          </cell>
          <cell r="W1274" t="e">
            <v>#N/A</v>
          </cell>
          <cell r="AA1274" t="e">
            <v>#N/A</v>
          </cell>
          <cell r="AB1274" t="e">
            <v>#N/A</v>
          </cell>
          <cell r="AC1274" t="e">
            <v>#N/A</v>
          </cell>
          <cell r="AF1274" t="e">
            <v>#N/A</v>
          </cell>
        </row>
        <row r="1275">
          <cell r="V1275" t="e">
            <v>#N/A</v>
          </cell>
          <cell r="W1275" t="e">
            <v>#N/A</v>
          </cell>
          <cell r="AA1275" t="e">
            <v>#N/A</v>
          </cell>
          <cell r="AB1275" t="e">
            <v>#N/A</v>
          </cell>
          <cell r="AC1275" t="e">
            <v>#N/A</v>
          </cell>
          <cell r="AF1275" t="e">
            <v>#N/A</v>
          </cell>
        </row>
        <row r="1276">
          <cell r="V1276" t="e">
            <v>#N/A</v>
          </cell>
          <cell r="W1276" t="e">
            <v>#N/A</v>
          </cell>
          <cell r="AA1276" t="e">
            <v>#N/A</v>
          </cell>
          <cell r="AB1276" t="e">
            <v>#N/A</v>
          </cell>
          <cell r="AC1276" t="e">
            <v>#N/A</v>
          </cell>
          <cell r="AF1276" t="e">
            <v>#N/A</v>
          </cell>
        </row>
        <row r="1277">
          <cell r="V1277" t="e">
            <v>#N/A</v>
          </cell>
          <cell r="W1277" t="e">
            <v>#N/A</v>
          </cell>
          <cell r="AA1277" t="e">
            <v>#N/A</v>
          </cell>
          <cell r="AB1277" t="e">
            <v>#N/A</v>
          </cell>
          <cell r="AC1277" t="e">
            <v>#N/A</v>
          </cell>
          <cell r="AF1277" t="e">
            <v>#N/A</v>
          </cell>
        </row>
        <row r="1278">
          <cell r="V1278" t="e">
            <v>#N/A</v>
          </cell>
          <cell r="W1278" t="e">
            <v>#N/A</v>
          </cell>
          <cell r="AA1278" t="e">
            <v>#N/A</v>
          </cell>
          <cell r="AB1278" t="e">
            <v>#N/A</v>
          </cell>
          <cell r="AC1278" t="e">
            <v>#N/A</v>
          </cell>
          <cell r="AF1278" t="e">
            <v>#N/A</v>
          </cell>
        </row>
        <row r="1279">
          <cell r="V1279" t="e">
            <v>#N/A</v>
          </cell>
          <cell r="W1279" t="e">
            <v>#N/A</v>
          </cell>
          <cell r="AA1279" t="e">
            <v>#N/A</v>
          </cell>
          <cell r="AB1279" t="e">
            <v>#N/A</v>
          </cell>
          <cell r="AC1279" t="e">
            <v>#N/A</v>
          </cell>
          <cell r="AF1279" t="e">
            <v>#N/A</v>
          </cell>
        </row>
        <row r="1280">
          <cell r="V1280" t="e">
            <v>#N/A</v>
          </cell>
          <cell r="W1280" t="e">
            <v>#N/A</v>
          </cell>
          <cell r="AA1280" t="e">
            <v>#N/A</v>
          </cell>
          <cell r="AB1280" t="e">
            <v>#N/A</v>
          </cell>
          <cell r="AC1280" t="e">
            <v>#N/A</v>
          </cell>
          <cell r="AF1280" t="e">
            <v>#N/A</v>
          </cell>
        </row>
        <row r="1281">
          <cell r="V1281" t="e">
            <v>#N/A</v>
          </cell>
          <cell r="W1281" t="e">
            <v>#N/A</v>
          </cell>
          <cell r="AA1281" t="e">
            <v>#N/A</v>
          </cell>
          <cell r="AB1281" t="e">
            <v>#N/A</v>
          </cell>
          <cell r="AC1281" t="e">
            <v>#N/A</v>
          </cell>
          <cell r="AF1281" t="e">
            <v>#N/A</v>
          </cell>
        </row>
        <row r="1282">
          <cell r="V1282" t="e">
            <v>#N/A</v>
          </cell>
          <cell r="W1282" t="e">
            <v>#N/A</v>
          </cell>
          <cell r="AA1282" t="e">
            <v>#N/A</v>
          </cell>
          <cell r="AB1282" t="e">
            <v>#N/A</v>
          </cell>
          <cell r="AC1282" t="e">
            <v>#N/A</v>
          </cell>
          <cell r="AF1282" t="e">
            <v>#N/A</v>
          </cell>
        </row>
        <row r="1283">
          <cell r="V1283" t="e">
            <v>#N/A</v>
          </cell>
          <cell r="W1283" t="e">
            <v>#N/A</v>
          </cell>
          <cell r="AA1283" t="e">
            <v>#N/A</v>
          </cell>
          <cell r="AB1283" t="e">
            <v>#N/A</v>
          </cell>
          <cell r="AC1283" t="e">
            <v>#N/A</v>
          </cell>
          <cell r="AF1283" t="e">
            <v>#N/A</v>
          </cell>
        </row>
        <row r="1284">
          <cell r="V1284" t="e">
            <v>#N/A</v>
          </cell>
          <cell r="W1284" t="e">
            <v>#N/A</v>
          </cell>
          <cell r="AA1284" t="e">
            <v>#N/A</v>
          </cell>
          <cell r="AB1284" t="e">
            <v>#N/A</v>
          </cell>
          <cell r="AC1284" t="e">
            <v>#N/A</v>
          </cell>
          <cell r="AF1284" t="e">
            <v>#N/A</v>
          </cell>
        </row>
        <row r="1285">
          <cell r="V1285" t="e">
            <v>#N/A</v>
          </cell>
          <cell r="W1285" t="e">
            <v>#N/A</v>
          </cell>
          <cell r="AA1285" t="e">
            <v>#N/A</v>
          </cell>
          <cell r="AB1285" t="e">
            <v>#N/A</v>
          </cell>
          <cell r="AC1285" t="e">
            <v>#N/A</v>
          </cell>
          <cell r="AF1285" t="e">
            <v>#N/A</v>
          </cell>
        </row>
        <row r="1286">
          <cell r="V1286" t="e">
            <v>#N/A</v>
          </cell>
          <cell r="W1286" t="e">
            <v>#N/A</v>
          </cell>
          <cell r="AA1286" t="e">
            <v>#N/A</v>
          </cell>
          <cell r="AB1286" t="e">
            <v>#N/A</v>
          </cell>
          <cell r="AC1286" t="e">
            <v>#N/A</v>
          </cell>
          <cell r="AF1286" t="e">
            <v>#N/A</v>
          </cell>
        </row>
        <row r="1287">
          <cell r="V1287" t="e">
            <v>#N/A</v>
          </cell>
          <cell r="W1287" t="e">
            <v>#N/A</v>
          </cell>
          <cell r="AA1287" t="e">
            <v>#N/A</v>
          </cell>
          <cell r="AB1287" t="e">
            <v>#N/A</v>
          </cell>
          <cell r="AC1287" t="e">
            <v>#N/A</v>
          </cell>
          <cell r="AF1287" t="e">
            <v>#N/A</v>
          </cell>
        </row>
        <row r="1288">
          <cell r="V1288" t="e">
            <v>#N/A</v>
          </cell>
          <cell r="W1288" t="e">
            <v>#N/A</v>
          </cell>
          <cell r="AA1288" t="e">
            <v>#N/A</v>
          </cell>
          <cell r="AB1288" t="e">
            <v>#N/A</v>
          </cell>
          <cell r="AC1288" t="e">
            <v>#N/A</v>
          </cell>
          <cell r="AF1288" t="e">
            <v>#N/A</v>
          </cell>
        </row>
        <row r="1289">
          <cell r="V1289" t="e">
            <v>#N/A</v>
          </cell>
          <cell r="W1289" t="e">
            <v>#N/A</v>
          </cell>
          <cell r="AA1289" t="e">
            <v>#N/A</v>
          </cell>
          <cell r="AB1289" t="e">
            <v>#N/A</v>
          </cell>
          <cell r="AC1289" t="e">
            <v>#N/A</v>
          </cell>
          <cell r="AF1289" t="e">
            <v>#N/A</v>
          </cell>
        </row>
        <row r="1290">
          <cell r="V1290" t="e">
            <v>#N/A</v>
          </cell>
          <cell r="W1290" t="e">
            <v>#N/A</v>
          </cell>
          <cell r="AA1290" t="e">
            <v>#N/A</v>
          </cell>
          <cell r="AB1290" t="e">
            <v>#N/A</v>
          </cell>
          <cell r="AC1290" t="e">
            <v>#N/A</v>
          </cell>
          <cell r="AF1290" t="e">
            <v>#N/A</v>
          </cell>
        </row>
        <row r="1291">
          <cell r="V1291" t="e">
            <v>#N/A</v>
          </cell>
          <cell r="W1291" t="e">
            <v>#N/A</v>
          </cell>
          <cell r="AA1291" t="e">
            <v>#N/A</v>
          </cell>
          <cell r="AB1291" t="e">
            <v>#N/A</v>
          </cell>
          <cell r="AC1291" t="e">
            <v>#N/A</v>
          </cell>
          <cell r="AF1291" t="e">
            <v>#N/A</v>
          </cell>
        </row>
        <row r="1292">
          <cell r="V1292" t="e">
            <v>#N/A</v>
          </cell>
          <cell r="W1292" t="e">
            <v>#N/A</v>
          </cell>
          <cell r="AA1292" t="e">
            <v>#N/A</v>
          </cell>
          <cell r="AB1292" t="e">
            <v>#N/A</v>
          </cell>
          <cell r="AC1292" t="e">
            <v>#N/A</v>
          </cell>
          <cell r="AF1292" t="e">
            <v>#N/A</v>
          </cell>
        </row>
        <row r="1293">
          <cell r="V1293" t="e">
            <v>#N/A</v>
          </cell>
          <cell r="W1293" t="e">
            <v>#N/A</v>
          </cell>
          <cell r="AA1293" t="e">
            <v>#N/A</v>
          </cell>
          <cell r="AB1293" t="e">
            <v>#N/A</v>
          </cell>
          <cell r="AC1293" t="e">
            <v>#N/A</v>
          </cell>
          <cell r="AF1293" t="e">
            <v>#N/A</v>
          </cell>
        </row>
        <row r="1294">
          <cell r="V1294" t="e">
            <v>#N/A</v>
          </cell>
          <cell r="W1294" t="e">
            <v>#N/A</v>
          </cell>
          <cell r="AA1294" t="e">
            <v>#N/A</v>
          </cell>
          <cell r="AB1294" t="e">
            <v>#N/A</v>
          </cell>
          <cell r="AC1294" t="e">
            <v>#N/A</v>
          </cell>
          <cell r="AF1294" t="e">
            <v>#N/A</v>
          </cell>
        </row>
        <row r="1295">
          <cell r="V1295" t="e">
            <v>#N/A</v>
          </cell>
          <cell r="W1295" t="e">
            <v>#N/A</v>
          </cell>
          <cell r="AA1295" t="e">
            <v>#N/A</v>
          </cell>
          <cell r="AB1295" t="e">
            <v>#N/A</v>
          </cell>
          <cell r="AC1295" t="e">
            <v>#N/A</v>
          </cell>
          <cell r="AF1295" t="e">
            <v>#N/A</v>
          </cell>
        </row>
        <row r="1296">
          <cell r="V1296" t="e">
            <v>#N/A</v>
          </cell>
          <cell r="W1296" t="e">
            <v>#N/A</v>
          </cell>
          <cell r="AA1296" t="e">
            <v>#N/A</v>
          </cell>
          <cell r="AB1296" t="e">
            <v>#N/A</v>
          </cell>
          <cell r="AC1296" t="e">
            <v>#N/A</v>
          </cell>
          <cell r="AF1296" t="e">
            <v>#N/A</v>
          </cell>
        </row>
        <row r="1297">
          <cell r="V1297" t="e">
            <v>#N/A</v>
          </cell>
          <cell r="W1297" t="e">
            <v>#N/A</v>
          </cell>
          <cell r="AA1297" t="e">
            <v>#N/A</v>
          </cell>
          <cell r="AB1297" t="e">
            <v>#N/A</v>
          </cell>
          <cell r="AC1297" t="e">
            <v>#N/A</v>
          </cell>
          <cell r="AF1297" t="e">
            <v>#N/A</v>
          </cell>
        </row>
        <row r="1298">
          <cell r="V1298" t="e">
            <v>#N/A</v>
          </cell>
          <cell r="W1298" t="e">
            <v>#N/A</v>
          </cell>
          <cell r="AA1298" t="e">
            <v>#N/A</v>
          </cell>
          <cell r="AB1298" t="e">
            <v>#N/A</v>
          </cell>
          <cell r="AC1298" t="e">
            <v>#N/A</v>
          </cell>
          <cell r="AF1298" t="e">
            <v>#N/A</v>
          </cell>
        </row>
        <row r="1299">
          <cell r="V1299" t="e">
            <v>#N/A</v>
          </cell>
          <cell r="W1299" t="e">
            <v>#N/A</v>
          </cell>
          <cell r="AA1299" t="e">
            <v>#N/A</v>
          </cell>
          <cell r="AB1299" t="e">
            <v>#N/A</v>
          </cell>
          <cell r="AC1299" t="e">
            <v>#N/A</v>
          </cell>
          <cell r="AF1299" t="e">
            <v>#N/A</v>
          </cell>
        </row>
        <row r="1300">
          <cell r="V1300" t="e">
            <v>#N/A</v>
          </cell>
          <cell r="W1300" t="e">
            <v>#N/A</v>
          </cell>
          <cell r="AA1300" t="e">
            <v>#N/A</v>
          </cell>
          <cell r="AB1300" t="e">
            <v>#N/A</v>
          </cell>
          <cell r="AC1300" t="e">
            <v>#N/A</v>
          </cell>
          <cell r="AF1300" t="e">
            <v>#N/A</v>
          </cell>
        </row>
        <row r="1301">
          <cell r="V1301" t="e">
            <v>#N/A</v>
          </cell>
          <cell r="W1301" t="e">
            <v>#N/A</v>
          </cell>
          <cell r="AA1301" t="e">
            <v>#N/A</v>
          </cell>
          <cell r="AB1301" t="e">
            <v>#N/A</v>
          </cell>
          <cell r="AC1301" t="e">
            <v>#N/A</v>
          </cell>
          <cell r="AF1301" t="e">
            <v>#N/A</v>
          </cell>
        </row>
        <row r="1302">
          <cell r="V1302" t="e">
            <v>#N/A</v>
          </cell>
          <cell r="W1302" t="e">
            <v>#N/A</v>
          </cell>
          <cell r="AA1302" t="e">
            <v>#N/A</v>
          </cell>
          <cell r="AB1302" t="e">
            <v>#N/A</v>
          </cell>
          <cell r="AC1302" t="e">
            <v>#N/A</v>
          </cell>
          <cell r="AF1302" t="e">
            <v>#N/A</v>
          </cell>
        </row>
        <row r="1303">
          <cell r="V1303" t="e">
            <v>#N/A</v>
          </cell>
          <cell r="W1303" t="e">
            <v>#N/A</v>
          </cell>
          <cell r="AA1303" t="e">
            <v>#N/A</v>
          </cell>
          <cell r="AB1303" t="e">
            <v>#N/A</v>
          </cell>
          <cell r="AC1303" t="e">
            <v>#N/A</v>
          </cell>
          <cell r="AF1303" t="e">
            <v>#N/A</v>
          </cell>
        </row>
        <row r="1304">
          <cell r="V1304" t="e">
            <v>#N/A</v>
          </cell>
          <cell r="W1304" t="e">
            <v>#N/A</v>
          </cell>
          <cell r="AA1304" t="e">
            <v>#N/A</v>
          </cell>
          <cell r="AB1304" t="e">
            <v>#N/A</v>
          </cell>
          <cell r="AC1304" t="e">
            <v>#N/A</v>
          </cell>
          <cell r="AF1304" t="e">
            <v>#N/A</v>
          </cell>
        </row>
        <row r="1305">
          <cell r="V1305" t="e">
            <v>#N/A</v>
          </cell>
          <cell r="W1305" t="e">
            <v>#N/A</v>
          </cell>
          <cell r="AA1305" t="e">
            <v>#N/A</v>
          </cell>
          <cell r="AB1305" t="e">
            <v>#N/A</v>
          </cell>
          <cell r="AC1305" t="e">
            <v>#N/A</v>
          </cell>
          <cell r="AF1305" t="e">
            <v>#N/A</v>
          </cell>
        </row>
        <row r="1306">
          <cell r="V1306" t="e">
            <v>#N/A</v>
          </cell>
          <cell r="W1306" t="e">
            <v>#N/A</v>
          </cell>
          <cell r="AA1306" t="e">
            <v>#N/A</v>
          </cell>
          <cell r="AB1306" t="e">
            <v>#N/A</v>
          </cell>
          <cell r="AC1306" t="e">
            <v>#N/A</v>
          </cell>
          <cell r="AF1306" t="e">
            <v>#N/A</v>
          </cell>
        </row>
        <row r="1307">
          <cell r="V1307" t="e">
            <v>#N/A</v>
          </cell>
          <cell r="W1307" t="e">
            <v>#N/A</v>
          </cell>
          <cell r="AA1307" t="e">
            <v>#N/A</v>
          </cell>
          <cell r="AB1307" t="e">
            <v>#N/A</v>
          </cell>
          <cell r="AC1307" t="e">
            <v>#N/A</v>
          </cell>
          <cell r="AF1307" t="e">
            <v>#N/A</v>
          </cell>
        </row>
        <row r="1308">
          <cell r="V1308" t="e">
            <v>#N/A</v>
          </cell>
          <cell r="W1308" t="e">
            <v>#N/A</v>
          </cell>
          <cell r="AA1308" t="e">
            <v>#N/A</v>
          </cell>
          <cell r="AB1308" t="e">
            <v>#N/A</v>
          </cell>
          <cell r="AC1308" t="e">
            <v>#N/A</v>
          </cell>
          <cell r="AF1308" t="e">
            <v>#N/A</v>
          </cell>
        </row>
        <row r="1309">
          <cell r="V1309" t="e">
            <v>#N/A</v>
          </cell>
          <cell r="W1309" t="e">
            <v>#N/A</v>
          </cell>
          <cell r="AA1309" t="e">
            <v>#N/A</v>
          </cell>
          <cell r="AB1309" t="e">
            <v>#N/A</v>
          </cell>
          <cell r="AC1309" t="e">
            <v>#N/A</v>
          </cell>
          <cell r="AF1309" t="e">
            <v>#N/A</v>
          </cell>
        </row>
        <row r="1310">
          <cell r="V1310" t="e">
            <v>#N/A</v>
          </cell>
          <cell r="W1310" t="e">
            <v>#N/A</v>
          </cell>
          <cell r="AA1310" t="e">
            <v>#N/A</v>
          </cell>
          <cell r="AB1310" t="e">
            <v>#N/A</v>
          </cell>
          <cell r="AC1310" t="e">
            <v>#N/A</v>
          </cell>
          <cell r="AF1310" t="e">
            <v>#N/A</v>
          </cell>
        </row>
        <row r="1311">
          <cell r="V1311" t="e">
            <v>#N/A</v>
          </cell>
          <cell r="W1311" t="e">
            <v>#N/A</v>
          </cell>
          <cell r="AA1311" t="e">
            <v>#N/A</v>
          </cell>
          <cell r="AB1311" t="e">
            <v>#N/A</v>
          </cell>
          <cell r="AC1311" t="e">
            <v>#N/A</v>
          </cell>
          <cell r="AF1311" t="e">
            <v>#N/A</v>
          </cell>
        </row>
        <row r="1312">
          <cell r="V1312" t="e">
            <v>#N/A</v>
          </cell>
          <cell r="W1312" t="e">
            <v>#N/A</v>
          </cell>
          <cell r="AA1312" t="e">
            <v>#N/A</v>
          </cell>
          <cell r="AB1312" t="e">
            <v>#N/A</v>
          </cell>
          <cell r="AC1312" t="e">
            <v>#N/A</v>
          </cell>
          <cell r="AF1312" t="e">
            <v>#N/A</v>
          </cell>
        </row>
        <row r="1313">
          <cell r="V1313" t="e">
            <v>#N/A</v>
          </cell>
          <cell r="W1313" t="e">
            <v>#N/A</v>
          </cell>
          <cell r="AA1313" t="e">
            <v>#N/A</v>
          </cell>
          <cell r="AB1313" t="e">
            <v>#N/A</v>
          </cell>
          <cell r="AC1313" t="e">
            <v>#N/A</v>
          </cell>
          <cell r="AF1313" t="e">
            <v>#N/A</v>
          </cell>
        </row>
        <row r="1314">
          <cell r="V1314" t="e">
            <v>#N/A</v>
          </cell>
          <cell r="W1314" t="e">
            <v>#N/A</v>
          </cell>
          <cell r="AA1314" t="e">
            <v>#N/A</v>
          </cell>
          <cell r="AB1314" t="e">
            <v>#N/A</v>
          </cell>
          <cell r="AC1314" t="e">
            <v>#N/A</v>
          </cell>
          <cell r="AF1314" t="e">
            <v>#N/A</v>
          </cell>
        </row>
        <row r="1315">
          <cell r="V1315" t="e">
            <v>#N/A</v>
          </cell>
          <cell r="W1315" t="e">
            <v>#N/A</v>
          </cell>
          <cell r="AA1315" t="e">
            <v>#N/A</v>
          </cell>
          <cell r="AB1315" t="e">
            <v>#N/A</v>
          </cell>
          <cell r="AC1315" t="e">
            <v>#N/A</v>
          </cell>
          <cell r="AF1315" t="e">
            <v>#N/A</v>
          </cell>
        </row>
        <row r="1316">
          <cell r="V1316" t="e">
            <v>#N/A</v>
          </cell>
          <cell r="W1316" t="e">
            <v>#N/A</v>
          </cell>
          <cell r="AA1316" t="e">
            <v>#N/A</v>
          </cell>
          <cell r="AB1316" t="e">
            <v>#N/A</v>
          </cell>
          <cell r="AC1316" t="e">
            <v>#N/A</v>
          </cell>
          <cell r="AF1316" t="e">
            <v>#N/A</v>
          </cell>
        </row>
        <row r="1317">
          <cell r="V1317" t="e">
            <v>#N/A</v>
          </cell>
          <cell r="W1317" t="e">
            <v>#N/A</v>
          </cell>
          <cell r="AA1317" t="e">
            <v>#N/A</v>
          </cell>
          <cell r="AB1317" t="e">
            <v>#N/A</v>
          </cell>
          <cell r="AC1317" t="e">
            <v>#N/A</v>
          </cell>
          <cell r="AF1317" t="e">
            <v>#N/A</v>
          </cell>
        </row>
        <row r="1318">
          <cell r="V1318" t="e">
            <v>#N/A</v>
          </cell>
          <cell r="W1318" t="e">
            <v>#N/A</v>
          </cell>
          <cell r="AA1318" t="e">
            <v>#N/A</v>
          </cell>
          <cell r="AB1318" t="e">
            <v>#N/A</v>
          </cell>
          <cell r="AC1318" t="e">
            <v>#N/A</v>
          </cell>
          <cell r="AF1318" t="e">
            <v>#N/A</v>
          </cell>
        </row>
        <row r="1319">
          <cell r="V1319" t="e">
            <v>#N/A</v>
          </cell>
          <cell r="W1319" t="e">
            <v>#N/A</v>
          </cell>
          <cell r="AA1319" t="e">
            <v>#N/A</v>
          </cell>
          <cell r="AB1319" t="e">
            <v>#N/A</v>
          </cell>
          <cell r="AC1319" t="e">
            <v>#N/A</v>
          </cell>
          <cell r="AF1319" t="e">
            <v>#N/A</v>
          </cell>
        </row>
        <row r="1320">
          <cell r="V1320" t="e">
            <v>#N/A</v>
          </cell>
          <cell r="W1320" t="e">
            <v>#N/A</v>
          </cell>
          <cell r="AA1320" t="e">
            <v>#N/A</v>
          </cell>
          <cell r="AB1320" t="e">
            <v>#N/A</v>
          </cell>
          <cell r="AC1320" t="e">
            <v>#N/A</v>
          </cell>
          <cell r="AF1320" t="e">
            <v>#N/A</v>
          </cell>
        </row>
        <row r="1321">
          <cell r="V1321" t="e">
            <v>#N/A</v>
          </cell>
          <cell r="W1321" t="e">
            <v>#N/A</v>
          </cell>
          <cell r="AA1321" t="e">
            <v>#N/A</v>
          </cell>
          <cell r="AB1321" t="e">
            <v>#N/A</v>
          </cell>
          <cell r="AC1321" t="e">
            <v>#N/A</v>
          </cell>
          <cell r="AF1321" t="e">
            <v>#N/A</v>
          </cell>
        </row>
        <row r="1322">
          <cell r="V1322" t="e">
            <v>#N/A</v>
          </cell>
          <cell r="W1322" t="e">
            <v>#N/A</v>
          </cell>
          <cell r="AA1322" t="e">
            <v>#N/A</v>
          </cell>
          <cell r="AB1322" t="e">
            <v>#N/A</v>
          </cell>
          <cell r="AC1322" t="e">
            <v>#N/A</v>
          </cell>
          <cell r="AF1322" t="e">
            <v>#N/A</v>
          </cell>
        </row>
        <row r="1323">
          <cell r="V1323" t="e">
            <v>#N/A</v>
          </cell>
          <cell r="W1323" t="e">
            <v>#N/A</v>
          </cell>
          <cell r="AA1323" t="e">
            <v>#N/A</v>
          </cell>
          <cell r="AB1323" t="e">
            <v>#N/A</v>
          </cell>
          <cell r="AC1323" t="e">
            <v>#N/A</v>
          </cell>
          <cell r="AF1323" t="e">
            <v>#N/A</v>
          </cell>
        </row>
        <row r="1324">
          <cell r="V1324" t="e">
            <v>#N/A</v>
          </cell>
          <cell r="W1324" t="e">
            <v>#N/A</v>
          </cell>
          <cell r="AA1324" t="e">
            <v>#N/A</v>
          </cell>
          <cell r="AB1324" t="e">
            <v>#N/A</v>
          </cell>
          <cell r="AC1324" t="e">
            <v>#N/A</v>
          </cell>
          <cell r="AF1324" t="e">
            <v>#N/A</v>
          </cell>
        </row>
        <row r="1325">
          <cell r="V1325" t="e">
            <v>#N/A</v>
          </cell>
          <cell r="W1325" t="e">
            <v>#N/A</v>
          </cell>
          <cell r="AA1325" t="e">
            <v>#N/A</v>
          </cell>
          <cell r="AB1325" t="e">
            <v>#N/A</v>
          </cell>
          <cell r="AC1325" t="e">
            <v>#N/A</v>
          </cell>
          <cell r="AF1325" t="e">
            <v>#N/A</v>
          </cell>
        </row>
        <row r="1326">
          <cell r="V1326" t="e">
            <v>#N/A</v>
          </cell>
          <cell r="W1326" t="e">
            <v>#N/A</v>
          </cell>
          <cell r="AA1326" t="e">
            <v>#N/A</v>
          </cell>
          <cell r="AB1326" t="e">
            <v>#N/A</v>
          </cell>
          <cell r="AC1326" t="e">
            <v>#N/A</v>
          </cell>
          <cell r="AF1326" t="e">
            <v>#N/A</v>
          </cell>
        </row>
        <row r="1327">
          <cell r="V1327" t="e">
            <v>#N/A</v>
          </cell>
          <cell r="W1327" t="e">
            <v>#N/A</v>
          </cell>
          <cell r="AA1327" t="e">
            <v>#N/A</v>
          </cell>
          <cell r="AB1327" t="e">
            <v>#N/A</v>
          </cell>
          <cell r="AC1327" t="e">
            <v>#N/A</v>
          </cell>
          <cell r="AF1327" t="e">
            <v>#N/A</v>
          </cell>
        </row>
        <row r="1328">
          <cell r="V1328" t="e">
            <v>#N/A</v>
          </cell>
          <cell r="W1328" t="e">
            <v>#N/A</v>
          </cell>
          <cell r="AA1328" t="e">
            <v>#N/A</v>
          </cell>
          <cell r="AB1328" t="e">
            <v>#N/A</v>
          </cell>
          <cell r="AC1328" t="e">
            <v>#N/A</v>
          </cell>
          <cell r="AF1328" t="e">
            <v>#N/A</v>
          </cell>
        </row>
        <row r="1329">
          <cell r="V1329" t="e">
            <v>#N/A</v>
          </cell>
          <cell r="W1329" t="e">
            <v>#N/A</v>
          </cell>
          <cell r="AA1329" t="e">
            <v>#N/A</v>
          </cell>
          <cell r="AB1329" t="e">
            <v>#N/A</v>
          </cell>
          <cell r="AC1329" t="e">
            <v>#N/A</v>
          </cell>
          <cell r="AF1329" t="e">
            <v>#N/A</v>
          </cell>
        </row>
        <row r="1330">
          <cell r="V1330" t="e">
            <v>#N/A</v>
          </cell>
          <cell r="W1330" t="e">
            <v>#N/A</v>
          </cell>
          <cell r="AA1330" t="e">
            <v>#N/A</v>
          </cell>
          <cell r="AB1330" t="e">
            <v>#N/A</v>
          </cell>
          <cell r="AC1330" t="e">
            <v>#N/A</v>
          </cell>
          <cell r="AF1330" t="e">
            <v>#N/A</v>
          </cell>
        </row>
        <row r="1331">
          <cell r="V1331" t="e">
            <v>#N/A</v>
          </cell>
          <cell r="W1331" t="e">
            <v>#N/A</v>
          </cell>
          <cell r="AA1331" t="e">
            <v>#N/A</v>
          </cell>
          <cell r="AB1331" t="e">
            <v>#N/A</v>
          </cell>
          <cell r="AC1331" t="e">
            <v>#N/A</v>
          </cell>
          <cell r="AF1331" t="e">
            <v>#N/A</v>
          </cell>
        </row>
        <row r="1332">
          <cell r="V1332" t="e">
            <v>#N/A</v>
          </cell>
          <cell r="W1332" t="e">
            <v>#N/A</v>
          </cell>
          <cell r="AA1332" t="e">
            <v>#N/A</v>
          </cell>
          <cell r="AB1332" t="e">
            <v>#N/A</v>
          </cell>
          <cell r="AC1332" t="e">
            <v>#N/A</v>
          </cell>
          <cell r="AF1332" t="e">
            <v>#N/A</v>
          </cell>
        </row>
        <row r="1333">
          <cell r="V1333" t="e">
            <v>#N/A</v>
          </cell>
          <cell r="W1333" t="e">
            <v>#N/A</v>
          </cell>
          <cell r="AA1333" t="e">
            <v>#N/A</v>
          </cell>
          <cell r="AB1333" t="e">
            <v>#N/A</v>
          </cell>
          <cell r="AC1333" t="e">
            <v>#N/A</v>
          </cell>
          <cell r="AF1333" t="e">
            <v>#N/A</v>
          </cell>
        </row>
        <row r="1334">
          <cell r="V1334" t="e">
            <v>#N/A</v>
          </cell>
          <cell r="W1334" t="e">
            <v>#N/A</v>
          </cell>
          <cell r="AA1334" t="e">
            <v>#N/A</v>
          </cell>
          <cell r="AB1334" t="e">
            <v>#N/A</v>
          </cell>
          <cell r="AC1334" t="e">
            <v>#N/A</v>
          </cell>
          <cell r="AF1334" t="e">
            <v>#N/A</v>
          </cell>
        </row>
        <row r="1335">
          <cell r="V1335" t="e">
            <v>#N/A</v>
          </cell>
          <cell r="W1335" t="e">
            <v>#N/A</v>
          </cell>
          <cell r="AA1335" t="e">
            <v>#N/A</v>
          </cell>
          <cell r="AB1335" t="e">
            <v>#N/A</v>
          </cell>
          <cell r="AC1335" t="e">
            <v>#N/A</v>
          </cell>
          <cell r="AF1335" t="e">
            <v>#N/A</v>
          </cell>
        </row>
        <row r="1336">
          <cell r="V1336" t="e">
            <v>#N/A</v>
          </cell>
          <cell r="W1336" t="e">
            <v>#N/A</v>
          </cell>
          <cell r="AA1336" t="e">
            <v>#N/A</v>
          </cell>
          <cell r="AB1336" t="e">
            <v>#N/A</v>
          </cell>
          <cell r="AC1336" t="e">
            <v>#N/A</v>
          </cell>
          <cell r="AF1336" t="e">
            <v>#N/A</v>
          </cell>
        </row>
        <row r="1337">
          <cell r="V1337" t="e">
            <v>#N/A</v>
          </cell>
          <cell r="W1337" t="e">
            <v>#N/A</v>
          </cell>
          <cell r="AA1337" t="e">
            <v>#N/A</v>
          </cell>
          <cell r="AB1337" t="e">
            <v>#N/A</v>
          </cell>
          <cell r="AC1337" t="e">
            <v>#N/A</v>
          </cell>
          <cell r="AF1337" t="e">
            <v>#N/A</v>
          </cell>
        </row>
        <row r="1338">
          <cell r="V1338" t="e">
            <v>#N/A</v>
          </cell>
          <cell r="W1338" t="e">
            <v>#N/A</v>
          </cell>
          <cell r="AA1338" t="e">
            <v>#N/A</v>
          </cell>
          <cell r="AB1338" t="e">
            <v>#N/A</v>
          </cell>
          <cell r="AC1338" t="e">
            <v>#N/A</v>
          </cell>
          <cell r="AF1338" t="e">
            <v>#N/A</v>
          </cell>
        </row>
        <row r="1339">
          <cell r="V1339" t="e">
            <v>#N/A</v>
          </cell>
          <cell r="W1339" t="e">
            <v>#N/A</v>
          </cell>
          <cell r="AA1339" t="e">
            <v>#N/A</v>
          </cell>
          <cell r="AB1339" t="e">
            <v>#N/A</v>
          </cell>
          <cell r="AC1339" t="e">
            <v>#N/A</v>
          </cell>
          <cell r="AF1339" t="e">
            <v>#N/A</v>
          </cell>
        </row>
        <row r="1340">
          <cell r="V1340" t="e">
            <v>#N/A</v>
          </cell>
          <cell r="W1340" t="e">
            <v>#N/A</v>
          </cell>
          <cell r="AA1340" t="e">
            <v>#N/A</v>
          </cell>
          <cell r="AB1340" t="e">
            <v>#N/A</v>
          </cell>
          <cell r="AC1340" t="e">
            <v>#N/A</v>
          </cell>
          <cell r="AF1340" t="e">
            <v>#N/A</v>
          </cell>
        </row>
        <row r="1341">
          <cell r="V1341" t="e">
            <v>#N/A</v>
          </cell>
          <cell r="W1341" t="e">
            <v>#N/A</v>
          </cell>
          <cell r="AA1341" t="e">
            <v>#N/A</v>
          </cell>
          <cell r="AB1341" t="e">
            <v>#N/A</v>
          </cell>
          <cell r="AC1341" t="e">
            <v>#N/A</v>
          </cell>
          <cell r="AF1341" t="e">
            <v>#N/A</v>
          </cell>
        </row>
        <row r="1342">
          <cell r="V1342" t="e">
            <v>#N/A</v>
          </cell>
          <cell r="W1342" t="e">
            <v>#N/A</v>
          </cell>
          <cell r="AA1342" t="e">
            <v>#N/A</v>
          </cell>
          <cell r="AB1342" t="e">
            <v>#N/A</v>
          </cell>
          <cell r="AC1342" t="e">
            <v>#N/A</v>
          </cell>
          <cell r="AF1342" t="e">
            <v>#N/A</v>
          </cell>
        </row>
        <row r="1343">
          <cell r="V1343" t="e">
            <v>#N/A</v>
          </cell>
          <cell r="W1343" t="e">
            <v>#N/A</v>
          </cell>
          <cell r="AA1343" t="e">
            <v>#N/A</v>
          </cell>
          <cell r="AB1343" t="e">
            <v>#N/A</v>
          </cell>
          <cell r="AC1343" t="e">
            <v>#N/A</v>
          </cell>
          <cell r="AF1343" t="e">
            <v>#N/A</v>
          </cell>
        </row>
        <row r="1344">
          <cell r="V1344" t="e">
            <v>#N/A</v>
          </cell>
          <cell r="W1344" t="e">
            <v>#N/A</v>
          </cell>
          <cell r="AA1344" t="e">
            <v>#N/A</v>
          </cell>
          <cell r="AB1344" t="e">
            <v>#N/A</v>
          </cell>
          <cell r="AC1344" t="e">
            <v>#N/A</v>
          </cell>
          <cell r="AF1344" t="e">
            <v>#N/A</v>
          </cell>
        </row>
        <row r="1345">
          <cell r="V1345" t="e">
            <v>#N/A</v>
          </cell>
          <cell r="W1345" t="e">
            <v>#N/A</v>
          </cell>
          <cell r="AA1345" t="e">
            <v>#N/A</v>
          </cell>
          <cell r="AB1345" t="e">
            <v>#N/A</v>
          </cell>
          <cell r="AC1345" t="e">
            <v>#N/A</v>
          </cell>
          <cell r="AF1345" t="e">
            <v>#N/A</v>
          </cell>
        </row>
        <row r="1346">
          <cell r="V1346" t="e">
            <v>#N/A</v>
          </cell>
          <cell r="W1346" t="e">
            <v>#N/A</v>
          </cell>
          <cell r="AA1346" t="e">
            <v>#N/A</v>
          </cell>
          <cell r="AB1346" t="e">
            <v>#N/A</v>
          </cell>
          <cell r="AC1346" t="e">
            <v>#N/A</v>
          </cell>
          <cell r="AF1346" t="e">
            <v>#N/A</v>
          </cell>
        </row>
        <row r="1347">
          <cell r="V1347" t="e">
            <v>#N/A</v>
          </cell>
          <cell r="W1347" t="e">
            <v>#N/A</v>
          </cell>
          <cell r="AA1347" t="e">
            <v>#N/A</v>
          </cell>
          <cell r="AB1347" t="e">
            <v>#N/A</v>
          </cell>
          <cell r="AC1347" t="e">
            <v>#N/A</v>
          </cell>
          <cell r="AF1347" t="e">
            <v>#N/A</v>
          </cell>
        </row>
        <row r="1348">
          <cell r="V1348" t="e">
            <v>#N/A</v>
          </cell>
          <cell r="W1348" t="e">
            <v>#N/A</v>
          </cell>
          <cell r="AA1348" t="e">
            <v>#N/A</v>
          </cell>
          <cell r="AB1348" t="e">
            <v>#N/A</v>
          </cell>
          <cell r="AC1348" t="e">
            <v>#N/A</v>
          </cell>
          <cell r="AF1348" t="e">
            <v>#N/A</v>
          </cell>
        </row>
        <row r="1349">
          <cell r="V1349" t="e">
            <v>#N/A</v>
          </cell>
          <cell r="W1349" t="e">
            <v>#N/A</v>
          </cell>
          <cell r="AA1349" t="e">
            <v>#N/A</v>
          </cell>
          <cell r="AB1349" t="e">
            <v>#N/A</v>
          </cell>
          <cell r="AC1349" t="e">
            <v>#N/A</v>
          </cell>
          <cell r="AF1349" t="e">
            <v>#N/A</v>
          </cell>
        </row>
        <row r="1350">
          <cell r="V1350" t="e">
            <v>#N/A</v>
          </cell>
          <cell r="W1350" t="e">
            <v>#N/A</v>
          </cell>
          <cell r="AA1350" t="e">
            <v>#N/A</v>
          </cell>
          <cell r="AB1350" t="e">
            <v>#N/A</v>
          </cell>
          <cell r="AC1350" t="e">
            <v>#N/A</v>
          </cell>
          <cell r="AF1350" t="e">
            <v>#N/A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Book1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A - 1"/>
      <sheetName val="A - 2"/>
      <sheetName val="A - 2.1"/>
      <sheetName val="A - 4"/>
      <sheetName val="A - 5a"/>
      <sheetName val="A - 5b"/>
      <sheetName val="WPA-5"/>
      <sheetName val="WPA - 5a"/>
      <sheetName val="WPA - 5b"/>
      <sheetName val="B - 1"/>
      <sheetName val="B - 2"/>
      <sheetName val="B - 2.1"/>
      <sheetName val="WPB-2.1.1"/>
      <sheetName val="WPB - 2.1a"/>
      <sheetName val="WPB - 2.1b"/>
      <sheetName val="WPB - 2.1c"/>
      <sheetName val="WPB - 2.1d"/>
      <sheetName val="B - 3"/>
      <sheetName val="B - 4"/>
      <sheetName val="WPB - 4"/>
      <sheetName val="B - 5"/>
      <sheetName val="WPB - 5"/>
      <sheetName val="B - 6a"/>
      <sheetName val="B - 6b"/>
      <sheetName val="B - 7.2"/>
      <sheetName val="B - 8"/>
      <sheetName val="B - 8.1"/>
      <sheetName val="WPB - 8.1a1"/>
      <sheetName val="WPB - 8.1a2"/>
      <sheetName val="WPB - 8.1b"/>
      <sheetName val="B - 9"/>
      <sheetName val="WPB - 9a"/>
      <sheetName val="WPB - 9b"/>
      <sheetName val="B - 9.1"/>
      <sheetName val="B - 13"/>
      <sheetName val="WPB - 13.1"/>
      <sheetName val="WPB - 13b"/>
      <sheetName val="B - 14"/>
      <sheetName val="WPB - 14"/>
      <sheetName val="C - 1"/>
      <sheetName val="C - 2"/>
      <sheetName val="C - 2.1"/>
      <sheetName val="WPC - 2.1"/>
      <sheetName val="C - 2.2"/>
      <sheetName val="C - 2.3"/>
      <sheetName val="WPC - 2.3.1"/>
      <sheetName val="WPC - 2.3.2"/>
      <sheetName val="C - 2.4"/>
      <sheetName val="C - 2.5"/>
      <sheetName val="WPC - 2.5"/>
      <sheetName val="C - 2.6"/>
      <sheetName val="WPC - 2.6"/>
      <sheetName val="C - 2.7"/>
      <sheetName val="WPC - 2.7.1"/>
      <sheetName val="WPC - 2.7a"/>
      <sheetName val="WPC - 2.7.2"/>
      <sheetName val="WPC - 2.7.3"/>
      <sheetName val="WPC - 2.7d"/>
      <sheetName val="WPC - 2.7e"/>
      <sheetName val="C-2.8"/>
      <sheetName val="C - 2.9"/>
      <sheetName val="C - 2.10"/>
      <sheetName val="C - 2.11"/>
      <sheetName val="WPC - 2.11"/>
      <sheetName val="C - 2.12"/>
      <sheetName val="WPC - 2.12"/>
      <sheetName val="C - 2.13"/>
      <sheetName val="WPC - 2.13"/>
      <sheetName val="C - 3"/>
      <sheetName val="C - 4"/>
      <sheetName val="WPC - 4"/>
      <sheetName val="C - 5"/>
      <sheetName val="C - 5.1"/>
      <sheetName val="C - 5.2"/>
      <sheetName val="C - 5.3"/>
      <sheetName val="C - 5.4"/>
      <sheetName val="WPC - 5.4"/>
      <sheetName val="C - 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 - 10"/>
      <sheetName val="C - 10.1"/>
      <sheetName val="C - 11.1"/>
      <sheetName val="WPC - 11.1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3"/>
      <sheetName val="WPC - 11.3.1"/>
      <sheetName val="WPC - 11.3.2"/>
      <sheetName val="WPC - 11.3.3"/>
      <sheetName val="WPC - 11.3.4"/>
      <sheetName val="C - 12"/>
      <sheetName val="C - 13"/>
      <sheetName val="C - 14"/>
      <sheetName val="WPC - 14"/>
      <sheetName val="C - 16"/>
      <sheetName val="WPC - 16"/>
      <sheetName val="C - 17a"/>
      <sheetName val="C - 17b"/>
      <sheetName val="C - 17c"/>
      <sheetName val="C - 17d"/>
      <sheetName val="C - 18"/>
      <sheetName val="WPC-18a"/>
      <sheetName val="WPC-18b"/>
      <sheetName val="WPC-18c"/>
      <sheetName val="C - 19"/>
      <sheetName val="C-21"/>
      <sheetName val="C - 23"/>
      <sheetName val="WPC - 23"/>
      <sheetName val="C - 25"/>
      <sheetName val="C - 31"/>
    </sheetNames>
    <sheetDataSet>
      <sheetData sheetId="0" refreshError="1">
        <row r="89">
          <cell r="C89" t="str">
            <v>AmerenCILCO</v>
          </cell>
        </row>
        <row r="96">
          <cell r="C96" t="str">
            <v>For the Twelve Months Ended December 31, 2004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date"/>
      <sheetName val="2004 IS Actual"/>
      <sheetName val="2005 IS Plan"/>
      <sheetName val="2005 Actual"/>
      <sheetName val="2005 2+10 LE"/>
      <sheetName val="Blank"/>
      <sheetName val="EED IS"/>
      <sheetName val="EED IS Var B"/>
      <sheetName val="EED IS Var LE"/>
      <sheetName val="Blank1"/>
      <sheetName val="ComEd IS"/>
      <sheetName val="ComEd IS- Var 2 B"/>
      <sheetName val="ComEd IS- Var 2 LE"/>
      <sheetName val="Blank2"/>
      <sheetName val="PECO IS"/>
      <sheetName val="PECO IS- Var 2 B"/>
      <sheetName val="PECO IS- Var 2 LE"/>
      <sheetName val="Blank3"/>
      <sheetName val="EED BS "/>
      <sheetName val="EED BS Var B"/>
      <sheetName val="EED BS Var LE"/>
      <sheetName val="Blank4"/>
      <sheetName val="ComEd BS "/>
      <sheetName val="ComEd BS Var B"/>
      <sheetName val="ComEd BS Var LE"/>
      <sheetName val="Blank5"/>
      <sheetName val="PECO BS "/>
      <sheetName val="PECO BS Var B"/>
      <sheetName val="PECO BS Var LE"/>
      <sheetName val="Blank6"/>
      <sheetName val="EED CFS"/>
      <sheetName val="EED CFS Var B"/>
      <sheetName val="EED CFS Var LE"/>
      <sheetName val="Blank7"/>
      <sheetName val="ComEd CFS"/>
      <sheetName val="ComEd CFS Var B"/>
      <sheetName val="ComEd CFS Var LE"/>
      <sheetName val="Blank8"/>
      <sheetName val="PECO CFS"/>
      <sheetName val="PECO CFS Var B"/>
      <sheetName val="PECO CFS Var LE"/>
      <sheetName val="EED &gt;"/>
      <sheetName val="Blank9"/>
      <sheetName val="Blank10"/>
      <sheetName val="E O&amp;M VP M B"/>
      <sheetName val="E Cap VP M B"/>
      <sheetName val="E O&amp;M VP M LE"/>
      <sheetName val="E Cap VP M  LE"/>
      <sheetName val="E O&amp;M VP YTD B"/>
      <sheetName val="E Cap VP YTD B"/>
      <sheetName val="E O&amp;M VP FY B"/>
      <sheetName val="E Cap VP FY B"/>
      <sheetName val="E O&amp;M VP FY LE"/>
      <sheetName val="E Cap VP FY LE"/>
      <sheetName val="E O&amp;M RR"/>
      <sheetName val="E Cap RR"/>
      <sheetName val="E O&amp;M Category"/>
      <sheetName val="E Capital -Category"/>
      <sheetName val="E-Ops O&amp;M"/>
      <sheetName val="E-Ops O&amp;M R&amp;O"/>
      <sheetName val="E Ops Cap"/>
      <sheetName val="E Ops Cap R&amp;O"/>
      <sheetName val="E-TS O&amp;M"/>
      <sheetName val="E-TS O&amp;M R&amp;O"/>
      <sheetName val="E TS Cap"/>
      <sheetName val="E TS Cap R&amp;O"/>
      <sheetName val="E-C&amp;MS O&amp;M"/>
      <sheetName val="E-C&amp;MS O&amp;M R&amp;O"/>
      <sheetName val="E C&amp;MS Cap"/>
      <sheetName val="E C&amp;MS Cap R&amp;O"/>
      <sheetName val="E-CIMS O&amp;M"/>
      <sheetName val="E CIMS O&amp;M R&amp;O"/>
      <sheetName val="E CIMS Cap"/>
      <sheetName val="E CIMS Cap R&amp;O"/>
      <sheetName val="E-TO O&amp;M"/>
      <sheetName val="E-TO O&amp;M R&amp;O"/>
      <sheetName val="E TO Cap"/>
      <sheetName val="E TO Cap R&amp;O"/>
      <sheetName val="C-OFP O&amp;M"/>
      <sheetName val="C-OFP O&amp;M R&amp;O"/>
      <sheetName val="C OFP Cap"/>
      <sheetName val="C OFP Cap R&amp;O"/>
      <sheetName val="C Post 06 O&amp;M"/>
      <sheetName val="C-Post 06 O&amp;M R&amp;O"/>
      <sheetName val="C Post 06 Cap"/>
      <sheetName val="C Post 06 Cap R&amp;O"/>
      <sheetName val="P-OFP O&amp;M"/>
      <sheetName val="P-OFP O&amp;M R&amp;O"/>
      <sheetName val="P OFP Cap"/>
      <sheetName val="P OFP Cap R&amp;O"/>
      <sheetName val="Functional &gt;&gt;"/>
      <sheetName val="Blank9 (2)"/>
      <sheetName val="TOTAL O&amp;M"/>
      <sheetName val="TOTAL Cap"/>
      <sheetName val="Embedded O&amp;M"/>
      <sheetName val="Embedded Cap"/>
      <sheetName val="Finance-Sum O&amp;M"/>
      <sheetName val="Finance Sum Cap"/>
      <sheetName val="Finance O&amp;M"/>
      <sheetName val="Finance Cap"/>
      <sheetName val="Cont O&amp;M"/>
      <sheetName val="Cont Cap"/>
      <sheetName val="Tax O&amp;M"/>
      <sheetName val="Tax Cap"/>
      <sheetName val="HR O&amp;M"/>
      <sheetName val="Blank12"/>
      <sheetName val="IT O&amp;M"/>
      <sheetName val="IT Cap"/>
      <sheetName val="Legal O&amp;M"/>
      <sheetName val="Blank13"/>
      <sheetName val="Supply O&amp;M"/>
      <sheetName val="Supply Cap"/>
      <sheetName val="Com O&amp;M"/>
      <sheetName val="Blank14"/>
      <sheetName val="Allocated O&amp;M"/>
      <sheetName val="Allocated Cap"/>
      <sheetName val="Transactional"/>
      <sheetName val="ComED &gt;"/>
      <sheetName val="Blank15"/>
      <sheetName val="Blank16"/>
      <sheetName val="C O&amp;M VP M B"/>
      <sheetName val="C Cap VP M B"/>
      <sheetName val="C O&amp;M VP M LE"/>
      <sheetName val="C Cap VP M LE"/>
      <sheetName val="C O&amp;M VP Y B"/>
      <sheetName val="C Cap VP Y B"/>
      <sheetName val="C O&amp;M VP FY B"/>
      <sheetName val="C Cap VP FY B"/>
      <sheetName val="C O&amp;M VP FY LE"/>
      <sheetName val="C Cap VP FY LE"/>
      <sheetName val="C O&amp;M -Category"/>
      <sheetName val="C Capital-Category"/>
      <sheetName val="C Ops O&amp;M"/>
      <sheetName val="C Ops O&amp;M V"/>
      <sheetName val="C Ops Cap"/>
      <sheetName val="C Ops Cap V"/>
      <sheetName val="C-TS O&amp;M"/>
      <sheetName val="C TS O&amp;M V"/>
      <sheetName val="C TS Cap"/>
      <sheetName val="C TS Cap V"/>
      <sheetName val="C-C&amp;MS O&amp;M"/>
      <sheetName val="C C&amp;MS O&amp;M V"/>
      <sheetName val="C C&amp;MS Cap"/>
      <sheetName val="C C&amp;MS Cap V"/>
      <sheetName val="C-TO O&amp;M"/>
      <sheetName val="C TO O&amp;M V"/>
      <sheetName val="C TO Cap"/>
      <sheetName val="C TO Cap V"/>
      <sheetName val="PECO &gt;"/>
      <sheetName val="Blank17"/>
      <sheetName val="P O&amp;M VP M B"/>
      <sheetName val="P Cap VP M B"/>
      <sheetName val="P O&amp;M VP M LE"/>
      <sheetName val="P Cap VP M LE"/>
      <sheetName val="P O&amp;M VP Y B"/>
      <sheetName val="P Cap VP Y B"/>
      <sheetName val="P O&amp;M VP FY B"/>
      <sheetName val="P Cap VP FY B"/>
      <sheetName val="P O&amp;M VP FY LE"/>
      <sheetName val="P Cap M VP FY LE"/>
      <sheetName val="P O&amp;M-Category "/>
      <sheetName val="P Capital Category"/>
      <sheetName val="P-Ops O&amp;M"/>
      <sheetName val="P Ops O&amp;M V"/>
      <sheetName val="P Ops Cap"/>
      <sheetName val="P Ops Cap V"/>
      <sheetName val="P-TS O&amp;M"/>
      <sheetName val="P TS O&amp;M V"/>
      <sheetName val="P TS Cap"/>
      <sheetName val="P TS Cap V"/>
      <sheetName val="P-C&amp;MS O&amp;M"/>
      <sheetName val="P C&amp;MS O&amp;M V"/>
      <sheetName val="P C&amp;MS Cap"/>
      <sheetName val="P C&amp;MS Cap V"/>
      <sheetName val="P-CIMS O&amp;M "/>
      <sheetName val="P CIMS O&amp;M V"/>
      <sheetName val="P CIMS Cap"/>
      <sheetName val="P CIMS Cap V"/>
      <sheetName val="P-TO O&amp;M"/>
      <sheetName val="P TO O&amp;M V"/>
      <sheetName val="P TO Cap"/>
      <sheetName val="P TO Cap V"/>
      <sheetName val="RNF &gt;"/>
      <sheetName val="E Acc"/>
      <sheetName val="C Acc"/>
      <sheetName val="P Acc"/>
      <sheetName val="P Acc Elec"/>
      <sheetName val="P Acc Gas"/>
      <sheetName val="C Cust"/>
      <sheetName val="C Rev"/>
      <sheetName val="C Sales"/>
      <sheetName val="C Rates"/>
      <sheetName val="C PPA Price"/>
      <sheetName val="C PPA Vol"/>
      <sheetName val="C Trans"/>
      <sheetName val="P Elec Cust"/>
      <sheetName val="P Elec Rev"/>
      <sheetName val="P Elec Sales"/>
      <sheetName val="P Elec Rates"/>
      <sheetName val="P Elec PPA Price"/>
      <sheetName val="P Elec PPA Vol"/>
      <sheetName val="P Elec Trans"/>
      <sheetName val="P Gas Cust"/>
      <sheetName val="P Gas Rev"/>
      <sheetName val="P Gas Sales"/>
      <sheetName val="P Gas Rates"/>
      <sheetName val="Other P&amp;L &gt;"/>
      <sheetName val="EED Other Op Rev"/>
      <sheetName val="EED TOTI"/>
      <sheetName val="PECO TOTI"/>
      <sheetName val="ComEd TOTI"/>
      <sheetName val="EED Depr"/>
      <sheetName val="ComEd Depr "/>
      <sheetName val="PECO Depr"/>
      <sheetName val="EED Interest"/>
      <sheetName val="ComEd Interest"/>
      <sheetName val="ComEd Other Op Rev"/>
      <sheetName val="PECO Other Op Rev"/>
      <sheetName val="PECO Interest"/>
      <sheetName val="PECO Taxes"/>
      <sheetName val="Incentive &gt;"/>
      <sheetName val="AIP"/>
      <sheetName val="ENTERPRISES"/>
    </sheetNames>
    <sheetDataSet>
      <sheetData sheetId="0" refreshError="1">
        <row r="2">
          <cell r="B2" t="str">
            <v>April 2005</v>
          </cell>
        </row>
        <row r="3">
          <cell r="B3" t="str">
            <v>April 30, 2005</v>
          </cell>
        </row>
        <row r="4">
          <cell r="B4" t="str">
            <v>Balances as of April 30th</v>
          </cell>
        </row>
        <row r="5">
          <cell r="B5" t="str">
            <v>4+8 LE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_H"/>
      <sheetName val="CJ02AROACA"/>
      <sheetName val="CJ04AROACA"/>
      <sheetName val="CJ03AROACA"/>
      <sheetName val="CJ01AROACA"/>
      <sheetName val="CJ04ARCDCA"/>
      <sheetName val="CJ03ARCDCA"/>
      <sheetName val="CJ02ARCDCA"/>
      <sheetName val="CJ01ARCDCA"/>
      <sheetName val="Control"/>
      <sheetName val="Template"/>
      <sheetName val="Notes"/>
      <sheetName val="eSSLBufferPtr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5">
          <cell r="AI5" t="str">
            <v>10000NEGCASH</v>
          </cell>
        </row>
        <row r="6">
          <cell r="AI6" t="str">
            <v>10001BERMD8296</v>
          </cell>
        </row>
        <row r="7">
          <cell r="AI7" t="str">
            <v>10001WACHA5179</v>
          </cell>
        </row>
        <row r="8">
          <cell r="AI8" t="str">
            <v>10002MELNA9327</v>
          </cell>
        </row>
        <row r="9">
          <cell r="AI9" t="str">
            <v>10003BONEA0901</v>
          </cell>
        </row>
        <row r="10">
          <cell r="AI10" t="str">
            <v>10003BONEA5513</v>
          </cell>
        </row>
        <row r="11">
          <cell r="AI11" t="str">
            <v>10003FIFTH0467</v>
          </cell>
        </row>
        <row r="12">
          <cell r="AI12" t="str">
            <v>10003LASAL2259</v>
          </cell>
        </row>
        <row r="13">
          <cell r="AI13" t="str">
            <v>10003LASAL2309</v>
          </cell>
        </row>
        <row r="14">
          <cell r="AI14" t="str">
            <v>10003MELNA7552</v>
          </cell>
        </row>
        <row r="15">
          <cell r="AI15" t="str">
            <v>10003MELNA8337</v>
          </cell>
        </row>
        <row r="16">
          <cell r="AI16" t="str">
            <v>10003SCUDD2687</v>
          </cell>
        </row>
        <row r="17">
          <cell r="AI17" t="str">
            <v>10003SEWAY5301</v>
          </cell>
        </row>
        <row r="18">
          <cell r="AI18" t="str">
            <v>10003SEWAY6101</v>
          </cell>
        </row>
        <row r="19">
          <cell r="AI19" t="str">
            <v>10003SEWAY7601</v>
          </cell>
        </row>
        <row r="20">
          <cell r="AI20" t="str">
            <v>10003WACHA0123</v>
          </cell>
        </row>
        <row r="21">
          <cell r="AI21" t="str">
            <v>10003WACHA0818</v>
          </cell>
        </row>
        <row r="22">
          <cell r="AI22" t="str">
            <v>10004BONEA0627</v>
          </cell>
        </row>
        <row r="23">
          <cell r="AI23" t="str">
            <v>10004BONEA4682</v>
          </cell>
        </row>
        <row r="24">
          <cell r="AI24" t="str">
            <v>10004BONEA4922</v>
          </cell>
        </row>
        <row r="25">
          <cell r="AI25" t="str">
            <v>10004BONEA4930</v>
          </cell>
        </row>
        <row r="26">
          <cell r="AI26" t="str">
            <v>10004BONEA4948</v>
          </cell>
        </row>
        <row r="27">
          <cell r="AI27" t="str">
            <v>10004BONEA4955</v>
          </cell>
        </row>
        <row r="28">
          <cell r="AI28" t="str">
            <v>10004BONEA4963</v>
          </cell>
        </row>
        <row r="29">
          <cell r="AI29" t="str">
            <v>10004BONEA4971</v>
          </cell>
        </row>
        <row r="30">
          <cell r="AI30" t="str">
            <v>10004BONEA4989</v>
          </cell>
        </row>
        <row r="31">
          <cell r="AI31" t="str">
            <v>10004BONEA4997</v>
          </cell>
        </row>
        <row r="32">
          <cell r="AI32" t="str">
            <v>10004JPCHA6998</v>
          </cell>
        </row>
        <row r="33">
          <cell r="AI33" t="str">
            <v>10004LASAL2077</v>
          </cell>
        </row>
        <row r="34">
          <cell r="AI34" t="str">
            <v>10004LASAL2101</v>
          </cell>
        </row>
        <row r="35">
          <cell r="AI35" t="str">
            <v>10004LASAL2374</v>
          </cell>
        </row>
        <row r="36">
          <cell r="AI36" t="str">
            <v>10004MELNA3411</v>
          </cell>
        </row>
        <row r="37">
          <cell r="AI37" t="str">
            <v>10004MELNA7560</v>
          </cell>
        </row>
        <row r="38">
          <cell r="AI38" t="str">
            <v>10004PAINE0549</v>
          </cell>
        </row>
        <row r="39">
          <cell r="AI39" t="str">
            <v>10004WELLS5300</v>
          </cell>
        </row>
        <row r="40">
          <cell r="AI40" t="str">
            <v>10006BKNYA9170</v>
          </cell>
        </row>
        <row r="41">
          <cell r="AI41" t="str">
            <v>10006BKNYA9171</v>
          </cell>
        </row>
        <row r="42">
          <cell r="AI42" t="str">
            <v>10006LASAL7449</v>
          </cell>
        </row>
        <row r="43">
          <cell r="AI43" t="str">
            <v>10100BONEA0877</v>
          </cell>
        </row>
        <row r="44">
          <cell r="AI44" t="str">
            <v>10100BONEA5554</v>
          </cell>
        </row>
        <row r="45">
          <cell r="AI45" t="str">
            <v>10100CITIB3005</v>
          </cell>
        </row>
        <row r="46">
          <cell r="AI46" t="str">
            <v>10100FIFTH5383</v>
          </cell>
        </row>
        <row r="47">
          <cell r="AI47" t="str">
            <v>10100JPCHA8869</v>
          </cell>
        </row>
        <row r="48">
          <cell r="AI48" t="str">
            <v>10100LASAL2176</v>
          </cell>
        </row>
        <row r="49">
          <cell r="AI49" t="str">
            <v>10100LASAL2184</v>
          </cell>
        </row>
        <row r="50">
          <cell r="AI50" t="str">
            <v>10100LASAL2218</v>
          </cell>
        </row>
        <row r="51">
          <cell r="AI51" t="str">
            <v>10100LASAL2598</v>
          </cell>
        </row>
        <row r="52">
          <cell r="AI52" t="str">
            <v>10100MELNA7586</v>
          </cell>
        </row>
        <row r="53">
          <cell r="AI53" t="str">
            <v>10100MELNA8311</v>
          </cell>
        </row>
        <row r="54">
          <cell r="AI54" t="str">
            <v>10100SCUDD2670</v>
          </cell>
        </row>
        <row r="55">
          <cell r="AI55" t="str">
            <v>10100WACHA0149</v>
          </cell>
        </row>
        <row r="56">
          <cell r="AI56" t="str">
            <v>10100WACHA0834</v>
          </cell>
        </row>
        <row r="57">
          <cell r="AI57" t="str">
            <v>10101MELNA0301</v>
          </cell>
        </row>
        <row r="58">
          <cell r="AI58" t="str">
            <v>10102LASAL9589</v>
          </cell>
        </row>
        <row r="59">
          <cell r="AI59" t="str">
            <v>10102MELNA9881</v>
          </cell>
        </row>
        <row r="60">
          <cell r="AI60" t="str">
            <v>10103LASAL5989</v>
          </cell>
        </row>
        <row r="61">
          <cell r="AI61" t="str">
            <v>10103MELNA1101</v>
          </cell>
        </row>
        <row r="62">
          <cell r="AI62" t="str">
            <v>10103WACHA0110</v>
          </cell>
        </row>
        <row r="63">
          <cell r="AI63" t="str">
            <v>10103WACHA0805</v>
          </cell>
        </row>
        <row r="64">
          <cell r="AI64" t="str">
            <v>10105BONEA0943</v>
          </cell>
        </row>
        <row r="65">
          <cell r="AI65" t="str">
            <v>10105BONEA5596</v>
          </cell>
        </row>
        <row r="66">
          <cell r="AI66" t="str">
            <v>10105LASAL2200</v>
          </cell>
        </row>
        <row r="67">
          <cell r="AI67" t="str">
            <v>10105MELNA8329</v>
          </cell>
        </row>
        <row r="68">
          <cell r="AI68" t="str">
            <v>10105MELNA9195</v>
          </cell>
        </row>
        <row r="69">
          <cell r="AI69" t="str">
            <v>10105MELNA9211</v>
          </cell>
        </row>
        <row r="70">
          <cell r="AI70" t="str">
            <v>10105NORTH2080</v>
          </cell>
        </row>
        <row r="71">
          <cell r="AI71" t="str">
            <v>10105WACHA0152</v>
          </cell>
        </row>
        <row r="72">
          <cell r="AI72" t="str">
            <v>10105WACHA0178</v>
          </cell>
        </row>
        <row r="73">
          <cell r="AI73" t="str">
            <v>10105WACHA0847</v>
          </cell>
        </row>
        <row r="74">
          <cell r="AI74" t="str">
            <v>10105WACHA0850</v>
          </cell>
        </row>
        <row r="75">
          <cell r="AI75" t="str">
            <v>10105WELLS0800</v>
          </cell>
        </row>
        <row r="76">
          <cell r="AI76" t="str">
            <v>10106BERMD8317</v>
          </cell>
        </row>
        <row r="77">
          <cell r="AI77" t="str">
            <v>10106WACHA5182</v>
          </cell>
        </row>
        <row r="78">
          <cell r="AI78" t="str">
            <v>10110JPMOR2342</v>
          </cell>
        </row>
        <row r="79">
          <cell r="AI79" t="str">
            <v>10110LASAL5542</v>
          </cell>
        </row>
        <row r="80">
          <cell r="AI80" t="str">
            <v>10110MELNA0820</v>
          </cell>
        </row>
        <row r="81">
          <cell r="AI81" t="str">
            <v>10112LASAL2622</v>
          </cell>
        </row>
        <row r="82">
          <cell r="AI82" t="str">
            <v>10113LASAL2614</v>
          </cell>
        </row>
        <row r="83">
          <cell r="AI83" t="str">
            <v>10115JPMOR2335</v>
          </cell>
        </row>
        <row r="84">
          <cell r="AI84" t="str">
            <v>10115LASAL5559</v>
          </cell>
        </row>
        <row r="85">
          <cell r="AI85" t="str">
            <v>10115MELNA8295</v>
          </cell>
        </row>
        <row r="86">
          <cell r="AI86" t="str">
            <v>10116WACHA5221</v>
          </cell>
        </row>
        <row r="87">
          <cell r="AI87" t="str">
            <v>10118LASAL3745</v>
          </cell>
        </row>
        <row r="88">
          <cell r="AI88" t="str">
            <v>10118MELNA0317</v>
          </cell>
        </row>
        <row r="89">
          <cell r="AI89" t="str">
            <v>10118NORTH2078</v>
          </cell>
        </row>
        <row r="90">
          <cell r="AI90" t="str">
            <v>10118WELLS0700</v>
          </cell>
        </row>
        <row r="91">
          <cell r="AI91" t="str">
            <v>10125LASAL2838</v>
          </cell>
        </row>
        <row r="92">
          <cell r="AI92" t="str">
            <v>10125LASAL6177</v>
          </cell>
        </row>
        <row r="93">
          <cell r="AI93" t="str">
            <v>10137LASAL0979</v>
          </cell>
        </row>
        <row r="94">
          <cell r="AI94" t="str">
            <v>10137MELNA3881</v>
          </cell>
        </row>
        <row r="95">
          <cell r="AI95" t="str">
            <v>10137WACHA2696</v>
          </cell>
        </row>
        <row r="96">
          <cell r="AI96" t="str">
            <v>10140BONEA7238</v>
          </cell>
        </row>
        <row r="97">
          <cell r="AI97" t="str">
            <v>10140BONEA8905</v>
          </cell>
        </row>
        <row r="98">
          <cell r="AI98" t="str">
            <v>10140LASAL5195</v>
          </cell>
        </row>
        <row r="99">
          <cell r="AI99" t="str">
            <v>10140LASAL5203</v>
          </cell>
        </row>
        <row r="100">
          <cell r="AI100" t="str">
            <v>10140MELNA0523</v>
          </cell>
        </row>
        <row r="101">
          <cell r="AI101" t="str">
            <v>10140MELNA4066</v>
          </cell>
        </row>
        <row r="102">
          <cell r="AI102" t="str">
            <v>10140WACHA1329</v>
          </cell>
        </row>
        <row r="103">
          <cell r="AI103" t="str">
            <v>10140WACHA4624</v>
          </cell>
        </row>
        <row r="104">
          <cell r="AI104" t="str">
            <v>10141LASAL7175</v>
          </cell>
        </row>
        <row r="105">
          <cell r="AI105" t="str">
            <v>10142WELLS0815</v>
          </cell>
        </row>
        <row r="106">
          <cell r="AI106" t="str">
            <v>10143WELLS0765</v>
          </cell>
        </row>
        <row r="107">
          <cell r="AI107" t="str">
            <v>10144WELLS7394</v>
          </cell>
        </row>
        <row r="108">
          <cell r="AI108" t="str">
            <v>10145WELLS0799</v>
          </cell>
        </row>
        <row r="109">
          <cell r="AI109" t="str">
            <v>10146WELLS0690</v>
          </cell>
        </row>
        <row r="110">
          <cell r="AI110" t="str">
            <v>10147WELLS0716</v>
          </cell>
        </row>
        <row r="111">
          <cell r="AI111" t="str">
            <v>10148WELLS0732</v>
          </cell>
        </row>
        <row r="112">
          <cell r="AI112" t="str">
            <v>10149WELLS0666</v>
          </cell>
        </row>
        <row r="113">
          <cell r="AI113" t="str">
            <v>10150WELLS0682</v>
          </cell>
        </row>
        <row r="114">
          <cell r="AI114" t="str">
            <v>10151WELLS0575</v>
          </cell>
        </row>
        <row r="115">
          <cell r="AI115" t="str">
            <v>10152WELLS1417</v>
          </cell>
        </row>
        <row r="116">
          <cell r="AI116" t="str">
            <v>10153WELLS1433</v>
          </cell>
        </row>
        <row r="117">
          <cell r="AI117" t="str">
            <v>10154WELLS0534</v>
          </cell>
        </row>
        <row r="118">
          <cell r="AI118" t="str">
            <v>10155WELLS0559</v>
          </cell>
        </row>
        <row r="119">
          <cell r="AI119" t="str">
            <v>10156WELLS0492</v>
          </cell>
        </row>
        <row r="120">
          <cell r="AI120" t="str">
            <v>10157WELLS0518</v>
          </cell>
        </row>
        <row r="121">
          <cell r="AI121" t="str">
            <v>10158WELLS1284</v>
          </cell>
        </row>
        <row r="122">
          <cell r="AI122" t="str">
            <v>10159WELLS1235</v>
          </cell>
        </row>
        <row r="123">
          <cell r="AI123" t="str">
            <v>10160WELLS1250</v>
          </cell>
        </row>
        <row r="124">
          <cell r="AI124" t="str">
            <v>10161WELLS1177</v>
          </cell>
        </row>
        <row r="125">
          <cell r="AI125" t="str">
            <v>10162WELLS1193</v>
          </cell>
        </row>
        <row r="126">
          <cell r="AI126" t="str">
            <v>10163WELLS4614</v>
          </cell>
        </row>
        <row r="127">
          <cell r="AI127" t="str">
            <v>10164WELLS1700</v>
          </cell>
        </row>
        <row r="128">
          <cell r="AI128" t="str">
            <v>10165WELLS4622</v>
          </cell>
        </row>
        <row r="129">
          <cell r="AI129" t="str">
            <v>10166WELLS4630</v>
          </cell>
        </row>
        <row r="130">
          <cell r="AI130" t="str">
            <v>10167LASAL6714</v>
          </cell>
        </row>
        <row r="131">
          <cell r="AI131" t="str">
            <v>10167WACHA5112</v>
          </cell>
        </row>
        <row r="132">
          <cell r="AI132" t="str">
            <v>10174LASAL8918</v>
          </cell>
        </row>
        <row r="133">
          <cell r="AI133" t="str">
            <v>10176BONEA2341</v>
          </cell>
        </row>
        <row r="134">
          <cell r="AI134" t="str">
            <v>10176WACHA7067</v>
          </cell>
        </row>
        <row r="135">
          <cell r="AI135" t="str">
            <v>10178WACHA5247</v>
          </cell>
        </row>
        <row r="136">
          <cell r="AI136" t="str">
            <v>10179BONEA0893</v>
          </cell>
        </row>
        <row r="137">
          <cell r="AI137" t="str">
            <v>10179BONEA0903</v>
          </cell>
        </row>
        <row r="138">
          <cell r="AI138" t="str">
            <v>10179BONEA2647</v>
          </cell>
        </row>
        <row r="139">
          <cell r="AI139" t="str">
            <v>10179BONEA5562</v>
          </cell>
        </row>
        <row r="140">
          <cell r="AI140" t="str">
            <v>10179BONEA5759</v>
          </cell>
        </row>
        <row r="141">
          <cell r="AI141" t="str">
            <v>10179LASAL2358</v>
          </cell>
        </row>
        <row r="142">
          <cell r="AI142" t="str">
            <v>10179MELNA7693</v>
          </cell>
        </row>
        <row r="143">
          <cell r="AI143" t="str">
            <v>10180LASAL8744</v>
          </cell>
        </row>
        <row r="144">
          <cell r="AI144" t="str">
            <v>10180MELNA3998</v>
          </cell>
        </row>
        <row r="145">
          <cell r="AI145" t="str">
            <v>10200BANCO8195</v>
          </cell>
        </row>
        <row r="146">
          <cell r="AI146" t="str">
            <v>10200BANCO8390</v>
          </cell>
        </row>
        <row r="147">
          <cell r="AI147" t="str">
            <v>10200CITIB0479</v>
          </cell>
        </row>
        <row r="148">
          <cell r="AI148" t="str">
            <v>10200FIFTH5367</v>
          </cell>
        </row>
        <row r="149">
          <cell r="AI149" t="str">
            <v>10200JPCHA4470</v>
          </cell>
        </row>
        <row r="150">
          <cell r="AI150" t="str">
            <v>10200JPCHA6011</v>
          </cell>
        </row>
        <row r="151">
          <cell r="AI151" t="str">
            <v>10200JPCHA8883</v>
          </cell>
        </row>
        <row r="152">
          <cell r="AI152" t="str">
            <v>10200LASAL2150</v>
          </cell>
        </row>
        <row r="153">
          <cell r="AI153" t="str">
            <v>10200LASAL2168</v>
          </cell>
        </row>
        <row r="154">
          <cell r="AI154" t="str">
            <v>10200MELNA0012</v>
          </cell>
        </row>
        <row r="155">
          <cell r="AI155" t="str">
            <v>10200MELNA0020</v>
          </cell>
        </row>
        <row r="156">
          <cell r="AI156" t="str">
            <v>10200MELNA0548</v>
          </cell>
        </row>
        <row r="157">
          <cell r="AI157" t="str">
            <v>10200MELNA4661</v>
          </cell>
        </row>
        <row r="158">
          <cell r="AI158" t="str">
            <v>10200MELNA8303</v>
          </cell>
        </row>
        <row r="159">
          <cell r="AI159" t="str">
            <v>10200MELNA9980</v>
          </cell>
        </row>
        <row r="160">
          <cell r="AI160" t="str">
            <v>10200SCUDD2638</v>
          </cell>
        </row>
        <row r="161">
          <cell r="AI161" t="str">
            <v>10200WACHA0107</v>
          </cell>
        </row>
        <row r="162">
          <cell r="AI162" t="str">
            <v>10200WACHA0323</v>
          </cell>
        </row>
        <row r="163">
          <cell r="AI163" t="str">
            <v>10200WACHA0350</v>
          </cell>
        </row>
        <row r="164">
          <cell r="AI164" t="str">
            <v>10200WACHA0795</v>
          </cell>
        </row>
        <row r="165">
          <cell r="AI165" t="str">
            <v>10206WACHA9687</v>
          </cell>
        </row>
        <row r="166">
          <cell r="AI166" t="str">
            <v>10207WACHA9674</v>
          </cell>
        </row>
        <row r="167">
          <cell r="AI167" t="str">
            <v>10222LASAL2325</v>
          </cell>
        </row>
        <row r="168">
          <cell r="AI168" t="str">
            <v>10300BONEA0851</v>
          </cell>
        </row>
        <row r="169">
          <cell r="AI169" t="str">
            <v>10300BONEA5547</v>
          </cell>
        </row>
        <row r="170">
          <cell r="AI170" t="str">
            <v>10300LASAL2226</v>
          </cell>
        </row>
        <row r="171">
          <cell r="AI171" t="str">
            <v>10300LASAL2234</v>
          </cell>
        </row>
        <row r="172">
          <cell r="AI172" t="str">
            <v>10300MELNA7578</v>
          </cell>
        </row>
        <row r="173">
          <cell r="AI173" t="str">
            <v>10300WACHA0136</v>
          </cell>
        </row>
        <row r="174">
          <cell r="AI174" t="str">
            <v>10300WACHA0821</v>
          </cell>
        </row>
        <row r="175">
          <cell r="AI175" t="str">
            <v>10301LASAL2317</v>
          </cell>
        </row>
        <row r="176">
          <cell r="AI176" t="str">
            <v>10302MELNA8649</v>
          </cell>
        </row>
        <row r="177">
          <cell r="AI177" t="str">
            <v>10303MELNA0648</v>
          </cell>
        </row>
        <row r="178">
          <cell r="AI178" t="str">
            <v>10304LASAL2333</v>
          </cell>
        </row>
        <row r="179">
          <cell r="AI179" t="str">
            <v>10306NATCY7798</v>
          </cell>
        </row>
        <row r="180">
          <cell r="AI180" t="str">
            <v>10306OAKBK1400</v>
          </cell>
        </row>
        <row r="181">
          <cell r="AI181" t="str">
            <v>10306OAKBK9400</v>
          </cell>
        </row>
        <row r="182">
          <cell r="AI182" t="str">
            <v>10306USBNK8016</v>
          </cell>
        </row>
        <row r="183">
          <cell r="AI183" t="str">
            <v>10307LASAL2242</v>
          </cell>
        </row>
        <row r="184">
          <cell r="AI184" t="str">
            <v>10309BONEA5139</v>
          </cell>
        </row>
        <row r="185">
          <cell r="AI185" t="str">
            <v>10309BONEA7180</v>
          </cell>
        </row>
        <row r="186">
          <cell r="AI186" t="str">
            <v>10309BONEA7237</v>
          </cell>
        </row>
        <row r="187">
          <cell r="AI187" t="str">
            <v>10309PAINE13627</v>
          </cell>
        </row>
        <row r="188">
          <cell r="AI188" t="str">
            <v>10309PAINE3627</v>
          </cell>
        </row>
        <row r="189">
          <cell r="AI189" t="str">
            <v>10309TDCAN9957</v>
          </cell>
        </row>
        <row r="190">
          <cell r="AI190" t="str">
            <v>10309TDCAN9965</v>
          </cell>
        </row>
        <row r="191">
          <cell r="AI191" t="str">
            <v>10316LASAL7431</v>
          </cell>
        </row>
        <row r="192">
          <cell r="AI192" t="str">
            <v>10320BERMD8261</v>
          </cell>
        </row>
        <row r="193">
          <cell r="AI193" t="str">
            <v>10320PAINE0565</v>
          </cell>
        </row>
        <row r="194">
          <cell r="AI194" t="str">
            <v>10320WACHA5195</v>
          </cell>
        </row>
        <row r="195">
          <cell r="AI195" t="str">
            <v>10321BERMD9424</v>
          </cell>
        </row>
        <row r="196">
          <cell r="AI196" t="str">
            <v>10321PAINE0568</v>
          </cell>
        </row>
        <row r="197">
          <cell r="AI197" t="str">
            <v>10321WACHA5205</v>
          </cell>
        </row>
        <row r="198">
          <cell r="AI198" t="str">
            <v>10322LASAL6706</v>
          </cell>
        </row>
        <row r="199">
          <cell r="AI199" t="str">
            <v>10322MELNA3551</v>
          </cell>
        </row>
        <row r="200">
          <cell r="AI200" t="str">
            <v>10322MELNA3569</v>
          </cell>
        </row>
        <row r="201">
          <cell r="AI201" t="str">
            <v>10322MELNA3692</v>
          </cell>
        </row>
        <row r="202">
          <cell r="AI202" t="str">
            <v>10322MELNA3734</v>
          </cell>
        </row>
        <row r="203">
          <cell r="AI203" t="str">
            <v>10322SOVBK7045</v>
          </cell>
        </row>
        <row r="204">
          <cell r="AI204" t="str">
            <v>10322WACHA0627</v>
          </cell>
        </row>
        <row r="205">
          <cell r="AI205" t="str">
            <v>10322WACHA3319</v>
          </cell>
        </row>
        <row r="206">
          <cell r="AI206" t="str">
            <v>10322WACHA8305</v>
          </cell>
        </row>
        <row r="207">
          <cell r="AI207" t="str">
            <v>10322WACHA9063</v>
          </cell>
        </row>
        <row r="208">
          <cell r="AI208" t="str">
            <v>10323WACHA5864</v>
          </cell>
        </row>
        <row r="209">
          <cell r="AI209" t="str">
            <v>10324LASAL7159</v>
          </cell>
        </row>
        <row r="210">
          <cell r="AI210" t="str">
            <v>10333MELNA8198</v>
          </cell>
        </row>
        <row r="211">
          <cell r="AI211" t="str">
            <v>10351LASAL6730</v>
          </cell>
        </row>
        <row r="212">
          <cell r="AI212" t="str">
            <v>10352LASAL6748</v>
          </cell>
        </row>
        <row r="213">
          <cell r="AI213" t="str">
            <v>10353LASAL0839</v>
          </cell>
        </row>
        <row r="214">
          <cell r="AI214" t="str">
            <v>10354FLEET5995</v>
          </cell>
        </row>
        <row r="215">
          <cell r="AI215" t="str">
            <v>10401MELNA7438</v>
          </cell>
        </row>
        <row r="216">
          <cell r="AI216" t="str">
            <v>10401WELLS3700</v>
          </cell>
        </row>
        <row r="217">
          <cell r="AI217" t="str">
            <v>10405WELLS5100</v>
          </cell>
        </row>
        <row r="218">
          <cell r="AI218" t="str">
            <v>10406JPMOR2656</v>
          </cell>
        </row>
        <row r="219">
          <cell r="AI219" t="str">
            <v>10406MELNA7602</v>
          </cell>
        </row>
        <row r="220">
          <cell r="AI220" t="str">
            <v>10407LASAL2069</v>
          </cell>
        </row>
        <row r="221">
          <cell r="AI221" t="str">
            <v>10407WELLS4900</v>
          </cell>
        </row>
        <row r="222">
          <cell r="AI222" t="str">
            <v>10525WACHA4908</v>
          </cell>
        </row>
        <row r="223">
          <cell r="AI223" t="str">
            <v>10526LASAL5013</v>
          </cell>
        </row>
        <row r="224">
          <cell r="AI224" t="str">
            <v>10526WACHA8765</v>
          </cell>
        </row>
        <row r="225">
          <cell r="AI225" t="str">
            <v>10527LASAL5229</v>
          </cell>
        </row>
        <row r="226">
          <cell r="AI226" t="str">
            <v>1053610536NOACCT#</v>
          </cell>
        </row>
        <row r="227">
          <cell r="AI227" t="str">
            <v>10536NOACCT3</v>
          </cell>
        </row>
        <row r="228">
          <cell r="AI228" t="str">
            <v>1053710537NOACCT#</v>
          </cell>
        </row>
        <row r="229">
          <cell r="AI229" t="str">
            <v>1053910539NOACCT#</v>
          </cell>
        </row>
        <row r="230">
          <cell r="AI230" t="str">
            <v>1054010540NOACCT#</v>
          </cell>
        </row>
        <row r="231">
          <cell r="AI231" t="str">
            <v>10601BANCO8203</v>
          </cell>
        </row>
        <row r="232">
          <cell r="AI232" t="str">
            <v>10601BANCO8408</v>
          </cell>
        </row>
        <row r="233">
          <cell r="AI233" t="str">
            <v>10601BKNYA5229</v>
          </cell>
        </row>
        <row r="234">
          <cell r="AI234" t="str">
            <v>10601BKNYA6739</v>
          </cell>
        </row>
        <row r="235">
          <cell r="AI235" t="str">
            <v>10601BKNYA6740</v>
          </cell>
        </row>
        <row r="236">
          <cell r="AI236" t="str">
            <v>10601BKNYA6742</v>
          </cell>
        </row>
        <row r="237">
          <cell r="AI237" t="str">
            <v>10601BKNYA6744</v>
          </cell>
        </row>
        <row r="238">
          <cell r="AI238" t="str">
            <v>10601BONEA0122</v>
          </cell>
        </row>
        <row r="239">
          <cell r="AI239" t="str">
            <v>10601BONEA0364</v>
          </cell>
        </row>
        <row r="240">
          <cell r="AI240" t="str">
            <v>10601BONEA0474</v>
          </cell>
        </row>
        <row r="241">
          <cell r="AI241" t="str">
            <v>10601BONEA0836</v>
          </cell>
        </row>
        <row r="242">
          <cell r="AI242" t="str">
            <v>10601BONEA1459</v>
          </cell>
        </row>
        <row r="243">
          <cell r="AI243" t="str">
            <v>10601BONEA2916</v>
          </cell>
        </row>
        <row r="244">
          <cell r="AI244" t="str">
            <v>10601BONEA5521</v>
          </cell>
        </row>
        <row r="245">
          <cell r="AI245" t="str">
            <v>10601BONEA6390</v>
          </cell>
        </row>
        <row r="246">
          <cell r="AI246" t="str">
            <v>10601CITIB8622</v>
          </cell>
        </row>
        <row r="247">
          <cell r="AI247" t="str">
            <v>10601DECAT7901</v>
          </cell>
        </row>
        <row r="248">
          <cell r="AI248" t="str">
            <v>10601FIFTH0194</v>
          </cell>
        </row>
        <row r="249">
          <cell r="AI249" t="str">
            <v>10601FIFTH5359</v>
          </cell>
        </row>
        <row r="250">
          <cell r="AI250" t="str">
            <v>10601FIFTH5554</v>
          </cell>
        </row>
        <row r="251">
          <cell r="AI251" t="str">
            <v>10601HARIA1766</v>
          </cell>
        </row>
        <row r="252">
          <cell r="AI252" t="str">
            <v>10601JPCHA1774</v>
          </cell>
        </row>
        <row r="253">
          <cell r="AI253" t="str">
            <v>10601JPCHA4182</v>
          </cell>
        </row>
        <row r="254">
          <cell r="AI254" t="str">
            <v>10601LASAL2119</v>
          </cell>
        </row>
        <row r="255">
          <cell r="AI255" t="str">
            <v>10601LASAL2127</v>
          </cell>
        </row>
        <row r="256">
          <cell r="AI256" t="str">
            <v>10601LASAL4181</v>
          </cell>
        </row>
        <row r="257">
          <cell r="AI257" t="str">
            <v>10601LAWDL8806</v>
          </cell>
        </row>
        <row r="258">
          <cell r="AI258" t="str">
            <v>10601MELNA7446</v>
          </cell>
        </row>
        <row r="259">
          <cell r="AI259" t="str">
            <v>10601MELNA7859</v>
          </cell>
        </row>
        <row r="260">
          <cell r="AI260" t="str">
            <v>10601SCUDD2666</v>
          </cell>
        </row>
        <row r="261">
          <cell r="AI261" t="str">
            <v>10601WELLS1600</v>
          </cell>
        </row>
        <row r="262">
          <cell r="AI262" t="str">
            <v>10602LASAL2135</v>
          </cell>
        </row>
        <row r="263">
          <cell r="AI263" t="str">
            <v>10602MELNA7503</v>
          </cell>
        </row>
        <row r="264">
          <cell r="AI264" t="str">
            <v>10602WELLS3600</v>
          </cell>
        </row>
        <row r="265">
          <cell r="AI265" t="str">
            <v>10607BKMON4456</v>
          </cell>
        </row>
        <row r="266">
          <cell r="AI266" t="str">
            <v>10608BKMON4464</v>
          </cell>
        </row>
        <row r="267">
          <cell r="AI267" t="str">
            <v>10666WACHA5218</v>
          </cell>
        </row>
        <row r="268">
          <cell r="AI268" t="str">
            <v>10777LASAL2192</v>
          </cell>
        </row>
        <row r="269">
          <cell r="AI269" t="str">
            <v>10777MELNA6018</v>
          </cell>
        </row>
        <row r="270">
          <cell r="AI270" t="str">
            <v>10777PAINE5967</v>
          </cell>
        </row>
        <row r="271">
          <cell r="AI271" t="str">
            <v>10777WACHA0181</v>
          </cell>
        </row>
        <row r="272">
          <cell r="AI272" t="str">
            <v>10777WACHA0889</v>
          </cell>
        </row>
        <row r="273">
          <cell r="AI273" t="str">
            <v>WDACTCHASE5037</v>
          </cell>
        </row>
        <row r="274">
          <cell r="AI274" t="str">
            <v>WDACTCHASE5045</v>
          </cell>
        </row>
        <row r="275">
          <cell r="AI275" t="str">
            <v>WDACTCHASE5053</v>
          </cell>
        </row>
        <row r="276">
          <cell r="AI276" t="str">
            <v>WDACTLASAL2275</v>
          </cell>
        </row>
        <row r="277">
          <cell r="AI277" t="str">
            <v>WDACTMELNA7453</v>
          </cell>
        </row>
        <row r="278">
          <cell r="AI278" t="str">
            <v>WLTDULASAL2291</v>
          </cell>
        </row>
        <row r="279">
          <cell r="AI279" t="str">
            <v>WLTDUMELNA7479</v>
          </cell>
        </row>
        <row r="280">
          <cell r="AI280" t="str">
            <v>WMACTLASAL2267</v>
          </cell>
        </row>
        <row r="281">
          <cell r="AI281" t="str">
            <v>WMACTMELNA7461</v>
          </cell>
        </row>
        <row r="282">
          <cell r="AI282" t="str">
            <v>WSAFENORTH3593</v>
          </cell>
        </row>
        <row r="283">
          <cell r="AI283" t="str">
            <v>WVACTLASAL2283</v>
          </cell>
        </row>
        <row r="284">
          <cell r="AI284" t="str">
            <v>WVACTMELNA7487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Summary by BU_Acct &amp; Reas Code"/>
      <sheetName val="Summary by BU &amp; Reason Code"/>
      <sheetName val="Summary Account Category by BU"/>
      <sheetName val="Summary by Reason Code "/>
      <sheetName val="Summary Account Category"/>
      <sheetName val="Summary Report by Yr &amp; Category"/>
      <sheetName val="Sum. Rpt by Yr,Cat&amp;Reason Code"/>
      <sheetName val="Summary _New Technology"/>
      <sheetName val="Allocation of Corporate"/>
      <sheetName val="Summay New Tech by BU"/>
      <sheetName val="New Tech by IT Cat &amp; BU"/>
      <sheetName val="Valid Table Values"/>
      <sheetName val="New Technology by IT Category"/>
      <sheetName val="New Technology_2007"/>
      <sheetName val="New Technology_2008"/>
      <sheetName val="New Technology_2009"/>
      <sheetName val="New Technology_2010"/>
      <sheetName val="New Technology_2011"/>
      <sheetName val="Allocation to Projects"/>
      <sheetName val="Existing Technology_Price"/>
      <sheetName val="Existing Technology_Volume"/>
      <sheetName val="Internal Transfers"/>
      <sheetName val="External Transfers"/>
      <sheetName val="Input Section"/>
      <sheetName val="Reason Code Examp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ce Sheet"/>
      <sheetName val="Report "/>
      <sheetName val="98LTIP&lt;500m"/>
      <sheetName val="98LTIP500m-1b"/>
      <sheetName val="98LTIP1b-3b"/>
      <sheetName val="98LTIP3b-6b"/>
      <sheetName val="98LTIP6b-10b"/>
      <sheetName val="98LTIP&gt;10b"/>
      <sheetName val="98LTIPALL"/>
      <sheetName val="97LTIPBank"/>
      <sheetName val="97LTIPIns"/>
      <sheetName val="97LTIPFinAll"/>
      <sheetName val="Main Menu"/>
      <sheetName val="Instructions"/>
      <sheetName val="Author"/>
      <sheetName val="Template Management"/>
      <sheetName val="Data"/>
      <sheetName val="Footnotes"/>
      <sheetName val="Black-Scholes Inputs"/>
      <sheetName val="Risk-free Rates"/>
      <sheetName val="Stock Options"/>
      <sheetName val="Restricted Shares"/>
      <sheetName val="Performance Plan"/>
      <sheetName val="Peer Group"/>
      <sheetName val="Print Menu"/>
      <sheetName val="BS Listings - Helen"/>
      <sheetName val="HardCoded Data"/>
      <sheetName val="HardCoded Data (2)"/>
      <sheetName val="Financial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7">
          <cell r="A7">
            <v>60000</v>
          </cell>
          <cell r="B7">
            <v>80000</v>
          </cell>
          <cell r="C7">
            <v>0.15</v>
          </cell>
          <cell r="D7">
            <v>0.17</v>
          </cell>
        </row>
        <row r="8">
          <cell r="A8">
            <v>80000</v>
          </cell>
          <cell r="B8">
            <v>100000</v>
          </cell>
          <cell r="C8">
            <v>0.17</v>
          </cell>
          <cell r="D8">
            <v>0.24</v>
          </cell>
        </row>
        <row r="9">
          <cell r="A9">
            <v>100000</v>
          </cell>
          <cell r="B9">
            <v>125000</v>
          </cell>
          <cell r="C9">
            <v>0.24</v>
          </cell>
          <cell r="D9">
            <v>0.36</v>
          </cell>
        </row>
        <row r="10">
          <cell r="A10">
            <v>125000</v>
          </cell>
          <cell r="B10">
            <v>150000</v>
          </cell>
          <cell r="C10">
            <v>0.36</v>
          </cell>
          <cell r="D10">
            <v>0.54</v>
          </cell>
        </row>
        <row r="11">
          <cell r="A11">
            <v>150000</v>
          </cell>
          <cell r="B11">
            <v>180000</v>
          </cell>
          <cell r="C11">
            <v>0.54</v>
          </cell>
          <cell r="D11">
            <v>0.75</v>
          </cell>
        </row>
        <row r="12">
          <cell r="A12">
            <v>180000</v>
          </cell>
          <cell r="B12">
            <v>220000</v>
          </cell>
          <cell r="C12">
            <v>0.75</v>
          </cell>
          <cell r="D12">
            <v>1</v>
          </cell>
        </row>
        <row r="13">
          <cell r="A13">
            <v>220000</v>
          </cell>
          <cell r="B13">
            <v>270000</v>
          </cell>
          <cell r="C13">
            <v>1</v>
          </cell>
          <cell r="D13">
            <v>1.2</v>
          </cell>
        </row>
        <row r="14">
          <cell r="A14">
            <v>270000</v>
          </cell>
          <cell r="B14">
            <v>330000</v>
          </cell>
          <cell r="C14">
            <v>1.2</v>
          </cell>
          <cell r="D14">
            <v>1.61</v>
          </cell>
        </row>
        <row r="15">
          <cell r="A15">
            <v>330000</v>
          </cell>
          <cell r="B15">
            <v>430000</v>
          </cell>
          <cell r="C15">
            <v>1.61</v>
          </cell>
          <cell r="D15">
            <v>1.88</v>
          </cell>
        </row>
        <row r="16">
          <cell r="A16">
            <v>430000</v>
          </cell>
          <cell r="B16">
            <v>500000</v>
          </cell>
          <cell r="C16">
            <v>1.88</v>
          </cell>
          <cell r="D16">
            <v>2.74</v>
          </cell>
        </row>
        <row r="17">
          <cell r="A17">
            <v>500000</v>
          </cell>
          <cell r="B17">
            <v>99999999</v>
          </cell>
          <cell r="C17">
            <v>2.74</v>
          </cell>
          <cell r="D17">
            <v>2.74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UP"/>
      <sheetName val="Table of Contents"/>
      <sheetName val="1-IncStmt-MTH"/>
      <sheetName val="2-IncStmt-QTR"/>
      <sheetName val="3-IncStmt-YTD"/>
      <sheetName val="4-Other Net Detail"/>
      <sheetName val="5-MD&amp;A_EBIT"/>
      <sheetName val="6-not used"/>
      <sheetName val="7-Capital Structure "/>
      <sheetName val="8-Balance Sheet"/>
      <sheetName val="9-Other BS Detail"/>
      <sheetName val="10-Cash Flow Detail"/>
      <sheetName val="11-Summary Cash Flow"/>
      <sheetName val="12-SCF - Other Line Item Detail"/>
      <sheetName val="13-PPE"/>
      <sheetName val="14-Investments"/>
      <sheetName val="15-LTD"/>
      <sheetName val="16-GW Amort and Other Assets"/>
      <sheetName val="17-Equity Rollforward"/>
      <sheetName val="18-Footnote Disclosures"/>
      <sheetName val="19-Schedule II - Valuations"/>
      <sheetName val="20-Statistics -QTR"/>
      <sheetName val="21-Statistics - YTD"/>
      <sheetName val="22-Add'l Info"/>
    </sheetNames>
    <sheetDataSet>
      <sheetData sheetId="0" refreshError="1">
        <row r="11">
          <cell r="C11" t="str">
            <v>Dec 31 ,2001</v>
          </cell>
        </row>
        <row r="21">
          <cell r="C21" t="str">
            <v>Dec. 31, 2000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imated Retirements"/>
      <sheetName val="Gas CapEx Forecast"/>
      <sheetName val="Bdgt PJF to Acct."/>
      <sheetName val="WO Type Id PJF Acct"/>
      <sheetName val="Sheet1"/>
      <sheetName val="Gas CapEx by WO w Est"/>
    </sheetNames>
    <sheetDataSet>
      <sheetData sheetId="0" refreshError="1">
        <row r="10">
          <cell r="B10">
            <v>23501</v>
          </cell>
          <cell r="C10" t="str">
            <v>(350.1)  Land</v>
          </cell>
          <cell r="D10">
            <v>0</v>
          </cell>
          <cell r="E10">
            <v>0</v>
          </cell>
          <cell r="F10"/>
          <cell r="G10"/>
          <cell r="H10">
            <v>0</v>
          </cell>
        </row>
        <row r="11">
          <cell r="B11">
            <v>23502</v>
          </cell>
          <cell r="C11" t="str">
            <v>(350.2)  Rights-of-Way</v>
          </cell>
          <cell r="D11"/>
          <cell r="E11"/>
          <cell r="F11"/>
          <cell r="G11"/>
          <cell r="H11"/>
        </row>
        <row r="12">
          <cell r="B12">
            <v>23510</v>
          </cell>
          <cell r="C12" t="str">
            <v>(351)  Structures and Improvements</v>
          </cell>
          <cell r="D12">
            <v>3.4168491212253543E-2</v>
          </cell>
          <cell r="E12">
            <v>3.7891992424733303E-2</v>
          </cell>
          <cell r="F12">
            <v>0.10046018179184249</v>
          </cell>
          <cell r="G12">
            <v>3.0408541376221527E-2</v>
          </cell>
          <cell r="H12">
            <v>5.6106078373258763E-3</v>
          </cell>
        </row>
        <row r="13">
          <cell r="B13">
            <v>23520</v>
          </cell>
          <cell r="C13" t="str">
            <v>(352)  Wells</v>
          </cell>
          <cell r="D13">
            <v>1.3677359035112751E-2</v>
          </cell>
          <cell r="E13">
            <v>1.3819269143198067E-2</v>
          </cell>
          <cell r="F13">
            <v>2.5526375486415271</v>
          </cell>
          <cell r="G13">
            <v>5.7058940355559338E-4</v>
          </cell>
          <cell r="H13">
            <v>0</v>
          </cell>
        </row>
        <row r="14">
          <cell r="B14">
            <v>23521</v>
          </cell>
          <cell r="C14" t="str">
            <v>(352.1)  Storage Leaseholds and Rights</v>
          </cell>
          <cell r="D14"/>
          <cell r="E14"/>
          <cell r="F14"/>
          <cell r="G14"/>
          <cell r="H14"/>
        </row>
        <row r="15">
          <cell r="B15">
            <v>23520</v>
          </cell>
          <cell r="C15" t="str">
            <v>(352.2)  Reservoirs</v>
          </cell>
          <cell r="D15"/>
          <cell r="E15"/>
          <cell r="F15"/>
          <cell r="G15"/>
          <cell r="H15"/>
        </row>
        <row r="16">
          <cell r="B16">
            <v>23523</v>
          </cell>
          <cell r="C16" t="str">
            <v>(352.3)  Non-recoverable Natural Gas</v>
          </cell>
          <cell r="D16">
            <v>7.3169997250747834E-4</v>
          </cell>
          <cell r="E16"/>
          <cell r="F16"/>
          <cell r="G16"/>
          <cell r="H16">
            <v>0</v>
          </cell>
        </row>
        <row r="17">
          <cell r="B17">
            <v>23530</v>
          </cell>
          <cell r="C17" t="str">
            <v>(353)  Lines</v>
          </cell>
          <cell r="D17">
            <v>0.14085432134419537</v>
          </cell>
          <cell r="E17">
            <v>0.15470239292968924</v>
          </cell>
          <cell r="F17">
            <v>18.099089448312803</v>
          </cell>
          <cell r="G17">
            <v>2.7842301025607884E-3</v>
          </cell>
          <cell r="H17">
            <v>2.6426521266615266E-2</v>
          </cell>
        </row>
        <row r="18">
          <cell r="B18">
            <v>23540</v>
          </cell>
          <cell r="C18" t="str">
            <v>(354)  Compressor Station Equipment</v>
          </cell>
          <cell r="D18">
            <v>0.10086530493864912</v>
          </cell>
          <cell r="E18">
            <v>0.10988986858210646</v>
          </cell>
          <cell r="F18">
            <v>0.42589424557552791</v>
          </cell>
          <cell r="G18">
            <v>9.3735689710124602E-3</v>
          </cell>
          <cell r="H18">
            <v>5.5702194872544006E-2</v>
          </cell>
        </row>
        <row r="19">
          <cell r="B19">
            <v>23550</v>
          </cell>
          <cell r="C19" t="str">
            <v>(355)  Measuring and Reg. Equipment</v>
          </cell>
          <cell r="D19">
            <v>2.6872308192463831E-2</v>
          </cell>
          <cell r="E19"/>
          <cell r="F19">
            <v>0.41906984196475516</v>
          </cell>
          <cell r="G19"/>
          <cell r="H19">
            <v>-3.7756355782547369E-3</v>
          </cell>
        </row>
        <row r="20">
          <cell r="B20">
            <v>23560</v>
          </cell>
          <cell r="C20" t="str">
            <v>(356)  Purification Equipment</v>
          </cell>
          <cell r="D20">
            <v>6.5650296205265787E-2</v>
          </cell>
          <cell r="E20">
            <v>6.4306164764033488E-2</v>
          </cell>
          <cell r="F20">
            <v>0.44950620587596152</v>
          </cell>
          <cell r="G20">
            <v>2.702547220833889E-2</v>
          </cell>
          <cell r="H20">
            <v>0.13781556550857393</v>
          </cell>
        </row>
        <row r="21">
          <cell r="B21">
            <v>23570</v>
          </cell>
          <cell r="C21" t="str">
            <v>(357)  Other Equipment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</row>
        <row r="22">
          <cell r="C22" t="str">
            <v>TOTAL Underground Storage Plant (Enter Total of lines 42 thru 53)</v>
          </cell>
          <cell r="D22">
            <v>5.3459278733491322E-2</v>
          </cell>
          <cell r="E22">
            <v>0.18542590246597873</v>
          </cell>
          <cell r="F22">
            <v>0.48735113277161152</v>
          </cell>
          <cell r="G22">
            <v>4.3366814355107405E-2</v>
          </cell>
          <cell r="H22">
            <v>3.2864894252638008E-3</v>
          </cell>
        </row>
        <row r="24">
          <cell r="C24" t="str">
            <v>4.  TRANSMISSION PLANT</v>
          </cell>
          <cell r="G24"/>
        </row>
        <row r="25">
          <cell r="B25">
            <v>23651</v>
          </cell>
          <cell r="C25" t="str">
            <v>(365.1)  Land and Land Rights</v>
          </cell>
          <cell r="D25">
            <v>5.1839320612319158E-3</v>
          </cell>
          <cell r="E25">
            <v>5.6686738092503568E-3</v>
          </cell>
          <cell r="F25">
            <v>1382</v>
          </cell>
          <cell r="G25">
            <v>1.3289854180766627E-3</v>
          </cell>
          <cell r="H25">
            <v>0</v>
          </cell>
        </row>
        <row r="26">
          <cell r="B26">
            <v>23652</v>
          </cell>
          <cell r="C26" t="str">
            <v>(365.2)  Rights-of-Way</v>
          </cell>
          <cell r="D26">
            <v>3.3922775907327756E-3</v>
          </cell>
          <cell r="E26">
            <v>0</v>
          </cell>
          <cell r="F26">
            <v>0</v>
          </cell>
          <cell r="G26">
            <v>0</v>
          </cell>
          <cell r="H26"/>
        </row>
        <row r="27">
          <cell r="B27">
            <v>23660</v>
          </cell>
          <cell r="C27" t="str">
            <v>(366)  Structures and Improvements</v>
          </cell>
          <cell r="D27">
            <v>2.6837845595793434E-2</v>
          </cell>
          <cell r="E27">
            <v>4.3517716271190575E-2</v>
          </cell>
          <cell r="F27">
            <v>0.20984418043279715</v>
          </cell>
          <cell r="G27">
            <v>3.0438403219930255E-3</v>
          </cell>
          <cell r="H27"/>
        </row>
        <row r="28">
          <cell r="B28">
            <v>23670</v>
          </cell>
          <cell r="C28" t="str">
            <v>(367)  Mains</v>
          </cell>
          <cell r="D28">
            <v>2.3422898907288933E-2</v>
          </cell>
          <cell r="E28">
            <v>4.3641750120863715E-2</v>
          </cell>
          <cell r="F28">
            <v>8.3928691980390935E-2</v>
          </cell>
          <cell r="G28">
            <v>1.8416434381632787E-2</v>
          </cell>
          <cell r="H28">
            <v>2.6399472488494108E-3</v>
          </cell>
        </row>
        <row r="29">
          <cell r="B29">
            <v>23680</v>
          </cell>
          <cell r="C29" t="str">
            <v>(368)  Compressor Station Equipment</v>
          </cell>
          <cell r="D29">
            <v>0.54944818282833219</v>
          </cell>
          <cell r="E29">
            <v>0.30322659236500116</v>
          </cell>
          <cell r="F29">
            <v>0.89192175446154331</v>
          </cell>
          <cell r="G29">
            <v>0.11408468193590571</v>
          </cell>
          <cell r="H29"/>
        </row>
        <row r="30">
          <cell r="B30">
            <v>23690</v>
          </cell>
          <cell r="C30" t="str">
            <v>(369)  Measuring and Reg. Sta. Equipment</v>
          </cell>
          <cell r="D30">
            <v>7.6058991077274277E-2</v>
          </cell>
          <cell r="E30">
            <v>7.543822026757753E-2</v>
          </cell>
          <cell r="F30">
            <v>6.5702214613784615E-2</v>
          </cell>
          <cell r="G30">
            <v>8.7353241149818572E-2</v>
          </cell>
          <cell r="H30">
            <v>7.520965962513064E-2</v>
          </cell>
        </row>
        <row r="31">
          <cell r="B31">
            <v>2370</v>
          </cell>
          <cell r="C31" t="str">
            <v>(370)  Communication Equipment</v>
          </cell>
          <cell r="D31"/>
          <cell r="E31"/>
          <cell r="F31"/>
          <cell r="G31"/>
          <cell r="H31"/>
        </row>
        <row r="32">
          <cell r="B32">
            <v>23710</v>
          </cell>
          <cell r="C32" t="str">
            <v>(371)  Other Equipment</v>
          </cell>
          <cell r="D32"/>
          <cell r="E32"/>
          <cell r="F32"/>
          <cell r="G32"/>
          <cell r="H32"/>
        </row>
        <row r="34">
          <cell r="C34" t="str">
            <v>TOTAL Transmission Plant (Enter Total of lines 79 thru 86)</v>
          </cell>
          <cell r="D34">
            <v>3.6263280508468172E-2</v>
          </cell>
          <cell r="E34">
            <v>5.2037870483205122E-2</v>
          </cell>
          <cell r="F34">
            <v>8.7763484367884517E-2</v>
          </cell>
          <cell r="G34">
            <v>2.6074289177345538E-2</v>
          </cell>
          <cell r="H34">
            <v>9.7701403950700878E-3</v>
          </cell>
        </row>
        <row r="35">
          <cell r="C35" t="str">
            <v>4. DISTRIBUTION PLANT</v>
          </cell>
          <cell r="G35"/>
        </row>
        <row r="36">
          <cell r="B36">
            <v>23740</v>
          </cell>
          <cell r="C36" t="str">
            <v>(374)  Land and Land Rights</v>
          </cell>
          <cell r="D36">
            <v>2.9813214938960914E-3</v>
          </cell>
          <cell r="E36">
            <v>3.1020801585658481E-3</v>
          </cell>
          <cell r="F36">
            <v>5.2012962488908075E-3</v>
          </cell>
          <cell r="G36">
            <v>5.858024028412918E-5</v>
          </cell>
          <cell r="H36">
            <v>5.9042521221720572E-4</v>
          </cell>
        </row>
        <row r="37">
          <cell r="B37">
            <v>23750</v>
          </cell>
          <cell r="C37" t="str">
            <v>(375)  Structures and Improvements</v>
          </cell>
          <cell r="D37">
            <v>3.1708640396953682</v>
          </cell>
          <cell r="E37">
            <v>6.5055530371713507E-2</v>
          </cell>
          <cell r="F37">
            <v>0.12587745479549353</v>
          </cell>
          <cell r="G37">
            <v>2.8125460167869237E-2</v>
          </cell>
          <cell r="H37">
            <v>31.580908558965898</v>
          </cell>
        </row>
        <row r="38">
          <cell r="B38">
            <v>23760</v>
          </cell>
          <cell r="C38" t="str">
            <v>(376)  Mains</v>
          </cell>
          <cell r="D38">
            <v>9.4984781332347279E-2</v>
          </cell>
          <cell r="E38">
            <v>0.1119095035311866</v>
          </cell>
          <cell r="F38">
            <v>0.11146842197386957</v>
          </cell>
          <cell r="G38">
            <v>0.11273584456204166</v>
          </cell>
          <cell r="H38">
            <v>6.7944928638047394E-2</v>
          </cell>
        </row>
        <row r="39">
          <cell r="B39">
            <v>23770</v>
          </cell>
          <cell r="C39" t="str">
            <v>(377)  Compressor Station Equipment</v>
          </cell>
          <cell r="D39"/>
          <cell r="E39"/>
          <cell r="F39"/>
          <cell r="G39"/>
          <cell r="H39"/>
        </row>
        <row r="40">
          <cell r="B40">
            <v>23780</v>
          </cell>
          <cell r="C40" t="str">
            <v>(378)  Meas. and Reg. Sta., Equip. - General</v>
          </cell>
          <cell r="D40">
            <v>0.12929949891237955</v>
          </cell>
          <cell r="E40">
            <v>0.1471500758355665</v>
          </cell>
          <cell r="F40">
            <v>0.24170672909209256</v>
          </cell>
          <cell r="G40">
            <v>0.11609913391504428</v>
          </cell>
          <cell r="H40">
            <v>6.4166327713504154E-2</v>
          </cell>
        </row>
        <row r="41">
          <cell r="B41">
            <v>23790</v>
          </cell>
          <cell r="C41" t="str">
            <v>(379)  Meas. and Reg. Sta. Equip. - City Gate</v>
          </cell>
          <cell r="D41">
            <v>9.9521238705807367</v>
          </cell>
          <cell r="E41">
            <v>5.871115684256945</v>
          </cell>
          <cell r="F41"/>
          <cell r="G41">
            <v>5.5179661350659579</v>
          </cell>
          <cell r="H41">
            <v>9.9740731895018975</v>
          </cell>
        </row>
        <row r="42">
          <cell r="B42">
            <v>23800</v>
          </cell>
          <cell r="C42" t="str">
            <v>(380)  Services</v>
          </cell>
          <cell r="D42">
            <v>0.31612704209915726</v>
          </cell>
          <cell r="E42">
            <v>1.0258835564079234</v>
          </cell>
          <cell r="F42">
            <v>0.73969685126160656</v>
          </cell>
          <cell r="G42">
            <v>0.85336563923313213</v>
          </cell>
          <cell r="H42">
            <v>0.13111077761740084</v>
          </cell>
        </row>
        <row r="43">
          <cell r="B43">
            <v>23810</v>
          </cell>
          <cell r="C43" t="str">
            <v>(381)  Meters</v>
          </cell>
          <cell r="D43">
            <v>0.26176142372779543</v>
          </cell>
          <cell r="E43">
            <v>0.27181107435953666</v>
          </cell>
          <cell r="F43">
            <v>0.24506703128174687</v>
          </cell>
          <cell r="G43">
            <v>0.26829621649948093</v>
          </cell>
          <cell r="H43">
            <v>0.2745787082607497</v>
          </cell>
        </row>
        <row r="44">
          <cell r="B44">
            <v>23820</v>
          </cell>
          <cell r="C44" t="str">
            <v>(382)  Meter Installations</v>
          </cell>
          <cell r="D44">
            <v>8.687213431982499E-2</v>
          </cell>
          <cell r="E44">
            <v>9.3514923980019857E-2</v>
          </cell>
          <cell r="F44">
            <v>9.2944222325792789E-2</v>
          </cell>
          <cell r="G44">
            <v>0.10071101072525022</v>
          </cell>
          <cell r="H44">
            <v>7.0881030065234593E-2</v>
          </cell>
        </row>
        <row r="45">
          <cell r="B45">
            <v>23830</v>
          </cell>
          <cell r="C45" t="str">
            <v>(383)  House Regulators</v>
          </cell>
          <cell r="D45">
            <v>1.254095325506673E-2</v>
          </cell>
          <cell r="E45">
            <v>1.1048053079978293E-2</v>
          </cell>
          <cell r="F45">
            <v>1.0766470099585496E-2</v>
          </cell>
          <cell r="G45">
            <v>8.2218120580681286E-3</v>
          </cell>
          <cell r="H45">
            <v>2.1081689992801272E-2</v>
          </cell>
        </row>
        <row r="46">
          <cell r="B46">
            <v>23840</v>
          </cell>
          <cell r="C46" t="str">
            <v>(384)  House Reg. Installations</v>
          </cell>
          <cell r="D46"/>
          <cell r="E46"/>
          <cell r="F46"/>
          <cell r="G46"/>
          <cell r="H46"/>
        </row>
        <row r="47">
          <cell r="B47">
            <v>23850</v>
          </cell>
          <cell r="C47" t="str">
            <v>(385)  Industrial Meas. and Reg. Sta. Equipment</v>
          </cell>
          <cell r="D47">
            <v>0.16815733195258148</v>
          </cell>
          <cell r="E47">
            <v>0.23432356972278623</v>
          </cell>
          <cell r="F47">
            <v>0.54664867095024428</v>
          </cell>
          <cell r="G47">
            <v>0.11240529442864564</v>
          </cell>
          <cell r="H47">
            <v>8.463332734747156E-2</v>
          </cell>
        </row>
        <row r="48">
          <cell r="B48">
            <v>23860</v>
          </cell>
          <cell r="C48" t="str">
            <v>(386)  Other Prop. on Customers' Premises</v>
          </cell>
          <cell r="D48"/>
          <cell r="E48"/>
          <cell r="F48"/>
          <cell r="G48"/>
          <cell r="H48"/>
        </row>
        <row r="49">
          <cell r="B49">
            <v>23870</v>
          </cell>
          <cell r="C49" t="str">
            <v>(387)  Other Equipment</v>
          </cell>
          <cell r="D49"/>
          <cell r="E49"/>
          <cell r="F49"/>
          <cell r="G49"/>
          <cell r="H49"/>
        </row>
        <row r="51">
          <cell r="C51" t="str">
            <v>TOTAL Distribution Plant (Enter Total of lines 89 thru 102)</v>
          </cell>
          <cell r="D51">
            <v>0.14056692721799477</v>
          </cell>
          <cell r="E51">
            <v>0.15292631858956476</v>
          </cell>
          <cell r="F51">
            <v>0.1392772705993218</v>
          </cell>
          <cell r="G51">
            <v>0.16053815359771528</v>
          </cell>
          <cell r="H51">
            <v>0.12773480372682297</v>
          </cell>
        </row>
        <row r="52">
          <cell r="C52" t="str">
            <v>6.  GENERAL PLANT</v>
          </cell>
          <cell r="G52"/>
        </row>
        <row r="53">
          <cell r="B53">
            <v>23890</v>
          </cell>
          <cell r="C53" t="str">
            <v>(389)  Land and Land Rights</v>
          </cell>
          <cell r="D53">
            <v>4.2777133684116651</v>
          </cell>
          <cell r="E53"/>
          <cell r="F53"/>
          <cell r="G53"/>
          <cell r="H53">
            <v>0</v>
          </cell>
        </row>
        <row r="54">
          <cell r="B54">
            <v>23900</v>
          </cell>
          <cell r="C54" t="str">
            <v>(390)  Structures and Improvements</v>
          </cell>
          <cell r="D54">
            <v>4.0469626820168871</v>
          </cell>
          <cell r="E54"/>
          <cell r="F54">
            <v>0</v>
          </cell>
          <cell r="G54">
            <v>0.1065390526757021</v>
          </cell>
          <cell r="H54">
            <v>7.4547271904892201E-2</v>
          </cell>
        </row>
        <row r="55">
          <cell r="B55">
            <v>23910</v>
          </cell>
          <cell r="C55" t="str">
            <v>(391)  Office Furniture and Equipment</v>
          </cell>
          <cell r="D55"/>
          <cell r="E55"/>
          <cell r="F55"/>
          <cell r="G55"/>
          <cell r="H55"/>
        </row>
        <row r="56">
          <cell r="B56">
            <v>23920</v>
          </cell>
          <cell r="C56" t="str">
            <v>(392)  Transportation Equipment</v>
          </cell>
          <cell r="D56">
            <v>0.48311331873184576</v>
          </cell>
          <cell r="E56">
            <v>0.73555461316791726</v>
          </cell>
          <cell r="F56">
            <v>0.47223793624911731</v>
          </cell>
          <cell r="G56">
            <v>0.59649557624380323</v>
          </cell>
          <cell r="H56">
            <v>0.35662115659830806</v>
          </cell>
        </row>
        <row r="57">
          <cell r="B57">
            <v>23930</v>
          </cell>
          <cell r="C57" t="str">
            <v>(393)  Stores Equipment</v>
          </cell>
          <cell r="D57"/>
          <cell r="E57"/>
          <cell r="F57"/>
          <cell r="G57"/>
          <cell r="H57"/>
        </row>
        <row r="58">
          <cell r="B58">
            <v>23940</v>
          </cell>
          <cell r="C58" t="str">
            <v>(394)  Tools, Shop, and Garage Equipment</v>
          </cell>
          <cell r="D58">
            <v>0.48391552284753514</v>
          </cell>
          <cell r="E58">
            <v>7.9496435147015487E-2</v>
          </cell>
          <cell r="F58">
            <v>6.0544857564045641E-3</v>
          </cell>
          <cell r="G58">
            <v>0.16328324993961493</v>
          </cell>
          <cell r="H58">
            <v>0.9838291808800036</v>
          </cell>
        </row>
        <row r="59">
          <cell r="B59">
            <v>23950</v>
          </cell>
          <cell r="C59" t="str">
            <v>(395)  Laboratory Equipment</v>
          </cell>
          <cell r="D59">
            <v>4.4848837668232235</v>
          </cell>
          <cell r="E59">
            <v>0.98550372726610491</v>
          </cell>
          <cell r="F59">
            <v>0</v>
          </cell>
          <cell r="G59">
            <v>5.6857755539671189</v>
          </cell>
          <cell r="H59">
            <v>6.696728337738409</v>
          </cell>
        </row>
        <row r="60">
          <cell r="B60">
            <v>23960</v>
          </cell>
          <cell r="C60" t="str">
            <v>(396)  Power Operated Equipment</v>
          </cell>
          <cell r="D60">
            <v>0.62964707158386601</v>
          </cell>
          <cell r="E60">
            <v>0.83328637240951808</v>
          </cell>
          <cell r="F60">
            <v>0.37322987889238662</v>
          </cell>
          <cell r="G60">
            <v>1.9158655370319759</v>
          </cell>
          <cell r="H60">
            <v>0.49210128319560059</v>
          </cell>
        </row>
        <row r="61">
          <cell r="B61">
            <v>23970</v>
          </cell>
          <cell r="C61" t="str">
            <v>(397)  Communication Equipment</v>
          </cell>
          <cell r="D61">
            <v>1</v>
          </cell>
          <cell r="E61"/>
          <cell r="F61"/>
          <cell r="G61"/>
          <cell r="H61">
            <v>1</v>
          </cell>
        </row>
        <row r="62">
          <cell r="B62">
            <v>23980</v>
          </cell>
          <cell r="C62" t="str">
            <v>(398)  Miscellaneous Equipment</v>
          </cell>
          <cell r="D62">
            <v>9.3068640646029613E-2</v>
          </cell>
          <cell r="E62">
            <v>2.5067829783360279E-2</v>
          </cell>
          <cell r="F62">
            <v>2.2124506993922249E-2</v>
          </cell>
          <cell r="G62">
            <v>6.6418879356431856E-2</v>
          </cell>
          <cell r="H62">
            <v>1.1459629320849101</v>
          </cell>
        </row>
        <row r="63">
          <cell r="C63" t="str">
            <v>Subtotal (Enter Total of lines 105 thru 114)</v>
          </cell>
          <cell r="D63">
            <v>0.60221011525001988</v>
          </cell>
          <cell r="E63">
            <v>0.72973634341085525</v>
          </cell>
          <cell r="F63">
            <v>0.64177096534350586</v>
          </cell>
          <cell r="G63">
            <v>0.64335224404130453</v>
          </cell>
          <cell r="H63">
            <v>0.485061922336402</v>
          </cell>
        </row>
        <row r="64">
          <cell r="B64">
            <v>23990</v>
          </cell>
          <cell r="C64" t="str">
            <v>(399)  Other Tangible Property</v>
          </cell>
          <cell r="D64"/>
          <cell r="E64"/>
          <cell r="F64"/>
          <cell r="G64"/>
          <cell r="H64"/>
        </row>
      </sheetData>
      <sheetData sheetId="1" refreshError="1"/>
      <sheetData sheetId="2" refreshError="1">
        <row r="6">
          <cell r="A6" t="str">
            <v>Sum of percent</v>
          </cell>
          <cell r="D6" t="str">
            <v>utility_account_id</v>
          </cell>
        </row>
        <row r="7">
          <cell r="A7" t="str">
            <v>Budget PJF (1072XX)</v>
          </cell>
          <cell r="B7" t="str">
            <v>PJF</v>
          </cell>
          <cell r="C7" t="str">
            <v>Project Function Title</v>
          </cell>
          <cell r="D7">
            <v>23030</v>
          </cell>
          <cell r="E7">
            <v>23040</v>
          </cell>
          <cell r="F7">
            <v>23550</v>
          </cell>
          <cell r="G7">
            <v>23670</v>
          </cell>
          <cell r="H7">
            <v>23760</v>
          </cell>
          <cell r="I7">
            <v>23800</v>
          </cell>
          <cell r="J7">
            <v>23820</v>
          </cell>
          <cell r="K7">
            <v>23830</v>
          </cell>
          <cell r="L7">
            <v>23900</v>
          </cell>
          <cell r="M7">
            <v>23920</v>
          </cell>
          <cell r="N7">
            <v>23940</v>
          </cell>
          <cell r="O7">
            <v>23950</v>
          </cell>
          <cell r="P7">
            <v>23960</v>
          </cell>
        </row>
        <row r="8">
          <cell r="A8">
            <v>107241</v>
          </cell>
          <cell r="B8">
            <v>107812</v>
          </cell>
          <cell r="C8" t="str">
            <v>PRODUCTION FACILITIES</v>
          </cell>
          <cell r="E8">
            <v>1</v>
          </cell>
        </row>
        <row r="9">
          <cell r="B9">
            <v>107815</v>
          </cell>
          <cell r="C9" t="str">
            <v>PRODUCTION FACILITIES</v>
          </cell>
          <cell r="E9">
            <v>1</v>
          </cell>
        </row>
        <row r="10">
          <cell r="A10">
            <v>107242</v>
          </cell>
          <cell r="B10">
            <v>107712</v>
          </cell>
          <cell r="C10" t="str">
            <v>PRODUCTION FACILITIES</v>
          </cell>
          <cell r="D10">
            <v>0</v>
          </cell>
          <cell r="E10">
            <v>1</v>
          </cell>
          <cell r="F10">
            <v>1</v>
          </cell>
          <cell r="G10">
            <v>1</v>
          </cell>
          <cell r="H10">
            <v>0</v>
          </cell>
        </row>
        <row r="11">
          <cell r="B11">
            <v>107715</v>
          </cell>
          <cell r="C11" t="str">
            <v>PRODUCTION FACILITIES</v>
          </cell>
          <cell r="D11">
            <v>107715</v>
          </cell>
          <cell r="E11">
            <v>1</v>
          </cell>
          <cell r="F11">
            <v>1</v>
          </cell>
          <cell r="G11">
            <v>1</v>
          </cell>
          <cell r="H11">
            <v>1</v>
          </cell>
        </row>
        <row r="12">
          <cell r="A12">
            <v>107243</v>
          </cell>
          <cell r="B12">
            <v>107732</v>
          </cell>
          <cell r="C12" t="str">
            <v>HQ-UGRND GAS STRG-LSHLD &amp; STRG</v>
          </cell>
          <cell r="D12">
            <v>3.4168491212253543E-2</v>
          </cell>
          <cell r="E12">
            <v>3.7891992424733303E-2</v>
          </cell>
          <cell r="F12">
            <v>1</v>
          </cell>
          <cell r="G12">
            <v>3.0408541376221527E-2</v>
          </cell>
          <cell r="H12">
            <v>5.6106078373258763E-3</v>
          </cell>
        </row>
        <row r="13">
          <cell r="B13">
            <v>107734</v>
          </cell>
          <cell r="C13" t="str">
            <v>UG STORAGE-LEASEHOLD &amp; STORAGE</v>
          </cell>
          <cell r="D13">
            <v>1.3677359035112751E-2</v>
          </cell>
          <cell r="E13">
            <v>1.3819269143198067E-2</v>
          </cell>
          <cell r="F13">
            <v>1</v>
          </cell>
          <cell r="G13">
            <v>5.7058940355559338E-4</v>
          </cell>
          <cell r="H13">
            <v>0</v>
          </cell>
        </row>
        <row r="14">
          <cell r="B14">
            <v>107735</v>
          </cell>
          <cell r="C14" t="str">
            <v>UG STORAGE-LEASEHOLD &amp; STORAGE</v>
          </cell>
          <cell r="D14">
            <v>107735</v>
          </cell>
          <cell r="E14">
            <v>107735</v>
          </cell>
          <cell r="F14">
            <v>1</v>
          </cell>
          <cell r="G14">
            <v>1</v>
          </cell>
          <cell r="H14">
            <v>1</v>
          </cell>
        </row>
        <row r="15">
          <cell r="B15">
            <v>107736</v>
          </cell>
          <cell r="C15" t="str">
            <v>HQ GAS - UG STORAGE-INC OP EFF</v>
          </cell>
          <cell r="D15">
            <v>107736</v>
          </cell>
          <cell r="E15">
            <v>107736</v>
          </cell>
          <cell r="F15">
            <v>1</v>
          </cell>
          <cell r="G15">
            <v>1</v>
          </cell>
          <cell r="H15">
            <v>1</v>
          </cell>
        </row>
        <row r="16">
          <cell r="B16">
            <v>107737</v>
          </cell>
          <cell r="C16" t="str">
            <v>HQ GAS - UG STORAGE - SAFETY</v>
          </cell>
          <cell r="D16">
            <v>7.3169997250747834E-4</v>
          </cell>
          <cell r="E16">
            <v>7.316996343433857E-4</v>
          </cell>
          <cell r="F16">
            <v>1</v>
          </cell>
          <cell r="G16">
            <v>1</v>
          </cell>
          <cell r="H16">
            <v>0</v>
          </cell>
        </row>
        <row r="17">
          <cell r="A17">
            <v>107244</v>
          </cell>
          <cell r="B17">
            <v>107835</v>
          </cell>
          <cell r="C17" t="str">
            <v>AREA UG STORAGE/LEASEHOLD</v>
          </cell>
          <cell r="D17">
            <v>0.14085432134419537</v>
          </cell>
          <cell r="E17">
            <v>0.15470239292968924</v>
          </cell>
          <cell r="F17">
            <v>1</v>
          </cell>
          <cell r="G17">
            <v>2.7842301025607884E-3</v>
          </cell>
          <cell r="H17">
            <v>2.6426521266615266E-2</v>
          </cell>
        </row>
        <row r="18">
          <cell r="A18">
            <v>107245</v>
          </cell>
          <cell r="B18">
            <v>107851</v>
          </cell>
          <cell r="C18" t="str">
            <v>TRANSMISSION</v>
          </cell>
          <cell r="D18">
            <v>0.10086530493864912</v>
          </cell>
          <cell r="E18">
            <v>0.10988986858210646</v>
          </cell>
          <cell r="F18">
            <v>0.42589424557552791</v>
          </cell>
          <cell r="G18">
            <v>1</v>
          </cell>
          <cell r="H18">
            <v>5.5702194872544006E-2</v>
          </cell>
        </row>
        <row r="19">
          <cell r="B19">
            <v>107853</v>
          </cell>
          <cell r="C19" t="str">
            <v>TRANSMISSION</v>
          </cell>
          <cell r="D19">
            <v>2.6872308192463831E-2</v>
          </cell>
          <cell r="E19">
            <v>2.6872307062149048E-2</v>
          </cell>
          <cell r="F19">
            <v>0.41906984196475516</v>
          </cell>
          <cell r="G19">
            <v>1</v>
          </cell>
          <cell r="H19">
            <v>-3.7756355782547369E-3</v>
          </cell>
        </row>
        <row r="20">
          <cell r="B20">
            <v>107854</v>
          </cell>
          <cell r="C20" t="str">
            <v>TRANSMISSION</v>
          </cell>
          <cell r="D20">
            <v>6.5650296205265787E-2</v>
          </cell>
          <cell r="E20">
            <v>6.4306164764033488E-2</v>
          </cell>
          <cell r="F20">
            <v>0.44950620587596152</v>
          </cell>
          <cell r="G20">
            <v>1</v>
          </cell>
          <cell r="H20">
            <v>0.13781556550857393</v>
          </cell>
        </row>
        <row r="21">
          <cell r="B21">
            <v>107855</v>
          </cell>
          <cell r="C21" t="str">
            <v>TRANSMISSION</v>
          </cell>
          <cell r="D21">
            <v>0</v>
          </cell>
          <cell r="E21">
            <v>0</v>
          </cell>
          <cell r="F21">
            <v>0</v>
          </cell>
          <cell r="G21">
            <v>1</v>
          </cell>
          <cell r="H21">
            <v>0</v>
          </cell>
        </row>
        <row r="22">
          <cell r="B22">
            <v>107856</v>
          </cell>
          <cell r="C22" t="str">
            <v>TRANSMISSION</v>
          </cell>
          <cell r="D22">
            <v>5.3459278733491322E-2</v>
          </cell>
          <cell r="E22">
            <v>0.18542590246597873</v>
          </cell>
          <cell r="F22">
            <v>0.48735113277161152</v>
          </cell>
          <cell r="G22">
            <v>1</v>
          </cell>
          <cell r="H22">
            <v>3.2864894252638008E-3</v>
          </cell>
        </row>
        <row r="23">
          <cell r="B23">
            <v>107859</v>
          </cell>
          <cell r="C23" t="str">
            <v>TRANSMISSION</v>
          </cell>
          <cell r="G23">
            <v>1</v>
          </cell>
        </row>
        <row r="24">
          <cell r="A24">
            <v>107246</v>
          </cell>
          <cell r="B24">
            <v>107751</v>
          </cell>
          <cell r="C24" t="str">
            <v>TRANSMISSION</v>
          </cell>
          <cell r="G24">
            <v>1</v>
          </cell>
        </row>
        <row r="25">
          <cell r="B25">
            <v>107753</v>
          </cell>
          <cell r="C25" t="str">
            <v>TRANSMISSION</v>
          </cell>
          <cell r="D25">
            <v>5.1839320612319158E-3</v>
          </cell>
          <cell r="E25">
            <v>5.6686738092503568E-3</v>
          </cell>
          <cell r="F25">
            <v>1382</v>
          </cell>
          <cell r="G25">
            <v>1</v>
          </cell>
          <cell r="H25">
            <v>0</v>
          </cell>
        </row>
        <row r="26">
          <cell r="B26">
            <v>107754</v>
          </cell>
          <cell r="C26" t="str">
            <v>TRANSMISSION - GAS</v>
          </cell>
          <cell r="D26">
            <v>3.3922775907327756E-3</v>
          </cell>
          <cell r="E26">
            <v>0</v>
          </cell>
          <cell r="F26">
            <v>0</v>
          </cell>
          <cell r="G26">
            <v>1</v>
          </cell>
          <cell r="H26">
            <v>1</v>
          </cell>
        </row>
        <row r="27">
          <cell r="B27">
            <v>107755</v>
          </cell>
          <cell r="C27" t="str">
            <v>TRANSMISSION - GAS</v>
          </cell>
          <cell r="D27">
            <v>2.6837845595793434E-2</v>
          </cell>
          <cell r="E27">
            <v>4.3517716271190575E-2</v>
          </cell>
          <cell r="F27">
            <v>0.20984418043279715</v>
          </cell>
          <cell r="G27">
            <v>1</v>
          </cell>
          <cell r="H27">
            <v>1</v>
          </cell>
        </row>
        <row r="28">
          <cell r="B28">
            <v>107756</v>
          </cell>
          <cell r="C28" t="str">
            <v>TRANSMISSION - GAS</v>
          </cell>
          <cell r="D28">
            <v>2.3422898907288933E-2</v>
          </cell>
          <cell r="E28">
            <v>4.3641750120863715E-2</v>
          </cell>
          <cell r="F28">
            <v>8.3928691980390935E-2</v>
          </cell>
          <cell r="G28">
            <v>1</v>
          </cell>
          <cell r="H28">
            <v>2.6399472488494108E-3</v>
          </cell>
        </row>
        <row r="29">
          <cell r="B29">
            <v>107759</v>
          </cell>
          <cell r="C29" t="str">
            <v>TRANSMISSION - GAS</v>
          </cell>
          <cell r="D29">
            <v>0.54944818282833219</v>
          </cell>
          <cell r="E29">
            <v>0.30322659236500116</v>
          </cell>
          <cell r="F29">
            <v>0.89192175446154331</v>
          </cell>
          <cell r="G29">
            <v>1</v>
          </cell>
          <cell r="H29">
            <v>1</v>
          </cell>
        </row>
        <row r="30">
          <cell r="B30">
            <v>107861</v>
          </cell>
          <cell r="C30" t="str">
            <v>DISTRIBUTION</v>
          </cell>
          <cell r="D30">
            <v>7.6058991077274277E-2</v>
          </cell>
          <cell r="E30">
            <v>7.543822026757753E-2</v>
          </cell>
          <cell r="F30">
            <v>6.5702214613784615E-2</v>
          </cell>
          <cell r="G30">
            <v>8.7353241149818572E-2</v>
          </cell>
          <cell r="H30">
            <v>7.520965962513064E-2</v>
          </cell>
          <cell r="I30">
            <v>1</v>
          </cell>
        </row>
        <row r="31">
          <cell r="A31">
            <v>107247</v>
          </cell>
          <cell r="B31">
            <v>107871</v>
          </cell>
          <cell r="C31" t="str">
            <v>DISTRIBUTION</v>
          </cell>
          <cell r="D31">
            <v>107871</v>
          </cell>
          <cell r="E31">
            <v>107871</v>
          </cell>
          <cell r="F31">
            <v>107871</v>
          </cell>
          <cell r="G31">
            <v>107871</v>
          </cell>
          <cell r="H31">
            <v>1</v>
          </cell>
        </row>
        <row r="32">
          <cell r="B32">
            <v>107873</v>
          </cell>
          <cell r="C32" t="str">
            <v>DISTRIBUTION</v>
          </cell>
          <cell r="D32">
            <v>107873</v>
          </cell>
          <cell r="E32">
            <v>107873</v>
          </cell>
          <cell r="F32">
            <v>107873</v>
          </cell>
          <cell r="G32">
            <v>107873</v>
          </cell>
          <cell r="H32">
            <v>1</v>
          </cell>
        </row>
        <row r="33">
          <cell r="B33">
            <v>107874</v>
          </cell>
          <cell r="C33" t="str">
            <v>DISTRIBUTION</v>
          </cell>
          <cell r="H33">
            <v>1</v>
          </cell>
        </row>
        <row r="34">
          <cell r="B34">
            <v>107875</v>
          </cell>
          <cell r="C34" t="str">
            <v>DISTRIBUTION</v>
          </cell>
          <cell r="D34">
            <v>3.6263280508468172E-2</v>
          </cell>
          <cell r="E34">
            <v>5.2037870483205122E-2</v>
          </cell>
          <cell r="F34">
            <v>8.7763484367884517E-2</v>
          </cell>
          <cell r="G34">
            <v>2.6074289177345538E-2</v>
          </cell>
          <cell r="H34">
            <v>1</v>
          </cell>
        </row>
        <row r="35">
          <cell r="B35">
            <v>107876</v>
          </cell>
          <cell r="C35" t="str">
            <v>DISTRIBUTION</v>
          </cell>
          <cell r="G35">
            <v>107876</v>
          </cell>
          <cell r="H35">
            <v>1</v>
          </cell>
        </row>
        <row r="36">
          <cell r="A36">
            <v>107248</v>
          </cell>
          <cell r="B36">
            <v>107771</v>
          </cell>
          <cell r="C36" t="str">
            <v>DISTRIBUTION - GAS</v>
          </cell>
          <cell r="D36">
            <v>2.9813214938960914E-3</v>
          </cell>
          <cell r="E36">
            <v>3.1020801585658481E-3</v>
          </cell>
          <cell r="F36">
            <v>5.2012962488908075E-3</v>
          </cell>
          <cell r="G36">
            <v>5.858024028412918E-5</v>
          </cell>
          <cell r="H36">
            <v>1</v>
          </cell>
        </row>
        <row r="37">
          <cell r="B37">
            <v>107773</v>
          </cell>
          <cell r="C37" t="str">
            <v>DISTRIBUTION - GAS</v>
          </cell>
          <cell r="D37">
            <v>3.1708640396953682</v>
          </cell>
          <cell r="E37">
            <v>6.5055530371713507E-2</v>
          </cell>
          <cell r="F37">
            <v>0.12587745479549353</v>
          </cell>
          <cell r="G37">
            <v>2.8125460167869237E-2</v>
          </cell>
          <cell r="H37">
            <v>1</v>
          </cell>
        </row>
        <row r="38">
          <cell r="B38">
            <v>107774</v>
          </cell>
          <cell r="C38" t="str">
            <v>DISTRIBUTION - GAS</v>
          </cell>
          <cell r="D38">
            <v>9.4984781332347279E-2</v>
          </cell>
          <cell r="E38">
            <v>0.1119095035311866</v>
          </cell>
          <cell r="F38">
            <v>0.11146842197386957</v>
          </cell>
          <cell r="G38">
            <v>0.11273584456204166</v>
          </cell>
          <cell r="H38">
            <v>1</v>
          </cell>
        </row>
        <row r="39">
          <cell r="B39">
            <v>107775</v>
          </cell>
          <cell r="C39" t="str">
            <v>DISTRIBUTION - GAS</v>
          </cell>
          <cell r="D39">
            <v>107775</v>
          </cell>
          <cell r="E39">
            <v>107775</v>
          </cell>
          <cell r="F39">
            <v>107775</v>
          </cell>
          <cell r="G39">
            <v>107775</v>
          </cell>
          <cell r="H39">
            <v>1</v>
          </cell>
        </row>
        <row r="40">
          <cell r="B40">
            <v>107776</v>
          </cell>
          <cell r="C40" t="str">
            <v>HEADQUARTERS-DISTRIBUTION - GAS</v>
          </cell>
          <cell r="D40">
            <v>0.12929949891237955</v>
          </cell>
          <cell r="E40">
            <v>0.1471500758355665</v>
          </cell>
          <cell r="F40">
            <v>0.24170672909209256</v>
          </cell>
          <cell r="G40">
            <v>0.11609913391504428</v>
          </cell>
          <cell r="H40">
            <v>1</v>
          </cell>
        </row>
        <row r="41">
          <cell r="A41">
            <v>107249</v>
          </cell>
          <cell r="B41" t="str">
            <v>1077R8</v>
          </cell>
          <cell r="C41" t="str">
            <v>OTHER MOTIVE EQUIPMENT-GAS</v>
          </cell>
          <cell r="D41">
            <v>9.9521238705807367</v>
          </cell>
          <cell r="E41">
            <v>5.871115684256945</v>
          </cell>
          <cell r="F41">
            <v>5.8711128234863281</v>
          </cell>
          <cell r="G41">
            <v>5.5179661350659579</v>
          </cell>
          <cell r="H41">
            <v>9.9740731895018975</v>
          </cell>
          <cell r="M41">
            <v>1</v>
          </cell>
        </row>
        <row r="42">
          <cell r="A42">
            <v>107250</v>
          </cell>
          <cell r="B42" t="str">
            <v>1078M8</v>
          </cell>
          <cell r="C42" t="str">
            <v>BUILDING/IMPROVEMENTS-GAS</v>
          </cell>
          <cell r="D42">
            <v>0.31612704209915726</v>
          </cell>
          <cell r="E42">
            <v>1.0258835564079234</v>
          </cell>
          <cell r="F42">
            <v>0.73969685126160656</v>
          </cell>
          <cell r="G42">
            <v>0.85336563923313213</v>
          </cell>
          <cell r="H42">
            <v>0.13111077761740084</v>
          </cell>
          <cell r="L42">
            <v>1</v>
          </cell>
        </row>
        <row r="43">
          <cell r="B43" t="str">
            <v>1078V8</v>
          </cell>
          <cell r="C43" t="str">
            <v>OTHER (398 &amp; 399)</v>
          </cell>
          <cell r="D43">
            <v>0.26176142372779543</v>
          </cell>
          <cell r="E43">
            <v>0.27181107435953666</v>
          </cell>
          <cell r="F43">
            <v>0.24506703128174687</v>
          </cell>
          <cell r="G43">
            <v>0.26829621649948093</v>
          </cell>
          <cell r="H43">
            <v>0.2745787082607497</v>
          </cell>
          <cell r="L43">
            <v>1</v>
          </cell>
        </row>
        <row r="44">
          <cell r="A44">
            <v>107251</v>
          </cell>
          <cell r="B44" t="str">
            <v>1077M8</v>
          </cell>
          <cell r="C44" t="str">
            <v>BUILDING/IMPROVEMENTS-GAS</v>
          </cell>
          <cell r="D44">
            <v>8.687213431982499E-2</v>
          </cell>
          <cell r="E44">
            <v>9.3514923980019857E-2</v>
          </cell>
          <cell r="F44">
            <v>9.2944222325792789E-2</v>
          </cell>
          <cell r="G44">
            <v>0.10071101072525022</v>
          </cell>
          <cell r="H44">
            <v>7.0881030065234593E-2</v>
          </cell>
          <cell r="L44">
            <v>1</v>
          </cell>
        </row>
        <row r="45">
          <cell r="A45">
            <v>107253</v>
          </cell>
          <cell r="B45">
            <v>107785</v>
          </cell>
          <cell r="C45" t="str">
            <v>METERS &amp; HOUSE REGULATORS-GAS</v>
          </cell>
          <cell r="D45">
            <v>1.254095325506673E-2</v>
          </cell>
          <cell r="E45">
            <v>1.1048053079978293E-2</v>
          </cell>
          <cell r="F45">
            <v>1.0766470099585496E-2</v>
          </cell>
          <cell r="G45">
            <v>8.2218120580681286E-3</v>
          </cell>
          <cell r="H45">
            <v>2.1081689992801272E-2</v>
          </cell>
          <cell r="I45">
            <v>0.25</v>
          </cell>
          <cell r="J45">
            <v>0.5</v>
          </cell>
          <cell r="K45">
            <v>0.25</v>
          </cell>
        </row>
        <row r="46">
          <cell r="B46">
            <v>107786</v>
          </cell>
          <cell r="C46" t="str">
            <v>HQ-METERS AND HOUSE REG-GAS</v>
          </cell>
          <cell r="D46">
            <v>107786</v>
          </cell>
          <cell r="E46">
            <v>107786</v>
          </cell>
          <cell r="F46">
            <v>107786</v>
          </cell>
          <cell r="G46">
            <v>107786</v>
          </cell>
          <cell r="H46">
            <v>107786</v>
          </cell>
          <cell r="I46">
            <v>0.25</v>
          </cell>
          <cell r="J46">
            <v>0.5</v>
          </cell>
          <cell r="K46">
            <v>0.25</v>
          </cell>
        </row>
        <row r="47">
          <cell r="B47">
            <v>107791</v>
          </cell>
          <cell r="C47" t="str">
            <v>HQ-REL METERS INSTAL TO OUT-GS</v>
          </cell>
          <cell r="D47">
            <v>0.16815733195258148</v>
          </cell>
          <cell r="E47">
            <v>0.23432356972278623</v>
          </cell>
          <cell r="F47">
            <v>0.54664867095024428</v>
          </cell>
          <cell r="G47">
            <v>0.11240529442864564</v>
          </cell>
          <cell r="H47">
            <v>8.463332734747156E-2</v>
          </cell>
          <cell r="I47">
            <v>0.25</v>
          </cell>
          <cell r="J47">
            <v>0.5</v>
          </cell>
          <cell r="O47">
            <v>0.25</v>
          </cell>
        </row>
        <row r="48">
          <cell r="B48">
            <v>107796</v>
          </cell>
          <cell r="C48" t="str">
            <v>RELO METER INSTALL OUTDOOR-GAS</v>
          </cell>
          <cell r="D48">
            <v>107796</v>
          </cell>
          <cell r="E48">
            <v>107796</v>
          </cell>
          <cell r="F48">
            <v>107796</v>
          </cell>
          <cell r="G48">
            <v>107796</v>
          </cell>
          <cell r="H48">
            <v>107796</v>
          </cell>
          <cell r="I48">
            <v>0.25</v>
          </cell>
          <cell r="J48">
            <v>0.5</v>
          </cell>
          <cell r="O48">
            <v>0.25</v>
          </cell>
        </row>
        <row r="49">
          <cell r="B49">
            <v>107881</v>
          </cell>
          <cell r="C49" t="str">
            <v>AREA-METERS &amp; HOUSE REG-GAS</v>
          </cell>
          <cell r="D49">
            <v>107881</v>
          </cell>
          <cell r="E49">
            <v>107881</v>
          </cell>
          <cell r="F49">
            <v>107881</v>
          </cell>
          <cell r="G49">
            <v>107881</v>
          </cell>
          <cell r="H49">
            <v>107881</v>
          </cell>
          <cell r="I49">
            <v>0.25</v>
          </cell>
          <cell r="J49">
            <v>0.5</v>
          </cell>
          <cell r="K49">
            <v>0.25</v>
          </cell>
        </row>
        <row r="50">
          <cell r="B50">
            <v>107885</v>
          </cell>
          <cell r="C50" t="str">
            <v>METERS &amp; HOUSE REGULATORS-GAS</v>
          </cell>
          <cell r="I50">
            <v>0.25</v>
          </cell>
          <cell r="J50">
            <v>0.5</v>
          </cell>
          <cell r="K50">
            <v>0.25</v>
          </cell>
        </row>
        <row r="51">
          <cell r="B51">
            <v>107891</v>
          </cell>
          <cell r="C51" t="str">
            <v>AREA-REL METER INSTALL OUT-GAS</v>
          </cell>
          <cell r="D51">
            <v>0.14056692721799477</v>
          </cell>
          <cell r="E51">
            <v>0.15292631858956476</v>
          </cell>
          <cell r="F51">
            <v>0.1392772705993218</v>
          </cell>
          <cell r="G51">
            <v>0.16053815359771528</v>
          </cell>
          <cell r="H51">
            <v>0.12773480372682297</v>
          </cell>
          <cell r="I51">
            <v>0.25</v>
          </cell>
          <cell r="J51">
            <v>0.5</v>
          </cell>
          <cell r="K51">
            <v>0.25</v>
          </cell>
        </row>
        <row r="52">
          <cell r="B52">
            <v>107896</v>
          </cell>
          <cell r="C52" t="str">
            <v>RELO METER INSTALL OUTDOOR-GAS</v>
          </cell>
          <cell r="G52">
            <v>107896</v>
          </cell>
          <cell r="I52">
            <v>0.25</v>
          </cell>
          <cell r="J52">
            <v>0.5</v>
          </cell>
          <cell r="K52">
            <v>0.25</v>
          </cell>
        </row>
        <row r="53">
          <cell r="A53">
            <v>107254</v>
          </cell>
          <cell r="B53">
            <v>107781</v>
          </cell>
          <cell r="C53" t="str">
            <v>HQ-METERS AND HOUSE REG-GAS</v>
          </cell>
          <cell r="D53">
            <v>4.2777133684116651</v>
          </cell>
          <cell r="E53">
            <v>4.2777099609375</v>
          </cell>
          <cell r="F53">
            <v>4.2777099609375</v>
          </cell>
          <cell r="G53">
            <v>4.2777099609375</v>
          </cell>
          <cell r="H53">
            <v>0</v>
          </cell>
          <cell r="I53">
            <v>0.25</v>
          </cell>
          <cell r="J53">
            <v>0.5</v>
          </cell>
          <cell r="K53">
            <v>0.25</v>
          </cell>
        </row>
        <row r="54">
          <cell r="B54">
            <v>107789</v>
          </cell>
          <cell r="C54" t="str">
            <v>HQ-METERS AND HOUSE REG-GAS</v>
          </cell>
          <cell r="D54">
            <v>4.0469626820168871</v>
          </cell>
          <cell r="E54">
            <v>4.0469589233398438</v>
          </cell>
          <cell r="F54">
            <v>0</v>
          </cell>
          <cell r="G54">
            <v>0.1065390526757021</v>
          </cell>
          <cell r="H54">
            <v>7.4547271904892201E-2</v>
          </cell>
          <cell r="I54">
            <v>0.25</v>
          </cell>
          <cell r="J54">
            <v>0.5</v>
          </cell>
          <cell r="K54">
            <v>0.25</v>
          </cell>
        </row>
        <row r="55">
          <cell r="A55">
            <v>107255</v>
          </cell>
          <cell r="B55" t="str">
            <v>1077T8</v>
          </cell>
          <cell r="C55" t="str">
            <v>POWER OPERATED EQUIPMENT-GAS</v>
          </cell>
          <cell r="D55">
            <v>107255</v>
          </cell>
          <cell r="E55">
            <v>107255</v>
          </cell>
          <cell r="F55">
            <v>107255</v>
          </cell>
          <cell r="G55">
            <v>107255</v>
          </cell>
          <cell r="H55">
            <v>107255</v>
          </cell>
          <cell r="N55">
            <v>0.25</v>
          </cell>
          <cell r="P55">
            <v>0.75</v>
          </cell>
        </row>
        <row r="56">
          <cell r="B56" t="str">
            <v>1078S8</v>
          </cell>
          <cell r="C56" t="str">
            <v>TOOLS &amp; WORK EQUIPMENT-GAS</v>
          </cell>
          <cell r="D56">
            <v>0.48311331873184576</v>
          </cell>
          <cell r="E56">
            <v>0.73555461316791726</v>
          </cell>
          <cell r="F56">
            <v>0.47223793624911731</v>
          </cell>
          <cell r="G56">
            <v>0.59649557624380323</v>
          </cell>
          <cell r="H56">
            <v>0.35662115659830806</v>
          </cell>
          <cell r="N56">
            <v>0.25</v>
          </cell>
          <cell r="P56">
            <v>0.75</v>
          </cell>
        </row>
        <row r="57">
          <cell r="B57" t="str">
            <v>1078T8</v>
          </cell>
          <cell r="C57" t="str">
            <v>POWER OPERATED EQUIPMENT-GAS</v>
          </cell>
          <cell r="D57">
            <v>0.75</v>
          </cell>
          <cell r="E57">
            <v>0.75</v>
          </cell>
          <cell r="F57">
            <v>0.75</v>
          </cell>
          <cell r="G57">
            <v>0.75</v>
          </cell>
          <cell r="H57">
            <v>0.75</v>
          </cell>
          <cell r="N57">
            <v>0.25</v>
          </cell>
          <cell r="P57">
            <v>0.75</v>
          </cell>
        </row>
        <row r="58">
          <cell r="A58">
            <v>107256</v>
          </cell>
          <cell r="B58" t="str">
            <v>1077S8</v>
          </cell>
          <cell r="C58" t="str">
            <v>HQ-TOOLS AND WORK EQUIP-GAS</v>
          </cell>
          <cell r="D58">
            <v>0.48391552284753514</v>
          </cell>
          <cell r="E58">
            <v>7.9496435147015487E-2</v>
          </cell>
          <cell r="F58">
            <v>6.0544857564045641E-3</v>
          </cell>
          <cell r="G58">
            <v>0.16328324993961493</v>
          </cell>
          <cell r="H58">
            <v>0.9838291808800036</v>
          </cell>
          <cell r="N58">
            <v>0.25</v>
          </cell>
          <cell r="P58">
            <v>0.75</v>
          </cell>
        </row>
        <row r="59">
          <cell r="A59">
            <v>107259</v>
          </cell>
          <cell r="B59" t="str">
            <v>1078R8</v>
          </cell>
          <cell r="C59" t="str">
            <v>OTHER AUTOMOTIVE EQUIPMNT-GAS</v>
          </cell>
          <cell r="D59">
            <v>4.4848837668232235</v>
          </cell>
          <cell r="E59">
            <v>0.98550372726610491</v>
          </cell>
          <cell r="F59">
            <v>0</v>
          </cell>
          <cell r="G59">
            <v>5.6857755539671189</v>
          </cell>
          <cell r="H59">
            <v>6.696728337738409</v>
          </cell>
          <cell r="M59">
            <v>1</v>
          </cell>
        </row>
        <row r="60">
          <cell r="A60">
            <v>107273</v>
          </cell>
          <cell r="B60" t="str">
            <v>1077W9</v>
          </cell>
          <cell r="C60" t="str">
            <v>INTANGIBLE PLANT</v>
          </cell>
          <cell r="D60">
            <v>1</v>
          </cell>
          <cell r="E60">
            <v>0.83328637240951808</v>
          </cell>
          <cell r="F60">
            <v>0.37322987889238662</v>
          </cell>
          <cell r="G60">
            <v>1.9158655370319759</v>
          </cell>
          <cell r="H60">
            <v>0.49210128319560059</v>
          </cell>
        </row>
        <row r="61">
          <cell r="A61" t="str">
            <v>Grand Total</v>
          </cell>
          <cell r="B61">
            <v>23970</v>
          </cell>
          <cell r="C61" t="str">
            <v>(397)  Communication Equipment</v>
          </cell>
          <cell r="D61">
            <v>1</v>
          </cell>
          <cell r="E61">
            <v>4</v>
          </cell>
          <cell r="F61">
            <v>6</v>
          </cell>
          <cell r="G61">
            <v>12</v>
          </cell>
          <cell r="H61">
            <v>10</v>
          </cell>
          <cell r="I61">
            <v>3.5</v>
          </cell>
          <cell r="J61">
            <v>5</v>
          </cell>
          <cell r="K61">
            <v>2</v>
          </cell>
          <cell r="L61">
            <v>3</v>
          </cell>
          <cell r="M61">
            <v>2</v>
          </cell>
          <cell r="N61">
            <v>1</v>
          </cell>
          <cell r="O61">
            <v>0.5</v>
          </cell>
          <cell r="P61">
            <v>3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UP"/>
      <sheetName val="Table of Contents"/>
      <sheetName val="1-IncStmt-MTH"/>
      <sheetName val="2-IncStmt-QTR"/>
      <sheetName val="3-IncStmt-YTD"/>
      <sheetName val="4-Other Net Detail"/>
      <sheetName val="5-MD&amp;A_EBIT"/>
      <sheetName val="6-not used"/>
      <sheetName val="7-Capital Structure "/>
      <sheetName val="8-Balance Sheet"/>
      <sheetName val="9-Other BS Detail"/>
      <sheetName val="10-Cash Flow Detail"/>
      <sheetName val="11-Summary Cash Flow"/>
      <sheetName val="Adjusted 2001 Cash Flow "/>
      <sheetName val="Board  Cash Flow"/>
      <sheetName val="12-SCF - Other Line Item Detail"/>
      <sheetName val="13-PPE"/>
      <sheetName val="14-Investments"/>
      <sheetName val="15-LTD"/>
      <sheetName val="16-GW Amort and Other Assets"/>
      <sheetName val="17-Equity Rollforward"/>
      <sheetName val="17a-OCI Roll Support YTD"/>
      <sheetName val="17b-OCI Roll Support QTD"/>
      <sheetName val="18-Footnote Disclosures"/>
      <sheetName val="19-Schedule II - Valuations"/>
      <sheetName val="20-Statistics -QTR"/>
      <sheetName val="21-Statistics - YTD"/>
      <sheetName val="22-Add'l Info"/>
      <sheetName val="23-BS Topsides"/>
      <sheetName val="23-IS Topsides"/>
      <sheetName val="24-BS Reclass-Rounding"/>
      <sheetName val="Statement of Income Variances"/>
      <sheetName val="17a-OCI Roll Support"/>
      <sheetName val="TFI use"/>
      <sheetName val="KP06 CE ATD - $$"/>
      <sheetName val="lookup"/>
    </sheetNames>
    <sheetDataSet>
      <sheetData sheetId="0" refreshError="1">
        <row r="9">
          <cell r="C9" t="str">
            <v>Exelon Consolidated</v>
          </cell>
        </row>
        <row r="26">
          <cell r="C26">
            <v>37072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o"/>
      <sheetName val="C1"/>
      <sheetName val="C2_p1"/>
      <sheetName val="C2_p2"/>
      <sheetName val="C2_p3"/>
      <sheetName val="SchC2x_1"/>
      <sheetName val="SchC2x_2"/>
      <sheetName val="Rider&amp;PThruRec"/>
      <sheetName val="Inputs"/>
      <sheetName val="RevReq2"/>
      <sheetName val="RevReq1"/>
      <sheetName val="Cptl2"/>
      <sheetName val="Cptl1"/>
      <sheetName val="RegBasisTax"/>
      <sheetName val="RegBasisOthr"/>
      <sheetName val="FERC-FI comparison"/>
      <sheetName val="RatecaseExp"/>
      <sheetName val="AddonTax"/>
      <sheetName val="WeatherNorm"/>
      <sheetName val="AnnualLaborInc2006"/>
      <sheetName val="AdjLaborInc2007"/>
      <sheetName val="TBD1"/>
      <sheetName val="TBD2"/>
      <sheetName val="Tax-GasPltLsd"/>
      <sheetName val="CharContr"/>
      <sheetName val="Pension"/>
      <sheetName val="Med&amp;Ins"/>
      <sheetName val="Pegasys"/>
      <sheetName val="CustAssistProg"/>
      <sheetName val="NetDismantle"/>
      <sheetName val="PriorRateCase"/>
      <sheetName val="PGA Settlement"/>
      <sheetName val="CrDeposits1"/>
      <sheetName val="Budget Plan"/>
      <sheetName val="ICT"/>
      <sheetName val="Sync2"/>
      <sheetName val="Sync1"/>
      <sheetName val="Interest1"/>
      <sheetName val="NotCostServ1"/>
      <sheetName val="Deprec07NetAdd"/>
      <sheetName val="Ann_nonpayroll"/>
      <sheetName val="Legal_ICCfines"/>
      <sheetName val="Legal_letterinvest"/>
      <sheetName val="Ann_CollectFees"/>
      <sheetName val="MtGreenwood"/>
      <sheetName val="Exp-SNGPlant"/>
      <sheetName val="UBA "/>
      <sheetName val="CommEqty1_noOCI"/>
      <sheetName val="PropCap_06WPD-1.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Inc"/>
      <sheetName val="Other Budget"/>
      <sheetName val="Other LE"/>
      <sheetName val="3-9 LE"/>
      <sheetName val="6-6 LE"/>
      <sheetName val="7-5 LE"/>
      <sheetName val="Actuals"/>
      <sheetName val="Calculations"/>
      <sheetName val="Var Anal"/>
      <sheetName val="MFR"/>
      <sheetName val="QMM"/>
      <sheetName val="BOD"/>
      <sheetName val="KPIs"/>
      <sheetName val="Module1"/>
      <sheetName val="Module2"/>
      <sheetName val="Module3"/>
      <sheetName val="Module4"/>
      <sheetName val="Module5"/>
      <sheetName val="SET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3">
          <cell r="A3">
            <v>1</v>
          </cell>
          <cell r="E3">
            <v>36892</v>
          </cell>
          <cell r="F3">
            <v>36923</v>
          </cell>
          <cell r="G3">
            <v>36951</v>
          </cell>
          <cell r="H3">
            <v>36982</v>
          </cell>
          <cell r="I3">
            <v>37012</v>
          </cell>
          <cell r="J3">
            <v>37043</v>
          </cell>
          <cell r="K3">
            <v>37073</v>
          </cell>
          <cell r="L3">
            <v>37104</v>
          </cell>
          <cell r="M3">
            <v>37135</v>
          </cell>
          <cell r="N3">
            <v>37165</v>
          </cell>
          <cell r="O3">
            <v>37196</v>
          </cell>
          <cell r="P3">
            <v>37226</v>
          </cell>
        </row>
        <row r="4">
          <cell r="A4">
            <v>2</v>
          </cell>
        </row>
        <row r="5">
          <cell r="A5">
            <v>3</v>
          </cell>
          <cell r="B5" t="str">
            <v>Actuals</v>
          </cell>
        </row>
        <row r="6">
          <cell r="A6">
            <v>4</v>
          </cell>
          <cell r="C6" t="str">
            <v>Monthly Sales &amp; Delivery Volumes</v>
          </cell>
        </row>
        <row r="7">
          <cell r="A7">
            <v>5</v>
          </cell>
          <cell r="C7" t="str">
            <v>Electric Energy Delivery (gWh)</v>
          </cell>
          <cell r="E7">
            <v>3167.65982983</v>
          </cell>
          <cell r="F7">
            <v>2749.27458699</v>
          </cell>
          <cell r="G7">
            <v>2903.188576</v>
          </cell>
          <cell r="H7">
            <v>2593.03422</v>
          </cell>
          <cell r="I7">
            <v>2711.198856</v>
          </cell>
          <cell r="J7">
            <v>3163.424532</v>
          </cell>
          <cell r="K7">
            <v>3211.3336720000002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</row>
        <row r="8">
          <cell r="A8">
            <v>6</v>
          </cell>
          <cell r="C8" t="str">
            <v>Electric Energy Sales (gWh)</v>
          </cell>
          <cell r="E8">
            <v>2137.8675628300002</v>
          </cell>
          <cell r="F8">
            <v>1946.5558519900001</v>
          </cell>
          <cell r="G8">
            <v>2122.204299</v>
          </cell>
          <cell r="H8">
            <v>1795.2801159999999</v>
          </cell>
          <cell r="I8">
            <v>1939.092034</v>
          </cell>
          <cell r="J8">
            <v>2627.478717</v>
          </cell>
          <cell r="K8">
            <v>2747.009086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</row>
        <row r="9">
          <cell r="A9">
            <v>7</v>
          </cell>
          <cell r="C9" t="str">
            <v>Electric Load Retention</v>
          </cell>
          <cell r="E9">
            <v>0.67490440188608702</v>
          </cell>
          <cell r="F9">
            <v>0.70802525917251358</v>
          </cell>
          <cell r="G9">
            <v>0.73099085486343551</v>
          </cell>
          <cell r="H9">
            <v>0.69234725178443646</v>
          </cell>
          <cell r="I9">
            <v>0.71521571710194021</v>
          </cell>
          <cell r="J9">
            <v>0.83058049604832485</v>
          </cell>
          <cell r="K9">
            <v>0.85541066938994803</v>
          </cell>
          <cell r="L9" t="e">
            <v>#DIV/0!</v>
          </cell>
          <cell r="M9" t="e">
            <v>#DIV/0!</v>
          </cell>
          <cell r="N9" t="e">
            <v>#DIV/0!</v>
          </cell>
          <cell r="O9" t="e">
            <v>#DIV/0!</v>
          </cell>
          <cell r="P9" t="e">
            <v>#DIV/0!</v>
          </cell>
        </row>
        <row r="10">
          <cell r="A10">
            <v>8</v>
          </cell>
          <cell r="C10" t="str">
            <v>Energy Purchased (gWh)</v>
          </cell>
          <cell r="E10">
            <v>2320.5419999999999</v>
          </cell>
          <cell r="F10">
            <v>2119.8249999999998</v>
          </cell>
          <cell r="G10">
            <v>2290.0239999999999</v>
          </cell>
          <cell r="H10">
            <v>2014.867</v>
          </cell>
          <cell r="I10">
            <v>2304.7449999999999</v>
          </cell>
          <cell r="J10">
            <v>2855.761</v>
          </cell>
          <cell r="K10">
            <v>2975.1120000000001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</row>
        <row r="11">
          <cell r="A11">
            <v>9</v>
          </cell>
          <cell r="C11" t="str">
            <v>Gas (BCF)</v>
          </cell>
          <cell r="E11">
            <v>11.112</v>
          </cell>
          <cell r="F11">
            <v>8.7959999999999994</v>
          </cell>
          <cell r="G11">
            <v>8.3620000000000001</v>
          </cell>
          <cell r="H11">
            <v>3.867</v>
          </cell>
          <cell r="I11">
            <v>1.9259999999999999</v>
          </cell>
          <cell r="J11">
            <v>1.405</v>
          </cell>
          <cell r="K11">
            <v>1.3560000000000001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</row>
        <row r="12">
          <cell r="A12">
            <v>10</v>
          </cell>
        </row>
        <row r="13">
          <cell r="A13">
            <v>11</v>
          </cell>
          <cell r="C13" t="str">
            <v>QTD Sales &amp; Delivery Volumes</v>
          </cell>
        </row>
        <row r="14">
          <cell r="A14">
            <v>12</v>
          </cell>
          <cell r="C14" t="str">
            <v>Electric Energy Delivery (gWh)</v>
          </cell>
          <cell r="E14">
            <v>3167.65982983</v>
          </cell>
          <cell r="F14">
            <v>5916.9344168200005</v>
          </cell>
          <cell r="G14">
            <v>8820.1229928200009</v>
          </cell>
          <cell r="H14">
            <v>2593.03422</v>
          </cell>
          <cell r="I14">
            <v>5304.2330760000004</v>
          </cell>
          <cell r="J14">
            <v>8467.6576080000013</v>
          </cell>
          <cell r="K14">
            <v>3211.3336720000002</v>
          </cell>
          <cell r="L14">
            <v>3211.3336720000002</v>
          </cell>
          <cell r="M14">
            <v>3211.3336720000002</v>
          </cell>
          <cell r="N14">
            <v>0</v>
          </cell>
          <cell r="O14">
            <v>0</v>
          </cell>
          <cell r="P14">
            <v>0</v>
          </cell>
        </row>
        <row r="15">
          <cell r="A15">
            <v>13</v>
          </cell>
          <cell r="C15" t="str">
            <v>Electric Energy Sales (gWh)</v>
          </cell>
          <cell r="E15">
            <v>2137.8675628300002</v>
          </cell>
          <cell r="F15">
            <v>4084.4234148200003</v>
          </cell>
          <cell r="G15">
            <v>6206.6277138200003</v>
          </cell>
          <cell r="H15">
            <v>1795.2801159999999</v>
          </cell>
          <cell r="I15">
            <v>3734.3721500000001</v>
          </cell>
          <cell r="J15">
            <v>6361.8508670000001</v>
          </cell>
          <cell r="K15">
            <v>2747.009086</v>
          </cell>
          <cell r="L15">
            <v>2747.009086</v>
          </cell>
          <cell r="M15">
            <v>2747.009086</v>
          </cell>
          <cell r="N15">
            <v>0</v>
          </cell>
          <cell r="O15">
            <v>0</v>
          </cell>
          <cell r="P15">
            <v>0</v>
          </cell>
        </row>
        <row r="16">
          <cell r="A16">
            <v>14</v>
          </cell>
          <cell r="C16" t="str">
            <v>Electric Load Retention</v>
          </cell>
          <cell r="E16">
            <v>0.67490440188608702</v>
          </cell>
          <cell r="F16">
            <v>0.69029384594989884</v>
          </cell>
          <cell r="G16">
            <v>0.70368947449740671</v>
          </cell>
          <cell r="H16">
            <v>0.69234725178443646</v>
          </cell>
          <cell r="I16">
            <v>0.70403620966372482</v>
          </cell>
          <cell r="J16">
            <v>0.75131177493401535</v>
          </cell>
          <cell r="K16">
            <v>0.85541066938994803</v>
          </cell>
          <cell r="L16">
            <v>0.85541066938994803</v>
          </cell>
          <cell r="M16">
            <v>0.85541066938994803</v>
          </cell>
          <cell r="N16" t="e">
            <v>#DIV/0!</v>
          </cell>
          <cell r="O16" t="e">
            <v>#DIV/0!</v>
          </cell>
          <cell r="P16" t="e">
            <v>#DIV/0!</v>
          </cell>
        </row>
        <row r="17">
          <cell r="A17">
            <v>15</v>
          </cell>
          <cell r="C17" t="str">
            <v>Energy Purchased (gWh)</v>
          </cell>
          <cell r="E17">
            <v>2320.5419999999999</v>
          </cell>
          <cell r="F17">
            <v>4440.3670000000002</v>
          </cell>
          <cell r="G17">
            <v>6730.3909999999996</v>
          </cell>
          <cell r="H17">
            <v>2014.867</v>
          </cell>
          <cell r="I17">
            <v>4319.6120000000001</v>
          </cell>
          <cell r="J17">
            <v>7175.3729999999996</v>
          </cell>
          <cell r="K17">
            <v>2975.1120000000001</v>
          </cell>
          <cell r="L17">
            <v>2975.1120000000001</v>
          </cell>
          <cell r="M17">
            <v>2975.1120000000001</v>
          </cell>
          <cell r="N17">
            <v>0</v>
          </cell>
          <cell r="O17">
            <v>0</v>
          </cell>
          <cell r="P17">
            <v>0</v>
          </cell>
        </row>
        <row r="18">
          <cell r="A18">
            <v>16</v>
          </cell>
          <cell r="C18" t="str">
            <v>Gas (BCF)</v>
          </cell>
          <cell r="E18">
            <v>11.112</v>
          </cell>
          <cell r="F18">
            <v>19.908000000000001</v>
          </cell>
          <cell r="G18">
            <v>28.270000000000003</v>
          </cell>
          <cell r="H18">
            <v>3.867</v>
          </cell>
          <cell r="I18">
            <v>5.7930000000000001</v>
          </cell>
          <cell r="J18">
            <v>7.1980000000000004</v>
          </cell>
          <cell r="K18">
            <v>1.3560000000000001</v>
          </cell>
          <cell r="L18">
            <v>1.3560000000000001</v>
          </cell>
          <cell r="M18">
            <v>1.3560000000000001</v>
          </cell>
          <cell r="N18">
            <v>0</v>
          </cell>
          <cell r="O18">
            <v>0</v>
          </cell>
          <cell r="P18">
            <v>0</v>
          </cell>
        </row>
        <row r="19">
          <cell r="A19">
            <v>17</v>
          </cell>
        </row>
        <row r="20">
          <cell r="A20">
            <v>18</v>
          </cell>
          <cell r="C20" t="str">
            <v>YTD Sales &amp; Delivery Volumes</v>
          </cell>
        </row>
        <row r="21">
          <cell r="A21">
            <v>19</v>
          </cell>
          <cell r="C21" t="str">
            <v>Electric Energy Delivery (gWh)</v>
          </cell>
          <cell r="E21">
            <v>3167.65982983</v>
          </cell>
          <cell r="F21">
            <v>5916.9344168200005</v>
          </cell>
          <cell r="G21">
            <v>8820.1229928200009</v>
          </cell>
          <cell r="H21">
            <v>11413.15721282</v>
          </cell>
          <cell r="I21">
            <v>14124.356068820001</v>
          </cell>
          <cell r="J21">
            <v>17287.780600820002</v>
          </cell>
          <cell r="K21">
            <v>20499.114272820003</v>
          </cell>
          <cell r="L21">
            <v>20499.114272820003</v>
          </cell>
          <cell r="M21">
            <v>20499.114272820003</v>
          </cell>
          <cell r="N21">
            <v>20499.114272820003</v>
          </cell>
          <cell r="O21">
            <v>20499.114272820003</v>
          </cell>
          <cell r="P21">
            <v>20499.114272820003</v>
          </cell>
        </row>
        <row r="22">
          <cell r="A22">
            <v>20</v>
          </cell>
          <cell r="C22" t="str">
            <v>Electric Energy Sales (gWh)</v>
          </cell>
          <cell r="E22">
            <v>2137.8675628300002</v>
          </cell>
          <cell r="F22">
            <v>4084.4234148200003</v>
          </cell>
          <cell r="G22">
            <v>6206.6277138200003</v>
          </cell>
          <cell r="H22">
            <v>8001.9078298200002</v>
          </cell>
          <cell r="I22">
            <v>9940.9998638199995</v>
          </cell>
          <cell r="J22">
            <v>12568.478580819999</v>
          </cell>
          <cell r="K22">
            <v>15315.48766682</v>
          </cell>
          <cell r="L22">
            <v>15315.48766682</v>
          </cell>
          <cell r="M22">
            <v>15315.48766682</v>
          </cell>
          <cell r="N22">
            <v>15315.48766682</v>
          </cell>
          <cell r="O22">
            <v>15315.48766682</v>
          </cell>
          <cell r="P22">
            <v>15315.48766682</v>
          </cell>
        </row>
        <row r="23">
          <cell r="A23">
            <v>21</v>
          </cell>
          <cell r="C23" t="str">
            <v>Electric Load Retention</v>
          </cell>
          <cell r="E23">
            <v>0.67490440188608702</v>
          </cell>
          <cell r="F23">
            <v>0.69029384594989884</v>
          </cell>
          <cell r="G23">
            <v>0.70368947449740671</v>
          </cell>
          <cell r="H23">
            <v>0.70111255637762848</v>
          </cell>
          <cell r="I23">
            <v>0.70381968674416928</v>
          </cell>
          <cell r="J23">
            <v>0.72701516007345934</v>
          </cell>
          <cell r="K23">
            <v>0.74712923997535685</v>
          </cell>
          <cell r="L23">
            <v>0.74712923997535685</v>
          </cell>
          <cell r="M23">
            <v>0.74712923997535685</v>
          </cell>
          <cell r="N23">
            <v>0.74712923997535685</v>
          </cell>
          <cell r="O23">
            <v>0.74712923997535685</v>
          </cell>
          <cell r="P23">
            <v>0.74712923997535685</v>
          </cell>
        </row>
        <row r="24">
          <cell r="A24">
            <v>22</v>
          </cell>
          <cell r="C24" t="str">
            <v>Energy Purchased (gWh)</v>
          </cell>
          <cell r="E24">
            <v>2320.5419999999999</v>
          </cell>
          <cell r="F24">
            <v>4440.3670000000002</v>
          </cell>
          <cell r="G24">
            <v>6730.3909999999996</v>
          </cell>
          <cell r="H24">
            <v>8745.2579999999998</v>
          </cell>
          <cell r="I24">
            <v>11050.003000000001</v>
          </cell>
          <cell r="J24">
            <v>13905.764000000001</v>
          </cell>
          <cell r="K24">
            <v>16880.876</v>
          </cell>
          <cell r="L24">
            <v>16880.876</v>
          </cell>
          <cell r="M24">
            <v>16880.876</v>
          </cell>
          <cell r="N24">
            <v>16880.876</v>
          </cell>
          <cell r="O24">
            <v>16880.876</v>
          </cell>
          <cell r="P24">
            <v>16880.876</v>
          </cell>
        </row>
        <row r="25">
          <cell r="A25">
            <v>23</v>
          </cell>
          <cell r="C25" t="str">
            <v>Gas (BCF)</v>
          </cell>
          <cell r="E25">
            <v>11.112</v>
          </cell>
          <cell r="F25">
            <v>19.908000000000001</v>
          </cell>
          <cell r="G25">
            <v>28.270000000000003</v>
          </cell>
          <cell r="H25">
            <v>32.137</v>
          </cell>
          <cell r="I25">
            <v>34.063000000000002</v>
          </cell>
          <cell r="J25">
            <v>35.468000000000004</v>
          </cell>
          <cell r="K25">
            <v>36.824000000000005</v>
          </cell>
          <cell r="L25">
            <v>36.824000000000005</v>
          </cell>
          <cell r="M25">
            <v>36.824000000000005</v>
          </cell>
          <cell r="N25">
            <v>36.824000000000005</v>
          </cell>
          <cell r="O25">
            <v>36.824000000000005</v>
          </cell>
          <cell r="P25">
            <v>36.824000000000005</v>
          </cell>
        </row>
        <row r="26">
          <cell r="A26">
            <v>24</v>
          </cell>
        </row>
        <row r="27">
          <cell r="A27">
            <v>25</v>
          </cell>
          <cell r="C27" t="str">
            <v>Monthly</v>
          </cell>
        </row>
        <row r="28">
          <cell r="A28">
            <v>26</v>
          </cell>
          <cell r="C28" t="str">
            <v>Revenue</v>
          </cell>
          <cell r="E28">
            <v>378.61627700000003</v>
          </cell>
          <cell r="F28">
            <v>312.29888757999998</v>
          </cell>
          <cell r="G28">
            <v>360.18375438999999</v>
          </cell>
          <cell r="H28">
            <v>288.07063385000004</v>
          </cell>
          <cell r="I28">
            <v>272.54417445000001</v>
          </cell>
          <cell r="J28">
            <v>345.22421689000004</v>
          </cell>
          <cell r="K28">
            <v>350.52837612000002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A29">
            <v>27</v>
          </cell>
          <cell r="C29" t="str">
            <v>Purchased Power/Fuel/GRT</v>
          </cell>
          <cell r="E29">
            <v>188.86915300000001</v>
          </cell>
          <cell r="F29">
            <v>153.02331660999999</v>
          </cell>
          <cell r="G29">
            <v>176.60595024999998</v>
          </cell>
          <cell r="H29">
            <v>132.97921802000002</v>
          </cell>
          <cell r="I29">
            <v>127.26990332000001</v>
          </cell>
          <cell r="J29">
            <v>157.29501578</v>
          </cell>
          <cell r="K29">
            <v>173.24987913999999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0">
          <cell r="A30">
            <v>28</v>
          </cell>
          <cell r="C30" t="str">
            <v>Direct Expenses</v>
          </cell>
          <cell r="E30">
            <v>8.5245630000000006</v>
          </cell>
          <cell r="F30">
            <v>13.052483639999998</v>
          </cell>
          <cell r="G30">
            <v>14.5440594</v>
          </cell>
          <cell r="H30">
            <v>6.2017335400000011</v>
          </cell>
          <cell r="I30">
            <v>11.12986944</v>
          </cell>
          <cell r="J30">
            <v>12.878882450000001</v>
          </cell>
          <cell r="K30">
            <v>12.5774592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</row>
        <row r="31">
          <cell r="A31">
            <v>29</v>
          </cell>
          <cell r="C31" t="str">
            <v>Indirect Expenses</v>
          </cell>
          <cell r="E31">
            <v>20.913808</v>
          </cell>
          <cell r="F31">
            <v>17.12196754</v>
          </cell>
          <cell r="G31">
            <v>23.73291764</v>
          </cell>
          <cell r="H31">
            <v>14.1111171</v>
          </cell>
          <cell r="I31">
            <v>15.409053119999999</v>
          </cell>
          <cell r="J31">
            <v>25.807496230000002</v>
          </cell>
          <cell r="K31">
            <v>21.495436129999998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A32">
            <v>30</v>
          </cell>
          <cell r="C32" t="str">
            <v>SG &amp;A</v>
          </cell>
          <cell r="E32">
            <v>7.2018141199999999</v>
          </cell>
          <cell r="F32">
            <v>11.266820940000001</v>
          </cell>
          <cell r="G32">
            <v>-2.4539009400000014</v>
          </cell>
          <cell r="H32">
            <v>16.404041540000001</v>
          </cell>
          <cell r="I32">
            <v>-1.3745437100000002</v>
          </cell>
          <cell r="J32">
            <v>11.750176699999999</v>
          </cell>
          <cell r="K32">
            <v>8.4999723300000003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A33">
            <v>31</v>
          </cell>
          <cell r="C33" t="str">
            <v>BSC</v>
          </cell>
          <cell r="E33">
            <v>2.1551342400000002</v>
          </cell>
          <cell r="F33">
            <v>2.8575008099999999</v>
          </cell>
          <cell r="G33">
            <v>2.6501862000000003</v>
          </cell>
          <cell r="H33">
            <v>3.43668861</v>
          </cell>
          <cell r="I33">
            <v>3.2212818900000002</v>
          </cell>
          <cell r="J33">
            <v>3.2003910499999999</v>
          </cell>
          <cell r="K33">
            <v>2.5454918900000001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A34">
            <v>32</v>
          </cell>
          <cell r="C34" t="str">
            <v>Corp Center Allocation</v>
          </cell>
          <cell r="E34">
            <v>0</v>
          </cell>
          <cell r="F34">
            <v>4.8</v>
          </cell>
          <cell r="G34">
            <v>5.5939363799999997</v>
          </cell>
          <cell r="H34">
            <v>-1.3815286</v>
          </cell>
          <cell r="I34">
            <v>2.54281516</v>
          </cell>
          <cell r="J34">
            <v>2.7044277999999999</v>
          </cell>
          <cell r="K34">
            <v>2.1644528100000002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A35">
            <v>33</v>
          </cell>
          <cell r="C35" t="str">
            <v>Earnings from Invest.Equity(enter income as neg)</v>
          </cell>
          <cell r="E35">
            <v>2.4964600000008941E-3</v>
          </cell>
          <cell r="F35">
            <v>2.2439999999999999E-3</v>
          </cell>
          <cell r="G35">
            <v>-6.7981199999999995E-3</v>
          </cell>
          <cell r="H35">
            <v>-1.6456999999999999E-2</v>
          </cell>
          <cell r="I35">
            <v>1.4324E-2</v>
          </cell>
          <cell r="J35">
            <v>-8.8739999999999999E-3</v>
          </cell>
          <cell r="K35">
            <v>-4.3573000000000001E-2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A36">
            <v>34</v>
          </cell>
          <cell r="C36" t="str">
            <v>Loss/(Gain) on Assets Disposal</v>
          </cell>
          <cell r="E36">
            <v>-0.6429954200000001</v>
          </cell>
          <cell r="F36">
            <v>0</v>
          </cell>
          <cell r="G36">
            <v>5.2929399999999995E-3</v>
          </cell>
          <cell r="H36">
            <v>-3.0000000000000001E-6</v>
          </cell>
          <cell r="I36">
            <v>0.78996481000000007</v>
          </cell>
          <cell r="J36">
            <v>0</v>
          </cell>
          <cell r="K36">
            <v>-1.1589E-3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A37">
            <v>35</v>
          </cell>
          <cell r="C37" t="str">
            <v>Other Operating Expenses</v>
          </cell>
          <cell r="E37">
            <v>-9.1986281500000011</v>
          </cell>
          <cell r="F37">
            <v>4.5211499999999998E-3</v>
          </cell>
          <cell r="G37">
            <v>8.4014199999999997E-3</v>
          </cell>
          <cell r="H37">
            <v>-2.1752560000000001E-2</v>
          </cell>
          <cell r="I37">
            <v>-1.1751540000000001E-2</v>
          </cell>
          <cell r="J37">
            <v>3.1702849999999998E-2</v>
          </cell>
          <cell r="K37">
            <v>-4.9916389999999998E-2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A38">
            <v>36</v>
          </cell>
          <cell r="C38" t="str">
            <v>TOTI</v>
          </cell>
          <cell r="E38">
            <v>4.0493737999999997</v>
          </cell>
          <cell r="F38">
            <v>5.0959441700000001</v>
          </cell>
          <cell r="G38">
            <v>3.9019457499999999</v>
          </cell>
          <cell r="H38">
            <v>9.2710387699999988</v>
          </cell>
          <cell r="I38">
            <v>3.4664200800000002</v>
          </cell>
          <cell r="J38">
            <v>4.0505215899999998</v>
          </cell>
          <cell r="K38">
            <v>-6.0026152899999996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A39">
            <v>37</v>
          </cell>
          <cell r="C39" t="str">
            <v>Total O&amp;M, Other</v>
          </cell>
          <cell r="E39">
            <v>33.005566050000006</v>
          </cell>
          <cell r="F39">
            <v>54.201482249999998</v>
          </cell>
          <cell r="G39">
            <v>47.976040669999996</v>
          </cell>
          <cell r="H39">
            <v>48.004878399999988</v>
          </cell>
          <cell r="I39">
            <v>35.187433249999998</v>
          </cell>
          <cell r="J39">
            <v>60.414724670000005</v>
          </cell>
          <cell r="K39">
            <v>41.185548779999991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A40">
            <v>38</v>
          </cell>
          <cell r="C40" t="str">
            <v>D&amp;A</v>
          </cell>
          <cell r="E40">
            <v>34.461494000000002</v>
          </cell>
          <cell r="F40">
            <v>33.0189181</v>
          </cell>
          <cell r="G40">
            <v>33.669646479999997</v>
          </cell>
          <cell r="H40">
            <v>30.61850943</v>
          </cell>
          <cell r="I40">
            <v>31.659099019999999</v>
          </cell>
          <cell r="J40">
            <v>36.240553500000004</v>
          </cell>
          <cell r="K40">
            <v>40.223600860000005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A41">
            <v>39</v>
          </cell>
          <cell r="C41" t="str">
            <v>Interest Expense</v>
          </cell>
          <cell r="E41">
            <v>38.098998999999999</v>
          </cell>
          <cell r="F41">
            <v>38.168735410000004</v>
          </cell>
          <cell r="G41">
            <v>30.901196099999996</v>
          </cell>
          <cell r="H41">
            <v>41.269553130000006</v>
          </cell>
          <cell r="I41">
            <v>36.980243019999996</v>
          </cell>
          <cell r="J41">
            <v>38.028928350000001</v>
          </cell>
          <cell r="K41">
            <v>21.647839180000002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A42">
            <v>40</v>
          </cell>
          <cell r="C42" t="str">
            <v>Taxes</v>
          </cell>
          <cell r="E42">
            <v>-0.37688899999999997</v>
          </cell>
          <cell r="F42">
            <v>47.753231490000005</v>
          </cell>
          <cell r="G42">
            <v>19.826177560000001</v>
          </cell>
          <cell r="H42">
            <v>10.472614</v>
          </cell>
          <cell r="I42">
            <v>15.907632</v>
          </cell>
          <cell r="J42">
            <v>18.74708</v>
          </cell>
          <cell r="K42">
            <v>27.431635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A43">
            <v>41</v>
          </cell>
          <cell r="C43" t="str">
            <v>Preferred Stock Dividends</v>
          </cell>
          <cell r="E43">
            <v>0.80875600000000003</v>
          </cell>
          <cell r="F43">
            <v>0.80875600000000003</v>
          </cell>
          <cell r="G43">
            <v>0.80875600000000003</v>
          </cell>
          <cell r="H43">
            <v>0.80875532999999999</v>
          </cell>
          <cell r="I43">
            <v>0.80875600000000003</v>
          </cell>
          <cell r="J43">
            <v>0.80875600000000003</v>
          </cell>
          <cell r="K43">
            <v>5.6612906600000006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A44">
            <v>42</v>
          </cell>
          <cell r="C44" t="str">
            <v>Net Income</v>
          </cell>
          <cell r="E44">
            <v>83.74919795000001</v>
          </cell>
          <cell r="F44">
            <v>-14.675552280000025</v>
          </cell>
          <cell r="G44">
            <v>50.395987329999983</v>
          </cell>
          <cell r="H44">
            <v>23.917105539999984</v>
          </cell>
          <cell r="I44">
            <v>24.731107839999996</v>
          </cell>
          <cell r="J44">
            <v>33.689158590000005</v>
          </cell>
          <cell r="K44">
            <v>41.128582500000014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A45">
            <v>43</v>
          </cell>
          <cell r="C45" t="str">
            <v>EPS</v>
          </cell>
          <cell r="E45">
            <v>0.26336225770440252</v>
          </cell>
          <cell r="F45">
            <v>-4.6149535471698193E-2</v>
          </cell>
          <cell r="G45">
            <v>0.1584779475786163</v>
          </cell>
          <cell r="H45">
            <v>7.5211023710691771E-2</v>
          </cell>
          <cell r="I45">
            <v>7.7770779371069174E-2</v>
          </cell>
          <cell r="J45">
            <v>0.10594075028301889</v>
          </cell>
          <cell r="K45">
            <v>0.12933516509433968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A46">
            <v>44</v>
          </cell>
        </row>
        <row r="47">
          <cell r="A47">
            <v>45</v>
          </cell>
          <cell r="C47" t="str">
            <v>QTD</v>
          </cell>
        </row>
        <row r="48">
          <cell r="A48">
            <v>46</v>
          </cell>
          <cell r="C48" t="str">
            <v>Revenue</v>
          </cell>
          <cell r="E48">
            <v>378.61627700000003</v>
          </cell>
          <cell r="F48">
            <v>690.91516458000001</v>
          </cell>
          <cell r="G48">
            <v>1051.0989189700001</v>
          </cell>
          <cell r="H48">
            <v>288.07063385000004</v>
          </cell>
          <cell r="I48">
            <v>560.61480829999994</v>
          </cell>
          <cell r="J48">
            <v>905.83902519000014</v>
          </cell>
          <cell r="K48">
            <v>350.52837612000002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A49">
            <v>47</v>
          </cell>
          <cell r="C49" t="str">
            <v>Purchased Power and Fuel</v>
          </cell>
          <cell r="E49">
            <v>188.86915300000001</v>
          </cell>
          <cell r="F49">
            <v>341.89246961000003</v>
          </cell>
          <cell r="G49">
            <v>518.49841986000001</v>
          </cell>
          <cell r="H49">
            <v>132.97921802000002</v>
          </cell>
          <cell r="I49">
            <v>260.24912134000004</v>
          </cell>
          <cell r="J49">
            <v>417.54413712000002</v>
          </cell>
          <cell r="K49">
            <v>173.24987913999999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A50">
            <v>48</v>
          </cell>
          <cell r="C50" t="str">
            <v>Direct Expenses</v>
          </cell>
          <cell r="E50">
            <v>8.5245630000000006</v>
          </cell>
          <cell r="F50">
            <v>21.577046639999999</v>
          </cell>
          <cell r="G50">
            <v>36.121106040000001</v>
          </cell>
          <cell r="H50">
            <v>6.2017335400000011</v>
          </cell>
          <cell r="I50">
            <v>17.33160298</v>
          </cell>
          <cell r="J50">
            <v>30.210485430000002</v>
          </cell>
          <cell r="K50">
            <v>12.5774592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A51">
            <v>49</v>
          </cell>
          <cell r="C51" t="str">
            <v>Indirect Expenses</v>
          </cell>
          <cell r="E51">
            <v>20.913808</v>
          </cell>
          <cell r="F51">
            <v>38.035775540000003</v>
          </cell>
          <cell r="G51">
            <v>61.76869318</v>
          </cell>
          <cell r="H51">
            <v>14.1111171</v>
          </cell>
          <cell r="I51">
            <v>29.520170219999997</v>
          </cell>
          <cell r="J51">
            <v>55.327666449999995</v>
          </cell>
          <cell r="K51">
            <v>21.495436129999998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A52">
            <v>50</v>
          </cell>
          <cell r="C52" t="str">
            <v>SG &amp;A</v>
          </cell>
          <cell r="E52">
            <v>7.2018141199999999</v>
          </cell>
          <cell r="F52">
            <v>18.46863506</v>
          </cell>
          <cell r="G52">
            <v>16.01473412</v>
          </cell>
          <cell r="H52">
            <v>16.404041540000001</v>
          </cell>
          <cell r="I52">
            <v>15.02949783</v>
          </cell>
          <cell r="J52">
            <v>26.779674530000001</v>
          </cell>
          <cell r="K52">
            <v>8.4999723300000003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A53">
            <v>51</v>
          </cell>
          <cell r="C53" t="str">
            <v>BSC</v>
          </cell>
          <cell r="E53">
            <v>2.1551342400000002</v>
          </cell>
          <cell r="F53">
            <v>5.0126350500000001</v>
          </cell>
          <cell r="G53">
            <v>7.6628212500000004</v>
          </cell>
          <cell r="H53">
            <v>3.43668861</v>
          </cell>
          <cell r="I53">
            <v>6.6579705000000002</v>
          </cell>
          <cell r="J53">
            <v>9.8583615499999997</v>
          </cell>
          <cell r="K53">
            <v>2.5454918900000001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A54">
            <v>52</v>
          </cell>
          <cell r="C54" t="str">
            <v>Corp Center Allocation</v>
          </cell>
          <cell r="E54">
            <v>0</v>
          </cell>
          <cell r="F54">
            <v>4.8</v>
          </cell>
          <cell r="G54">
            <v>10.39393638</v>
          </cell>
          <cell r="H54">
            <v>-1.3815286</v>
          </cell>
          <cell r="I54">
            <v>1.16128656</v>
          </cell>
          <cell r="J54">
            <v>3.8657143600000001</v>
          </cell>
          <cell r="K54">
            <v>2.1644528100000002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A55">
            <v>53</v>
          </cell>
          <cell r="C55" t="str">
            <v>Earnings from Invest.Equity(enter income as neg)</v>
          </cell>
          <cell r="E55">
            <v>2.4964600000008941E-3</v>
          </cell>
          <cell r="F55">
            <v>4.7404600000008935E-3</v>
          </cell>
          <cell r="G55">
            <v>-2.057659999999106E-3</v>
          </cell>
          <cell r="H55">
            <v>-1.6456999999999999E-2</v>
          </cell>
          <cell r="I55">
            <v>-2.1329999999999995E-3</v>
          </cell>
          <cell r="J55">
            <v>-1.1006999999999999E-2</v>
          </cell>
          <cell r="K55">
            <v>-4.3573000000000001E-2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A56">
            <v>54</v>
          </cell>
          <cell r="C56" t="str">
            <v>Loss/(Gain) on Assets Disposal</v>
          </cell>
          <cell r="E56">
            <v>-0.6429954200000001</v>
          </cell>
          <cell r="F56">
            <v>-0.6429954200000001</v>
          </cell>
          <cell r="G56">
            <v>-0.63770248000000007</v>
          </cell>
          <cell r="H56">
            <v>-3.0000000000000001E-6</v>
          </cell>
          <cell r="I56">
            <v>0.7899618100000001</v>
          </cell>
          <cell r="J56">
            <v>0.7899618100000001</v>
          </cell>
          <cell r="K56">
            <v>-1.1589E-3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A57">
            <v>55</v>
          </cell>
          <cell r="C57" t="str">
            <v>Other Operating Expenses</v>
          </cell>
          <cell r="E57">
            <v>-9.1986281500000011</v>
          </cell>
          <cell r="F57">
            <v>-9.1941070000000007</v>
          </cell>
          <cell r="G57">
            <v>-9.1857055800000005</v>
          </cell>
          <cell r="H57">
            <v>-2.1752560000000001E-2</v>
          </cell>
          <cell r="I57">
            <v>-3.3504100000000002E-2</v>
          </cell>
          <cell r="J57">
            <v>-1.8012500000000042E-3</v>
          </cell>
          <cell r="K57">
            <v>-4.9916389999999998E-2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A58">
            <v>56</v>
          </cell>
          <cell r="C58" t="str">
            <v>TOTI</v>
          </cell>
          <cell r="E58">
            <v>4.0493737999999997</v>
          </cell>
          <cell r="F58">
            <v>9.1453179700000007</v>
          </cell>
          <cell r="G58">
            <v>13.04726372</v>
          </cell>
          <cell r="H58">
            <v>9.2710387699999988</v>
          </cell>
          <cell r="I58">
            <v>12.737458849999999</v>
          </cell>
          <cell r="J58">
            <v>16.787980439999998</v>
          </cell>
          <cell r="K58">
            <v>-6.0026152899999996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57</v>
          </cell>
          <cell r="C59" t="str">
            <v>Total O&amp;M, Other</v>
          </cell>
          <cell r="E59">
            <v>33.005566050000006</v>
          </cell>
          <cell r="F59">
            <v>87.207048299999997</v>
          </cell>
          <cell r="G59">
            <v>135.18308897</v>
          </cell>
          <cell r="H59">
            <v>48.004878399999988</v>
          </cell>
          <cell r="I59">
            <v>83.192311649999979</v>
          </cell>
          <cell r="J59">
            <v>143.60703631999999</v>
          </cell>
          <cell r="K59">
            <v>41.185548779999991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A60">
            <v>58</v>
          </cell>
          <cell r="C60" t="str">
            <v>D&amp;A</v>
          </cell>
          <cell r="E60">
            <v>34.461494000000002</v>
          </cell>
          <cell r="F60">
            <v>67.480412099999995</v>
          </cell>
          <cell r="G60">
            <v>101.15005858000001</v>
          </cell>
          <cell r="H60">
            <v>30.61850943</v>
          </cell>
          <cell r="I60">
            <v>62.277608449999995</v>
          </cell>
          <cell r="J60">
            <v>98.518161949999993</v>
          </cell>
          <cell r="K60">
            <v>40.223600860000005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A61">
            <v>59</v>
          </cell>
          <cell r="C61" t="str">
            <v>Net Income</v>
          </cell>
          <cell r="E61">
            <v>83.74919795000001</v>
          </cell>
          <cell r="F61">
            <v>69.073645669999962</v>
          </cell>
          <cell r="G61">
            <v>119.46963300000013</v>
          </cell>
          <cell r="H61">
            <v>23.917105539999984</v>
          </cell>
          <cell r="I61">
            <v>48.648213379999873</v>
          </cell>
          <cell r="J61">
            <v>82.337371970000177</v>
          </cell>
          <cell r="K61">
            <v>41.128582500000014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A62">
            <v>60</v>
          </cell>
          <cell r="C62" t="str">
            <v>EPS</v>
          </cell>
          <cell r="E62">
            <v>0.26336225770440252</v>
          </cell>
          <cell r="F62">
            <v>0.2172127222327043</v>
          </cell>
          <cell r="G62">
            <v>0.37569066981132115</v>
          </cell>
          <cell r="H62">
            <v>7.5211023710691771E-2</v>
          </cell>
          <cell r="I62">
            <v>0.1529818030817606</v>
          </cell>
          <cell r="J62">
            <v>0.25892255336478043</v>
          </cell>
          <cell r="K62">
            <v>0.12933516509433968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A63">
            <v>61</v>
          </cell>
        </row>
        <row r="64">
          <cell r="A64">
            <v>62</v>
          </cell>
          <cell r="C64" t="str">
            <v>YTD</v>
          </cell>
          <cell r="E64">
            <v>1</v>
          </cell>
          <cell r="F64">
            <v>2</v>
          </cell>
          <cell r="G64">
            <v>3</v>
          </cell>
          <cell r="H64">
            <v>4</v>
          </cell>
          <cell r="I64">
            <v>5</v>
          </cell>
          <cell r="J64">
            <v>6</v>
          </cell>
          <cell r="K64">
            <v>7</v>
          </cell>
          <cell r="L64">
            <v>8</v>
          </cell>
          <cell r="M64">
            <v>9</v>
          </cell>
          <cell r="N64">
            <v>10</v>
          </cell>
          <cell r="O64">
            <v>11</v>
          </cell>
          <cell r="P64">
            <v>12</v>
          </cell>
        </row>
        <row r="65">
          <cell r="A65">
            <v>63</v>
          </cell>
          <cell r="C65" t="str">
            <v>Revenue</v>
          </cell>
          <cell r="E65">
            <v>378.61627793000002</v>
          </cell>
          <cell r="F65">
            <v>690.91516551000007</v>
          </cell>
          <cell r="G65">
            <v>1051.0989199000001</v>
          </cell>
          <cell r="H65">
            <v>1339.16955375</v>
          </cell>
          <cell r="I65">
            <v>1611.7137282000001</v>
          </cell>
          <cell r="J65">
            <v>1956.9379450900001</v>
          </cell>
          <cell r="K65">
            <v>2307.4663212100004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A66">
            <v>64</v>
          </cell>
          <cell r="C66" t="str">
            <v>Purchased Power and Fuel</v>
          </cell>
          <cell r="E66">
            <v>188.86956148999997</v>
          </cell>
          <cell r="F66">
            <v>341.89287809999996</v>
          </cell>
          <cell r="G66">
            <v>518.49882835000005</v>
          </cell>
          <cell r="H66">
            <v>651.47804637000002</v>
          </cell>
          <cell r="I66">
            <v>778.74794969000004</v>
          </cell>
          <cell r="J66">
            <v>936.04296547000001</v>
          </cell>
          <cell r="K66">
            <v>1109.29284461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A67">
            <v>65</v>
          </cell>
          <cell r="C67" t="str">
            <v>Direct Expenses</v>
          </cell>
          <cell r="E67">
            <v>8.5245628100000008</v>
          </cell>
          <cell r="F67">
            <v>21.577046450000001</v>
          </cell>
          <cell r="G67">
            <v>36.121105850000006</v>
          </cell>
          <cell r="H67">
            <v>42.322839389999999</v>
          </cell>
          <cell r="I67">
            <v>53.452708830000006</v>
          </cell>
          <cell r="J67">
            <v>66.331591279999998</v>
          </cell>
          <cell r="K67">
            <v>78.909050479999991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A68">
            <v>66</v>
          </cell>
          <cell r="C68" t="str">
            <v>Indirect Expenses</v>
          </cell>
          <cell r="E68">
            <v>20.913808169999999</v>
          </cell>
          <cell r="F68">
            <v>38.035775709999996</v>
          </cell>
          <cell r="G68">
            <v>61.768693350000007</v>
          </cell>
          <cell r="H68">
            <v>75.879810450000008</v>
          </cell>
          <cell r="I68">
            <v>91.288863570000004</v>
          </cell>
          <cell r="J68">
            <v>117.0963598</v>
          </cell>
          <cell r="K68">
            <v>138.59179592999999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A69">
            <v>67</v>
          </cell>
          <cell r="C69" t="str">
            <v>SG &amp;A</v>
          </cell>
          <cell r="E69">
            <v>7.2018141199999999</v>
          </cell>
          <cell r="F69">
            <v>18.46863506</v>
          </cell>
          <cell r="G69">
            <v>16.01473412</v>
          </cell>
          <cell r="H69">
            <v>32.418775660000001</v>
          </cell>
          <cell r="I69">
            <v>31.044231950000004</v>
          </cell>
          <cell r="J69">
            <v>42.794408650000008</v>
          </cell>
          <cell r="K69">
            <v>51.294380980000014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A70">
            <v>68</v>
          </cell>
          <cell r="C70" t="str">
            <v>BSC</v>
          </cell>
          <cell r="E70">
            <v>2.1551342400000002</v>
          </cell>
          <cell r="F70">
            <v>5.0126350500000001</v>
          </cell>
          <cell r="G70">
            <v>7.6628212500000012</v>
          </cell>
          <cell r="H70">
            <v>11.099509860000001</v>
          </cell>
          <cell r="I70">
            <v>14.320791750000001</v>
          </cell>
          <cell r="J70">
            <v>17.521182800000002</v>
          </cell>
          <cell r="K70">
            <v>20.066674690000003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A71">
            <v>69</v>
          </cell>
          <cell r="C71" t="str">
            <v>Corp Center Allocation</v>
          </cell>
          <cell r="E71">
            <v>0</v>
          </cell>
          <cell r="F71">
            <v>4.8</v>
          </cell>
          <cell r="G71">
            <v>10.39393638</v>
          </cell>
          <cell r="H71">
            <v>9.0124077800000002</v>
          </cell>
          <cell r="I71">
            <v>11.55522294</v>
          </cell>
          <cell r="J71">
            <v>14.259650739999998</v>
          </cell>
          <cell r="K71">
            <v>16.424103549999998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A72">
            <v>70</v>
          </cell>
          <cell r="C72" t="str">
            <v>Earnings from Invest.Equity(enter income as neg)</v>
          </cell>
          <cell r="E72">
            <v>2.4964600000008941E-3</v>
          </cell>
          <cell r="F72">
            <v>4.7404600000046197E-3</v>
          </cell>
          <cell r="G72">
            <v>-2.057660000000149E-3</v>
          </cell>
          <cell r="H72">
            <v>-1.8514660000003874E-2</v>
          </cell>
          <cell r="I72">
            <v>-4.1906599999964236E-3</v>
          </cell>
          <cell r="J72">
            <v>-1.3064659999996307E-2</v>
          </cell>
          <cell r="K72">
            <v>-5.6637660000011324E-2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A73">
            <v>71</v>
          </cell>
          <cell r="C73" t="str">
            <v>Loss/(Gain) on Assets Disposal</v>
          </cell>
          <cell r="E73">
            <v>-0.6429954200000001</v>
          </cell>
          <cell r="F73">
            <v>-0.6429954200000001</v>
          </cell>
          <cell r="G73">
            <v>-0.63770247999999996</v>
          </cell>
          <cell r="H73">
            <v>-0.63770547999999994</v>
          </cell>
          <cell r="I73">
            <v>0.15225933</v>
          </cell>
          <cell r="J73">
            <v>0.15225933</v>
          </cell>
          <cell r="K73">
            <v>0.15110042999999998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A74">
            <v>72</v>
          </cell>
          <cell r="C74" t="str">
            <v>Other Operating Expenses</v>
          </cell>
          <cell r="E74">
            <v>-9.1986281500000011</v>
          </cell>
          <cell r="F74">
            <v>-9.1941070000000007</v>
          </cell>
          <cell r="G74">
            <v>-9.1857055800000005</v>
          </cell>
          <cell r="H74">
            <v>-9.2074581400000017</v>
          </cell>
          <cell r="I74">
            <v>-9.2192096800000005</v>
          </cell>
          <cell r="J74">
            <v>-9.1875068299999985</v>
          </cell>
          <cell r="K74">
            <v>-9.2374232199999984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A75">
            <v>73</v>
          </cell>
          <cell r="C75" t="str">
            <v>TOTI</v>
          </cell>
          <cell r="E75">
            <v>4.0493737999999997</v>
          </cell>
          <cell r="F75">
            <v>9.1453179700000007</v>
          </cell>
          <cell r="G75">
            <v>13.04726372</v>
          </cell>
          <cell r="H75">
            <v>22.318302490000001</v>
          </cell>
          <cell r="I75">
            <v>25.784722570000003</v>
          </cell>
          <cell r="J75">
            <v>29.835244160000006</v>
          </cell>
          <cell r="K75">
            <v>23.832628870000008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A76">
            <v>74</v>
          </cell>
          <cell r="C76" t="str">
            <v>Total O&amp;M, Other</v>
          </cell>
          <cell r="E76">
            <v>33.005566030000011</v>
          </cell>
          <cell r="F76">
            <v>87.207048279999981</v>
          </cell>
          <cell r="G76">
            <v>135.18308895000004</v>
          </cell>
          <cell r="H76">
            <v>183.18796735000004</v>
          </cell>
          <cell r="I76">
            <v>218.37540060000001</v>
          </cell>
          <cell r="J76">
            <v>278.79012527000003</v>
          </cell>
          <cell r="K76">
            <v>319.97567404999995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A77">
            <v>75</v>
          </cell>
          <cell r="C77" t="str">
            <v>D&amp;A</v>
          </cell>
          <cell r="E77">
            <v>34.461493349999998</v>
          </cell>
          <cell r="F77">
            <v>67.480411449999991</v>
          </cell>
          <cell r="G77">
            <v>101.15005793</v>
          </cell>
          <cell r="H77">
            <v>131.76856736000002</v>
          </cell>
          <cell r="I77">
            <v>163.42766638000001</v>
          </cell>
          <cell r="J77">
            <v>199.66821988000004</v>
          </cell>
          <cell r="K77">
            <v>239.89182074000001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A78">
            <v>76</v>
          </cell>
          <cell r="C78" t="str">
            <v>Interest Expense</v>
          </cell>
          <cell r="E78">
            <v>38.098999080000006</v>
          </cell>
          <cell r="F78">
            <v>76.267734490000009</v>
          </cell>
          <cell r="G78">
            <v>107.16893058999999</v>
          </cell>
          <cell r="H78">
            <v>148.43848371999999</v>
          </cell>
          <cell r="I78">
            <v>185.41872673999998</v>
          </cell>
          <cell r="J78">
            <v>223.44765509000001</v>
          </cell>
          <cell r="K78">
            <v>249.94802960000004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A79">
            <v>77</v>
          </cell>
          <cell r="C79" t="str">
            <v>Taxes</v>
          </cell>
          <cell r="E79">
            <v>-0.37688903000000001</v>
          </cell>
          <cell r="F79">
            <v>47.376342460000004</v>
          </cell>
          <cell r="G79">
            <v>67.202520020000009</v>
          </cell>
          <cell r="H79">
            <v>77.675134020000016</v>
          </cell>
          <cell r="I79">
            <v>93.582766020000008</v>
          </cell>
          <cell r="J79">
            <v>112.32984602000001</v>
          </cell>
          <cell r="K79">
            <v>139.76148102000002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A80">
            <v>78</v>
          </cell>
          <cell r="C80" t="str">
            <v>Preferred Stock Dividends</v>
          </cell>
          <cell r="E80">
            <v>0.80875600000000003</v>
          </cell>
          <cell r="F80">
            <v>1.6175120000000001</v>
          </cell>
          <cell r="G80">
            <v>2.4262679999999999</v>
          </cell>
          <cell r="H80">
            <v>3.2350233300000002</v>
          </cell>
          <cell r="I80">
            <v>4.0437793300000004</v>
          </cell>
          <cell r="J80">
            <v>4.8525353300000003</v>
          </cell>
          <cell r="K80">
            <v>5.6612906600000006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A81">
            <v>79</v>
          </cell>
          <cell r="C81" t="str">
            <v>Net Income</v>
          </cell>
          <cell r="E81">
            <v>83.748791010000005</v>
          </cell>
          <cell r="F81">
            <v>69.073238730000071</v>
          </cell>
          <cell r="G81">
            <v>119.46922606000004</v>
          </cell>
          <cell r="H81">
            <v>143.38633159999989</v>
          </cell>
          <cell r="I81">
            <v>168.11743944</v>
          </cell>
          <cell r="J81">
            <v>201.80659802999995</v>
          </cell>
          <cell r="K81">
            <v>242.93518053000045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A82">
            <v>80</v>
          </cell>
          <cell r="C82" t="str">
            <v>EPS</v>
          </cell>
          <cell r="E82">
            <v>0.26336097801886793</v>
          </cell>
          <cell r="F82">
            <v>0.21721144254717004</v>
          </cell>
          <cell r="G82">
            <v>0.37568939012578628</v>
          </cell>
          <cell r="H82">
            <v>0.45090041383647766</v>
          </cell>
          <cell r="I82">
            <v>0.52867119320754719</v>
          </cell>
          <cell r="J82">
            <v>0.63461194349056582</v>
          </cell>
          <cell r="K82">
            <v>0.76394710858490711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A83">
            <v>81</v>
          </cell>
        </row>
        <row r="84">
          <cell r="A84">
            <v>82</v>
          </cell>
          <cell r="B84" t="str">
            <v>Budget</v>
          </cell>
        </row>
        <row r="85">
          <cell r="A85">
            <v>83</v>
          </cell>
          <cell r="C85" t="str">
            <v>Monthly Sales &amp; Delivery Volumes</v>
          </cell>
        </row>
        <row r="86">
          <cell r="A86">
            <v>84</v>
          </cell>
          <cell r="C86" t="str">
            <v>Electric Delivery (gWh)</v>
          </cell>
          <cell r="E86">
            <v>3202.8536246776689</v>
          </cell>
          <cell r="F86">
            <v>2817.2141652382447</v>
          </cell>
          <cell r="G86">
            <v>2848.5307055500994</v>
          </cell>
          <cell r="H86">
            <v>2531.7024397606033</v>
          </cell>
          <cell r="I86">
            <v>2661.0747838173693</v>
          </cell>
          <cell r="J86">
            <v>2951.7525719799582</v>
          </cell>
          <cell r="K86">
            <v>3456.2833554166968</v>
          </cell>
          <cell r="L86">
            <v>3317.5161020968085</v>
          </cell>
          <cell r="M86">
            <v>2804.2572656379134</v>
          </cell>
          <cell r="N86">
            <v>2650.9873261788498</v>
          </cell>
          <cell r="O86">
            <v>2707.2202146811628</v>
          </cell>
          <cell r="P86">
            <v>3071.3582491605657</v>
          </cell>
        </row>
        <row r="87">
          <cell r="A87">
            <v>85</v>
          </cell>
          <cell r="C87" t="str">
            <v>Electric Energy Sales (gWh)</v>
          </cell>
          <cell r="E87">
            <v>1942.8997256542743</v>
          </cell>
          <cell r="F87">
            <v>1709.6414106955058</v>
          </cell>
          <cell r="G87">
            <v>1721.604105080927</v>
          </cell>
          <cell r="H87">
            <v>1535.5005639854855</v>
          </cell>
          <cell r="I87">
            <v>1603.637270820396</v>
          </cell>
          <cell r="J87">
            <v>1780.1855949131366</v>
          </cell>
          <cell r="K87">
            <v>2084.0934234157526</v>
          </cell>
          <cell r="L87">
            <v>2003.1768918052535</v>
          </cell>
          <cell r="M87">
            <v>1694.437174299019</v>
          </cell>
          <cell r="N87">
            <v>1601.4638984538615</v>
          </cell>
          <cell r="O87">
            <v>1638.1863678232176</v>
          </cell>
          <cell r="P87">
            <v>1859.955545023053</v>
          </cell>
        </row>
        <row r="88">
          <cell r="A88">
            <v>86</v>
          </cell>
          <cell r="C88" t="str">
            <v>Electric Load Retention (%)</v>
          </cell>
          <cell r="E88">
            <v>0.60661521047494182</v>
          </cell>
          <cell r="F88">
            <v>0.60685532246389429</v>
          </cell>
          <cell r="G88">
            <v>0.60438320068888152</v>
          </cell>
          <cell r="H88">
            <v>0.60650909833253619</v>
          </cell>
          <cell r="I88">
            <v>0.60262766028692505</v>
          </cell>
          <cell r="J88">
            <v>0.60309445033159903</v>
          </cell>
          <cell r="K88">
            <v>0.60298685295855603</v>
          </cell>
          <cell r="L88">
            <v>0.60381828758545053</v>
          </cell>
          <cell r="M88">
            <v>0.60423741967681699</v>
          </cell>
          <cell r="N88">
            <v>0.6041009259603749</v>
          </cell>
          <cell r="O88">
            <v>0.60511751461495034</v>
          </cell>
          <cell r="P88">
            <v>0.60558078678428295</v>
          </cell>
        </row>
        <row r="89">
          <cell r="A89">
            <v>87</v>
          </cell>
          <cell r="C89" t="str">
            <v>Energy Purchased (gWh)</v>
          </cell>
          <cell r="E89">
            <v>2100.1093173608938</v>
          </cell>
          <cell r="F89">
            <v>1847.6937209626849</v>
          </cell>
          <cell r="G89">
            <v>1859.3702537714657</v>
          </cell>
          <cell r="H89">
            <v>1655.8270027700289</v>
          </cell>
          <cell r="I89">
            <v>1727.1306558306158</v>
          </cell>
          <cell r="J89">
            <v>1916.1496110455194</v>
          </cell>
          <cell r="K89">
            <v>2248.190139316494</v>
          </cell>
          <cell r="L89">
            <v>2163.0559246808016</v>
          </cell>
          <cell r="M89">
            <v>1827.6899722127182</v>
          </cell>
          <cell r="N89">
            <v>1723.2025155975514</v>
          </cell>
          <cell r="O89">
            <v>1765.6157072623637</v>
          </cell>
          <cell r="P89">
            <v>2006.5993717679703</v>
          </cell>
        </row>
        <row r="90">
          <cell r="A90">
            <v>88</v>
          </cell>
          <cell r="C90" t="str">
            <v>Gas Sold (Bcf)</v>
          </cell>
          <cell r="E90">
            <v>11.375607851887413</v>
          </cell>
          <cell r="F90">
            <v>10.680133150437111</v>
          </cell>
          <cell r="G90">
            <v>9.2415013638890304</v>
          </cell>
          <cell r="H90">
            <v>6.21135800727677</v>
          </cell>
          <cell r="I90">
            <v>3.2893528719490623</v>
          </cell>
          <cell r="J90">
            <v>1.8243461996563746</v>
          </cell>
          <cell r="K90">
            <v>1.3364705643539339</v>
          </cell>
          <cell r="L90">
            <v>1.2030625042195158</v>
          </cell>
          <cell r="M90">
            <v>1.4854959116175652</v>
          </cell>
          <cell r="N90">
            <v>2.3920860745868917</v>
          </cell>
          <cell r="O90">
            <v>5.0470729994441355</v>
          </cell>
          <cell r="P90">
            <v>7.9181875006821976</v>
          </cell>
        </row>
        <row r="91">
          <cell r="A91">
            <v>89</v>
          </cell>
        </row>
        <row r="92">
          <cell r="A92">
            <v>90</v>
          </cell>
          <cell r="C92" t="str">
            <v>QTD Sales &amp; Delivery Volumes</v>
          </cell>
        </row>
        <row r="93">
          <cell r="A93">
            <v>91</v>
          </cell>
          <cell r="C93" t="str">
            <v>Electric Delivery (gWh)</v>
          </cell>
          <cell r="E93">
            <v>3202.8536246776689</v>
          </cell>
          <cell r="F93">
            <v>6020.0677899159136</v>
          </cell>
          <cell r="G93">
            <v>8868.5984954660125</v>
          </cell>
          <cell r="H93">
            <v>2531.7024397606033</v>
          </cell>
          <cell r="I93">
            <v>5192.7772235779721</v>
          </cell>
          <cell r="J93">
            <v>8144.5297955579299</v>
          </cell>
          <cell r="K93">
            <v>3456.2833554166968</v>
          </cell>
          <cell r="L93">
            <v>6773.7994575135053</v>
          </cell>
          <cell r="M93">
            <v>9578.0567231514178</v>
          </cell>
          <cell r="N93">
            <v>2650.9873261788498</v>
          </cell>
          <cell r="O93">
            <v>5358.2075408600122</v>
          </cell>
          <cell r="P93">
            <v>8429.565790020577</v>
          </cell>
        </row>
        <row r="94">
          <cell r="A94">
            <v>92</v>
          </cell>
          <cell r="C94" t="str">
            <v>Electric Energy Sales (gWh)</v>
          </cell>
          <cell r="E94">
            <v>1942.8997256542743</v>
          </cell>
          <cell r="F94">
            <v>3652.5411363497801</v>
          </cell>
          <cell r="G94">
            <v>5374.1452414307068</v>
          </cell>
          <cell r="H94">
            <v>1535.5005639854855</v>
          </cell>
          <cell r="I94">
            <v>3139.1378348058815</v>
          </cell>
          <cell r="J94">
            <v>4919.3234297190183</v>
          </cell>
          <cell r="K94">
            <v>2084.0934234157526</v>
          </cell>
          <cell r="L94">
            <v>4087.2703152210061</v>
          </cell>
          <cell r="M94">
            <v>5781.7074895200249</v>
          </cell>
          <cell r="N94">
            <v>1601.4638984538615</v>
          </cell>
          <cell r="O94">
            <v>3239.650266277079</v>
          </cell>
          <cell r="P94">
            <v>5099.6058113001318</v>
          </cell>
        </row>
        <row r="95">
          <cell r="A95">
            <v>93</v>
          </cell>
        </row>
        <row r="96">
          <cell r="A96">
            <v>94</v>
          </cell>
          <cell r="C96" t="str">
            <v>YTD Sales &amp; Delivery Volumes</v>
          </cell>
        </row>
        <row r="97">
          <cell r="A97">
            <v>95</v>
          </cell>
          <cell r="C97" t="str">
            <v>Electric Delivery (gWh)</v>
          </cell>
          <cell r="E97">
            <v>3202.8536246776689</v>
          </cell>
          <cell r="F97">
            <v>6020.0677899159136</v>
          </cell>
          <cell r="G97">
            <v>8868.5984954660125</v>
          </cell>
          <cell r="H97">
            <v>11400.300935226616</v>
          </cell>
          <cell r="I97">
            <v>14061.375719043986</v>
          </cell>
          <cell r="J97">
            <v>17013.128291023946</v>
          </cell>
          <cell r="K97">
            <v>20469.411646440643</v>
          </cell>
          <cell r="L97">
            <v>23786.927748537451</v>
          </cell>
          <cell r="M97">
            <v>26591.185014175364</v>
          </cell>
          <cell r="N97">
            <v>29242.172340354213</v>
          </cell>
          <cell r="O97">
            <v>31949.392555035374</v>
          </cell>
          <cell r="P97">
            <v>35020.750804195937</v>
          </cell>
        </row>
        <row r="98">
          <cell r="A98">
            <v>96</v>
          </cell>
          <cell r="C98" t="str">
            <v>Electric Energy Sales (gWh)</v>
          </cell>
          <cell r="E98">
            <v>1942.8997256542743</v>
          </cell>
          <cell r="F98">
            <v>3652.5411363497801</v>
          </cell>
          <cell r="G98">
            <v>5374.1452414307068</v>
          </cell>
          <cell r="H98">
            <v>6909.6458054161922</v>
          </cell>
          <cell r="I98">
            <v>8513.2830762365884</v>
          </cell>
          <cell r="J98">
            <v>10293.468671149725</v>
          </cell>
          <cell r="K98">
            <v>12377.562094565477</v>
          </cell>
          <cell r="L98">
            <v>14380.73898637073</v>
          </cell>
          <cell r="M98">
            <v>16075.176160669749</v>
          </cell>
          <cell r="N98">
            <v>17676.640059123609</v>
          </cell>
          <cell r="O98">
            <v>19314.826426946827</v>
          </cell>
          <cell r="P98">
            <v>21174.781971969882</v>
          </cell>
        </row>
        <row r="99">
          <cell r="A99">
            <v>97</v>
          </cell>
          <cell r="C99" t="str">
            <v>Electric Load Retention (%)</v>
          </cell>
          <cell r="E99">
            <v>0.60661521047494182</v>
          </cell>
          <cell r="F99">
            <v>0.6067275758037266</v>
          </cell>
          <cell r="G99">
            <v>0.60597457920529252</v>
          </cell>
          <cell r="H99">
            <v>0.60609328163132747</v>
          </cell>
          <cell r="I99">
            <v>0.60543742279118862</v>
          </cell>
          <cell r="J99">
            <v>0.60503092053802443</v>
          </cell>
          <cell r="K99">
            <v>0.60468577741059648</v>
          </cell>
          <cell r="L99">
            <v>0.60456479030819499</v>
          </cell>
          <cell r="M99">
            <v>0.60453026640596541</v>
          </cell>
          <cell r="N99">
            <v>0.60449134398711668</v>
          </cell>
          <cell r="O99">
            <v>0.60454440232863582</v>
          </cell>
          <cell r="P99">
            <v>0.60463529438189167</v>
          </cell>
        </row>
        <row r="100">
          <cell r="A100">
            <v>98</v>
          </cell>
          <cell r="C100" t="str">
            <v>Energy Purchased (gWh)</v>
          </cell>
          <cell r="E100">
            <v>2100.1093173608938</v>
          </cell>
          <cell r="F100">
            <v>3947.8030383235787</v>
          </cell>
          <cell r="G100">
            <v>5807.1732920950444</v>
          </cell>
          <cell r="H100">
            <v>7463.0002948650736</v>
          </cell>
          <cell r="I100">
            <v>9190.1309506956895</v>
          </cell>
          <cell r="J100">
            <v>11106.280561741209</v>
          </cell>
          <cell r="K100">
            <v>13354.470701057702</v>
          </cell>
          <cell r="L100">
            <v>15517.526625738505</v>
          </cell>
          <cell r="M100">
            <v>17345.216597951221</v>
          </cell>
          <cell r="N100">
            <v>19068.419113548771</v>
          </cell>
          <cell r="O100">
            <v>20834.034820811135</v>
          </cell>
          <cell r="P100">
            <v>22840.634192579106</v>
          </cell>
        </row>
        <row r="101">
          <cell r="A101">
            <v>99</v>
          </cell>
          <cell r="C101" t="str">
            <v>Gas Sold (Bcf)</v>
          </cell>
          <cell r="E101">
            <v>11.375607851887413</v>
          </cell>
          <cell r="F101">
            <v>22.055741002324524</v>
          </cell>
          <cell r="G101">
            <v>31.297242366213553</v>
          </cell>
          <cell r="H101">
            <v>37.508600373490324</v>
          </cell>
          <cell r="I101">
            <v>40.797953245439388</v>
          </cell>
          <cell r="J101">
            <v>42.622299445095763</v>
          </cell>
          <cell r="K101">
            <v>43.958770009449694</v>
          </cell>
          <cell r="L101">
            <v>45.161832513669211</v>
          </cell>
          <cell r="M101">
            <v>46.647328425286773</v>
          </cell>
          <cell r="N101">
            <v>49.039414499873665</v>
          </cell>
          <cell r="O101">
            <v>54.086487499317798</v>
          </cell>
          <cell r="P101">
            <v>62.004674999999992</v>
          </cell>
        </row>
        <row r="102">
          <cell r="A102">
            <v>100</v>
          </cell>
        </row>
        <row r="103">
          <cell r="A103">
            <v>101</v>
          </cell>
          <cell r="C103" t="str">
            <v>Monthly</v>
          </cell>
        </row>
        <row r="104">
          <cell r="A104">
            <v>102</v>
          </cell>
          <cell r="C104" t="str">
            <v>Revenue</v>
          </cell>
          <cell r="E104">
            <v>360.439187</v>
          </cell>
          <cell r="F104">
            <v>328.12718699999999</v>
          </cell>
          <cell r="G104">
            <v>314.88024799999999</v>
          </cell>
          <cell r="H104">
            <v>268.54424799999998</v>
          </cell>
          <cell r="I104">
            <v>252.59224800000004</v>
          </cell>
          <cell r="J104">
            <v>279.16224800000003</v>
          </cell>
          <cell r="K104">
            <v>329.47524800000002</v>
          </cell>
          <cell r="L104">
            <v>314.18816700000002</v>
          </cell>
          <cell r="M104">
            <v>264.99516699999998</v>
          </cell>
          <cell r="N104">
            <v>241.535167</v>
          </cell>
          <cell r="O104">
            <v>272.30816700000003</v>
          </cell>
          <cell r="P104">
            <v>317.112167</v>
          </cell>
        </row>
        <row r="105">
          <cell r="A105">
            <v>103</v>
          </cell>
          <cell r="C105" t="str">
            <v>Purchased Power/Fuel/GRT</v>
          </cell>
          <cell r="E105">
            <v>167.20399999999998</v>
          </cell>
          <cell r="F105">
            <v>152.12799999999999</v>
          </cell>
          <cell r="G105">
            <v>143.60499999999999</v>
          </cell>
          <cell r="H105">
            <v>117.68</v>
          </cell>
          <cell r="I105">
            <v>104.81099999999999</v>
          </cell>
          <cell r="J105">
            <v>111.97499999999999</v>
          </cell>
          <cell r="K105">
            <v>133.268</v>
          </cell>
          <cell r="L105">
            <v>124.003</v>
          </cell>
          <cell r="M105">
            <v>102.316</v>
          </cell>
          <cell r="N105">
            <v>97.83</v>
          </cell>
          <cell r="O105">
            <v>116.16300000000001</v>
          </cell>
          <cell r="P105">
            <v>139.666</v>
          </cell>
        </row>
        <row r="106">
          <cell r="A106">
            <v>104</v>
          </cell>
          <cell r="C106" t="str">
            <v>Direct Expenses</v>
          </cell>
          <cell r="E106">
            <v>11.564</v>
          </cell>
          <cell r="F106">
            <v>11.192</v>
          </cell>
          <cell r="G106">
            <v>11.821999999999999</v>
          </cell>
          <cell r="H106">
            <v>11.262</v>
          </cell>
          <cell r="I106">
            <v>11.077</v>
          </cell>
          <cell r="J106">
            <v>10.576000000000001</v>
          </cell>
          <cell r="K106">
            <v>10.715</v>
          </cell>
          <cell r="L106">
            <v>10.922000000000001</v>
          </cell>
          <cell r="M106">
            <v>10.472999999999999</v>
          </cell>
          <cell r="N106">
            <v>10.901</v>
          </cell>
          <cell r="O106">
            <v>11.262</v>
          </cell>
          <cell r="P106">
            <v>10.928000000000001</v>
          </cell>
        </row>
        <row r="107">
          <cell r="A107">
            <v>105</v>
          </cell>
          <cell r="C107" t="str">
            <v>Indirect Expenses</v>
          </cell>
          <cell r="E107">
            <v>7.633</v>
          </cell>
          <cell r="F107">
            <v>7.327</v>
          </cell>
          <cell r="G107">
            <v>8.2029999999999994</v>
          </cell>
          <cell r="H107">
            <v>7.782</v>
          </cell>
          <cell r="I107">
            <v>7.5410000000000004</v>
          </cell>
          <cell r="J107">
            <v>7.5979999999999999</v>
          </cell>
          <cell r="K107">
            <v>7.5330000000000004</v>
          </cell>
          <cell r="L107">
            <v>8.0039999999999996</v>
          </cell>
          <cell r="M107">
            <v>7.5380000000000003</v>
          </cell>
          <cell r="N107">
            <v>9.1609999999999996</v>
          </cell>
          <cell r="O107">
            <v>7.5439999999999996</v>
          </cell>
          <cell r="P107">
            <v>7.5860000000000003</v>
          </cell>
        </row>
        <row r="108">
          <cell r="A108">
            <v>106</v>
          </cell>
          <cell r="C108" t="str">
            <v>SG &amp;A</v>
          </cell>
          <cell r="E108">
            <v>23.55602</v>
          </cell>
          <cell r="F108">
            <v>18.562019999999997</v>
          </cell>
          <cell r="G108">
            <v>18.099080999999998</v>
          </cell>
          <cell r="H108">
            <v>17.332080999999999</v>
          </cell>
          <cell r="I108">
            <v>17.571081</v>
          </cell>
          <cell r="J108">
            <v>21.993081000000004</v>
          </cell>
          <cell r="K108">
            <v>21.280080999999999</v>
          </cell>
          <cell r="L108">
            <v>21.497</v>
          </cell>
          <cell r="M108">
            <v>20.748999999999995</v>
          </cell>
          <cell r="N108">
            <v>21.39</v>
          </cell>
          <cell r="O108">
            <v>18.012999999999998</v>
          </cell>
          <cell r="P108">
            <v>20.711999999999996</v>
          </cell>
        </row>
        <row r="109">
          <cell r="A109">
            <v>107</v>
          </cell>
          <cell r="C109" t="str">
            <v>BSC</v>
          </cell>
          <cell r="E109">
            <v>4.0720000000000001</v>
          </cell>
          <cell r="F109">
            <v>4.069</v>
          </cell>
          <cell r="G109">
            <v>4.2679999999999998</v>
          </cell>
          <cell r="H109">
            <v>4.0640000000000001</v>
          </cell>
          <cell r="I109">
            <v>4.0629999999999997</v>
          </cell>
          <cell r="J109">
            <v>4.2619999999999996</v>
          </cell>
          <cell r="K109">
            <v>4.0739999999999998</v>
          </cell>
          <cell r="L109">
            <v>4.0730000000000004</v>
          </cell>
          <cell r="M109">
            <v>4.2720000000000002</v>
          </cell>
          <cell r="N109">
            <v>4.048</v>
          </cell>
          <cell r="O109">
            <v>4.0490000000000004</v>
          </cell>
          <cell r="P109">
            <v>4.2539999999999996</v>
          </cell>
        </row>
        <row r="110">
          <cell r="A110">
            <v>108</v>
          </cell>
          <cell r="C110" t="str">
            <v>Corp Center Allocation</v>
          </cell>
          <cell r="E110">
            <v>2.367</v>
          </cell>
          <cell r="F110">
            <v>2.367</v>
          </cell>
          <cell r="G110">
            <v>2.367</v>
          </cell>
          <cell r="H110">
            <v>2.367</v>
          </cell>
          <cell r="I110">
            <v>2.367</v>
          </cell>
          <cell r="J110">
            <v>2.367</v>
          </cell>
          <cell r="K110">
            <v>2.367</v>
          </cell>
          <cell r="L110">
            <v>2.367</v>
          </cell>
          <cell r="M110">
            <v>2.367</v>
          </cell>
          <cell r="N110">
            <v>2.367</v>
          </cell>
          <cell r="O110">
            <v>2.367</v>
          </cell>
          <cell r="P110">
            <v>2.367</v>
          </cell>
        </row>
        <row r="111">
          <cell r="A111">
            <v>109</v>
          </cell>
          <cell r="C111" t="str">
            <v>Earnings from Invest.Equity(enter income as neg)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</row>
        <row r="112">
          <cell r="A112">
            <v>110</v>
          </cell>
          <cell r="C112" t="str">
            <v>Loss/(Gain) on Assets Disposal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A113">
            <v>111</v>
          </cell>
          <cell r="C113" t="str">
            <v>Other Operating Expenses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</row>
        <row r="114">
          <cell r="A114">
            <v>112</v>
          </cell>
          <cell r="C114" t="str">
            <v>TOTI</v>
          </cell>
          <cell r="E114">
            <v>3.5760000000000001</v>
          </cell>
          <cell r="F114">
            <v>3.5219999999999998</v>
          </cell>
          <cell r="G114">
            <v>3.6070000000000002</v>
          </cell>
          <cell r="H114">
            <v>3.552</v>
          </cell>
          <cell r="I114">
            <v>3.593</v>
          </cell>
          <cell r="J114">
            <v>3.605</v>
          </cell>
          <cell r="K114">
            <v>3.5830000000000002</v>
          </cell>
          <cell r="L114">
            <v>3.6070000000000002</v>
          </cell>
          <cell r="M114">
            <v>3.58</v>
          </cell>
          <cell r="N114">
            <v>3.5910000000000002</v>
          </cell>
          <cell r="O114">
            <v>3.5739999999999998</v>
          </cell>
          <cell r="P114">
            <v>3.5760000000000001</v>
          </cell>
        </row>
        <row r="115">
          <cell r="A115">
            <v>113</v>
          </cell>
          <cell r="C115" t="str">
            <v>Total O&amp;M, Other</v>
          </cell>
          <cell r="E115">
            <v>52.76802</v>
          </cell>
          <cell r="F115">
            <v>47.039019999999994</v>
          </cell>
          <cell r="G115">
            <v>48.366080999999994</v>
          </cell>
          <cell r="H115">
            <v>46.359080999999996</v>
          </cell>
          <cell r="I115">
            <v>46.212080999999998</v>
          </cell>
          <cell r="J115">
            <v>50.401080999999998</v>
          </cell>
          <cell r="K115">
            <v>49.552080999999994</v>
          </cell>
          <cell r="L115">
            <v>50.47</v>
          </cell>
          <cell r="M115">
            <v>48.978999999999985</v>
          </cell>
          <cell r="N115">
            <v>51.457999999999998</v>
          </cell>
          <cell r="O115">
            <v>46.808999999999997</v>
          </cell>
          <cell r="P115">
            <v>49.422999999999995</v>
          </cell>
        </row>
        <row r="116">
          <cell r="A116">
            <v>114</v>
          </cell>
          <cell r="C116" t="str">
            <v>D&amp;A</v>
          </cell>
          <cell r="E116">
            <v>34.511000000000003</v>
          </cell>
          <cell r="F116">
            <v>32.146000000000001</v>
          </cell>
          <cell r="G116">
            <v>31.913000000000004</v>
          </cell>
          <cell r="H116">
            <v>29.951999999999998</v>
          </cell>
          <cell r="I116">
            <v>31.067999999999998</v>
          </cell>
          <cell r="J116">
            <v>35.134999999999998</v>
          </cell>
          <cell r="K116">
            <v>39.435000000000002</v>
          </cell>
          <cell r="L116">
            <v>37.953000000000003</v>
          </cell>
          <cell r="M116">
            <v>33.771000000000001</v>
          </cell>
          <cell r="N116">
            <v>30.654000000000003</v>
          </cell>
          <cell r="O116">
            <v>31.593000000000004</v>
          </cell>
          <cell r="P116">
            <v>33.731999999999999</v>
          </cell>
        </row>
        <row r="117">
          <cell r="A117">
            <v>115</v>
          </cell>
          <cell r="C117" t="str">
            <v>Interest Expense</v>
          </cell>
          <cell r="E117">
            <v>36.084000000000003</v>
          </cell>
          <cell r="F117">
            <v>36.084000000000003</v>
          </cell>
          <cell r="G117">
            <v>36.084000000000003</v>
          </cell>
          <cell r="H117">
            <v>36.084000000000003</v>
          </cell>
          <cell r="I117">
            <v>36.084000000000003</v>
          </cell>
          <cell r="J117">
            <v>36.084000000000003</v>
          </cell>
          <cell r="K117">
            <v>36.084000000000003</v>
          </cell>
          <cell r="L117">
            <v>36.084000000000003</v>
          </cell>
          <cell r="M117">
            <v>36.084000000000003</v>
          </cell>
          <cell r="N117">
            <v>36.084000000000003</v>
          </cell>
          <cell r="O117">
            <v>36.084000000000003</v>
          </cell>
          <cell r="P117">
            <v>36.084000000000003</v>
          </cell>
        </row>
        <row r="118">
          <cell r="A118">
            <v>116</v>
          </cell>
          <cell r="C118" t="str">
            <v>Taxes</v>
          </cell>
          <cell r="E118">
            <v>26.55</v>
          </cell>
          <cell r="F118">
            <v>23.076000000000001</v>
          </cell>
          <cell r="G118">
            <v>20.864999999999998</v>
          </cell>
          <cell r="H118">
            <v>14.617000000000001</v>
          </cell>
          <cell r="I118">
            <v>13.077</v>
          </cell>
          <cell r="J118">
            <v>17.314</v>
          </cell>
          <cell r="K118">
            <v>27.03</v>
          </cell>
          <cell r="L118">
            <v>24.956</v>
          </cell>
          <cell r="M118">
            <v>16.66</v>
          </cell>
          <cell r="N118">
            <v>9.6920000000000002</v>
          </cell>
          <cell r="O118">
            <v>15.829000000000001</v>
          </cell>
          <cell r="P118">
            <v>22.117000000000001</v>
          </cell>
        </row>
        <row r="119">
          <cell r="A119">
            <v>117</v>
          </cell>
          <cell r="C119" t="str">
            <v>Preferred Stock Dividends</v>
          </cell>
          <cell r="E119">
            <v>0.76900000000000002</v>
          </cell>
          <cell r="F119">
            <v>0.76900000000000002</v>
          </cell>
          <cell r="G119">
            <v>0.76900000000000002</v>
          </cell>
          <cell r="H119">
            <v>0.76900000000000002</v>
          </cell>
          <cell r="I119">
            <v>0.76900000000000002</v>
          </cell>
          <cell r="J119">
            <v>0.76900000000000002</v>
          </cell>
          <cell r="K119">
            <v>0.76900000000000002</v>
          </cell>
          <cell r="L119">
            <v>0.76900000000000002</v>
          </cell>
          <cell r="M119">
            <v>0.76900000000000002</v>
          </cell>
          <cell r="N119">
            <v>0.76900000000000002</v>
          </cell>
          <cell r="O119">
            <v>0.76900000000000002</v>
          </cell>
          <cell r="P119">
            <v>0.76900000000000002</v>
          </cell>
        </row>
        <row r="120">
          <cell r="A120">
            <v>118</v>
          </cell>
          <cell r="C120" t="str">
            <v>Net Income</v>
          </cell>
          <cell r="E120">
            <v>42.553166999999995</v>
          </cell>
          <cell r="F120">
            <v>36.88516700000001</v>
          </cell>
          <cell r="G120">
            <v>33.278166999999989</v>
          </cell>
          <cell r="H120">
            <v>23.083167</v>
          </cell>
          <cell r="I120">
            <v>20.571167000000038</v>
          </cell>
          <cell r="J120">
            <v>27.484167000000028</v>
          </cell>
          <cell r="K120">
            <v>43.337167000000044</v>
          </cell>
          <cell r="L120">
            <v>39.953167000000015</v>
          </cell>
          <cell r="M120">
            <v>26.416166999999991</v>
          </cell>
          <cell r="N120">
            <v>15.048166999999998</v>
          </cell>
          <cell r="O120">
            <v>25.061167000000026</v>
          </cell>
          <cell r="P120">
            <v>35.321166999999996</v>
          </cell>
        </row>
        <row r="121">
          <cell r="A121">
            <v>119</v>
          </cell>
          <cell r="C121" t="str">
            <v>EPS</v>
          </cell>
          <cell r="E121">
            <v>0.13381499056603771</v>
          </cell>
          <cell r="F121">
            <v>0.11599109119496857</v>
          </cell>
          <cell r="G121">
            <v>0.10464832389937104</v>
          </cell>
          <cell r="H121">
            <v>7.2588575471698114E-2</v>
          </cell>
          <cell r="I121">
            <v>6.468920440251584E-2</v>
          </cell>
          <cell r="J121">
            <v>8.6428198113207635E-2</v>
          </cell>
          <cell r="K121">
            <v>0.13628039937106931</v>
          </cell>
          <cell r="L121">
            <v>0.12563888993710698</v>
          </cell>
          <cell r="M121">
            <v>8.3069707547169788E-2</v>
          </cell>
          <cell r="N121">
            <v>4.7321279874213834E-2</v>
          </cell>
          <cell r="O121">
            <v>7.8808701257861713E-2</v>
          </cell>
          <cell r="P121">
            <v>0.11107285220125784</v>
          </cell>
        </row>
        <row r="122">
          <cell r="A122">
            <v>120</v>
          </cell>
        </row>
        <row r="123">
          <cell r="A123">
            <v>121</v>
          </cell>
          <cell r="C123" t="str">
            <v>QTD</v>
          </cell>
        </row>
        <row r="124">
          <cell r="A124">
            <v>122</v>
          </cell>
          <cell r="C124" t="str">
            <v xml:space="preserve">Revenues </v>
          </cell>
          <cell r="E124">
            <v>360.439187</v>
          </cell>
          <cell r="F124">
            <v>688.566374</v>
          </cell>
          <cell r="G124">
            <v>1003.4466219999999</v>
          </cell>
          <cell r="H124">
            <v>268.54424799999998</v>
          </cell>
          <cell r="I124">
            <v>521.13649600000008</v>
          </cell>
          <cell r="J124">
            <v>800.29874400000017</v>
          </cell>
          <cell r="K124">
            <v>329.47524800000002</v>
          </cell>
          <cell r="L124">
            <v>643.66341499999999</v>
          </cell>
          <cell r="M124">
            <v>908.65858200000002</v>
          </cell>
          <cell r="N124">
            <v>241.535167</v>
          </cell>
          <cell r="O124">
            <v>513.84333400000003</v>
          </cell>
          <cell r="P124">
            <v>830.95550100000003</v>
          </cell>
        </row>
        <row r="125">
          <cell r="A125">
            <v>123</v>
          </cell>
          <cell r="C125" t="str">
            <v xml:space="preserve">Purchased Power/Fuel/GRT </v>
          </cell>
          <cell r="E125">
            <v>167.20399999999998</v>
          </cell>
          <cell r="F125">
            <v>319.33199999999999</v>
          </cell>
          <cell r="G125">
            <v>462.93700000000001</v>
          </cell>
          <cell r="H125">
            <v>117.68</v>
          </cell>
          <cell r="I125">
            <v>222.49099999999999</v>
          </cell>
          <cell r="J125">
            <v>334.46600000000001</v>
          </cell>
          <cell r="K125">
            <v>133.268</v>
          </cell>
          <cell r="L125">
            <v>257.27100000000002</v>
          </cell>
          <cell r="M125">
            <v>359.58699999999999</v>
          </cell>
          <cell r="N125">
            <v>97.83</v>
          </cell>
          <cell r="O125">
            <v>213.99299999999999</v>
          </cell>
          <cell r="P125">
            <v>353.65899999999999</v>
          </cell>
        </row>
        <row r="126">
          <cell r="A126">
            <v>124</v>
          </cell>
          <cell r="C126" t="str">
            <v>Direct Expenses</v>
          </cell>
          <cell r="E126">
            <v>11.564</v>
          </cell>
          <cell r="F126">
            <v>22.756</v>
          </cell>
          <cell r="G126">
            <v>34.578000000000003</v>
          </cell>
          <cell r="H126">
            <v>11.262</v>
          </cell>
          <cell r="I126">
            <v>22.338999999999999</v>
          </cell>
          <cell r="J126">
            <v>32.914999999999999</v>
          </cell>
          <cell r="K126">
            <v>10.715</v>
          </cell>
          <cell r="L126">
            <v>21.637</v>
          </cell>
          <cell r="M126">
            <v>32.11</v>
          </cell>
          <cell r="N126">
            <v>10.901</v>
          </cell>
          <cell r="O126">
            <v>22.163</v>
          </cell>
          <cell r="P126">
            <v>33.091000000000001</v>
          </cell>
        </row>
        <row r="127">
          <cell r="A127">
            <v>125</v>
          </cell>
          <cell r="C127" t="str">
            <v>Indirect Expenses</v>
          </cell>
          <cell r="E127">
            <v>7.633</v>
          </cell>
          <cell r="F127">
            <v>14.96</v>
          </cell>
          <cell r="G127">
            <v>23.163</v>
          </cell>
          <cell r="H127">
            <v>7.782</v>
          </cell>
          <cell r="I127">
            <v>15.323</v>
          </cell>
          <cell r="J127">
            <v>22.920999999999999</v>
          </cell>
          <cell r="K127">
            <v>7.5330000000000004</v>
          </cell>
          <cell r="L127">
            <v>15.536999999999999</v>
          </cell>
          <cell r="M127">
            <v>23.074999999999999</v>
          </cell>
          <cell r="N127">
            <v>9.1609999999999996</v>
          </cell>
          <cell r="O127">
            <v>16.704999999999998</v>
          </cell>
          <cell r="P127">
            <v>24.290999999999997</v>
          </cell>
        </row>
        <row r="128">
          <cell r="A128">
            <v>126</v>
          </cell>
          <cell r="C128" t="str">
            <v>SG &amp;A</v>
          </cell>
          <cell r="E128">
            <v>23.55602</v>
          </cell>
          <cell r="F128">
            <v>42.118039999999993</v>
          </cell>
          <cell r="G128">
            <v>60.217120999999992</v>
          </cell>
          <cell r="H128">
            <v>17.332080999999999</v>
          </cell>
          <cell r="I128">
            <v>34.903161999999995</v>
          </cell>
          <cell r="J128">
            <v>56.896242999999998</v>
          </cell>
          <cell r="K128">
            <v>21.280080999999999</v>
          </cell>
          <cell r="L128">
            <v>42.777080999999995</v>
          </cell>
          <cell r="M128">
            <v>63.526080999999991</v>
          </cell>
          <cell r="N128">
            <v>21.39</v>
          </cell>
          <cell r="O128">
            <v>39.402999999999999</v>
          </cell>
          <cell r="P128">
            <v>60.114999999999995</v>
          </cell>
        </row>
        <row r="129">
          <cell r="A129">
            <v>127</v>
          </cell>
          <cell r="C129" t="str">
            <v>BSC</v>
          </cell>
          <cell r="E129">
            <v>4.0720000000000001</v>
          </cell>
          <cell r="F129">
            <v>8.141</v>
          </cell>
          <cell r="G129">
            <v>12.408999999999999</v>
          </cell>
          <cell r="H129">
            <v>4.0640000000000001</v>
          </cell>
          <cell r="I129">
            <v>8.1269999999999989</v>
          </cell>
          <cell r="J129">
            <v>12.388999999999999</v>
          </cell>
          <cell r="K129">
            <v>4.0739999999999998</v>
          </cell>
          <cell r="L129">
            <v>8.1470000000000002</v>
          </cell>
          <cell r="M129">
            <v>12.419</v>
          </cell>
          <cell r="N129">
            <v>4.048</v>
          </cell>
          <cell r="O129">
            <v>8.0970000000000013</v>
          </cell>
          <cell r="P129">
            <v>12.351000000000001</v>
          </cell>
        </row>
        <row r="130">
          <cell r="A130">
            <v>128</v>
          </cell>
          <cell r="C130" t="str">
            <v>Corp Center Allocation</v>
          </cell>
          <cell r="E130">
            <v>2.367</v>
          </cell>
          <cell r="F130">
            <v>4.734</v>
          </cell>
          <cell r="G130">
            <v>7.101</v>
          </cell>
          <cell r="H130">
            <v>2.367</v>
          </cell>
          <cell r="I130">
            <v>4.734</v>
          </cell>
          <cell r="J130">
            <v>7.101</v>
          </cell>
          <cell r="K130">
            <v>2.367</v>
          </cell>
          <cell r="L130">
            <v>4.734</v>
          </cell>
          <cell r="M130">
            <v>7.101</v>
          </cell>
          <cell r="N130">
            <v>2.367</v>
          </cell>
          <cell r="O130">
            <v>4.734</v>
          </cell>
          <cell r="P130">
            <v>7.101</v>
          </cell>
        </row>
        <row r="131">
          <cell r="A131">
            <v>129</v>
          </cell>
          <cell r="C131" t="str">
            <v>Earnings from Invest.Equity(enter income as neg)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130</v>
          </cell>
          <cell r="C132" t="str">
            <v>Loss/(Gain) on Assets Disposal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>
            <v>131</v>
          </cell>
          <cell r="C133" t="str">
            <v>Other Operating Expenses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>
            <v>132</v>
          </cell>
          <cell r="C134" t="str">
            <v>TOTI, Other Operating Income</v>
          </cell>
          <cell r="E134">
            <v>3.5760000000000001</v>
          </cell>
          <cell r="F134">
            <v>7.0979999999999999</v>
          </cell>
          <cell r="G134">
            <v>10.705</v>
          </cell>
          <cell r="H134">
            <v>3.552</v>
          </cell>
          <cell r="I134">
            <v>7.1449999999999996</v>
          </cell>
          <cell r="J134">
            <v>10.75</v>
          </cell>
          <cell r="K134">
            <v>3.5830000000000002</v>
          </cell>
          <cell r="L134">
            <v>7.19</v>
          </cell>
          <cell r="M134">
            <v>10.77</v>
          </cell>
          <cell r="N134">
            <v>3.5910000000000002</v>
          </cell>
          <cell r="O134">
            <v>7.165</v>
          </cell>
          <cell r="P134">
            <v>10.741</v>
          </cell>
        </row>
        <row r="135">
          <cell r="A135">
            <v>133</v>
          </cell>
          <cell r="C135" t="str">
            <v>Total O&amp;M, Other</v>
          </cell>
          <cell r="E135">
            <v>52.76802</v>
          </cell>
          <cell r="F135">
            <v>99.807039999999986</v>
          </cell>
          <cell r="G135">
            <v>148.17312100000001</v>
          </cell>
          <cell r="H135">
            <v>46.359080999999996</v>
          </cell>
          <cell r="I135">
            <v>92.571161999999973</v>
          </cell>
          <cell r="J135">
            <v>142.97224299999999</v>
          </cell>
          <cell r="K135">
            <v>49.552080999999994</v>
          </cell>
          <cell r="L135">
            <v>100.02208099999999</v>
          </cell>
          <cell r="M135">
            <v>149.001081</v>
          </cell>
          <cell r="N135">
            <v>51.457999999999998</v>
          </cell>
          <cell r="O135">
            <v>98.266999999999996</v>
          </cell>
          <cell r="P135">
            <v>147.69</v>
          </cell>
        </row>
        <row r="136">
          <cell r="A136">
            <v>134</v>
          </cell>
          <cell r="C136" t="str">
            <v>D&amp;A</v>
          </cell>
          <cell r="E136">
            <v>34.511000000000003</v>
          </cell>
          <cell r="F136">
            <v>66.657000000000011</v>
          </cell>
          <cell r="G136">
            <v>98.570000000000022</v>
          </cell>
          <cell r="H136">
            <v>29.951999999999998</v>
          </cell>
          <cell r="I136">
            <v>61.019999999999996</v>
          </cell>
          <cell r="J136">
            <v>96.155000000000001</v>
          </cell>
          <cell r="K136">
            <v>39.435000000000002</v>
          </cell>
          <cell r="L136">
            <v>77.388000000000005</v>
          </cell>
          <cell r="M136">
            <v>111.15900000000001</v>
          </cell>
          <cell r="N136">
            <v>30.654000000000003</v>
          </cell>
          <cell r="O136">
            <v>62.247000000000007</v>
          </cell>
          <cell r="P136">
            <v>95.979000000000013</v>
          </cell>
        </row>
        <row r="137">
          <cell r="A137">
            <v>135</v>
          </cell>
          <cell r="C137" t="str">
            <v>Net Income</v>
          </cell>
          <cell r="E137">
            <v>42.553166999999995</v>
          </cell>
          <cell r="F137">
            <v>79.438333999999998</v>
          </cell>
          <cell r="G137">
            <v>112.71650099999999</v>
          </cell>
          <cell r="H137">
            <v>23.083167</v>
          </cell>
          <cell r="I137">
            <v>43.654334000000034</v>
          </cell>
          <cell r="J137">
            <v>71.138501000000062</v>
          </cell>
          <cell r="K137">
            <v>43.337167000000044</v>
          </cell>
          <cell r="L137">
            <v>83.290334000000058</v>
          </cell>
          <cell r="M137">
            <v>109.70650100000005</v>
          </cell>
          <cell r="N137">
            <v>15.048166999999998</v>
          </cell>
          <cell r="O137">
            <v>40.109334000000025</v>
          </cell>
          <cell r="P137">
            <v>75.430501000000021</v>
          </cell>
        </row>
        <row r="138">
          <cell r="A138">
            <v>136</v>
          </cell>
          <cell r="C138" t="str">
            <v>EPS</v>
          </cell>
          <cell r="E138">
            <v>0.13381499056603771</v>
          </cell>
          <cell r="F138">
            <v>0.24980608176100627</v>
          </cell>
          <cell r="G138">
            <v>0.35445440566037734</v>
          </cell>
          <cell r="H138">
            <v>7.2588575471698114E-2</v>
          </cell>
          <cell r="I138">
            <v>0.13727777987421397</v>
          </cell>
          <cell r="J138">
            <v>0.22370597798742159</v>
          </cell>
          <cell r="K138">
            <v>0.13628039937106931</v>
          </cell>
          <cell r="L138">
            <v>0.26191928930817632</v>
          </cell>
          <cell r="M138">
            <v>0.34498899685534612</v>
          </cell>
          <cell r="N138">
            <v>4.7321279874213834E-2</v>
          </cell>
          <cell r="O138">
            <v>0.12612998113207555</v>
          </cell>
          <cell r="P138">
            <v>0.23720283333333339</v>
          </cell>
        </row>
        <row r="139">
          <cell r="A139">
            <v>137</v>
          </cell>
        </row>
        <row r="140">
          <cell r="A140">
            <v>138</v>
          </cell>
          <cell r="C140" t="str">
            <v>YTD</v>
          </cell>
        </row>
        <row r="141">
          <cell r="A141">
            <v>139</v>
          </cell>
          <cell r="C141" t="str">
            <v xml:space="preserve">Revenues </v>
          </cell>
          <cell r="E141">
            <v>360.439187</v>
          </cell>
          <cell r="F141">
            <v>688.566374</v>
          </cell>
          <cell r="G141">
            <v>1003.4466219999999</v>
          </cell>
          <cell r="H141">
            <v>1271.9908699999999</v>
          </cell>
          <cell r="I141">
            <v>1524.583118</v>
          </cell>
          <cell r="J141">
            <v>1803.7453660000001</v>
          </cell>
          <cell r="K141">
            <v>2133.2206140000003</v>
          </cell>
          <cell r="L141">
            <v>2447.4087810000001</v>
          </cell>
          <cell r="M141">
            <v>2712.4039480000001</v>
          </cell>
          <cell r="N141">
            <v>2953.9391150000001</v>
          </cell>
          <cell r="O141">
            <v>3226.2472820000003</v>
          </cell>
          <cell r="P141">
            <v>3543.3594490000005</v>
          </cell>
        </row>
        <row r="142">
          <cell r="A142">
            <v>140</v>
          </cell>
          <cell r="C142" t="str">
            <v xml:space="preserve">Purchased Power/Fuel/GRT </v>
          </cell>
          <cell r="E142">
            <v>167.20399999999998</v>
          </cell>
          <cell r="F142">
            <v>319.33199999999999</v>
          </cell>
          <cell r="G142">
            <v>462.93700000000001</v>
          </cell>
          <cell r="H142">
            <v>580.61699999999996</v>
          </cell>
          <cell r="I142">
            <v>685.428</v>
          </cell>
          <cell r="J142">
            <v>797.40300000000002</v>
          </cell>
          <cell r="K142">
            <v>930.67100000000005</v>
          </cell>
          <cell r="L142">
            <v>1054.674</v>
          </cell>
          <cell r="M142">
            <v>1156.99</v>
          </cell>
          <cell r="N142">
            <v>1254.82</v>
          </cell>
          <cell r="O142">
            <v>1370.9829999999999</v>
          </cell>
          <cell r="P142">
            <v>1510.6489999999999</v>
          </cell>
        </row>
        <row r="143">
          <cell r="A143">
            <v>141</v>
          </cell>
          <cell r="C143" t="str">
            <v>Direct Expenses</v>
          </cell>
          <cell r="E143">
            <v>11.564</v>
          </cell>
          <cell r="F143">
            <v>22.756</v>
          </cell>
          <cell r="G143">
            <v>34.578000000000003</v>
          </cell>
          <cell r="H143">
            <v>45.84</v>
          </cell>
          <cell r="I143">
            <v>56.917000000000002</v>
          </cell>
          <cell r="J143">
            <v>67.492999999999995</v>
          </cell>
          <cell r="K143">
            <v>78.207999999999998</v>
          </cell>
          <cell r="L143">
            <v>89.13</v>
          </cell>
          <cell r="M143">
            <v>99.602999999999994</v>
          </cell>
          <cell r="N143">
            <v>110.50399999999999</v>
          </cell>
          <cell r="O143">
            <v>121.76599999999999</v>
          </cell>
          <cell r="P143">
            <v>132.69399999999999</v>
          </cell>
        </row>
        <row r="144">
          <cell r="A144">
            <v>142</v>
          </cell>
          <cell r="C144" t="str">
            <v>Indirect Expenses</v>
          </cell>
          <cell r="E144">
            <v>7.633</v>
          </cell>
          <cell r="F144">
            <v>14.96</v>
          </cell>
          <cell r="G144">
            <v>23.163</v>
          </cell>
          <cell r="H144">
            <v>30.945</v>
          </cell>
          <cell r="I144">
            <v>38.486000000000004</v>
          </cell>
          <cell r="J144">
            <v>46.084000000000003</v>
          </cell>
          <cell r="K144">
            <v>53.617000000000004</v>
          </cell>
          <cell r="L144">
            <v>61.621000000000002</v>
          </cell>
          <cell r="M144">
            <v>69.159000000000006</v>
          </cell>
          <cell r="N144">
            <v>78.320000000000007</v>
          </cell>
          <cell r="O144">
            <v>85.864000000000004</v>
          </cell>
          <cell r="P144">
            <v>93.45</v>
          </cell>
        </row>
        <row r="145">
          <cell r="A145">
            <v>143</v>
          </cell>
          <cell r="C145" t="str">
            <v>SG &amp;A</v>
          </cell>
          <cell r="E145">
            <v>23.55602</v>
          </cell>
          <cell r="F145">
            <v>42.118039999999993</v>
          </cell>
          <cell r="G145">
            <v>60.217120999999992</v>
          </cell>
          <cell r="H145">
            <v>77.549201999999994</v>
          </cell>
          <cell r="I145">
            <v>95.120283000000001</v>
          </cell>
          <cell r="J145">
            <v>117.113364</v>
          </cell>
          <cell r="K145">
            <v>138.39344500000001</v>
          </cell>
          <cell r="L145">
            <v>159.890445</v>
          </cell>
          <cell r="M145">
            <v>180.63944499999999</v>
          </cell>
          <cell r="N145">
            <v>202.02944500000001</v>
          </cell>
          <cell r="O145">
            <v>220.04244500000001</v>
          </cell>
          <cell r="P145">
            <v>240.754445</v>
          </cell>
        </row>
        <row r="146">
          <cell r="A146">
            <v>144</v>
          </cell>
          <cell r="C146" t="str">
            <v>BSC</v>
          </cell>
          <cell r="E146">
            <v>4.0720000000000001</v>
          </cell>
          <cell r="F146">
            <v>8.141</v>
          </cell>
          <cell r="G146">
            <v>12.408999999999999</v>
          </cell>
          <cell r="H146">
            <v>16.472999999999999</v>
          </cell>
          <cell r="I146">
            <v>20.535999999999998</v>
          </cell>
          <cell r="J146">
            <v>24.797999999999998</v>
          </cell>
          <cell r="K146">
            <v>28.872</v>
          </cell>
          <cell r="L146">
            <v>32.945</v>
          </cell>
          <cell r="M146">
            <v>37.216999999999999</v>
          </cell>
          <cell r="N146">
            <v>41.265000000000001</v>
          </cell>
          <cell r="O146">
            <v>45.314</v>
          </cell>
          <cell r="P146">
            <v>49.567999999999998</v>
          </cell>
        </row>
        <row r="147">
          <cell r="A147">
            <v>145</v>
          </cell>
          <cell r="C147" t="str">
            <v>Corp Center Allocation</v>
          </cell>
          <cell r="E147">
            <v>2.367</v>
          </cell>
          <cell r="F147">
            <v>4.734</v>
          </cell>
          <cell r="G147">
            <v>7.101</v>
          </cell>
          <cell r="H147">
            <v>9.468</v>
          </cell>
          <cell r="I147">
            <v>11.835000000000001</v>
          </cell>
          <cell r="J147">
            <v>14.202000000000002</v>
          </cell>
          <cell r="K147">
            <v>16.569000000000003</v>
          </cell>
          <cell r="L147">
            <v>18.936000000000003</v>
          </cell>
          <cell r="M147">
            <v>21.303000000000004</v>
          </cell>
          <cell r="N147">
            <v>23.670000000000005</v>
          </cell>
          <cell r="O147">
            <v>26.037000000000006</v>
          </cell>
          <cell r="P147">
            <v>28.404000000000007</v>
          </cell>
        </row>
        <row r="148">
          <cell r="A148">
            <v>146</v>
          </cell>
          <cell r="C148" t="str">
            <v>Earnings from Invest.Equity(enter income as neg)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A149">
            <v>147</v>
          </cell>
          <cell r="C149" t="str">
            <v>Loss/(Gain) on Assets Disposal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A150">
            <v>148</v>
          </cell>
          <cell r="C150" t="str">
            <v>Other Operating Expenses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</row>
        <row r="151">
          <cell r="A151">
            <v>149</v>
          </cell>
          <cell r="C151" t="str">
            <v>TOTI, Other Operating Income</v>
          </cell>
          <cell r="E151">
            <v>3.5760000000000001</v>
          </cell>
          <cell r="F151">
            <v>7.0979999999999999</v>
          </cell>
          <cell r="G151">
            <v>10.705</v>
          </cell>
          <cell r="H151">
            <v>14.257</v>
          </cell>
          <cell r="I151">
            <v>17.850000000000001</v>
          </cell>
          <cell r="J151">
            <v>21.455000000000002</v>
          </cell>
          <cell r="K151">
            <v>25.038000000000004</v>
          </cell>
          <cell r="L151">
            <v>28.645000000000003</v>
          </cell>
          <cell r="M151">
            <v>32.225000000000001</v>
          </cell>
          <cell r="N151">
            <v>35.816000000000003</v>
          </cell>
          <cell r="O151">
            <v>39.39</v>
          </cell>
          <cell r="P151">
            <v>42.966000000000001</v>
          </cell>
        </row>
        <row r="152">
          <cell r="A152">
            <v>150</v>
          </cell>
          <cell r="C152" t="str">
            <v>Total O&amp;M, Other</v>
          </cell>
          <cell r="E152">
            <v>52.76802</v>
          </cell>
          <cell r="F152">
            <v>99.807039999999986</v>
          </cell>
          <cell r="G152">
            <v>148.17312100000001</v>
          </cell>
          <cell r="H152">
            <v>194.53220200000001</v>
          </cell>
          <cell r="I152">
            <v>240.744283</v>
          </cell>
          <cell r="J152">
            <v>291.14536399999997</v>
          </cell>
          <cell r="K152">
            <v>340.69744500000002</v>
          </cell>
          <cell r="L152">
            <v>391.16744499999993</v>
          </cell>
          <cell r="M152">
            <v>440.14644499999997</v>
          </cell>
          <cell r="N152">
            <v>491.60444500000006</v>
          </cell>
          <cell r="O152">
            <v>538.41344500000002</v>
          </cell>
          <cell r="P152">
            <v>587.83644500000003</v>
          </cell>
        </row>
        <row r="153">
          <cell r="A153">
            <v>151</v>
          </cell>
          <cell r="C153" t="str">
            <v>D&amp;A</v>
          </cell>
          <cell r="E153">
            <v>34.511000000000003</v>
          </cell>
          <cell r="F153">
            <v>66.657000000000011</v>
          </cell>
          <cell r="G153">
            <v>98.570000000000022</v>
          </cell>
          <cell r="H153">
            <v>128.52200000000002</v>
          </cell>
          <cell r="I153">
            <v>159.59000000000003</v>
          </cell>
          <cell r="J153">
            <v>194.72500000000002</v>
          </cell>
          <cell r="K153">
            <v>234.16000000000003</v>
          </cell>
          <cell r="L153">
            <v>272.11300000000006</v>
          </cell>
          <cell r="M153">
            <v>305.88400000000007</v>
          </cell>
          <cell r="N153">
            <v>336.53800000000007</v>
          </cell>
          <cell r="O153">
            <v>368.13100000000009</v>
          </cell>
          <cell r="P153">
            <v>401.86300000000006</v>
          </cell>
        </row>
        <row r="154">
          <cell r="A154">
            <v>152</v>
          </cell>
          <cell r="C154" t="str">
            <v>Interest Expense</v>
          </cell>
          <cell r="E154">
            <v>36.084000000000003</v>
          </cell>
          <cell r="F154">
            <v>72.168000000000006</v>
          </cell>
          <cell r="G154">
            <v>108.25200000000001</v>
          </cell>
          <cell r="H154">
            <v>144.33600000000001</v>
          </cell>
          <cell r="I154">
            <v>180.42000000000002</v>
          </cell>
          <cell r="J154">
            <v>216.50400000000002</v>
          </cell>
          <cell r="K154">
            <v>252.58800000000002</v>
          </cell>
          <cell r="L154">
            <v>288.67200000000003</v>
          </cell>
          <cell r="M154">
            <v>324.75600000000003</v>
          </cell>
          <cell r="N154">
            <v>360.84000000000003</v>
          </cell>
          <cell r="O154">
            <v>396.92400000000004</v>
          </cell>
          <cell r="P154">
            <v>433.00800000000004</v>
          </cell>
        </row>
        <row r="155">
          <cell r="A155">
            <v>153</v>
          </cell>
          <cell r="C155" t="str">
            <v>Taxes</v>
          </cell>
          <cell r="E155">
            <v>26.55</v>
          </cell>
          <cell r="F155">
            <v>49.626000000000005</v>
          </cell>
          <cell r="G155">
            <v>70.491</v>
          </cell>
          <cell r="H155">
            <v>85.108000000000004</v>
          </cell>
          <cell r="I155">
            <v>98.185000000000002</v>
          </cell>
          <cell r="J155">
            <v>115.499</v>
          </cell>
          <cell r="K155">
            <v>142.529</v>
          </cell>
          <cell r="L155">
            <v>167.48499999999999</v>
          </cell>
          <cell r="M155">
            <v>184.14499999999998</v>
          </cell>
          <cell r="N155">
            <v>193.83699999999999</v>
          </cell>
          <cell r="O155">
            <v>209.666</v>
          </cell>
          <cell r="P155">
            <v>231.78299999999999</v>
          </cell>
        </row>
        <row r="156">
          <cell r="A156">
            <v>154</v>
          </cell>
          <cell r="C156" t="str">
            <v>Preferred Stock Dividends</v>
          </cell>
          <cell r="E156">
            <v>0.76900000000000002</v>
          </cell>
          <cell r="F156">
            <v>1.538</v>
          </cell>
          <cell r="G156">
            <v>2.3069999999999999</v>
          </cell>
          <cell r="H156">
            <v>3.0760000000000001</v>
          </cell>
          <cell r="I156">
            <v>3.8450000000000002</v>
          </cell>
          <cell r="J156">
            <v>4.6139999999999999</v>
          </cell>
          <cell r="K156">
            <v>5.383</v>
          </cell>
          <cell r="L156">
            <v>6.1520000000000001</v>
          </cell>
          <cell r="M156">
            <v>6.9210000000000003</v>
          </cell>
          <cell r="N156">
            <v>7.69</v>
          </cell>
          <cell r="O156">
            <v>8.4589999999999996</v>
          </cell>
          <cell r="P156">
            <v>9.2279999999999998</v>
          </cell>
        </row>
        <row r="157">
          <cell r="A157">
            <v>155</v>
          </cell>
          <cell r="C157" t="str">
            <v>Net Income</v>
          </cell>
          <cell r="E157">
            <v>42.553166999999995</v>
          </cell>
          <cell r="F157">
            <v>79.438333999999998</v>
          </cell>
          <cell r="G157">
            <v>112.71650099999999</v>
          </cell>
          <cell r="H157">
            <v>135.799668</v>
          </cell>
          <cell r="I157">
            <v>156.37083500000003</v>
          </cell>
          <cell r="J157">
            <v>183.85500200000007</v>
          </cell>
          <cell r="K157">
            <v>227.19216900000012</v>
          </cell>
          <cell r="L157">
            <v>267.14533600000016</v>
          </cell>
          <cell r="M157">
            <v>293.56150300000013</v>
          </cell>
          <cell r="N157">
            <v>308.60967000000011</v>
          </cell>
          <cell r="O157">
            <v>333.67083700000012</v>
          </cell>
          <cell r="P157">
            <v>368.99200400000012</v>
          </cell>
        </row>
        <row r="158">
          <cell r="A158">
            <v>156</v>
          </cell>
          <cell r="C158" t="str">
            <v>EPS</v>
          </cell>
          <cell r="E158">
            <v>0.13381499056603771</v>
          </cell>
          <cell r="F158">
            <v>0.24980608176100627</v>
          </cell>
          <cell r="G158">
            <v>0.35445440566037734</v>
          </cell>
          <cell r="H158">
            <v>0.42704298113207545</v>
          </cell>
          <cell r="I158">
            <v>0.4917321855345913</v>
          </cell>
          <cell r="J158">
            <v>0.57816038364779898</v>
          </cell>
          <cell r="K158">
            <v>0.71444078301886826</v>
          </cell>
          <cell r="L158">
            <v>0.84007967295597519</v>
          </cell>
          <cell r="M158">
            <v>0.92314938050314499</v>
          </cell>
          <cell r="N158">
            <v>0.97047066037735885</v>
          </cell>
          <cell r="O158">
            <v>1.0492793616352205</v>
          </cell>
          <cell r="P158">
            <v>1.1603522138364784</v>
          </cell>
        </row>
        <row r="159">
          <cell r="A159">
            <v>157</v>
          </cell>
        </row>
        <row r="160">
          <cell r="A160">
            <v>158</v>
          </cell>
          <cell r="B160" t="str">
            <v>LE Calculations</v>
          </cell>
        </row>
        <row r="161">
          <cell r="A161">
            <v>159</v>
          </cell>
          <cell r="C161" t="str">
            <v>YTD Sales &amp; Delivery Volumes</v>
          </cell>
        </row>
        <row r="162">
          <cell r="A162">
            <v>160</v>
          </cell>
          <cell r="C162" t="str">
            <v>3-9 LE Delivery</v>
          </cell>
          <cell r="E162">
            <v>3168.4965740000002</v>
          </cell>
          <cell r="F162">
            <v>5919.0495030000002</v>
          </cell>
          <cell r="G162">
            <v>8823.1720440000008</v>
          </cell>
          <cell r="H162">
            <v>11354.874483760605</v>
          </cell>
          <cell r="I162">
            <v>14015.949267577973</v>
          </cell>
          <cell r="J162">
            <v>16967.701839557933</v>
          </cell>
          <cell r="K162">
            <v>20423.98519497463</v>
          </cell>
          <cell r="L162">
            <v>23741.501297071438</v>
          </cell>
          <cell r="M162">
            <v>26545.75856270935</v>
          </cell>
          <cell r="N162">
            <v>29196.745888888199</v>
          </cell>
          <cell r="O162">
            <v>31903.966103569361</v>
          </cell>
          <cell r="P162">
            <v>34975.324352729927</v>
          </cell>
        </row>
        <row r="163">
          <cell r="A163">
            <v>161</v>
          </cell>
          <cell r="C163" t="str">
            <v>6-6 LE Delivery</v>
          </cell>
          <cell r="E163">
            <v>3168.4965740000002</v>
          </cell>
          <cell r="F163">
            <v>5919.0495030000002</v>
          </cell>
          <cell r="G163">
            <v>8823.1720440000008</v>
          </cell>
          <cell r="H163">
            <v>11418.346059000001</v>
          </cell>
          <cell r="I163">
            <v>14135.039027000001</v>
          </cell>
          <cell r="J163">
            <v>17289.744119000003</v>
          </cell>
          <cell r="K163">
            <v>20788.362993604958</v>
          </cell>
          <cell r="L163">
            <v>24144.81212763389</v>
          </cell>
          <cell r="M163">
            <v>26979.971041688124</v>
          </cell>
          <cell r="N163">
            <v>29658.875667869044</v>
          </cell>
          <cell r="O163">
            <v>32390.852213621383</v>
          </cell>
          <cell r="P163">
            <v>35483.991118784892</v>
          </cell>
        </row>
        <row r="164">
          <cell r="A164">
            <v>162</v>
          </cell>
          <cell r="C164" t="str">
            <v>7-5 LE Delivery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A165">
            <v>163</v>
          </cell>
        </row>
        <row r="166">
          <cell r="A166">
            <v>164</v>
          </cell>
          <cell r="C166" t="str">
            <v>3-9 LE Sales</v>
          </cell>
          <cell r="E166">
            <v>2138.7043069999995</v>
          </cell>
          <cell r="F166">
            <v>4086.5385009999991</v>
          </cell>
          <cell r="G166">
            <v>6209.6767649999992</v>
          </cell>
          <cell r="H166">
            <v>7868.3534282151377</v>
          </cell>
          <cell r="I166">
            <v>9954.297632944621</v>
          </cell>
          <cell r="J166">
            <v>12668.131519405651</v>
          </cell>
          <cell r="K166">
            <v>15820.039475897815</v>
          </cell>
          <cell r="L166">
            <v>18842.779526874438</v>
          </cell>
          <cell r="M166">
            <v>21411.759758891167</v>
          </cell>
          <cell r="N166">
            <v>23857.874757668105</v>
          </cell>
          <cell r="O166">
            <v>26342.156889226731</v>
          </cell>
          <cell r="P166">
            <v>29148.062195653663</v>
          </cell>
        </row>
        <row r="167">
          <cell r="A167">
            <v>165</v>
          </cell>
          <cell r="C167" t="str">
            <v>6-6 LE Sales</v>
          </cell>
          <cell r="E167">
            <v>2138.7043069999995</v>
          </cell>
          <cell r="F167">
            <v>4086.5385009999991</v>
          </cell>
          <cell r="G167">
            <v>6209.6767649999992</v>
          </cell>
          <cell r="H167">
            <v>8007.0966759999992</v>
          </cell>
          <cell r="I167">
            <v>9951.6828219999989</v>
          </cell>
          <cell r="J167">
            <v>12570.442099</v>
          </cell>
          <cell r="K167">
            <v>15761.329431939537</v>
          </cell>
          <cell r="L167">
            <v>18819.708114839159</v>
          </cell>
          <cell r="M167">
            <v>21416.948175501977</v>
          </cell>
          <cell r="N167">
            <v>23888.83861054634</v>
          </cell>
          <cell r="O167">
            <v>26396.428021862914</v>
          </cell>
          <cell r="P167">
            <v>29223.615439816367</v>
          </cell>
        </row>
        <row r="168">
          <cell r="A168">
            <v>166</v>
          </cell>
          <cell r="C168" t="str">
            <v>7-5 LE Sales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A169">
            <v>167</v>
          </cell>
        </row>
        <row r="170">
          <cell r="A170">
            <v>168</v>
          </cell>
          <cell r="C170" t="str">
            <v>3-9 LE Gas</v>
          </cell>
          <cell r="E170">
            <v>11.112</v>
          </cell>
          <cell r="F170">
            <v>19.908000000000001</v>
          </cell>
          <cell r="G170">
            <v>28.270000000000003</v>
          </cell>
          <cell r="H170">
            <v>32.137</v>
          </cell>
          <cell r="I170">
            <v>34.323999999999998</v>
          </cell>
          <cell r="J170">
            <v>35.748999999999995</v>
          </cell>
          <cell r="K170">
            <v>37.031999999999996</v>
          </cell>
          <cell r="L170">
            <v>38.312999999999995</v>
          </cell>
          <cell r="M170">
            <v>39.875999999999998</v>
          </cell>
          <cell r="N170">
            <v>43.498999999999995</v>
          </cell>
          <cell r="O170">
            <v>49.974999999999994</v>
          </cell>
          <cell r="P170">
            <v>60.209999999999994</v>
          </cell>
        </row>
        <row r="171">
          <cell r="A171">
            <v>169</v>
          </cell>
          <cell r="C171" t="str">
            <v>6-6 LE Gas</v>
          </cell>
          <cell r="E171">
            <v>11.112</v>
          </cell>
          <cell r="F171">
            <v>19.908000000000001</v>
          </cell>
          <cell r="G171">
            <v>28.270000000000003</v>
          </cell>
          <cell r="H171">
            <v>32.137</v>
          </cell>
          <cell r="I171">
            <v>34.063000000000002</v>
          </cell>
          <cell r="J171">
            <v>35.468000000000004</v>
          </cell>
          <cell r="K171">
            <v>36.751000000000005</v>
          </cell>
          <cell r="L171">
            <v>38.032000000000004</v>
          </cell>
          <cell r="M171">
            <v>39.595000000000006</v>
          </cell>
          <cell r="N171">
            <v>43.218000000000004</v>
          </cell>
          <cell r="O171">
            <v>49.694000000000003</v>
          </cell>
          <cell r="P171">
            <v>59.929000000000002</v>
          </cell>
        </row>
        <row r="172">
          <cell r="A172">
            <v>170</v>
          </cell>
          <cell r="C172" t="str">
            <v>7-5 LE Gas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</row>
        <row r="173">
          <cell r="A173">
            <v>171</v>
          </cell>
        </row>
        <row r="174">
          <cell r="A174">
            <v>172</v>
          </cell>
          <cell r="C174" t="str">
            <v>QTD Sales &amp; Delivery Volumes</v>
          </cell>
        </row>
        <row r="175">
          <cell r="A175">
            <v>173</v>
          </cell>
          <cell r="C175" t="str">
            <v>3-9 LE Delivery</v>
          </cell>
          <cell r="E175">
            <v>3168.4965740000002</v>
          </cell>
          <cell r="F175">
            <v>5919.0495030000002</v>
          </cell>
          <cell r="G175">
            <v>8823.1720440000008</v>
          </cell>
          <cell r="H175">
            <v>2531.7024397606033</v>
          </cell>
          <cell r="I175">
            <v>5192.7772235779721</v>
          </cell>
          <cell r="J175">
            <v>8144.5297955579299</v>
          </cell>
          <cell r="K175">
            <v>3456.2833554166968</v>
          </cell>
          <cell r="L175">
            <v>6773.7994575135053</v>
          </cell>
          <cell r="M175">
            <v>9578.0567231514178</v>
          </cell>
          <cell r="N175">
            <v>2650.9873261788498</v>
          </cell>
          <cell r="O175">
            <v>5358.2075408600122</v>
          </cell>
          <cell r="P175">
            <v>8429.565790020577</v>
          </cell>
        </row>
        <row r="176">
          <cell r="A176">
            <v>174</v>
          </cell>
          <cell r="C176" t="str">
            <v>6-6 LE Delivery</v>
          </cell>
          <cell r="E176">
            <v>3168.4965740000002</v>
          </cell>
          <cell r="F176">
            <v>5919.0495030000002</v>
          </cell>
          <cell r="G176">
            <v>8823.1720440000008</v>
          </cell>
          <cell r="H176">
            <v>2595.1740150000001</v>
          </cell>
          <cell r="I176">
            <v>5311.8669829999999</v>
          </cell>
          <cell r="J176">
            <v>8466.572075</v>
          </cell>
          <cell r="K176">
            <v>3498.6188746049561</v>
          </cell>
          <cell r="L176">
            <v>6855.068008633888</v>
          </cell>
          <cell r="M176">
            <v>9690.2269226881235</v>
          </cell>
          <cell r="N176">
            <v>2678.9046261809203</v>
          </cell>
          <cell r="O176">
            <v>5410.8811719332589</v>
          </cell>
          <cell r="P176">
            <v>8504.0200770967695</v>
          </cell>
        </row>
        <row r="177">
          <cell r="A177">
            <v>175</v>
          </cell>
          <cell r="C177" t="str">
            <v>7-5 LE Delivery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</row>
        <row r="178">
          <cell r="A178">
            <v>176</v>
          </cell>
        </row>
        <row r="179">
          <cell r="A179">
            <v>177</v>
          </cell>
          <cell r="C179" t="str">
            <v>3-9 LE Sales</v>
          </cell>
          <cell r="E179">
            <v>2138.7043069999995</v>
          </cell>
          <cell r="F179">
            <v>4086.5385009999991</v>
          </cell>
          <cell r="G179">
            <v>6209.6767649999992</v>
          </cell>
          <cell r="H179">
            <v>1658.6766632151382</v>
          </cell>
          <cell r="I179">
            <v>3744.6208679446208</v>
          </cell>
          <cell r="J179">
            <v>6458.4547544056522</v>
          </cell>
          <cell r="K179">
            <v>3151.9079564921631</v>
          </cell>
          <cell r="L179">
            <v>6174.6480074687861</v>
          </cell>
          <cell r="M179">
            <v>8743.6282394855152</v>
          </cell>
          <cell r="N179">
            <v>2446.1149987769372</v>
          </cell>
          <cell r="O179">
            <v>4930.3971303355629</v>
          </cell>
          <cell r="P179">
            <v>7736.3024367624957</v>
          </cell>
        </row>
        <row r="180">
          <cell r="A180">
            <v>178</v>
          </cell>
          <cell r="C180" t="str">
            <v>6-6 LE Sales</v>
          </cell>
          <cell r="E180">
            <v>2138.7043069999995</v>
          </cell>
          <cell r="F180">
            <v>4086.5385009999991</v>
          </cell>
          <cell r="G180">
            <v>6209.6767649999992</v>
          </cell>
          <cell r="H180">
            <v>1797.4199109999995</v>
          </cell>
          <cell r="I180">
            <v>3742.0060569999991</v>
          </cell>
          <cell r="J180">
            <v>6360.7653339999997</v>
          </cell>
          <cell r="K180">
            <v>3190.8873329395374</v>
          </cell>
          <cell r="L180">
            <v>6249.2660158391573</v>
          </cell>
          <cell r="M180">
            <v>8846.5060765019753</v>
          </cell>
          <cell r="N180">
            <v>2471.890435044364</v>
          </cell>
          <cell r="O180">
            <v>4979.4798463609377</v>
          </cell>
          <cell r="P180">
            <v>7806.667264314392</v>
          </cell>
        </row>
        <row r="181">
          <cell r="A181">
            <v>179</v>
          </cell>
          <cell r="C181" t="str">
            <v>7-5 LE Sales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</row>
        <row r="182">
          <cell r="A182">
            <v>180</v>
          </cell>
        </row>
        <row r="183">
          <cell r="A183">
            <v>181</v>
          </cell>
          <cell r="C183" t="str">
            <v>YTD</v>
          </cell>
        </row>
        <row r="184">
          <cell r="A184">
            <v>182</v>
          </cell>
          <cell r="C184" t="str">
            <v>3-9 LE Revenue</v>
          </cell>
          <cell r="E184">
            <v>378.61627700000008</v>
          </cell>
          <cell r="F184">
            <v>690.91516458000001</v>
          </cell>
          <cell r="G184">
            <v>1051.06870959</v>
          </cell>
          <cell r="H184">
            <v>1324.185520652165</v>
          </cell>
          <cell r="I184">
            <v>1601.1542431809669</v>
          </cell>
          <cell r="J184">
            <v>1934.5518206716074</v>
          </cell>
          <cell r="K184">
            <v>2321.8035587300528</v>
          </cell>
          <cell r="L184">
            <v>2693.3067490453991</v>
          </cell>
          <cell r="M184">
            <v>3006.2380831177156</v>
          </cell>
          <cell r="N184">
            <v>3294.9648610546324</v>
          </cell>
          <cell r="O184">
            <v>3613.4325910465377</v>
          </cell>
          <cell r="P184">
            <v>3984.7284227052301</v>
          </cell>
        </row>
        <row r="185">
          <cell r="A185">
            <v>183</v>
          </cell>
          <cell r="C185" t="str">
            <v>6-6 LE Revenue</v>
          </cell>
          <cell r="E185">
            <v>378.61627700000008</v>
          </cell>
          <cell r="F185">
            <v>690.91516458000001</v>
          </cell>
          <cell r="G185">
            <v>1051.06870959</v>
          </cell>
          <cell r="H185">
            <v>1339.1393434399999</v>
          </cell>
          <cell r="I185">
            <v>1611.6835178900001</v>
          </cell>
          <cell r="J185">
            <v>1956.9077347800001</v>
          </cell>
          <cell r="K185">
            <v>2351.3169468345786</v>
          </cell>
          <cell r="L185">
            <v>2730.7971282503454</v>
          </cell>
          <cell r="M185">
            <v>3052.8673178563477</v>
          </cell>
          <cell r="N185">
            <v>3364.3934964340642</v>
          </cell>
          <cell r="O185">
            <v>3715.4344413990643</v>
          </cell>
          <cell r="P185">
            <v>4135.7566459386926</v>
          </cell>
        </row>
        <row r="186">
          <cell r="A186">
            <v>184</v>
          </cell>
          <cell r="C186" t="str">
            <v>7-5 LE Revenue</v>
          </cell>
          <cell r="E186">
            <v>378.61627700000008</v>
          </cell>
          <cell r="F186">
            <v>690.91516458000001</v>
          </cell>
          <cell r="G186">
            <v>1051.06870959</v>
          </cell>
          <cell r="H186">
            <v>1339.1393434399999</v>
          </cell>
          <cell r="I186">
            <v>1611.6835178900001</v>
          </cell>
          <cell r="J186">
            <v>1956.9077347800001</v>
          </cell>
          <cell r="K186">
            <v>2307.4361109000001</v>
          </cell>
          <cell r="L186">
            <v>2695.6852923157667</v>
          </cell>
          <cell r="M186">
            <v>3017.5244819217692</v>
          </cell>
          <cell r="N186">
            <v>3328.8196604994855</v>
          </cell>
          <cell r="O186">
            <v>3679.6296054644854</v>
          </cell>
          <cell r="P186">
            <v>4099.7208100041134</v>
          </cell>
        </row>
        <row r="187">
          <cell r="A187">
            <v>185</v>
          </cell>
        </row>
        <row r="188">
          <cell r="A188">
            <v>186</v>
          </cell>
          <cell r="C188" t="str">
            <v>3-9 LE Fuel &amp; Purchased Power</v>
          </cell>
          <cell r="E188">
            <v>188.86915300000001</v>
          </cell>
          <cell r="F188">
            <v>341.89246961000003</v>
          </cell>
          <cell r="G188">
            <v>518.49841986000001</v>
          </cell>
          <cell r="H188">
            <v>648.22222210382949</v>
          </cell>
          <cell r="I188">
            <v>781.38158606476918</v>
          </cell>
          <cell r="J188">
            <v>945.75908804365554</v>
          </cell>
          <cell r="K188">
            <v>1135.5449905274147</v>
          </cell>
          <cell r="L188">
            <v>1315.7271713273219</v>
          </cell>
          <cell r="M188">
            <v>1466.3278424105865</v>
          </cell>
          <cell r="N188">
            <v>1610.2902348018504</v>
          </cell>
          <cell r="O188">
            <v>1772.0960615213235</v>
          </cell>
          <cell r="P188">
            <v>1962.0567460345496</v>
          </cell>
        </row>
        <row r="189">
          <cell r="A189">
            <v>187</v>
          </cell>
          <cell r="C189" t="str">
            <v>6-6 LE Fuel &amp; Purchased Power</v>
          </cell>
          <cell r="E189">
            <v>188.86915300000001</v>
          </cell>
          <cell r="F189">
            <v>341.89246961000003</v>
          </cell>
          <cell r="G189">
            <v>518.49841986000001</v>
          </cell>
          <cell r="H189">
            <v>651.47763787999997</v>
          </cell>
          <cell r="I189">
            <v>778.7475412</v>
          </cell>
          <cell r="J189">
            <v>936.04255697999997</v>
          </cell>
          <cell r="K189">
            <v>1131.2322412220599</v>
          </cell>
          <cell r="L189">
            <v>1317.4741094566232</v>
          </cell>
          <cell r="M189">
            <v>1474.5712349955675</v>
          </cell>
          <cell r="N189">
            <v>1637.3697862877882</v>
          </cell>
          <cell r="O189">
            <v>1826.5591510584761</v>
          </cell>
          <cell r="P189">
            <v>2061.0686036662346</v>
          </cell>
        </row>
        <row r="190">
          <cell r="A190">
            <v>188</v>
          </cell>
          <cell r="C190" t="str">
            <v>7-5 LE Fuel &amp; Purchased Power</v>
          </cell>
          <cell r="E190">
            <v>188.86915300000001</v>
          </cell>
          <cell r="F190">
            <v>341.89246961000003</v>
          </cell>
          <cell r="G190">
            <v>518.49841986000001</v>
          </cell>
          <cell r="H190">
            <v>651.47763787999997</v>
          </cell>
          <cell r="I190">
            <v>778.7475412</v>
          </cell>
          <cell r="J190">
            <v>936.04255697999997</v>
          </cell>
          <cell r="K190">
            <v>1109.29243612</v>
          </cell>
          <cell r="L190">
            <v>1295.5343043545633</v>
          </cell>
          <cell r="M190">
            <v>1452.6314298935076</v>
          </cell>
          <cell r="N190">
            <v>1615.4299811857284</v>
          </cell>
          <cell r="O190">
            <v>1804.6193459564163</v>
          </cell>
          <cell r="P190">
            <v>2039.128798564175</v>
          </cell>
        </row>
        <row r="191">
          <cell r="A191">
            <v>189</v>
          </cell>
        </row>
        <row r="192">
          <cell r="A192">
            <v>190</v>
          </cell>
          <cell r="C192" t="str">
            <v>3-9 LE Direct</v>
          </cell>
          <cell r="E192">
            <v>8.5245630000000006</v>
          </cell>
          <cell r="F192">
            <v>21.577046639999999</v>
          </cell>
          <cell r="G192">
            <v>36.121106040000001</v>
          </cell>
          <cell r="H192">
            <v>37.464122239999995</v>
          </cell>
          <cell r="I192">
            <v>40.08713843999999</v>
          </cell>
          <cell r="J192">
            <v>44.09015463999998</v>
          </cell>
          <cell r="K192">
            <v>47.513170839999972</v>
          </cell>
          <cell r="L192">
            <v>51.156187039999971</v>
          </cell>
          <cell r="M192">
            <v>55.146187039999973</v>
          </cell>
          <cell r="N192">
            <v>59.036187039999973</v>
          </cell>
          <cell r="O192">
            <v>61.906187039999971</v>
          </cell>
          <cell r="P192">
            <v>65.756187039999972</v>
          </cell>
        </row>
        <row r="193">
          <cell r="A193">
            <v>191</v>
          </cell>
          <cell r="C193" t="str">
            <v>6-6 LE Direct</v>
          </cell>
          <cell r="E193">
            <v>8.5245630000000006</v>
          </cell>
          <cell r="F193">
            <v>21.577046639999999</v>
          </cell>
          <cell r="G193">
            <v>36.121106040000001</v>
          </cell>
          <cell r="H193">
            <v>42.32283958</v>
          </cell>
          <cell r="I193">
            <v>53.45270902</v>
          </cell>
          <cell r="J193">
            <v>66.331591470000006</v>
          </cell>
          <cell r="K193">
            <v>84.471204643703373</v>
          </cell>
          <cell r="L193">
            <v>102.99125051730215</v>
          </cell>
          <cell r="M193">
            <v>122.98715693600377</v>
          </cell>
          <cell r="N193">
            <v>143.08643289798493</v>
          </cell>
          <cell r="O193">
            <v>157.24827518996287</v>
          </cell>
          <cell r="P193">
            <v>177.00153360041378</v>
          </cell>
        </row>
        <row r="194">
          <cell r="A194">
            <v>192</v>
          </cell>
          <cell r="C194" t="str">
            <v>7-5 LE Direct</v>
          </cell>
          <cell r="E194">
            <v>8.5245630000000006</v>
          </cell>
          <cell r="F194">
            <v>21.577046639999999</v>
          </cell>
          <cell r="G194">
            <v>36.121106040000001</v>
          </cell>
          <cell r="H194">
            <v>42.32283958</v>
          </cell>
          <cell r="I194">
            <v>53.45270902</v>
          </cell>
          <cell r="J194">
            <v>66.331591470000006</v>
          </cell>
          <cell r="K194">
            <v>78.909050669999999</v>
          </cell>
          <cell r="L194">
            <v>101.19809654359878</v>
          </cell>
          <cell r="M194">
            <v>120.96300296230042</v>
          </cell>
          <cell r="N194">
            <v>135.83127892428161</v>
          </cell>
          <cell r="O194">
            <v>144.76212121625954</v>
          </cell>
          <cell r="P194">
            <v>161.08437962671044</v>
          </cell>
        </row>
        <row r="195">
          <cell r="A195">
            <v>193</v>
          </cell>
        </row>
        <row r="196">
          <cell r="A196">
            <v>194</v>
          </cell>
          <cell r="C196" t="str">
            <v>3-9 LE Indirect</v>
          </cell>
          <cell r="E196">
            <v>19.243808000000001</v>
          </cell>
          <cell r="F196">
            <v>34.69577554</v>
          </cell>
          <cell r="G196">
            <v>68.508693179999995</v>
          </cell>
          <cell r="H196">
            <v>77.062463429999994</v>
          </cell>
          <cell r="I196">
            <v>87.216233679999988</v>
          </cell>
          <cell r="J196">
            <v>99.09500392999999</v>
          </cell>
          <cell r="K196">
            <v>110.24877417999998</v>
          </cell>
          <cell r="L196">
            <v>121.67754442999998</v>
          </cell>
          <cell r="M196">
            <v>133.54004442999999</v>
          </cell>
          <cell r="N196">
            <v>145.27754443000001</v>
          </cell>
          <cell r="O196">
            <v>155.74004443000001</v>
          </cell>
          <cell r="P196">
            <v>156.17754443000001</v>
          </cell>
        </row>
        <row r="197">
          <cell r="A197">
            <v>195</v>
          </cell>
          <cell r="C197" t="str">
            <v>6-6 LE Indirect</v>
          </cell>
          <cell r="E197">
            <v>20.913808</v>
          </cell>
          <cell r="F197">
            <v>38.035775540000003</v>
          </cell>
          <cell r="G197">
            <v>61.76869318</v>
          </cell>
          <cell r="H197">
            <v>75.879810280000001</v>
          </cell>
          <cell r="I197">
            <v>91.288863399999997</v>
          </cell>
          <cell r="J197">
            <v>117.09635962999999</v>
          </cell>
          <cell r="K197">
            <v>117.09635962999999</v>
          </cell>
          <cell r="L197">
            <v>117.09635962999999</v>
          </cell>
          <cell r="M197">
            <v>117.09635962999999</v>
          </cell>
          <cell r="N197">
            <v>117.09635962999999</v>
          </cell>
          <cell r="O197">
            <v>117.09635962999999</v>
          </cell>
          <cell r="P197">
            <v>117.09635962999999</v>
          </cell>
        </row>
        <row r="198">
          <cell r="A198">
            <v>196</v>
          </cell>
          <cell r="C198" t="str">
            <v>7-5 LE Indirect</v>
          </cell>
          <cell r="E198">
            <v>20.913808</v>
          </cell>
          <cell r="F198">
            <v>38.035775540000003</v>
          </cell>
          <cell r="G198">
            <v>61.76869318</v>
          </cell>
          <cell r="H198">
            <v>75.879810280000001</v>
          </cell>
          <cell r="I198">
            <v>91.288863399999997</v>
          </cell>
          <cell r="J198">
            <v>117.09635962999999</v>
          </cell>
          <cell r="K198">
            <v>138.59179576</v>
          </cell>
          <cell r="L198">
            <v>138.59179576</v>
          </cell>
          <cell r="M198">
            <v>138.59179576</v>
          </cell>
          <cell r="N198">
            <v>138.59179576</v>
          </cell>
          <cell r="O198">
            <v>138.59179576</v>
          </cell>
          <cell r="P198">
            <v>138.59179576</v>
          </cell>
        </row>
        <row r="199">
          <cell r="A199">
            <v>197</v>
          </cell>
        </row>
        <row r="200">
          <cell r="A200">
            <v>198</v>
          </cell>
          <cell r="C200" t="str">
            <v>3-9 LE SG&amp;A</v>
          </cell>
          <cell r="E200">
            <v>5.2018141199999999</v>
          </cell>
          <cell r="F200">
            <v>14.46863506</v>
          </cell>
          <cell r="G200">
            <v>10.01473412</v>
          </cell>
          <cell r="H200">
            <v>28.833028670000001</v>
          </cell>
          <cell r="I200">
            <v>51.171323220000005</v>
          </cell>
          <cell r="J200">
            <v>77.304617770000007</v>
          </cell>
          <cell r="K200">
            <v>101.84291232000001</v>
          </cell>
          <cell r="L200">
            <v>126.98620687000002</v>
          </cell>
          <cell r="M200">
            <v>153.08370687000001</v>
          </cell>
          <cell r="N200">
            <v>178.90620687000001</v>
          </cell>
          <cell r="O200">
            <v>201.92370686999999</v>
          </cell>
          <cell r="P200">
            <v>227.63620687</v>
          </cell>
        </row>
        <row r="201">
          <cell r="A201">
            <v>199</v>
          </cell>
          <cell r="C201" t="str">
            <v>6-6 LE SG&amp;A</v>
          </cell>
          <cell r="E201">
            <v>7.2018141199999999</v>
          </cell>
          <cell r="F201">
            <v>18.46863506</v>
          </cell>
          <cell r="G201">
            <v>16.01473412</v>
          </cell>
          <cell r="H201">
            <v>32.418775660000001</v>
          </cell>
          <cell r="I201">
            <v>31.04423195</v>
          </cell>
          <cell r="J201">
            <v>42.794408650000001</v>
          </cell>
          <cell r="K201">
            <v>66.006212489733528</v>
          </cell>
          <cell r="L201">
            <v>89.718471529900427</v>
          </cell>
          <cell r="M201">
            <v>115.34018214633483</v>
          </cell>
          <cell r="N201">
            <v>141.13319298308616</v>
          </cell>
          <cell r="O201">
            <v>165.69325085639935</v>
          </cell>
          <cell r="P201">
            <v>193.6288517903541</v>
          </cell>
        </row>
        <row r="202">
          <cell r="A202">
            <v>200</v>
          </cell>
          <cell r="C202" t="str">
            <v>7-5 LE SG&amp;A</v>
          </cell>
          <cell r="E202">
            <v>7.2018141199999999</v>
          </cell>
          <cell r="F202">
            <v>18.46863506</v>
          </cell>
          <cell r="G202">
            <v>16.01473412</v>
          </cell>
          <cell r="H202">
            <v>32.418775660000001</v>
          </cell>
          <cell r="I202">
            <v>31.04423195</v>
          </cell>
          <cell r="J202">
            <v>42.794408650000001</v>
          </cell>
          <cell r="K202">
            <v>51.29438098</v>
          </cell>
          <cell r="L202">
            <v>75.006640020166898</v>
          </cell>
          <cell r="M202">
            <v>100.62835063660128</v>
          </cell>
          <cell r="N202">
            <v>126.42136147335262</v>
          </cell>
          <cell r="O202">
            <v>150.9814193466658</v>
          </cell>
          <cell r="P202">
            <v>178.91702028062056</v>
          </cell>
        </row>
        <row r="203">
          <cell r="A203">
            <v>201</v>
          </cell>
        </row>
        <row r="204">
          <cell r="A204">
            <v>202</v>
          </cell>
          <cell r="C204" t="str">
            <v>3-9 LE BSC</v>
          </cell>
          <cell r="E204">
            <v>2.1551342400000002</v>
          </cell>
          <cell r="F204">
            <v>5.0126350500000001</v>
          </cell>
          <cell r="G204">
            <v>7.6628212500000004</v>
          </cell>
          <cell r="H204">
            <v>13.16282125</v>
          </cell>
          <cell r="I204">
            <v>18.66282125</v>
          </cell>
          <cell r="J204">
            <v>24.16282125</v>
          </cell>
          <cell r="K204">
            <v>29.66282125</v>
          </cell>
          <cell r="L204">
            <v>35.16282125</v>
          </cell>
          <cell r="M204">
            <v>40.66282125</v>
          </cell>
          <cell r="N204">
            <v>46.16282125</v>
          </cell>
          <cell r="O204">
            <v>51.66282125</v>
          </cell>
          <cell r="P204">
            <v>57.16282125</v>
          </cell>
        </row>
        <row r="205">
          <cell r="A205">
            <v>203</v>
          </cell>
          <cell r="C205" t="str">
            <v>6-6 LE BSC</v>
          </cell>
          <cell r="E205">
            <v>2.1551342400000002</v>
          </cell>
          <cell r="F205">
            <v>5.0126350500000001</v>
          </cell>
          <cell r="G205">
            <v>7.6628212500000004</v>
          </cell>
          <cell r="H205">
            <v>11.099509860000001</v>
          </cell>
          <cell r="I205">
            <v>14.320791750000001</v>
          </cell>
          <cell r="J205">
            <v>17.521182800000002</v>
          </cell>
          <cell r="K205">
            <v>21.595182800000003</v>
          </cell>
          <cell r="L205">
            <v>25.668182800000004</v>
          </cell>
          <cell r="M205">
            <v>29.940182800000002</v>
          </cell>
          <cell r="N205">
            <v>33.988182800000004</v>
          </cell>
          <cell r="O205">
            <v>38.037182800000004</v>
          </cell>
          <cell r="P205">
            <v>42.291182800000001</v>
          </cell>
        </row>
        <row r="206">
          <cell r="A206">
            <v>204</v>
          </cell>
          <cell r="C206" t="str">
            <v>7-5 LE BSC</v>
          </cell>
          <cell r="E206">
            <v>2.1551342400000002</v>
          </cell>
          <cell r="F206">
            <v>5.0126350500000001</v>
          </cell>
          <cell r="G206">
            <v>7.6628212500000004</v>
          </cell>
          <cell r="H206">
            <v>11.099509860000001</v>
          </cell>
          <cell r="I206">
            <v>14.320791750000001</v>
          </cell>
          <cell r="J206">
            <v>17.521182800000002</v>
          </cell>
          <cell r="K206">
            <v>20.066674690000003</v>
          </cell>
          <cell r="L206">
            <v>24.139674690000003</v>
          </cell>
          <cell r="M206">
            <v>28.411674690000005</v>
          </cell>
          <cell r="N206">
            <v>32.459674690000007</v>
          </cell>
          <cell r="O206">
            <v>36.508674690000007</v>
          </cell>
          <cell r="P206">
            <v>40.762674690000004</v>
          </cell>
        </row>
        <row r="207">
          <cell r="A207">
            <v>205</v>
          </cell>
        </row>
        <row r="208">
          <cell r="A208">
            <v>206</v>
          </cell>
          <cell r="C208" t="str">
            <v>3-9 LE Corp Center Allocation</v>
          </cell>
          <cell r="E208">
            <v>0</v>
          </cell>
          <cell r="F208">
            <v>4.8</v>
          </cell>
          <cell r="G208">
            <v>10.39393638</v>
          </cell>
          <cell r="H208">
            <v>12.76093638</v>
          </cell>
          <cell r="I208">
            <v>15.127936380000001</v>
          </cell>
          <cell r="J208">
            <v>17.494936380000002</v>
          </cell>
          <cell r="K208">
            <v>19.861936380000003</v>
          </cell>
          <cell r="L208">
            <v>22.228936380000004</v>
          </cell>
          <cell r="M208">
            <v>24.595936380000005</v>
          </cell>
          <cell r="N208">
            <v>26.962936380000006</v>
          </cell>
          <cell r="O208">
            <v>29.329936380000007</v>
          </cell>
          <cell r="P208">
            <v>29.896936380000007</v>
          </cell>
        </row>
        <row r="209">
          <cell r="A209">
            <v>207</v>
          </cell>
          <cell r="C209" t="str">
            <v>6-6 LE Corp Center Allocation</v>
          </cell>
          <cell r="E209">
            <v>0</v>
          </cell>
          <cell r="F209">
            <v>4.8</v>
          </cell>
          <cell r="G209">
            <v>10.39393638</v>
          </cell>
          <cell r="H209">
            <v>9.0124077800000002</v>
          </cell>
          <cell r="I209">
            <v>11.55522294</v>
          </cell>
          <cell r="J209">
            <v>14.25965074</v>
          </cell>
          <cell r="K209">
            <v>16.626650739999999</v>
          </cell>
          <cell r="L209">
            <v>18.99365074</v>
          </cell>
          <cell r="M209">
            <v>21.360650740000001</v>
          </cell>
          <cell r="N209">
            <v>23.727650740000001</v>
          </cell>
          <cell r="O209">
            <v>26.094650740000002</v>
          </cell>
          <cell r="P209">
            <v>28.461650740000003</v>
          </cell>
        </row>
        <row r="210">
          <cell r="A210">
            <v>208</v>
          </cell>
          <cell r="C210" t="str">
            <v>7-5 LE Corp Center Allocation</v>
          </cell>
          <cell r="E210">
            <v>0</v>
          </cell>
          <cell r="F210">
            <v>4.8</v>
          </cell>
          <cell r="G210">
            <v>10.39393638</v>
          </cell>
          <cell r="H210">
            <v>9.0124077800000002</v>
          </cell>
          <cell r="I210">
            <v>11.55522294</v>
          </cell>
          <cell r="J210">
            <v>14.25965074</v>
          </cell>
          <cell r="K210">
            <v>16.424103549999998</v>
          </cell>
          <cell r="L210">
            <v>18.791103549999999</v>
          </cell>
          <cell r="M210">
            <v>21.15810355</v>
          </cell>
          <cell r="N210">
            <v>23.525103550000001</v>
          </cell>
          <cell r="O210">
            <v>25.892103550000002</v>
          </cell>
          <cell r="P210">
            <v>28.259103550000003</v>
          </cell>
        </row>
        <row r="211">
          <cell r="A211">
            <v>209</v>
          </cell>
        </row>
        <row r="212">
          <cell r="A212">
            <v>210</v>
          </cell>
          <cell r="C212" t="str">
            <v>3-9 LE Earnings from Invest.Equity(enter income as neg)</v>
          </cell>
          <cell r="E212">
            <v>-0.6</v>
          </cell>
          <cell r="F212">
            <v>-1.03</v>
          </cell>
          <cell r="G212">
            <v>-1.83</v>
          </cell>
          <cell r="H212">
            <v>-1.83</v>
          </cell>
          <cell r="I212">
            <v>-1.83</v>
          </cell>
          <cell r="J212">
            <v>-1.83</v>
          </cell>
          <cell r="K212">
            <v>-1.83</v>
          </cell>
          <cell r="L212">
            <v>-1.83</v>
          </cell>
          <cell r="M212">
            <v>-1.83</v>
          </cell>
          <cell r="N212">
            <v>-1.83</v>
          </cell>
          <cell r="O212">
            <v>-1.83</v>
          </cell>
          <cell r="P212">
            <v>-1.83</v>
          </cell>
        </row>
        <row r="213">
          <cell r="A213">
            <v>211</v>
          </cell>
          <cell r="C213" t="str">
            <v>6-6 LE Earnings from Invest.Equity(enter income as neg)</v>
          </cell>
          <cell r="E213">
            <v>0</v>
          </cell>
          <cell r="F213">
            <v>0</v>
          </cell>
          <cell r="G213">
            <v>0</v>
          </cell>
          <cell r="H213">
            <v>-1.6456999999999999E-2</v>
          </cell>
          <cell r="I213">
            <v>-2.1329999999999995E-3</v>
          </cell>
          <cell r="J213">
            <v>-2.1329999999999995E-3</v>
          </cell>
          <cell r="K213">
            <v>-2.1329999999999995E-3</v>
          </cell>
          <cell r="L213">
            <v>-2.1329999999999995E-3</v>
          </cell>
          <cell r="M213">
            <v>-2.1329999999999995E-3</v>
          </cell>
          <cell r="N213">
            <v>-2.1329999999999995E-3</v>
          </cell>
          <cell r="O213">
            <v>-2.1329999999999995E-3</v>
          </cell>
          <cell r="P213">
            <v>-2.1329999999999995E-3</v>
          </cell>
        </row>
        <row r="214">
          <cell r="A214">
            <v>212</v>
          </cell>
          <cell r="C214" t="str">
            <v>7-5 LE Earnings from Invest.Equity(enter income as neg)</v>
          </cell>
          <cell r="E214">
            <v>0</v>
          </cell>
          <cell r="F214">
            <v>0</v>
          </cell>
          <cell r="G214">
            <v>0</v>
          </cell>
          <cell r="H214">
            <v>-1.6456999999999999E-2</v>
          </cell>
          <cell r="I214">
            <v>-2.1329999999999995E-3</v>
          </cell>
          <cell r="J214">
            <v>-2.1329999999999995E-3</v>
          </cell>
          <cell r="K214">
            <v>-4.5705999999999997E-2</v>
          </cell>
          <cell r="L214">
            <v>-4.5705999999999997E-2</v>
          </cell>
          <cell r="M214">
            <v>-4.5705999999999997E-2</v>
          </cell>
          <cell r="N214">
            <v>-4.5705999999999997E-2</v>
          </cell>
          <cell r="O214">
            <v>-4.5705999999999997E-2</v>
          </cell>
          <cell r="P214">
            <v>-4.5705999999999997E-2</v>
          </cell>
        </row>
        <row r="215">
          <cell r="A215">
            <v>213</v>
          </cell>
        </row>
        <row r="216">
          <cell r="A216">
            <v>214</v>
          </cell>
          <cell r="C216" t="str">
            <v>3-9 LE Loss/(Gain) on Assets Disposal</v>
          </cell>
          <cell r="E216">
            <v>-0.6429954200000001</v>
          </cell>
          <cell r="F216">
            <v>-0.6429954200000001</v>
          </cell>
          <cell r="G216">
            <v>-0.63770248000000007</v>
          </cell>
          <cell r="H216">
            <v>-0.63770248000000007</v>
          </cell>
          <cell r="I216">
            <v>-0.63770248000000007</v>
          </cell>
          <cell r="J216">
            <v>-0.63770248000000007</v>
          </cell>
          <cell r="K216">
            <v>-0.63770248000000007</v>
          </cell>
          <cell r="L216">
            <v>-0.63770248000000007</v>
          </cell>
          <cell r="M216">
            <v>-0.63770248000000007</v>
          </cell>
          <cell r="N216">
            <v>-0.63770248000000007</v>
          </cell>
          <cell r="O216">
            <v>-0.63770248000000007</v>
          </cell>
          <cell r="P216">
            <v>-0.63770248000000007</v>
          </cell>
        </row>
        <row r="217">
          <cell r="A217">
            <v>215</v>
          </cell>
          <cell r="C217" t="str">
            <v>6-6 LE Loss/(Gain) on Assets Disposal</v>
          </cell>
          <cell r="E217">
            <v>-0.6429954200000001</v>
          </cell>
          <cell r="F217">
            <v>-0.6429954200000001</v>
          </cell>
          <cell r="G217">
            <v>-0.63770248000000007</v>
          </cell>
          <cell r="H217">
            <v>-0.63770548000000005</v>
          </cell>
          <cell r="I217">
            <v>0.15225933000000003</v>
          </cell>
          <cell r="J217">
            <v>0.15225933000000003</v>
          </cell>
          <cell r="K217">
            <v>0.15225933000000003</v>
          </cell>
          <cell r="L217">
            <v>0.15225933000000003</v>
          </cell>
          <cell r="M217">
            <v>0.15225933000000003</v>
          </cell>
          <cell r="N217">
            <v>0.15225933000000003</v>
          </cell>
          <cell r="O217">
            <v>0.15225933000000003</v>
          </cell>
          <cell r="P217">
            <v>0.15225933000000003</v>
          </cell>
        </row>
        <row r="218">
          <cell r="A218">
            <v>216</v>
          </cell>
          <cell r="C218" t="str">
            <v>7-5 LE Loss/(Gain) on Assets Disposal</v>
          </cell>
          <cell r="E218">
            <v>-0.6429954200000001</v>
          </cell>
          <cell r="F218">
            <v>-0.6429954200000001</v>
          </cell>
          <cell r="G218">
            <v>-0.63770248000000007</v>
          </cell>
          <cell r="H218">
            <v>-0.63770548000000005</v>
          </cell>
          <cell r="I218">
            <v>0.15225933000000003</v>
          </cell>
          <cell r="J218">
            <v>0.15225933000000003</v>
          </cell>
          <cell r="K218">
            <v>0.15110043000000004</v>
          </cell>
          <cell r="L218">
            <v>0.15110043000000004</v>
          </cell>
          <cell r="M218">
            <v>0.15110043000000004</v>
          </cell>
          <cell r="N218">
            <v>0.15110043000000004</v>
          </cell>
          <cell r="O218">
            <v>0.15110043000000004</v>
          </cell>
          <cell r="P218">
            <v>0.15110043000000004</v>
          </cell>
        </row>
        <row r="219">
          <cell r="A219">
            <v>217</v>
          </cell>
        </row>
        <row r="220">
          <cell r="A220">
            <v>218</v>
          </cell>
          <cell r="C220" t="str">
            <v>3-9 LE Other Operating Expenses</v>
          </cell>
          <cell r="E220">
            <v>-9.1986281500000011</v>
          </cell>
          <cell r="F220">
            <v>-9.1941070000000007</v>
          </cell>
          <cell r="G220">
            <v>-9.1857055800000005</v>
          </cell>
          <cell r="H220">
            <v>-9.1857055800000005</v>
          </cell>
          <cell r="I220">
            <v>-9.1857055800000005</v>
          </cell>
          <cell r="J220">
            <v>-9.1857055800000005</v>
          </cell>
          <cell r="K220">
            <v>-9.1857055800000005</v>
          </cell>
          <cell r="L220">
            <v>-9.1857055800000005</v>
          </cell>
          <cell r="M220">
            <v>-9.1857055800000005</v>
          </cell>
          <cell r="N220">
            <v>-9.1857055800000005</v>
          </cell>
          <cell r="O220">
            <v>-9.1857055800000005</v>
          </cell>
          <cell r="P220">
            <v>-9.1857055800000005</v>
          </cell>
        </row>
        <row r="221">
          <cell r="A221">
            <v>219</v>
          </cell>
          <cell r="C221" t="str">
            <v>6-6 LE Other Operating Expenses</v>
          </cell>
          <cell r="E221">
            <v>-9.1986281500000011</v>
          </cell>
          <cell r="F221">
            <v>-9.1941070000000007</v>
          </cell>
          <cell r="G221">
            <v>-9.1857055800000005</v>
          </cell>
          <cell r="H221">
            <v>-9.20745814</v>
          </cell>
          <cell r="I221">
            <v>-9.2192096800000005</v>
          </cell>
          <cell r="J221">
            <v>-9.1875068300000002</v>
          </cell>
          <cell r="K221">
            <v>-9.1875068300000002</v>
          </cell>
          <cell r="L221">
            <v>-9.1875068300000002</v>
          </cell>
          <cell r="M221">
            <v>-9.1875068300000002</v>
          </cell>
          <cell r="N221">
            <v>-9.1875068300000002</v>
          </cell>
          <cell r="O221">
            <v>-9.1875068300000002</v>
          </cell>
          <cell r="P221">
            <v>-9.1875068300000002</v>
          </cell>
        </row>
        <row r="222">
          <cell r="A222">
            <v>220</v>
          </cell>
          <cell r="C222" t="str">
            <v>7-5 LE Other Operating Expenses</v>
          </cell>
          <cell r="E222">
            <v>-9.1986281500000011</v>
          </cell>
          <cell r="F222">
            <v>-9.1941070000000007</v>
          </cell>
          <cell r="G222">
            <v>-9.1857055800000005</v>
          </cell>
          <cell r="H222">
            <v>-9.20745814</v>
          </cell>
          <cell r="I222">
            <v>-9.2192096800000005</v>
          </cell>
          <cell r="J222">
            <v>-9.1875068300000002</v>
          </cell>
          <cell r="K222">
            <v>-9.2374232200000002</v>
          </cell>
          <cell r="L222">
            <v>-9.2374232200000002</v>
          </cell>
          <cell r="M222">
            <v>-9.2374232200000002</v>
          </cell>
          <cell r="N222">
            <v>-9.2374232200000002</v>
          </cell>
          <cell r="O222">
            <v>-9.2374232200000002</v>
          </cell>
          <cell r="P222">
            <v>-9.2374232200000002</v>
          </cell>
        </row>
        <row r="223">
          <cell r="A223">
            <v>221</v>
          </cell>
        </row>
        <row r="224">
          <cell r="A224">
            <v>222</v>
          </cell>
          <cell r="C224" t="str">
            <v>3-9 LE TOTI</v>
          </cell>
          <cell r="E224">
            <v>4.0493737999999997</v>
          </cell>
          <cell r="F224">
            <v>9.1453179700000007</v>
          </cell>
          <cell r="G224">
            <v>13.04726372</v>
          </cell>
          <cell r="H224">
            <v>16.59926372</v>
          </cell>
          <cell r="I224">
            <v>20.19226372</v>
          </cell>
          <cell r="J224">
            <v>23.79726372</v>
          </cell>
          <cell r="K224">
            <v>27.380263720000002</v>
          </cell>
          <cell r="L224">
            <v>30.987263720000001</v>
          </cell>
          <cell r="M224">
            <v>34.56726372</v>
          </cell>
          <cell r="N224">
            <v>38.158263720000001</v>
          </cell>
          <cell r="O224">
            <v>41.732263719999999</v>
          </cell>
          <cell r="P224">
            <v>45.308263719999999</v>
          </cell>
        </row>
        <row r="225">
          <cell r="A225">
            <v>223</v>
          </cell>
          <cell r="C225" t="str">
            <v>6-6 LE TOTI</v>
          </cell>
          <cell r="E225">
            <v>4.0493737999999997</v>
          </cell>
          <cell r="F225">
            <v>9.1453179700000007</v>
          </cell>
          <cell r="G225">
            <v>13.04726372</v>
          </cell>
          <cell r="H225">
            <v>22.318302490000001</v>
          </cell>
          <cell r="I225">
            <v>25.78472257</v>
          </cell>
          <cell r="J225">
            <v>29.835244159999998</v>
          </cell>
          <cell r="K225">
            <v>33.302617656563115</v>
          </cell>
          <cell r="L225">
            <v>36.786288512797455</v>
          </cell>
          <cell r="M225">
            <v>40.336348307661432</v>
          </cell>
          <cell r="N225">
            <v>43.887346612262249</v>
          </cell>
          <cell r="O225">
            <v>47.398163350304507</v>
          </cell>
          <cell r="P225">
            <v>51.023297649232127</v>
          </cell>
        </row>
        <row r="226">
          <cell r="A226">
            <v>224</v>
          </cell>
          <cell r="C226" t="str">
            <v>7-5 LE TOTI</v>
          </cell>
          <cell r="E226">
            <v>4.0493737999999997</v>
          </cell>
          <cell r="F226">
            <v>9.1453179700000007</v>
          </cell>
          <cell r="G226">
            <v>13.04726372</v>
          </cell>
          <cell r="H226">
            <v>22.318302490000001</v>
          </cell>
          <cell r="I226">
            <v>25.78472257</v>
          </cell>
          <cell r="J226">
            <v>29.835244159999998</v>
          </cell>
          <cell r="K226">
            <v>23.832628870000001</v>
          </cell>
          <cell r="L226">
            <v>27.316299726234337</v>
          </cell>
          <cell r="M226">
            <v>30.866359521098317</v>
          </cell>
          <cell r="N226">
            <v>34.417357825699135</v>
          </cell>
          <cell r="O226">
            <v>37.928174563741393</v>
          </cell>
          <cell r="P226">
            <v>41.553308862669013</v>
          </cell>
        </row>
        <row r="227">
          <cell r="A227">
            <v>225</v>
          </cell>
        </row>
        <row r="228">
          <cell r="A228">
            <v>226</v>
          </cell>
          <cell r="C228" t="str">
            <v>3-9 LE Total O&amp;M</v>
          </cell>
          <cell r="E228">
            <v>28.733069590000007</v>
          </cell>
          <cell r="F228">
            <v>78.832307839999999</v>
          </cell>
          <cell r="G228">
            <v>134.09514662999999</v>
          </cell>
          <cell r="H228">
            <v>174.22922763</v>
          </cell>
          <cell r="I228">
            <v>220.80430862999998</v>
          </cell>
          <cell r="J228">
            <v>274.29138963000003</v>
          </cell>
          <cell r="K228">
            <v>324.85647062999999</v>
          </cell>
          <cell r="L228">
            <v>376.54555162999998</v>
          </cell>
          <cell r="M228">
            <v>429.94255163000003</v>
          </cell>
          <cell r="N228">
            <v>482.85055163000004</v>
          </cell>
          <cell r="O228">
            <v>530.64155162999998</v>
          </cell>
          <cell r="P228">
            <v>570.28455163000001</v>
          </cell>
        </row>
        <row r="229">
          <cell r="A229">
            <v>227</v>
          </cell>
          <cell r="C229" t="str">
            <v>6-6 LE Total O&amp;M</v>
          </cell>
          <cell r="E229">
            <v>33.003069590000003</v>
          </cell>
          <cell r="F229">
            <v>87.202307840000003</v>
          </cell>
          <cell r="G229">
            <v>135.18514662999999</v>
          </cell>
          <cell r="H229">
            <v>183.19002503000002</v>
          </cell>
          <cell r="I229">
            <v>218.37745828000004</v>
          </cell>
          <cell r="J229">
            <v>278.80105694999997</v>
          </cell>
          <cell r="K229">
            <v>330.06084745999999</v>
          </cell>
          <cell r="L229">
            <v>382.21682322999999</v>
          </cell>
          <cell r="M229">
            <v>438.02350005999995</v>
          </cell>
          <cell r="N229">
            <v>493.88178516333329</v>
          </cell>
          <cell r="O229">
            <v>542.5305020666666</v>
          </cell>
          <cell r="P229">
            <v>600.46549571000014</v>
          </cell>
        </row>
        <row r="230">
          <cell r="A230">
            <v>228</v>
          </cell>
          <cell r="C230" t="str">
            <v>7-5 LE Total O&amp;M</v>
          </cell>
          <cell r="E230">
            <v>33.003069590000003</v>
          </cell>
          <cell r="F230">
            <v>87.202307840000003</v>
          </cell>
          <cell r="G230">
            <v>135.18514662999999</v>
          </cell>
          <cell r="H230">
            <v>183.19002503000002</v>
          </cell>
          <cell r="I230">
            <v>218.37745828000004</v>
          </cell>
          <cell r="J230">
            <v>278.80105694999997</v>
          </cell>
          <cell r="K230">
            <v>319.98660573000001</v>
          </cell>
          <cell r="L230">
            <v>375.91158150000001</v>
          </cell>
          <cell r="M230">
            <v>431.48725833000003</v>
          </cell>
          <cell r="N230">
            <v>482.11454343333327</v>
          </cell>
          <cell r="O230">
            <v>525.53226033666681</v>
          </cell>
          <cell r="P230">
            <v>580.03625398000008</v>
          </cell>
        </row>
        <row r="231">
          <cell r="A231">
            <v>229</v>
          </cell>
        </row>
        <row r="232">
          <cell r="A232">
            <v>230</v>
          </cell>
          <cell r="C232" t="str">
            <v>3-9 LE D&amp;A</v>
          </cell>
          <cell r="E232">
            <v>35.461494000000002</v>
          </cell>
          <cell r="F232">
            <v>68.480412099999995</v>
          </cell>
          <cell r="G232">
            <v>102.15005857999999</v>
          </cell>
          <cell r="H232">
            <v>132.10205858</v>
          </cell>
          <cell r="I232">
            <v>163.17005857999999</v>
          </cell>
          <cell r="J232">
            <v>198.30505857999998</v>
          </cell>
          <cell r="K232">
            <v>237.74005857999998</v>
          </cell>
          <cell r="L232">
            <v>275.69305857999996</v>
          </cell>
          <cell r="M232">
            <v>309.46405857999997</v>
          </cell>
          <cell r="N232">
            <v>339.61805857999997</v>
          </cell>
          <cell r="O232">
            <v>370.21105857999999</v>
          </cell>
          <cell r="P232">
            <v>402.31305857999996</v>
          </cell>
        </row>
        <row r="233">
          <cell r="A233">
            <v>231</v>
          </cell>
          <cell r="C233" t="str">
            <v>6-6 LE D&amp;A</v>
          </cell>
          <cell r="E233">
            <v>34.461494000000002</v>
          </cell>
          <cell r="F233">
            <v>67.480412099999995</v>
          </cell>
          <cell r="G233">
            <v>101.15005857999999</v>
          </cell>
          <cell r="H233">
            <v>131.76856801</v>
          </cell>
          <cell r="I233">
            <v>163.42766703000001</v>
          </cell>
          <cell r="J233">
            <v>199.66822053000001</v>
          </cell>
          <cell r="K233">
            <v>239.60322053000002</v>
          </cell>
          <cell r="L233">
            <v>278.05622053000002</v>
          </cell>
          <cell r="M233">
            <v>312.32722053000003</v>
          </cell>
          <cell r="N233">
            <v>343.48122053000003</v>
          </cell>
          <cell r="O233">
            <v>375.57422053000005</v>
          </cell>
          <cell r="P233">
            <v>408.17622053000002</v>
          </cell>
        </row>
        <row r="234">
          <cell r="A234">
            <v>232</v>
          </cell>
          <cell r="C234" t="str">
            <v>7-5 LE D&amp;A</v>
          </cell>
          <cell r="E234">
            <v>34.461494000000002</v>
          </cell>
          <cell r="F234">
            <v>67.480412099999995</v>
          </cell>
          <cell r="G234">
            <v>101.15005857999999</v>
          </cell>
          <cell r="H234">
            <v>131.76856801</v>
          </cell>
          <cell r="I234">
            <v>163.42766703000001</v>
          </cell>
          <cell r="J234">
            <v>199.66822053000001</v>
          </cell>
          <cell r="K234">
            <v>239.89182139000002</v>
          </cell>
          <cell r="L234">
            <v>278.34482138999999</v>
          </cell>
          <cell r="M234">
            <v>312.61582139000001</v>
          </cell>
          <cell r="N234">
            <v>343.76982139</v>
          </cell>
          <cell r="O234">
            <v>375.86282139000002</v>
          </cell>
          <cell r="P234">
            <v>408.46482139</v>
          </cell>
        </row>
        <row r="235">
          <cell r="A235">
            <v>233</v>
          </cell>
        </row>
        <row r="236">
          <cell r="A236">
            <v>234</v>
          </cell>
          <cell r="C236" t="str">
            <v>3-9 LE Interest Expense</v>
          </cell>
          <cell r="E236">
            <v>38.098998999999999</v>
          </cell>
          <cell r="F236">
            <v>76.267734410000003</v>
          </cell>
          <cell r="G236">
            <v>107.16893051</v>
          </cell>
          <cell r="H236">
            <v>143.25293051</v>
          </cell>
          <cell r="I236">
            <v>179.33693051</v>
          </cell>
          <cell r="J236">
            <v>215.42093051000001</v>
          </cell>
          <cell r="K236">
            <v>251.50493051000001</v>
          </cell>
          <cell r="L236">
            <v>287.58893051000001</v>
          </cell>
          <cell r="M236">
            <v>323.67293051000001</v>
          </cell>
          <cell r="N236">
            <v>359.75693051000002</v>
          </cell>
          <cell r="O236">
            <v>395.84093051000002</v>
          </cell>
          <cell r="P236">
            <v>431.92493051000002</v>
          </cell>
        </row>
        <row r="237">
          <cell r="A237">
            <v>235</v>
          </cell>
          <cell r="C237" t="str">
            <v>6-6 LE Interest Expense</v>
          </cell>
          <cell r="E237">
            <v>38.098998999999999</v>
          </cell>
          <cell r="F237">
            <v>76.267734410000003</v>
          </cell>
          <cell r="G237">
            <v>107.16893051</v>
          </cell>
          <cell r="H237">
            <v>148.43848364000002</v>
          </cell>
          <cell r="I237">
            <v>185.41872666</v>
          </cell>
          <cell r="J237">
            <v>223.44765501000001</v>
          </cell>
          <cell r="K237">
            <v>259.53165501000001</v>
          </cell>
          <cell r="L237">
            <v>295.61565501000001</v>
          </cell>
          <cell r="M237">
            <v>331.69965501000001</v>
          </cell>
          <cell r="N237">
            <v>367.78365501000002</v>
          </cell>
          <cell r="O237">
            <v>403.86765501000002</v>
          </cell>
          <cell r="P237">
            <v>439.95165501000002</v>
          </cell>
        </row>
        <row r="238">
          <cell r="A238">
            <v>236</v>
          </cell>
          <cell r="C238" t="str">
            <v>7-5 LE Interest Expense</v>
          </cell>
          <cell r="E238">
            <v>38.098998999999999</v>
          </cell>
          <cell r="F238">
            <v>76.267734410000003</v>
          </cell>
          <cell r="G238">
            <v>107.16893051</v>
          </cell>
          <cell r="H238">
            <v>148.43848364000002</v>
          </cell>
          <cell r="I238">
            <v>185.41872666</v>
          </cell>
          <cell r="J238">
            <v>223.44765501000001</v>
          </cell>
          <cell r="K238">
            <v>249.94549419000001</v>
          </cell>
          <cell r="L238">
            <v>286.02949419000004</v>
          </cell>
          <cell r="M238">
            <v>322.11349419000004</v>
          </cell>
          <cell r="N238">
            <v>358.19749419000004</v>
          </cell>
          <cell r="O238">
            <v>394.28149419000005</v>
          </cell>
          <cell r="P238">
            <v>430.36549419000005</v>
          </cell>
        </row>
        <row r="239">
          <cell r="A239">
            <v>237</v>
          </cell>
        </row>
        <row r="240">
          <cell r="A240">
            <v>238</v>
          </cell>
          <cell r="C240" t="str">
            <v>3-9 LE Taxes</v>
          </cell>
          <cell r="E240">
            <v>-0.37688899999999997</v>
          </cell>
          <cell r="F240">
            <v>47.376342490000006</v>
          </cell>
          <cell r="G240">
            <v>67.202520050000004</v>
          </cell>
          <cell r="H240">
            <v>81.347232620967517</v>
          </cell>
          <cell r="I240">
            <v>92.778498096755129</v>
          </cell>
          <cell r="J240">
            <v>109.61781601122169</v>
          </cell>
          <cell r="K240">
            <v>136.74288274960253</v>
          </cell>
          <cell r="L240">
            <v>161.66895558546946</v>
          </cell>
          <cell r="M240">
            <v>176.5188475213092</v>
          </cell>
          <cell r="N240">
            <v>186.25383402865731</v>
          </cell>
          <cell r="O240">
            <v>202.28751727218167</v>
          </cell>
          <cell r="P240">
            <v>240.01985318745875</v>
          </cell>
        </row>
        <row r="241">
          <cell r="A241">
            <v>239</v>
          </cell>
          <cell r="C241" t="str">
            <v>6-6 LE Taxes</v>
          </cell>
          <cell r="E241">
            <v>-0.37688899999999997</v>
          </cell>
          <cell r="F241">
            <v>47.376342490000006</v>
          </cell>
          <cell r="G241">
            <v>67.202520050000004</v>
          </cell>
          <cell r="H241">
            <v>77.675134049999997</v>
          </cell>
          <cell r="I241">
            <v>93.582766050000004</v>
          </cell>
          <cell r="J241">
            <v>112.32984605</v>
          </cell>
          <cell r="K241">
            <v>138.22851147890671</v>
          </cell>
          <cell r="L241">
            <v>162.18483294693985</v>
          </cell>
          <cell r="M241">
            <v>176.15693235228076</v>
          </cell>
          <cell r="N241">
            <v>185.38421553785921</v>
          </cell>
          <cell r="O241">
            <v>201.59352632261152</v>
          </cell>
          <cell r="P241">
            <v>222.90255930648462</v>
          </cell>
        </row>
        <row r="242">
          <cell r="A242">
            <v>240</v>
          </cell>
          <cell r="C242" t="str">
            <v>7-5 LE Taxes</v>
          </cell>
          <cell r="E242">
            <v>-0.37688899999999997</v>
          </cell>
          <cell r="F242">
            <v>47.376342490000006</v>
          </cell>
          <cell r="G242">
            <v>67.202520050000004</v>
          </cell>
          <cell r="H242">
            <v>77.675134049999997</v>
          </cell>
          <cell r="I242">
            <v>93.582766050000004</v>
          </cell>
          <cell r="J242">
            <v>112.32984605</v>
          </cell>
          <cell r="K242">
            <v>139.76148104999999</v>
          </cell>
          <cell r="L242">
            <v>165.51780251803314</v>
          </cell>
          <cell r="M242">
            <v>179.48990192337405</v>
          </cell>
          <cell r="N242">
            <v>190.51718510895248</v>
          </cell>
          <cell r="O242">
            <v>208.5264958937048</v>
          </cell>
          <cell r="P242">
            <v>230.98752887757792</v>
          </cell>
        </row>
        <row r="243">
          <cell r="A243">
            <v>241</v>
          </cell>
        </row>
        <row r="244">
          <cell r="A244">
            <v>242</v>
          </cell>
          <cell r="C244" t="str">
            <v>3-9 LE Preferred Dividends</v>
          </cell>
          <cell r="E244">
            <v>0.80875600000000003</v>
          </cell>
          <cell r="F244">
            <v>1.6175120000000001</v>
          </cell>
          <cell r="G244">
            <v>2.4175120000000003</v>
          </cell>
          <cell r="H244">
            <v>3.1865120000000005</v>
          </cell>
          <cell r="I244">
            <v>3.9555120000000006</v>
          </cell>
          <cell r="J244">
            <v>4.7245120000000007</v>
          </cell>
          <cell r="K244">
            <v>5.4935120000000008</v>
          </cell>
          <cell r="L244">
            <v>6.262512000000001</v>
          </cell>
          <cell r="M244">
            <v>7.0315120000000011</v>
          </cell>
          <cell r="N244">
            <v>7.8005120000000012</v>
          </cell>
          <cell r="O244">
            <v>8.5695120000000014</v>
          </cell>
          <cell r="P244">
            <v>9.3385120000000015</v>
          </cell>
        </row>
        <row r="245">
          <cell r="A245">
            <v>243</v>
          </cell>
          <cell r="C245" t="str">
            <v>6-6 LE Preferred Dividends</v>
          </cell>
          <cell r="E245">
            <v>0.80875600000000003</v>
          </cell>
          <cell r="F245">
            <v>1.6175120000000001</v>
          </cell>
          <cell r="G245">
            <v>2.4175120000000003</v>
          </cell>
          <cell r="H245">
            <v>3.2262673300000002</v>
          </cell>
          <cell r="I245">
            <v>4.0350233300000005</v>
          </cell>
          <cell r="J245">
            <v>4.8437793300000003</v>
          </cell>
          <cell r="K245">
            <v>5.6527793300000004</v>
          </cell>
          <cell r="L245">
            <v>6.4617793300000006</v>
          </cell>
          <cell r="M245">
            <v>7.2707793300000008</v>
          </cell>
          <cell r="N245">
            <v>8.0797793300000009</v>
          </cell>
          <cell r="O245">
            <v>8.8887793300000002</v>
          </cell>
          <cell r="P245">
            <v>9.6977793299999995</v>
          </cell>
        </row>
        <row r="246">
          <cell r="A246">
            <v>244</v>
          </cell>
          <cell r="C246" t="str">
            <v>7-5 LE Preferred Dividends</v>
          </cell>
          <cell r="E246">
            <v>0.80875600000000003</v>
          </cell>
          <cell r="F246">
            <v>1.6175120000000001</v>
          </cell>
          <cell r="G246">
            <v>2.4175120000000003</v>
          </cell>
          <cell r="H246">
            <v>3.2262673300000002</v>
          </cell>
          <cell r="I246">
            <v>4.0350233300000005</v>
          </cell>
          <cell r="J246">
            <v>4.8437793300000003</v>
          </cell>
          <cell r="K246">
            <v>5.6550699900000012</v>
          </cell>
          <cell r="L246">
            <v>6.4640699900000014</v>
          </cell>
          <cell r="M246">
            <v>7.2730699900000015</v>
          </cell>
          <cell r="N246">
            <v>8.0820699900000008</v>
          </cell>
          <cell r="O246">
            <v>8.8910699900000001</v>
          </cell>
          <cell r="P246">
            <v>9.7000699899999994</v>
          </cell>
        </row>
        <row r="247">
          <cell r="A247">
            <v>245</v>
          </cell>
        </row>
        <row r="248">
          <cell r="A248">
            <v>246</v>
          </cell>
          <cell r="C248" t="str">
            <v>3-9 LE Net Income</v>
          </cell>
          <cell r="E248">
            <v>87.02169441000008</v>
          </cell>
          <cell r="F248">
            <v>76.448386130000031</v>
          </cell>
          <cell r="G248">
            <v>119.53612196000009</v>
          </cell>
          <cell r="H248">
            <v>141.84533720736815</v>
          </cell>
          <cell r="I248">
            <v>159.72734929944266</v>
          </cell>
          <cell r="J248">
            <v>186.43302589673021</v>
          </cell>
          <cell r="K248">
            <v>229.9207137330358</v>
          </cell>
          <cell r="L248">
            <v>269.82056941260817</v>
          </cell>
          <cell r="M248">
            <v>293.28034046582036</v>
          </cell>
          <cell r="N248">
            <v>308.3947395041252</v>
          </cell>
          <cell r="O248">
            <v>333.78595953303335</v>
          </cell>
          <cell r="P248">
            <v>368.79077076322227</v>
          </cell>
        </row>
        <row r="249">
          <cell r="A249">
            <v>247</v>
          </cell>
          <cell r="C249" t="str">
            <v>6-6 LE Net Income</v>
          </cell>
          <cell r="E249">
            <v>83.751694410000098</v>
          </cell>
          <cell r="F249">
            <v>69.078386130000055</v>
          </cell>
          <cell r="G249">
            <v>119.44612196000011</v>
          </cell>
          <cell r="H249">
            <v>143.36322750000005</v>
          </cell>
          <cell r="I249">
            <v>168.09433534000007</v>
          </cell>
          <cell r="J249">
            <v>201.77461993000011</v>
          </cell>
          <cell r="K249">
            <v>247.00769180361203</v>
          </cell>
          <cell r="L249">
            <v>288.78770774678208</v>
          </cell>
          <cell r="M249">
            <v>312.81799557849922</v>
          </cell>
          <cell r="N249">
            <v>328.41305457508309</v>
          </cell>
          <cell r="O249">
            <v>356.42060708130947</v>
          </cell>
          <cell r="P249">
            <v>393.49433238597277</v>
          </cell>
        </row>
        <row r="250">
          <cell r="A250">
            <v>248</v>
          </cell>
          <cell r="C250" t="str">
            <v>7-5 LE Net Income</v>
          </cell>
          <cell r="E250">
            <v>83.751694410000098</v>
          </cell>
          <cell r="F250">
            <v>69.078386130000055</v>
          </cell>
          <cell r="G250">
            <v>119.44612196000011</v>
          </cell>
          <cell r="H250">
            <v>143.36322750000005</v>
          </cell>
          <cell r="I250">
            <v>168.09433534000007</v>
          </cell>
          <cell r="J250">
            <v>201.77461993000011</v>
          </cell>
          <cell r="K250">
            <v>242.90320243000011</v>
          </cell>
          <cell r="L250">
            <v>287.88321837317017</v>
          </cell>
          <cell r="M250">
            <v>311.91350620488731</v>
          </cell>
          <cell r="N250">
            <v>330.70856520147117</v>
          </cell>
          <cell r="O250">
            <v>361.91611770769754</v>
          </cell>
          <cell r="P250">
            <v>401.03784301236084</v>
          </cell>
        </row>
        <row r="251">
          <cell r="A251">
            <v>249</v>
          </cell>
        </row>
        <row r="252">
          <cell r="A252">
            <v>250</v>
          </cell>
          <cell r="C252" t="str">
            <v>3-9 LE EPS</v>
          </cell>
          <cell r="E252">
            <v>0.27365312707547196</v>
          </cell>
          <cell r="F252">
            <v>0.24040372996855355</v>
          </cell>
          <cell r="G252">
            <v>0.37589975459119523</v>
          </cell>
          <cell r="H252">
            <v>0.44605451952002562</v>
          </cell>
          <cell r="I252">
            <v>0.50228726194793294</v>
          </cell>
          <cell r="J252">
            <v>0.58626737703374288</v>
          </cell>
          <cell r="K252">
            <v>0.72302111236803723</v>
          </cell>
          <cell r="L252">
            <v>0.84849235664342193</v>
          </cell>
          <cell r="M252">
            <v>0.92226522159063007</v>
          </cell>
          <cell r="N252">
            <v>0.96979477831485905</v>
          </cell>
          <cell r="O252">
            <v>1.0496413821793502</v>
          </cell>
          <cell r="P252">
            <v>1.1597194049157933</v>
          </cell>
        </row>
        <row r="253">
          <cell r="A253">
            <v>251</v>
          </cell>
          <cell r="C253" t="str">
            <v>6-6 LE EPS</v>
          </cell>
          <cell r="E253">
            <v>0.26337010820754747</v>
          </cell>
          <cell r="F253">
            <v>0.21722762933962281</v>
          </cell>
          <cell r="G253">
            <v>0.37561673572327081</v>
          </cell>
          <cell r="H253">
            <v>0.45082775943396247</v>
          </cell>
          <cell r="I253">
            <v>0.52859853880503171</v>
          </cell>
          <cell r="J253">
            <v>0.63451138342767333</v>
          </cell>
          <cell r="K253">
            <v>0.77675374781010076</v>
          </cell>
          <cell r="L253">
            <v>0.90813744574459776</v>
          </cell>
          <cell r="M253">
            <v>0.9837043886116329</v>
          </cell>
          <cell r="N253">
            <v>1.0327454546386263</v>
          </cell>
          <cell r="O253">
            <v>1.1208195191236148</v>
          </cell>
          <cell r="P253">
            <v>1.2374035609621785</v>
          </cell>
        </row>
        <row r="254">
          <cell r="A254">
            <v>252</v>
          </cell>
          <cell r="C254" t="str">
            <v>7-5 LE EPS</v>
          </cell>
          <cell r="E254">
            <v>0.2589724626159558</v>
          </cell>
          <cell r="F254">
            <v>0.21360045185528775</v>
          </cell>
          <cell r="G254">
            <v>0.36934484217687114</v>
          </cell>
          <cell r="H254">
            <v>0.44330002319109485</v>
          </cell>
          <cell r="I254">
            <v>0.51977221811997554</v>
          </cell>
          <cell r="J254">
            <v>0.62391657368583842</v>
          </cell>
          <cell r="K254">
            <v>0.7510921534632039</v>
          </cell>
          <cell r="L254">
            <v>0.89017692756082312</v>
          </cell>
          <cell r="M254">
            <v>0.96448208473991148</v>
          </cell>
          <cell r="N254">
            <v>1.0225991502828424</v>
          </cell>
          <cell r="O254">
            <v>1.1190974573521881</v>
          </cell>
          <cell r="P254">
            <v>1.2400675417821923</v>
          </cell>
        </row>
        <row r="255">
          <cell r="A255">
            <v>253</v>
          </cell>
        </row>
        <row r="256">
          <cell r="A256">
            <v>254</v>
          </cell>
          <cell r="C256" t="str">
            <v>QTD</v>
          </cell>
        </row>
        <row r="257">
          <cell r="A257">
            <v>255</v>
          </cell>
          <cell r="C257" t="str">
            <v>3-9 LE Revenue</v>
          </cell>
          <cell r="E257">
            <v>378.61627700000008</v>
          </cell>
          <cell r="F257">
            <v>690.91516458000001</v>
          </cell>
          <cell r="G257">
            <v>1051.06870959</v>
          </cell>
          <cell r="H257">
            <v>273.11681106216503</v>
          </cell>
          <cell r="I257">
            <v>550.08553359096686</v>
          </cell>
          <cell r="J257">
            <v>883.48311108160738</v>
          </cell>
          <cell r="K257">
            <v>387.2517380584456</v>
          </cell>
          <cell r="L257">
            <v>758.75492837379204</v>
          </cell>
          <cell r="M257">
            <v>1071.6862624461087</v>
          </cell>
          <cell r="N257">
            <v>288.72677793691685</v>
          </cell>
          <cell r="O257">
            <v>607.1945079288223</v>
          </cell>
          <cell r="P257">
            <v>978.49033958751443</v>
          </cell>
        </row>
        <row r="258">
          <cell r="A258">
            <v>256</v>
          </cell>
          <cell r="C258" t="str">
            <v>6-6 LE Revenue</v>
          </cell>
          <cell r="E258">
            <v>378.61627700000008</v>
          </cell>
          <cell r="F258">
            <v>690.91516458000001</v>
          </cell>
          <cell r="G258">
            <v>1051.06870959</v>
          </cell>
          <cell r="H258">
            <v>288.07063384999998</v>
          </cell>
          <cell r="I258">
            <v>560.61480830000005</v>
          </cell>
          <cell r="J258">
            <v>905.83902519000003</v>
          </cell>
          <cell r="K258">
            <v>394.40921205457857</v>
          </cell>
          <cell r="L258">
            <v>773.88939347034511</v>
          </cell>
          <cell r="M258">
            <v>1095.9595830763474</v>
          </cell>
          <cell r="N258">
            <v>311.52617857771634</v>
          </cell>
          <cell r="O258">
            <v>662.56712354271644</v>
          </cell>
          <cell r="P258">
            <v>1082.8893280823449</v>
          </cell>
        </row>
        <row r="259">
          <cell r="A259">
            <v>257</v>
          </cell>
          <cell r="C259" t="str">
            <v>7-5 LE Revenue</v>
          </cell>
          <cell r="E259">
            <v>378.61627700000008</v>
          </cell>
          <cell r="F259">
            <v>690.91516458000001</v>
          </cell>
          <cell r="G259">
            <v>1051.06870959</v>
          </cell>
          <cell r="H259">
            <v>288.07063384999998</v>
          </cell>
          <cell r="I259">
            <v>560.61480830000005</v>
          </cell>
          <cell r="J259">
            <v>833.15898275000006</v>
          </cell>
          <cell r="K259">
            <v>345.22421689000004</v>
          </cell>
          <cell r="L259">
            <v>1251.06324208</v>
          </cell>
          <cell r="M259">
            <v>1601.5916182000001</v>
          </cell>
          <cell r="N259">
            <v>388.2491814157666</v>
          </cell>
          <cell r="O259">
            <v>710.08837102176892</v>
          </cell>
          <cell r="P259">
            <v>1770.7051181635379</v>
          </cell>
        </row>
        <row r="260">
          <cell r="A260">
            <v>258</v>
          </cell>
        </row>
        <row r="261">
          <cell r="A261">
            <v>259</v>
          </cell>
          <cell r="C261" t="str">
            <v>3-9 LE Fuel &amp; Purchased Power</v>
          </cell>
          <cell r="E261">
            <v>188.86915300000001</v>
          </cell>
          <cell r="F261">
            <v>341.89246961000003</v>
          </cell>
          <cell r="G261">
            <v>518.49841986000001</v>
          </cell>
          <cell r="H261">
            <v>129.72380224382945</v>
          </cell>
          <cell r="I261">
            <v>262.88316620476917</v>
          </cell>
          <cell r="J261">
            <v>427.26066818365553</v>
          </cell>
          <cell r="K261">
            <v>189.78590248375914</v>
          </cell>
          <cell r="L261">
            <v>369.96808328366632</v>
          </cell>
          <cell r="M261">
            <v>520.56875436693099</v>
          </cell>
          <cell r="N261">
            <v>143.9623923912639</v>
          </cell>
          <cell r="O261">
            <v>305.76821911073694</v>
          </cell>
          <cell r="P261">
            <v>495.72890362396311</v>
          </cell>
        </row>
        <row r="262">
          <cell r="A262">
            <v>260</v>
          </cell>
          <cell r="C262" t="str">
            <v>6-6 LE Fuel &amp; Purchased Power</v>
          </cell>
          <cell r="E262">
            <v>188.86915300000001</v>
          </cell>
          <cell r="F262">
            <v>341.89246961000003</v>
          </cell>
          <cell r="G262">
            <v>518.49841986000001</v>
          </cell>
          <cell r="H262">
            <v>132.97921802000002</v>
          </cell>
          <cell r="I262">
            <v>260.24912134000004</v>
          </cell>
          <cell r="J262">
            <v>417.54413712000007</v>
          </cell>
          <cell r="K262">
            <v>195.18968424205991</v>
          </cell>
          <cell r="L262">
            <v>381.43155247662332</v>
          </cell>
          <cell r="M262">
            <v>538.52867801556761</v>
          </cell>
          <cell r="N262">
            <v>162.79855129222074</v>
          </cell>
          <cell r="O262">
            <v>351.98791606290871</v>
          </cell>
          <cell r="P262">
            <v>586.49736867066736</v>
          </cell>
        </row>
        <row r="263">
          <cell r="A263">
            <v>261</v>
          </cell>
          <cell r="C263" t="str">
            <v>7-5 LE Fuel &amp; Purchased Power</v>
          </cell>
          <cell r="E263">
            <v>188.86915300000001</v>
          </cell>
          <cell r="F263">
            <v>341.89246961000003</v>
          </cell>
          <cell r="G263">
            <v>518.49841986000001</v>
          </cell>
          <cell r="H263">
            <v>518.49841986000001</v>
          </cell>
          <cell r="I263">
            <v>651.47763787999997</v>
          </cell>
          <cell r="J263">
            <v>778.7475412</v>
          </cell>
          <cell r="K263">
            <v>157.29501578</v>
          </cell>
          <cell r="L263">
            <v>574.83915290000004</v>
          </cell>
          <cell r="M263">
            <v>748.08903204000001</v>
          </cell>
          <cell r="N263">
            <v>186.24186823456338</v>
          </cell>
          <cell r="O263">
            <v>343.33899377350764</v>
          </cell>
          <cell r="P263">
            <v>859.92786668701524</v>
          </cell>
        </row>
        <row r="264">
          <cell r="A264">
            <v>262</v>
          </cell>
        </row>
        <row r="265">
          <cell r="A265">
            <v>263</v>
          </cell>
          <cell r="C265" t="str">
            <v>3-9 LE Operating Expenses</v>
          </cell>
          <cell r="E265">
            <v>24.683695790000009</v>
          </cell>
          <cell r="F265">
            <v>69.686989869999991</v>
          </cell>
          <cell r="G265">
            <v>121.04788290999998</v>
          </cell>
          <cell r="H265">
            <v>36.582081000000002</v>
          </cell>
          <cell r="I265">
            <v>79.564161999999996</v>
          </cell>
          <cell r="J265">
            <v>129.44624300000004</v>
          </cell>
          <cell r="K265">
            <v>46.982080999999937</v>
          </cell>
          <cell r="L265">
            <v>95.064161999999953</v>
          </cell>
          <cell r="M265">
            <v>144.88116199999996</v>
          </cell>
          <cell r="N265">
            <v>49.317000000000064</v>
          </cell>
          <cell r="O265">
            <v>93.533999999999992</v>
          </cell>
          <cell r="P265">
            <v>129.601</v>
          </cell>
        </row>
        <row r="266">
          <cell r="A266">
            <v>264</v>
          </cell>
          <cell r="C266" t="str">
            <v>6-6 LE Operating Expenses</v>
          </cell>
          <cell r="E266">
            <v>28.953695790000005</v>
          </cell>
          <cell r="F266">
            <v>78.056989869999995</v>
          </cell>
          <cell r="G266">
            <v>122.13788290999999</v>
          </cell>
          <cell r="H266">
            <v>38.73383963000002</v>
          </cell>
          <cell r="I266">
            <v>70.454852800000069</v>
          </cell>
          <cell r="J266">
            <v>126.82792987999999</v>
          </cell>
          <cell r="K266">
            <v>47.792417013436889</v>
          </cell>
          <cell r="L266">
            <v>96.464721927202575</v>
          </cell>
          <cell r="M266">
            <v>148.72133896233856</v>
          </cell>
          <cell r="N266">
            <v>52.307286798732491</v>
          </cell>
          <cell r="O266">
            <v>97.445186964023549</v>
          </cell>
          <cell r="P266">
            <v>151.75504630842943</v>
          </cell>
        </row>
        <row r="267">
          <cell r="A267">
            <v>265</v>
          </cell>
          <cell r="C267" t="str">
            <v>7-5 LE Operating Expenses</v>
          </cell>
          <cell r="E267">
            <v>28.953695790000005</v>
          </cell>
          <cell r="F267">
            <v>78.056989869999995</v>
          </cell>
          <cell r="G267">
            <v>122.13788290999999</v>
          </cell>
          <cell r="H267">
            <v>38.73383963000002</v>
          </cell>
          <cell r="I267">
            <v>70.454852800000069</v>
          </cell>
          <cell r="J267">
            <v>126.82792987999999</v>
          </cell>
          <cell r="K267">
            <v>47.188164070000042</v>
          </cell>
          <cell r="L267">
            <v>99.629468983765733</v>
          </cell>
          <cell r="M267">
            <v>151.65508601890173</v>
          </cell>
          <cell r="N267">
            <v>47.07628679873244</v>
          </cell>
          <cell r="O267">
            <v>86.98318696402373</v>
          </cell>
          <cell r="P267">
            <v>137.86204630842934</v>
          </cell>
        </row>
        <row r="268">
          <cell r="A268">
            <v>266</v>
          </cell>
        </row>
        <row r="269">
          <cell r="A269">
            <v>267</v>
          </cell>
          <cell r="C269" t="str">
            <v>3-9 LE EBIT</v>
          </cell>
          <cell r="E269">
            <v>125.55256041000007</v>
          </cell>
          <cell r="F269">
            <v>201.70997503000001</v>
          </cell>
          <cell r="G269">
            <v>296.32508452000008</v>
          </cell>
          <cell r="H269">
            <v>73.306927818335566</v>
          </cell>
          <cell r="I269">
            <v>139.47320538619772</v>
          </cell>
          <cell r="J269">
            <v>219.87119989795184</v>
          </cell>
          <cell r="K269">
            <v>107.46575457468644</v>
          </cell>
          <cell r="L269">
            <v>209.14468309012571</v>
          </cell>
          <cell r="M269">
            <v>284.30734607917765</v>
          </cell>
          <cell r="N269">
            <v>61.702385545652952</v>
          </cell>
          <cell r="O269">
            <v>139.98028881808546</v>
          </cell>
          <cell r="P269">
            <v>249.57043596355146</v>
          </cell>
        </row>
        <row r="270">
          <cell r="A270">
            <v>268</v>
          </cell>
          <cell r="C270" t="str">
            <v>6-6 LE EBIT</v>
          </cell>
          <cell r="E270">
            <v>122.28256041000009</v>
          </cell>
          <cell r="F270">
            <v>194.33997503000006</v>
          </cell>
          <cell r="G270">
            <v>296.2350845200001</v>
          </cell>
          <cell r="H270">
            <v>76.468027999999947</v>
          </cell>
          <cell r="I270">
            <v>154.89576685999998</v>
          </cell>
          <cell r="J270">
            <v>246.16081580000002</v>
          </cell>
          <cell r="K270">
            <v>108.02473730251863</v>
          </cell>
          <cell r="L270">
            <v>210.65407471372183</v>
          </cell>
          <cell r="M270">
            <v>285.54946195077991</v>
          </cell>
          <cell r="N270">
            <v>61.71534218216231</v>
          </cell>
          <cell r="O270">
            <v>142.82520547314098</v>
          </cell>
          <cell r="P270">
            <v>238.10096376167741</v>
          </cell>
        </row>
        <row r="271">
          <cell r="A271">
            <v>269</v>
          </cell>
          <cell r="C271" t="str">
            <v>7-5 LE EBIT</v>
          </cell>
          <cell r="E271">
            <v>122.28256041000009</v>
          </cell>
          <cell r="F271">
            <v>194.33997503000006</v>
          </cell>
          <cell r="G271">
            <v>296.2350845200001</v>
          </cell>
          <cell r="H271">
            <v>296.2350845200001</v>
          </cell>
          <cell r="I271">
            <v>372.70311252000005</v>
          </cell>
          <cell r="J271">
            <v>451.13085138000008</v>
          </cell>
          <cell r="K271">
            <v>91.265048940000042</v>
          </cell>
          <cell r="L271">
            <v>337.42586474000007</v>
          </cell>
          <cell r="M271">
            <v>433.29521208000006</v>
          </cell>
          <cell r="N271">
            <v>107.6293374112032</v>
          </cell>
          <cell r="O271">
            <v>182.52472464826127</v>
          </cell>
          <cell r="P271">
            <v>460.91879663652253</v>
          </cell>
        </row>
        <row r="272">
          <cell r="A272">
            <v>270</v>
          </cell>
        </row>
        <row r="273">
          <cell r="A273">
            <v>271</v>
          </cell>
          <cell r="C273" t="str">
            <v>3-9 LE Net Income</v>
          </cell>
          <cell r="E273">
            <v>87.02169441000008</v>
          </cell>
          <cell r="F273">
            <v>76.448386130000031</v>
          </cell>
          <cell r="G273">
            <v>119.53612196000009</v>
          </cell>
          <cell r="H273">
            <v>22.309215247368058</v>
          </cell>
          <cell r="I273">
            <v>40.191227339442577</v>
          </cell>
          <cell r="J273">
            <v>66.896903936730126</v>
          </cell>
          <cell r="K273">
            <v>43.487687836305582</v>
          </cell>
          <cell r="L273">
            <v>83.387543515877951</v>
          </cell>
          <cell r="M273">
            <v>106.84731456909014</v>
          </cell>
          <cell r="N273">
            <v>15.114399038304839</v>
          </cell>
          <cell r="O273">
            <v>40.50561906721299</v>
          </cell>
          <cell r="P273">
            <v>75.510430297401911</v>
          </cell>
        </row>
        <row r="274">
          <cell r="A274">
            <v>272</v>
          </cell>
          <cell r="C274" t="str">
            <v>6-6 LE Net Income</v>
          </cell>
          <cell r="E274">
            <v>83.751694410000098</v>
          </cell>
          <cell r="F274">
            <v>69.078386130000055</v>
          </cell>
          <cell r="G274">
            <v>119.44612196000011</v>
          </cell>
          <cell r="H274">
            <v>23.917105539999937</v>
          </cell>
          <cell r="I274">
            <v>48.648213379999959</v>
          </cell>
          <cell r="J274">
            <v>82.328497970000001</v>
          </cell>
          <cell r="K274">
            <v>45.23307187361192</v>
          </cell>
          <cell r="L274">
            <v>87.013087816781962</v>
          </cell>
          <cell r="M274">
            <v>111.04337564849911</v>
          </cell>
          <cell r="N274">
            <v>15.595058996583873</v>
          </cell>
          <cell r="O274">
            <v>43.602611502810248</v>
          </cell>
          <cell r="P274">
            <v>80.676336807473575</v>
          </cell>
        </row>
        <row r="275">
          <cell r="A275">
            <v>273</v>
          </cell>
          <cell r="C275" t="str">
            <v>7-5 LE Net Income</v>
          </cell>
          <cell r="E275">
            <v>83.751694410000098</v>
          </cell>
          <cell r="F275">
            <v>69.078386130000055</v>
          </cell>
          <cell r="G275">
            <v>119.44612196000011</v>
          </cell>
          <cell r="H275">
            <v>23.917105539999937</v>
          </cell>
          <cell r="I275">
            <v>48.648213379999959</v>
          </cell>
          <cell r="J275">
            <v>82.328497970000001</v>
          </cell>
          <cell r="K275">
            <v>41.128582499999993</v>
          </cell>
          <cell r="L275">
            <v>86.108598443170052</v>
          </cell>
          <cell r="M275">
            <v>110.1388862748872</v>
          </cell>
          <cell r="N275">
            <v>18.795058996583862</v>
          </cell>
          <cell r="O275">
            <v>50.002611502810225</v>
          </cell>
          <cell r="P275">
            <v>89.124336807473554</v>
          </cell>
        </row>
        <row r="276">
          <cell r="A276">
            <v>274</v>
          </cell>
        </row>
        <row r="277">
          <cell r="A277">
            <v>275</v>
          </cell>
          <cell r="B277" t="str">
            <v>Cash Flow</v>
          </cell>
        </row>
        <row r="278">
          <cell r="A278">
            <v>276</v>
          </cell>
          <cell r="C278" t="str">
            <v>Net Income</v>
          </cell>
          <cell r="E278">
            <v>0</v>
          </cell>
          <cell r="F278">
            <v>0</v>
          </cell>
          <cell r="G278">
            <v>122</v>
          </cell>
          <cell r="H278">
            <v>147</v>
          </cell>
          <cell r="I278">
            <v>168</v>
          </cell>
          <cell r="J278">
            <v>207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A279">
            <v>277</v>
          </cell>
          <cell r="C279" t="str">
            <v>D&amp;A</v>
          </cell>
          <cell r="E279">
            <v>0</v>
          </cell>
          <cell r="F279">
            <v>0</v>
          </cell>
          <cell r="G279">
            <v>101</v>
          </cell>
          <cell r="H279">
            <v>132</v>
          </cell>
          <cell r="I279">
            <v>163</v>
          </cell>
          <cell r="J279">
            <v>200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278</v>
          </cell>
          <cell r="C280" t="str">
            <v>Changes in Working Capital/Other</v>
          </cell>
          <cell r="E280">
            <v>0</v>
          </cell>
          <cell r="F280">
            <v>0</v>
          </cell>
          <cell r="G280">
            <v>-299</v>
          </cell>
          <cell r="H280">
            <v>-238</v>
          </cell>
          <cell r="I280">
            <v>-253</v>
          </cell>
          <cell r="J280">
            <v>-108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</row>
        <row r="281">
          <cell r="A281">
            <v>279</v>
          </cell>
          <cell r="C281" t="str">
            <v>Capital Expenditures</v>
          </cell>
          <cell r="E281">
            <v>0</v>
          </cell>
          <cell r="F281">
            <v>0</v>
          </cell>
          <cell r="G281">
            <v>-57</v>
          </cell>
          <cell r="H281">
            <v>-74</v>
          </cell>
          <cell r="I281">
            <v>-93</v>
          </cell>
          <cell r="J281">
            <v>-120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280</v>
          </cell>
          <cell r="C282" t="str">
            <v>Decrease (Increase) Affiliate Rec/Pay</v>
          </cell>
          <cell r="E282">
            <v>0</v>
          </cell>
          <cell r="F282">
            <v>0</v>
          </cell>
          <cell r="G282">
            <v>-46</v>
          </cell>
          <cell r="H282">
            <v>399</v>
          </cell>
          <cell r="I282">
            <v>-44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</row>
        <row r="283">
          <cell r="A283">
            <v>281</v>
          </cell>
          <cell r="C283" t="str">
            <v>Other</v>
          </cell>
          <cell r="E283">
            <v>0</v>
          </cell>
          <cell r="F283">
            <v>0</v>
          </cell>
          <cell r="G283">
            <v>11</v>
          </cell>
          <cell r="H283">
            <v>-33</v>
          </cell>
          <cell r="I283">
            <v>34</v>
          </cell>
          <cell r="J283">
            <v>32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282</v>
          </cell>
          <cell r="C284" t="str">
            <v>Increase in Notes Payable-Bank</v>
          </cell>
          <cell r="E284">
            <v>0</v>
          </cell>
          <cell r="F284">
            <v>0</v>
          </cell>
          <cell r="G284">
            <v>173</v>
          </cell>
          <cell r="H284">
            <v>146</v>
          </cell>
          <cell r="I284">
            <v>160</v>
          </cell>
          <cell r="J284">
            <v>-122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</row>
        <row r="285">
          <cell r="A285">
            <v>283</v>
          </cell>
          <cell r="C285" t="str">
            <v>Retirement/ Long Term Debt</v>
          </cell>
          <cell r="E285">
            <v>0</v>
          </cell>
          <cell r="F285">
            <v>0</v>
          </cell>
          <cell r="G285">
            <v>-118</v>
          </cell>
          <cell r="H285">
            <v>-118</v>
          </cell>
          <cell r="I285">
            <v>-171</v>
          </cell>
          <cell r="J285">
            <v>-172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284</v>
          </cell>
          <cell r="C286" t="str">
            <v>Dividends</v>
          </cell>
          <cell r="E286">
            <v>0</v>
          </cell>
          <cell r="F286">
            <v>0</v>
          </cell>
          <cell r="G286">
            <v>-47</v>
          </cell>
          <cell r="H286">
            <v>-47</v>
          </cell>
          <cell r="I286">
            <v>-49</v>
          </cell>
          <cell r="J286">
            <v>-105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</row>
        <row r="287">
          <cell r="A287">
            <v>285</v>
          </cell>
          <cell r="C287" t="str">
            <v>Settlement Interest Rate Swap</v>
          </cell>
          <cell r="E287">
            <v>0</v>
          </cell>
          <cell r="F287">
            <v>0</v>
          </cell>
          <cell r="G287">
            <v>31</v>
          </cell>
          <cell r="H287">
            <v>31</v>
          </cell>
          <cell r="I287">
            <v>31</v>
          </cell>
          <cell r="J287">
            <v>31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286</v>
          </cell>
          <cell r="C288" t="str">
            <v>Change in restricted cash</v>
          </cell>
          <cell r="E288">
            <v>0</v>
          </cell>
          <cell r="F288">
            <v>0</v>
          </cell>
          <cell r="G288">
            <v>0</v>
          </cell>
          <cell r="H288">
            <v>65</v>
          </cell>
          <cell r="I288">
            <v>24</v>
          </cell>
          <cell r="J288">
            <v>-16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</row>
        <row r="289">
          <cell r="A289">
            <v>287</v>
          </cell>
        </row>
        <row r="290">
          <cell r="A290">
            <v>288</v>
          </cell>
          <cell r="B290" t="str">
            <v>Cap Ex</v>
          </cell>
        </row>
        <row r="291">
          <cell r="A291">
            <v>289</v>
          </cell>
          <cell r="C291" t="str">
            <v>Monthly</v>
          </cell>
        </row>
        <row r="292">
          <cell r="A292">
            <v>290</v>
          </cell>
          <cell r="C292" t="str">
            <v>Cap Ex Actual (Total)</v>
          </cell>
          <cell r="E292">
            <v>15.1</v>
          </cell>
          <cell r="F292">
            <v>15.4</v>
          </cell>
          <cell r="G292">
            <v>27.8</v>
          </cell>
          <cell r="H292">
            <v>16.7</v>
          </cell>
          <cell r="I292">
            <v>18.3</v>
          </cell>
          <cell r="J292">
            <v>26.204000000000001</v>
          </cell>
          <cell r="K292">
            <v>23.068000000000001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</row>
        <row r="293">
          <cell r="A293">
            <v>291</v>
          </cell>
          <cell r="C293" t="str">
            <v>Cap Ex Budget</v>
          </cell>
          <cell r="E293">
            <v>21.481763999999998</v>
          </cell>
          <cell r="F293">
            <v>20.012181000000002</v>
          </cell>
          <cell r="G293">
            <v>22.425255</v>
          </cell>
          <cell r="H293">
            <v>22.896467999999999</v>
          </cell>
          <cell r="I293">
            <v>24.159032</v>
          </cell>
          <cell r="J293">
            <v>23.382874000000001</v>
          </cell>
          <cell r="K293">
            <v>23.444109999999998</v>
          </cell>
          <cell r="L293">
            <v>23.089335999999999</v>
          </cell>
          <cell r="M293">
            <v>21.489720999999999</v>
          </cell>
          <cell r="N293">
            <v>21.504860000000001</v>
          </cell>
          <cell r="O293">
            <v>20.421693999999999</v>
          </cell>
          <cell r="P293">
            <v>20.480136999999999</v>
          </cell>
        </row>
        <row r="294">
          <cell r="A294">
            <v>292</v>
          </cell>
        </row>
        <row r="295">
          <cell r="A295">
            <v>293</v>
          </cell>
          <cell r="C295" t="str">
            <v>YTD</v>
          </cell>
        </row>
        <row r="296">
          <cell r="A296">
            <v>294</v>
          </cell>
          <cell r="C296" t="str">
            <v>Cap Ex Actual (Growth)</v>
          </cell>
          <cell r="E296">
            <v>7.862333333333333</v>
          </cell>
          <cell r="F296">
            <v>15.724666666666666</v>
          </cell>
          <cell r="G296">
            <v>23.587</v>
          </cell>
          <cell r="H296">
            <v>31.890500000000003</v>
          </cell>
          <cell r="I296">
            <v>40.194000000000003</v>
          </cell>
          <cell r="J296">
            <v>48.695</v>
          </cell>
          <cell r="K296">
            <v>48.695</v>
          </cell>
          <cell r="L296">
            <v>48.695</v>
          </cell>
          <cell r="M296">
            <v>48.695</v>
          </cell>
          <cell r="N296">
            <v>48.695</v>
          </cell>
          <cell r="O296">
            <v>48.695</v>
          </cell>
          <cell r="P296">
            <v>48.695</v>
          </cell>
        </row>
        <row r="297">
          <cell r="A297">
            <v>295</v>
          </cell>
          <cell r="C297" t="str">
            <v>Cap Ex Actual (Maintenance)</v>
          </cell>
          <cell r="E297">
            <v>11.424333333333335</v>
          </cell>
          <cell r="F297">
            <v>22.84866666666667</v>
          </cell>
          <cell r="G297">
            <v>34.273000000000003</v>
          </cell>
          <cell r="H297">
            <v>43.712000000000003</v>
          </cell>
          <cell r="I297">
            <v>53.151000000000003</v>
          </cell>
          <cell r="J297">
            <v>70.853999999999999</v>
          </cell>
          <cell r="K297">
            <v>70.853999999999999</v>
          </cell>
          <cell r="L297">
            <v>70.853999999999999</v>
          </cell>
          <cell r="M297">
            <v>70.853999999999999</v>
          </cell>
          <cell r="N297">
            <v>70.853999999999999</v>
          </cell>
          <cell r="O297">
            <v>70.853999999999999</v>
          </cell>
          <cell r="P297">
            <v>70.853999999999999</v>
          </cell>
        </row>
        <row r="298">
          <cell r="A298">
            <v>296</v>
          </cell>
          <cell r="C298" t="str">
            <v>Cap Ex Actual (Total)</v>
          </cell>
          <cell r="E298">
            <v>15.1</v>
          </cell>
          <cell r="F298">
            <v>30.5</v>
          </cell>
          <cell r="G298">
            <v>58.3</v>
          </cell>
          <cell r="H298">
            <v>75</v>
          </cell>
          <cell r="I298">
            <v>93.3</v>
          </cell>
          <cell r="J298">
            <v>119.50399999999999</v>
          </cell>
          <cell r="K298">
            <v>142.572</v>
          </cell>
          <cell r="L298">
            <v>142.572</v>
          </cell>
          <cell r="M298">
            <v>142.572</v>
          </cell>
          <cell r="N298">
            <v>142.572</v>
          </cell>
          <cell r="O298">
            <v>142.572</v>
          </cell>
          <cell r="P298">
            <v>142.572</v>
          </cell>
        </row>
        <row r="299">
          <cell r="A299">
            <v>297</v>
          </cell>
          <cell r="C299" t="str">
            <v>Cap Ex Budget YTD</v>
          </cell>
          <cell r="E299">
            <v>21.481763999999998</v>
          </cell>
          <cell r="F299">
            <v>41.493944999999997</v>
          </cell>
          <cell r="G299">
            <v>63.919199999999996</v>
          </cell>
          <cell r="H299">
            <v>86.815667999999988</v>
          </cell>
          <cell r="I299">
            <v>110.97469999999998</v>
          </cell>
          <cell r="J299">
            <v>134.357574</v>
          </cell>
          <cell r="K299">
            <v>157.80168399999999</v>
          </cell>
          <cell r="L299">
            <v>180.89102</v>
          </cell>
          <cell r="M299">
            <v>202.380741</v>
          </cell>
          <cell r="N299">
            <v>223.88560100000001</v>
          </cell>
          <cell r="O299">
            <v>244.30729500000001</v>
          </cell>
          <cell r="P299">
            <v>264.78743200000002</v>
          </cell>
        </row>
        <row r="300">
          <cell r="A300">
            <v>298</v>
          </cell>
        </row>
        <row r="301">
          <cell r="A301">
            <v>299</v>
          </cell>
          <cell r="C301" t="str">
            <v>LE</v>
          </cell>
        </row>
        <row r="302">
          <cell r="A302">
            <v>300</v>
          </cell>
          <cell r="C302" t="str">
            <v>3-9 YTD LE (Growth)</v>
          </cell>
          <cell r="E302">
            <v>7.862333333333333</v>
          </cell>
          <cell r="F302">
            <v>15.724666666666666</v>
          </cell>
          <cell r="G302">
            <v>23.587</v>
          </cell>
          <cell r="H302">
            <v>32.783999999999999</v>
          </cell>
          <cell r="I302">
            <v>42.311999999999998</v>
          </cell>
          <cell r="J302">
            <v>51.927999999999997</v>
          </cell>
          <cell r="K302">
            <v>61.553999999999995</v>
          </cell>
          <cell r="L302">
            <v>71.503999999999991</v>
          </cell>
          <cell r="M302">
            <v>80.967999999999989</v>
          </cell>
          <cell r="N302">
            <v>90.144999999999982</v>
          </cell>
          <cell r="O302">
            <v>98.60499999999999</v>
          </cell>
          <cell r="P302">
            <v>106.73199999999999</v>
          </cell>
        </row>
        <row r="303">
          <cell r="A303">
            <v>301</v>
          </cell>
          <cell r="C303" t="str">
            <v>6-6 YTD LE (Growth)</v>
          </cell>
          <cell r="E303">
            <v>7.862333333333333</v>
          </cell>
          <cell r="F303">
            <v>15.724666666666666</v>
          </cell>
          <cell r="G303">
            <v>23.587</v>
          </cell>
          <cell r="H303">
            <v>31.890500000000003</v>
          </cell>
          <cell r="I303">
            <v>40.194000000000003</v>
          </cell>
          <cell r="J303">
            <v>48.695</v>
          </cell>
          <cell r="K303">
            <v>58.150999999999996</v>
          </cell>
          <cell r="L303">
            <v>67.530999999999992</v>
          </cell>
          <cell r="M303">
            <v>76.27</v>
          </cell>
          <cell r="N303">
            <v>85.183999999999997</v>
          </cell>
          <cell r="O303">
            <v>93.850999999999999</v>
          </cell>
          <cell r="P303">
            <v>102.184</v>
          </cell>
        </row>
        <row r="304">
          <cell r="A304">
            <v>302</v>
          </cell>
          <cell r="C304" t="str">
            <v>9-3 YTD LE (Growth)</v>
          </cell>
          <cell r="E304">
            <v>7.862333333333333</v>
          </cell>
          <cell r="F304">
            <v>15.724666666666666</v>
          </cell>
          <cell r="G304">
            <v>23.587</v>
          </cell>
          <cell r="H304">
            <v>31.890500000000003</v>
          </cell>
          <cell r="I304">
            <v>40.194000000000003</v>
          </cell>
          <cell r="J304">
            <v>48.695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</row>
        <row r="305">
          <cell r="A305">
            <v>303</v>
          </cell>
        </row>
        <row r="306">
          <cell r="A306">
            <v>304</v>
          </cell>
          <cell r="C306" t="str">
            <v>3-9 YTD LE (Maintenance)</v>
          </cell>
          <cell r="E306">
            <v>11.424333333333335</v>
          </cell>
          <cell r="F306">
            <v>22.84866666666667</v>
          </cell>
          <cell r="G306">
            <v>34.273000000000003</v>
          </cell>
          <cell r="H306">
            <v>48.457000000000001</v>
          </cell>
          <cell r="I306">
            <v>62.921999999999997</v>
          </cell>
          <cell r="J306">
            <v>77.188000000000002</v>
          </cell>
          <cell r="K306">
            <v>91.50200000000001</v>
          </cell>
          <cell r="L306">
            <v>105.947</v>
          </cell>
          <cell r="M306">
            <v>119.86</v>
          </cell>
          <cell r="N306">
            <v>133.83799999999999</v>
          </cell>
          <cell r="O306">
            <v>147.77099999999999</v>
          </cell>
          <cell r="P306">
            <v>161.34799999999998</v>
          </cell>
        </row>
        <row r="307">
          <cell r="A307">
            <v>305</v>
          </cell>
          <cell r="C307" t="str">
            <v>6-6 YTD LE (Maintenance)</v>
          </cell>
          <cell r="E307">
            <v>11.424333333333335</v>
          </cell>
          <cell r="F307">
            <v>22.84866666666667</v>
          </cell>
          <cell r="G307">
            <v>34.273000000000003</v>
          </cell>
          <cell r="H307">
            <v>43.712000000000003</v>
          </cell>
          <cell r="I307">
            <v>53.151000000000003</v>
          </cell>
          <cell r="J307">
            <v>70.853999999999999</v>
          </cell>
          <cell r="K307">
            <v>85.822999999999993</v>
          </cell>
          <cell r="L307">
            <v>100.919</v>
          </cell>
          <cell r="M307">
            <v>115.65599999999999</v>
          </cell>
          <cell r="N307">
            <v>130.273</v>
          </cell>
          <cell r="O307">
            <v>144.80099999999999</v>
          </cell>
          <cell r="P307">
            <v>158.74099999999999</v>
          </cell>
        </row>
        <row r="308">
          <cell r="A308">
            <v>306</v>
          </cell>
          <cell r="C308" t="str">
            <v>9-3 YTD LE (Maintenance)</v>
          </cell>
          <cell r="E308">
            <v>11.424333333333335</v>
          </cell>
          <cell r="F308">
            <v>22.84866666666667</v>
          </cell>
          <cell r="G308">
            <v>34.273000000000003</v>
          </cell>
          <cell r="H308">
            <v>43.712000000000003</v>
          </cell>
          <cell r="I308">
            <v>53.151000000000003</v>
          </cell>
          <cell r="J308">
            <v>70.853999999999999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A309">
            <v>307</v>
          </cell>
        </row>
        <row r="310">
          <cell r="A310">
            <v>308</v>
          </cell>
          <cell r="C310" t="str">
            <v>3-9 YTD LE (Total)</v>
          </cell>
          <cell r="E310">
            <v>15.1</v>
          </cell>
          <cell r="F310">
            <v>30.5</v>
          </cell>
          <cell r="G310">
            <v>58.3</v>
          </cell>
          <cell r="H310">
            <v>81.680999999999997</v>
          </cell>
          <cell r="I310">
            <v>105.67400000000001</v>
          </cell>
          <cell r="J310">
            <v>129.55600000000001</v>
          </cell>
          <cell r="K310">
            <v>153.49600000000001</v>
          </cell>
          <cell r="L310">
            <v>177.89100000000002</v>
          </cell>
          <cell r="M310">
            <v>201.26800000000003</v>
          </cell>
          <cell r="N310">
            <v>224.42300000000003</v>
          </cell>
          <cell r="O310">
            <v>246.81600000000003</v>
          </cell>
          <cell r="P310">
            <v>268.52000000000004</v>
          </cell>
        </row>
        <row r="311">
          <cell r="A311">
            <v>309</v>
          </cell>
          <cell r="C311" t="str">
            <v>6-6 YTD LE (Total)</v>
          </cell>
          <cell r="E311">
            <v>15.1</v>
          </cell>
          <cell r="F311">
            <v>30.5</v>
          </cell>
          <cell r="G311">
            <v>58.3</v>
          </cell>
          <cell r="H311">
            <v>75</v>
          </cell>
          <cell r="I311">
            <v>93.3</v>
          </cell>
          <cell r="J311">
            <v>119.50399999999999</v>
          </cell>
          <cell r="K311">
            <v>143.92899999999997</v>
          </cell>
          <cell r="L311">
            <v>168.40499999999997</v>
          </cell>
          <cell r="M311">
            <v>191.88099999999997</v>
          </cell>
          <cell r="N311">
            <v>215.41199999999998</v>
          </cell>
          <cell r="O311">
            <v>238.60699999999997</v>
          </cell>
          <cell r="P311">
            <v>260.88</v>
          </cell>
        </row>
        <row r="312">
          <cell r="A312">
            <v>310</v>
          </cell>
          <cell r="C312" t="str">
            <v>9-3 YTD LE (Total)</v>
          </cell>
          <cell r="E312">
            <v>15.1</v>
          </cell>
          <cell r="F312">
            <v>30.5</v>
          </cell>
          <cell r="G312">
            <v>58.3</v>
          </cell>
          <cell r="H312">
            <v>75</v>
          </cell>
          <cell r="I312">
            <v>93.3</v>
          </cell>
          <cell r="J312">
            <v>119.50399999999999</v>
          </cell>
          <cell r="K312">
            <v>142.572</v>
          </cell>
          <cell r="L312">
            <v>167.024</v>
          </cell>
          <cell r="M312">
            <v>189.95099999999999</v>
          </cell>
          <cell r="N312">
            <v>214.22399999999999</v>
          </cell>
          <cell r="O312">
            <v>237.69199999999998</v>
          </cell>
          <cell r="P312">
            <v>260.79399999999998</v>
          </cell>
        </row>
        <row r="313">
          <cell r="A313">
            <v>311</v>
          </cell>
        </row>
        <row r="314">
          <cell r="A314">
            <v>312</v>
          </cell>
          <cell r="B314" t="str">
            <v>Fringe Benefits &amp; Salaries</v>
          </cell>
        </row>
        <row r="315">
          <cell r="A315">
            <v>313</v>
          </cell>
          <cell r="C315" t="str">
            <v>Fringe Benefits</v>
          </cell>
        </row>
        <row r="316">
          <cell r="A316">
            <v>314</v>
          </cell>
          <cell r="C316" t="str">
            <v>Monthly Actual</v>
          </cell>
          <cell r="E316">
            <v>3.9243948199999998</v>
          </cell>
          <cell r="F316">
            <v>5.9830662300000004</v>
          </cell>
          <cell r="G316">
            <v>3.7861667199999989</v>
          </cell>
          <cell r="H316">
            <v>2.6139004000000003</v>
          </cell>
          <cell r="I316">
            <v>-1.5649854300000001</v>
          </cell>
          <cell r="J316">
            <v>3.5921915700000007</v>
          </cell>
          <cell r="K316">
            <v>4.6910249000000004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A317">
            <v>315</v>
          </cell>
          <cell r="C317" t="str">
            <v>QTD Actual</v>
          </cell>
          <cell r="E317">
            <v>3.9243948199999998</v>
          </cell>
          <cell r="F317">
            <v>9.9074610500000002</v>
          </cell>
          <cell r="G317">
            <v>13.693627769999999</v>
          </cell>
          <cell r="H317">
            <v>2.6139004000000003</v>
          </cell>
          <cell r="I317">
            <v>1.0489149700000002</v>
          </cell>
          <cell r="J317">
            <v>4.6411065400000009</v>
          </cell>
          <cell r="K317">
            <v>4.6910249000000004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316</v>
          </cell>
          <cell r="C318" t="str">
            <v>YTD Actual</v>
          </cell>
          <cell r="E318">
            <v>3.9243948199999998</v>
          </cell>
          <cell r="F318">
            <v>9.9074610500000002</v>
          </cell>
          <cell r="G318">
            <v>13.693627770000001</v>
          </cell>
          <cell r="H318">
            <v>16.307528170000001</v>
          </cell>
          <cell r="I318">
            <v>14.742542740000001</v>
          </cell>
          <cell r="J318">
            <v>18.334734310000002</v>
          </cell>
          <cell r="K318">
            <v>23.02575921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</row>
        <row r="319">
          <cell r="A319">
            <v>317</v>
          </cell>
        </row>
        <row r="320">
          <cell r="A320">
            <v>318</v>
          </cell>
          <cell r="C320" t="str">
            <v>Monthly Budget</v>
          </cell>
          <cell r="E320">
            <v>2.7240000000000002</v>
          </cell>
          <cell r="F320">
            <v>2.4859999999999998</v>
          </cell>
          <cell r="G320">
            <v>2.7469999999999999</v>
          </cell>
          <cell r="H320">
            <v>2.657</v>
          </cell>
          <cell r="I320">
            <v>2.7949999999999999</v>
          </cell>
          <cell r="J320">
            <v>2.6660000000000004</v>
          </cell>
          <cell r="K320">
            <v>2.7450000000000001</v>
          </cell>
          <cell r="L320">
            <v>2.76</v>
          </cell>
          <cell r="M320">
            <v>2.6549999999999998</v>
          </cell>
          <cell r="N320">
            <v>2.7989999999999999</v>
          </cell>
          <cell r="O320">
            <v>2.6930000000000001</v>
          </cell>
          <cell r="P320">
            <v>2.7210000000000001</v>
          </cell>
        </row>
        <row r="321">
          <cell r="A321">
            <v>319</v>
          </cell>
          <cell r="C321" t="str">
            <v>QTD Budget</v>
          </cell>
          <cell r="E321">
            <v>2.7240000000000002</v>
          </cell>
          <cell r="F321">
            <v>5.21</v>
          </cell>
          <cell r="G321">
            <v>7.9569999999999999</v>
          </cell>
          <cell r="H321">
            <v>2.657</v>
          </cell>
          <cell r="I321">
            <v>5.452</v>
          </cell>
          <cell r="J321">
            <v>8.1180000000000003</v>
          </cell>
          <cell r="K321">
            <v>2.7450000000000001</v>
          </cell>
          <cell r="L321">
            <v>5.5049999999999999</v>
          </cell>
          <cell r="M321">
            <v>8.16</v>
          </cell>
          <cell r="N321">
            <v>2.7989999999999999</v>
          </cell>
          <cell r="O321">
            <v>5.492</v>
          </cell>
          <cell r="P321">
            <v>8.213000000000001</v>
          </cell>
        </row>
        <row r="322">
          <cell r="A322">
            <v>320</v>
          </cell>
          <cell r="C322" t="str">
            <v>YTD Budget</v>
          </cell>
          <cell r="E322">
            <v>2.7240000000000002</v>
          </cell>
          <cell r="F322">
            <v>5.21</v>
          </cell>
          <cell r="G322">
            <v>7.9569999999999999</v>
          </cell>
          <cell r="H322">
            <v>10.614000000000001</v>
          </cell>
          <cell r="I322">
            <v>13.409000000000001</v>
          </cell>
          <cell r="J322">
            <v>16.075000000000003</v>
          </cell>
          <cell r="K322">
            <v>18.820000000000004</v>
          </cell>
          <cell r="L322">
            <v>21.580000000000005</v>
          </cell>
          <cell r="M322">
            <v>24.235000000000007</v>
          </cell>
          <cell r="N322">
            <v>27.034000000000006</v>
          </cell>
          <cell r="O322">
            <v>29.727000000000007</v>
          </cell>
          <cell r="P322">
            <v>32.448000000000008</v>
          </cell>
        </row>
        <row r="323">
          <cell r="A323">
            <v>321</v>
          </cell>
        </row>
        <row r="324">
          <cell r="A324">
            <v>322</v>
          </cell>
          <cell r="C324" t="str">
            <v>3-9 QTD LE</v>
          </cell>
          <cell r="E324">
            <v>3.9243948199999998</v>
          </cell>
          <cell r="F324">
            <v>9.9074610500000002</v>
          </cell>
          <cell r="G324">
            <v>13.693627769999999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-11.25</v>
          </cell>
        </row>
        <row r="325">
          <cell r="A325">
            <v>323</v>
          </cell>
          <cell r="C325" t="str">
            <v>6-6 QTD LE</v>
          </cell>
          <cell r="E325">
            <v>3.9243948199999998</v>
          </cell>
          <cell r="F325">
            <v>9.9074610500000002</v>
          </cell>
          <cell r="G325">
            <v>13.693627769999999</v>
          </cell>
          <cell r="H325">
            <v>2.6139004000000003</v>
          </cell>
          <cell r="I325">
            <v>1.0489149700000002</v>
          </cell>
          <cell r="J325">
            <v>4.6411065400000009</v>
          </cell>
          <cell r="K325">
            <v>3.0850361540647575</v>
          </cell>
          <cell r="L325">
            <v>6.2298292935906598</v>
          </cell>
          <cell r="M325">
            <v>9.6180485414252459</v>
          </cell>
          <cell r="N325">
            <v>3.3916604502030068</v>
          </cell>
          <cell r="O325">
            <v>6.6359884896912824</v>
          </cell>
          <cell r="P325">
            <v>10.299480919092549</v>
          </cell>
        </row>
        <row r="326">
          <cell r="A326">
            <v>324</v>
          </cell>
          <cell r="C326" t="str">
            <v>9-3 QTD LE</v>
          </cell>
          <cell r="E326">
            <v>3.9243948199999998</v>
          </cell>
          <cell r="F326">
            <v>9.9074610500000002</v>
          </cell>
          <cell r="G326">
            <v>13.693627769999999</v>
          </cell>
          <cell r="H326">
            <v>13.693627769999999</v>
          </cell>
          <cell r="I326">
            <v>16.307528169999998</v>
          </cell>
          <cell r="J326">
            <v>14.742542739999998</v>
          </cell>
          <cell r="K326">
            <v>3.5921915700000007</v>
          </cell>
          <cell r="L326">
            <v>8.2332981100000016</v>
          </cell>
          <cell r="M326">
            <v>12.924323010000002</v>
          </cell>
          <cell r="N326">
            <v>3.1447931395259028</v>
          </cell>
          <cell r="O326">
            <v>3.3882192478345869</v>
          </cell>
          <cell r="P326">
            <v>11.224037287360488</v>
          </cell>
        </row>
        <row r="327">
          <cell r="A327">
            <v>325</v>
          </cell>
        </row>
        <row r="328">
          <cell r="A328">
            <v>326</v>
          </cell>
          <cell r="C328" t="str">
            <v>3-9 YTD LE</v>
          </cell>
          <cell r="E328">
            <v>3.9243948199999998</v>
          </cell>
          <cell r="F328">
            <v>9.9074610500000002</v>
          </cell>
          <cell r="G328">
            <v>13.693627769999999</v>
          </cell>
          <cell r="H328">
            <v>13.693627769999999</v>
          </cell>
          <cell r="I328">
            <v>13.693627769999999</v>
          </cell>
          <cell r="J328">
            <v>13.693627769999999</v>
          </cell>
          <cell r="K328">
            <v>13.693627769999999</v>
          </cell>
          <cell r="L328">
            <v>13.693627769999999</v>
          </cell>
          <cell r="M328">
            <v>13.693627769999999</v>
          </cell>
          <cell r="N328">
            <v>13.693627769999999</v>
          </cell>
          <cell r="O328">
            <v>13.693627769999999</v>
          </cell>
          <cell r="P328">
            <v>2.4436277699999991</v>
          </cell>
        </row>
        <row r="329">
          <cell r="A329">
            <v>327</v>
          </cell>
          <cell r="C329" t="str">
            <v>6-6 YTD LE</v>
          </cell>
          <cell r="E329">
            <v>3.9243948199999998</v>
          </cell>
          <cell r="F329">
            <v>9.9074610500000002</v>
          </cell>
          <cell r="G329">
            <v>13.693627769999999</v>
          </cell>
          <cell r="H329">
            <v>16.307528169999998</v>
          </cell>
          <cell r="I329">
            <v>14.742542739999998</v>
          </cell>
          <cell r="J329">
            <v>18.334734309999998</v>
          </cell>
          <cell r="K329">
            <v>21.419770464064754</v>
          </cell>
          <cell r="L329">
            <v>24.564563603590656</v>
          </cell>
          <cell r="M329">
            <v>27.952782851425244</v>
          </cell>
          <cell r="N329">
            <v>31.34444330162825</v>
          </cell>
          <cell r="O329">
            <v>34.588771341116527</v>
          </cell>
          <cell r="P329">
            <v>38.252263770517793</v>
          </cell>
        </row>
        <row r="330">
          <cell r="A330">
            <v>328</v>
          </cell>
          <cell r="C330" t="str">
            <v>9-3 YTD LE</v>
          </cell>
          <cell r="E330">
            <v>3.9243948199999998</v>
          </cell>
          <cell r="F330">
            <v>9.9074610500000002</v>
          </cell>
          <cell r="G330">
            <v>13.693627769999999</v>
          </cell>
          <cell r="H330">
            <v>27.387255539999998</v>
          </cell>
          <cell r="I330">
            <v>30.001155939999997</v>
          </cell>
          <cell r="J330">
            <v>28.436170509999997</v>
          </cell>
          <cell r="K330">
            <v>32.028362079999994</v>
          </cell>
          <cell r="L330">
            <v>36.669468619999996</v>
          </cell>
          <cell r="M330">
            <v>41.360493519999999</v>
          </cell>
          <cell r="N330">
            <v>44.5052866595259</v>
          </cell>
          <cell r="O330">
            <v>47.893505907360485</v>
          </cell>
          <cell r="P330">
            <v>59.117543194720973</v>
          </cell>
        </row>
        <row r="331">
          <cell r="A331">
            <v>329</v>
          </cell>
        </row>
        <row r="332">
          <cell r="A332">
            <v>330</v>
          </cell>
          <cell r="C332" t="str">
            <v>Salaries</v>
          </cell>
        </row>
        <row r="333">
          <cell r="A333">
            <v>331</v>
          </cell>
          <cell r="C333" t="str">
            <v>Monthly Actual</v>
          </cell>
          <cell r="E333">
            <v>10.127219589999999</v>
          </cell>
          <cell r="F333">
            <v>11.14968266</v>
          </cell>
          <cell r="G333">
            <v>9.6102007700000005</v>
          </cell>
          <cell r="H333">
            <v>9.8690210799999996</v>
          </cell>
          <cell r="I333">
            <v>10.247396929999999</v>
          </cell>
          <cell r="J333">
            <v>10.5214546</v>
          </cell>
          <cell r="K333">
            <v>11.1516141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</row>
        <row r="334">
          <cell r="A334">
            <v>332</v>
          </cell>
          <cell r="C334" t="str">
            <v>QTD Actual</v>
          </cell>
          <cell r="E334">
            <v>10.127219589999999</v>
          </cell>
          <cell r="F334">
            <v>21.276902249999999</v>
          </cell>
          <cell r="G334">
            <v>30.887103020000001</v>
          </cell>
          <cell r="H334">
            <v>9.8690210799999996</v>
          </cell>
          <cell r="I334">
            <v>20.11641801</v>
          </cell>
          <cell r="J334">
            <v>30.637872610000002</v>
          </cell>
          <cell r="K334">
            <v>11.1516141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</row>
        <row r="335">
          <cell r="A335">
            <v>333</v>
          </cell>
          <cell r="C335" t="str">
            <v>YTD Actual</v>
          </cell>
          <cell r="E335">
            <v>10.127219160000001</v>
          </cell>
          <cell r="F335">
            <v>21.276901819999999</v>
          </cell>
          <cell r="G335">
            <v>30.887102590000001</v>
          </cell>
          <cell r="H335">
            <v>40.756123670000008</v>
          </cell>
          <cell r="I335">
            <v>51.003520600000009</v>
          </cell>
          <cell r="J335">
            <v>61.5249752</v>
          </cell>
          <cell r="K335">
            <v>72.676589300000003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</row>
        <row r="336">
          <cell r="A336">
            <v>334</v>
          </cell>
        </row>
        <row r="337">
          <cell r="A337">
            <v>335</v>
          </cell>
          <cell r="C337" t="str">
            <v>Monthly Budget</v>
          </cell>
          <cell r="E337">
            <v>10.865</v>
          </cell>
          <cell r="F337">
            <v>10.247</v>
          </cell>
          <cell r="G337">
            <v>11.221</v>
          </cell>
          <cell r="H337">
            <v>10.592000000000001</v>
          </cell>
          <cell r="I337">
            <v>11.065000000000001</v>
          </cell>
          <cell r="J337">
            <v>11.202999999999999</v>
          </cell>
          <cell r="K337">
            <v>10.952</v>
          </cell>
          <cell r="L337">
            <v>11.219000000000001</v>
          </cell>
          <cell r="M337">
            <v>10.914999999999999</v>
          </cell>
          <cell r="N337">
            <v>11.038</v>
          </cell>
          <cell r="O337">
            <v>10.84</v>
          </cell>
          <cell r="P337">
            <v>10.865</v>
          </cell>
        </row>
        <row r="338">
          <cell r="A338">
            <v>336</v>
          </cell>
          <cell r="C338" t="str">
            <v>QTD Budget</v>
          </cell>
          <cell r="E338">
            <v>10.865</v>
          </cell>
          <cell r="F338">
            <v>21.112000000000002</v>
          </cell>
          <cell r="G338">
            <v>32.332999999999998</v>
          </cell>
          <cell r="H338">
            <v>10.592000000000001</v>
          </cell>
          <cell r="I338">
            <v>21.657000000000004</v>
          </cell>
          <cell r="J338">
            <v>32.86</v>
          </cell>
          <cell r="K338">
            <v>10.952</v>
          </cell>
          <cell r="L338">
            <v>22.170999999999999</v>
          </cell>
          <cell r="M338">
            <v>33.085999999999999</v>
          </cell>
          <cell r="N338">
            <v>11.038</v>
          </cell>
          <cell r="O338">
            <v>21.878</v>
          </cell>
          <cell r="P338">
            <v>32.743000000000002</v>
          </cell>
        </row>
        <row r="339">
          <cell r="A339">
            <v>337</v>
          </cell>
          <cell r="C339" t="str">
            <v>YTD Budget</v>
          </cell>
          <cell r="E339">
            <v>10.865</v>
          </cell>
          <cell r="F339">
            <v>21.112000000000002</v>
          </cell>
          <cell r="G339">
            <v>32.332999999999998</v>
          </cell>
          <cell r="H339">
            <v>42.924999999999997</v>
          </cell>
          <cell r="I339">
            <v>53.989999999999995</v>
          </cell>
          <cell r="J339">
            <v>65.192999999999998</v>
          </cell>
          <cell r="K339">
            <v>76.144999999999996</v>
          </cell>
          <cell r="L339">
            <v>87.364000000000004</v>
          </cell>
          <cell r="M339">
            <v>98.278999999999996</v>
          </cell>
          <cell r="N339">
            <v>109.31699999999999</v>
          </cell>
          <cell r="O339">
            <v>120.157</v>
          </cell>
          <cell r="P339">
            <v>131.02199999999999</v>
          </cell>
        </row>
        <row r="340">
          <cell r="A340">
            <v>338</v>
          </cell>
        </row>
        <row r="341">
          <cell r="A341">
            <v>339</v>
          </cell>
          <cell r="C341" t="str">
            <v>3-9 QTD LE</v>
          </cell>
          <cell r="E341">
            <v>10.127219589999999</v>
          </cell>
          <cell r="F341">
            <v>21.276902249999999</v>
          </cell>
          <cell r="G341">
            <v>30.887103019999998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</row>
        <row r="342">
          <cell r="A342">
            <v>340</v>
          </cell>
          <cell r="C342" t="str">
            <v>6-6 QTD LE</v>
          </cell>
          <cell r="E342">
            <v>10.127219589999999</v>
          </cell>
          <cell r="F342">
            <v>21.276902249999999</v>
          </cell>
          <cell r="G342">
            <v>30.887103019999998</v>
          </cell>
          <cell r="H342">
            <v>9.8690210799999996</v>
          </cell>
          <cell r="I342">
            <v>20.116418009999997</v>
          </cell>
          <cell r="J342">
            <v>30.637872609999995</v>
          </cell>
          <cell r="K342">
            <v>11.899994265556645</v>
          </cell>
          <cell r="L342">
            <v>24.030490784183371</v>
          </cell>
          <cell r="M342">
            <v>37.09996148278637</v>
          </cell>
          <cell r="N342">
            <v>13.082744542540567</v>
          </cell>
          <cell r="O342">
            <v>25.597179750901731</v>
          </cell>
          <cell r="P342">
            <v>39.728469215482228</v>
          </cell>
        </row>
        <row r="343">
          <cell r="A343">
            <v>341</v>
          </cell>
          <cell r="C343" t="str">
            <v>9-3 QTD LE</v>
          </cell>
          <cell r="E343">
            <v>10.127219589999999</v>
          </cell>
          <cell r="F343">
            <v>21.276902249999999</v>
          </cell>
          <cell r="G343">
            <v>30.887103019999998</v>
          </cell>
          <cell r="H343">
            <v>30.887103020000001</v>
          </cell>
          <cell r="I343">
            <v>40.756124100000001</v>
          </cell>
          <cell r="J343">
            <v>51.003521030000002</v>
          </cell>
          <cell r="K343">
            <v>10.5214546</v>
          </cell>
          <cell r="L343">
            <v>41.159327210000001</v>
          </cell>
          <cell r="M343">
            <v>52.310941310000004</v>
          </cell>
          <cell r="N343">
            <v>12.130496518626725</v>
          </cell>
          <cell r="O343">
            <v>25.199967217229723</v>
          </cell>
          <cell r="P343">
            <v>61.551548534459457</v>
          </cell>
        </row>
        <row r="344">
          <cell r="A344">
            <v>342</v>
          </cell>
        </row>
        <row r="345">
          <cell r="A345">
            <v>343</v>
          </cell>
          <cell r="C345" t="str">
            <v>3-9 YTD LE</v>
          </cell>
          <cell r="E345">
            <v>10.127219589999999</v>
          </cell>
          <cell r="F345">
            <v>21.276902249999999</v>
          </cell>
          <cell r="G345">
            <v>30.887103019999998</v>
          </cell>
          <cell r="H345">
            <v>30.887103019999998</v>
          </cell>
          <cell r="I345">
            <v>30.887103019999998</v>
          </cell>
          <cell r="J345">
            <v>30.887103019999998</v>
          </cell>
          <cell r="K345">
            <v>30.887103019999998</v>
          </cell>
          <cell r="L345">
            <v>30.887103019999998</v>
          </cell>
          <cell r="M345">
            <v>30.887103019999998</v>
          </cell>
          <cell r="N345">
            <v>30.887103019999998</v>
          </cell>
          <cell r="O345">
            <v>30.887103019999998</v>
          </cell>
          <cell r="P345">
            <v>30.887103019999998</v>
          </cell>
        </row>
        <row r="346">
          <cell r="A346">
            <v>344</v>
          </cell>
          <cell r="C346" t="str">
            <v>6-6 YTD LE</v>
          </cell>
          <cell r="E346">
            <v>10.127219589999999</v>
          </cell>
          <cell r="F346">
            <v>21.276902249999999</v>
          </cell>
          <cell r="G346">
            <v>30.887103019999998</v>
          </cell>
          <cell r="H346">
            <v>40.756124099999994</v>
          </cell>
          <cell r="I346">
            <v>51.003521029999995</v>
          </cell>
          <cell r="J346">
            <v>61.524975629999993</v>
          </cell>
          <cell r="K346">
            <v>73.424969895556643</v>
          </cell>
          <cell r="L346">
            <v>85.555466414183371</v>
          </cell>
          <cell r="M346">
            <v>98.62493711278637</v>
          </cell>
          <cell r="N346">
            <v>111.70768165532694</v>
          </cell>
          <cell r="O346">
            <v>124.2221168636881</v>
          </cell>
          <cell r="P346">
            <v>138.35340632826859</v>
          </cell>
        </row>
        <row r="347">
          <cell r="A347">
            <v>345</v>
          </cell>
          <cell r="C347" t="str">
            <v>9-3 YTD LE</v>
          </cell>
          <cell r="E347">
            <v>10.127219589999999</v>
          </cell>
          <cell r="F347">
            <v>21.276902249999999</v>
          </cell>
          <cell r="G347">
            <v>30.887103019999998</v>
          </cell>
          <cell r="H347">
            <v>61.774206039999996</v>
          </cell>
          <cell r="I347">
            <v>71.643227119999992</v>
          </cell>
          <cell r="J347">
            <v>81.890624049999985</v>
          </cell>
          <cell r="K347">
            <v>92.412078649999984</v>
          </cell>
          <cell r="L347">
            <v>123.04995125999999</v>
          </cell>
          <cell r="M347">
            <v>134.20156535999999</v>
          </cell>
          <cell r="N347">
            <v>146.33206187862672</v>
          </cell>
          <cell r="O347">
            <v>159.40153257722972</v>
          </cell>
          <cell r="P347">
            <v>195.75311389445943</v>
          </cell>
        </row>
        <row r="348">
          <cell r="A348">
            <v>346</v>
          </cell>
        </row>
        <row r="349">
          <cell r="A349">
            <v>347</v>
          </cell>
          <cell r="B349" t="str">
            <v>Dividends to Parents</v>
          </cell>
        </row>
        <row r="350">
          <cell r="A350">
            <v>348</v>
          </cell>
          <cell r="C350" t="str">
            <v>Actual</v>
          </cell>
          <cell r="E350">
            <v>0</v>
          </cell>
          <cell r="F350">
            <v>0</v>
          </cell>
          <cell r="G350">
            <v>45</v>
          </cell>
          <cell r="H350">
            <v>0</v>
          </cell>
          <cell r="I350">
            <v>0</v>
          </cell>
          <cell r="J350">
            <v>55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</row>
        <row r="351">
          <cell r="A351">
            <v>349</v>
          </cell>
          <cell r="C351" t="str">
            <v>YTD Actual</v>
          </cell>
          <cell r="E351">
            <v>0</v>
          </cell>
          <cell r="F351">
            <v>0</v>
          </cell>
          <cell r="G351">
            <v>45</v>
          </cell>
          <cell r="H351">
            <v>45</v>
          </cell>
          <cell r="I351">
            <v>45</v>
          </cell>
          <cell r="J351">
            <v>100</v>
          </cell>
          <cell r="K351">
            <v>100</v>
          </cell>
          <cell r="L351">
            <v>100</v>
          </cell>
          <cell r="M351">
            <v>100</v>
          </cell>
          <cell r="N351">
            <v>100</v>
          </cell>
          <cell r="O351">
            <v>100</v>
          </cell>
          <cell r="P351">
            <v>100</v>
          </cell>
        </row>
        <row r="352">
          <cell r="A352">
            <v>350</v>
          </cell>
          <cell r="C352" t="str">
            <v>YTD 3-9 LE</v>
          </cell>
          <cell r="E352">
            <v>0</v>
          </cell>
          <cell r="F352">
            <v>0</v>
          </cell>
          <cell r="G352">
            <v>45</v>
          </cell>
          <cell r="H352">
            <v>45</v>
          </cell>
          <cell r="I352">
            <v>45</v>
          </cell>
          <cell r="J352">
            <v>90</v>
          </cell>
          <cell r="K352">
            <v>90</v>
          </cell>
          <cell r="L352">
            <v>90</v>
          </cell>
          <cell r="M352">
            <v>135</v>
          </cell>
          <cell r="N352">
            <v>135</v>
          </cell>
          <cell r="O352">
            <v>135</v>
          </cell>
          <cell r="P352">
            <v>180</v>
          </cell>
        </row>
        <row r="353">
          <cell r="A353">
            <v>351</v>
          </cell>
          <cell r="C353" t="str">
            <v>YTD 6-6 LE</v>
          </cell>
          <cell r="E353">
            <v>0</v>
          </cell>
          <cell r="F353">
            <v>0</v>
          </cell>
          <cell r="G353">
            <v>55</v>
          </cell>
          <cell r="H353">
            <v>55</v>
          </cell>
          <cell r="I353">
            <v>55</v>
          </cell>
          <cell r="J353">
            <v>110</v>
          </cell>
          <cell r="K353">
            <v>110</v>
          </cell>
          <cell r="L353">
            <v>110</v>
          </cell>
          <cell r="M353">
            <v>165</v>
          </cell>
          <cell r="N353">
            <v>165</v>
          </cell>
          <cell r="O353">
            <v>165</v>
          </cell>
          <cell r="P353">
            <v>220</v>
          </cell>
        </row>
        <row r="354">
          <cell r="A354">
            <v>352</v>
          </cell>
          <cell r="C354" t="str">
            <v>YTD 7-5 LE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353</v>
          </cell>
        </row>
        <row r="356">
          <cell r="A356">
            <v>354</v>
          </cell>
          <cell r="B356" t="str">
            <v>Debt Principle Payments</v>
          </cell>
        </row>
        <row r="357">
          <cell r="A357">
            <v>355</v>
          </cell>
          <cell r="C357" t="str">
            <v>Actual</v>
          </cell>
          <cell r="E357">
            <v>0</v>
          </cell>
          <cell r="F357">
            <v>0</v>
          </cell>
          <cell r="G357">
            <v>130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112</v>
          </cell>
          <cell r="N357">
            <v>0</v>
          </cell>
          <cell r="O357">
            <v>0</v>
          </cell>
          <cell r="P357">
            <v>0</v>
          </cell>
        </row>
        <row r="358">
          <cell r="A358">
            <v>356</v>
          </cell>
          <cell r="C358" t="str">
            <v>YTD Actual</v>
          </cell>
          <cell r="E358">
            <v>0</v>
          </cell>
          <cell r="F358">
            <v>0</v>
          </cell>
          <cell r="G358">
            <v>130</v>
          </cell>
          <cell r="H358">
            <v>130</v>
          </cell>
          <cell r="I358">
            <v>130</v>
          </cell>
          <cell r="J358">
            <v>130</v>
          </cell>
          <cell r="K358">
            <v>130</v>
          </cell>
          <cell r="L358">
            <v>130</v>
          </cell>
          <cell r="M358">
            <v>242</v>
          </cell>
          <cell r="N358">
            <v>242</v>
          </cell>
          <cell r="O358">
            <v>242</v>
          </cell>
          <cell r="P358">
            <v>242</v>
          </cell>
        </row>
        <row r="359">
          <cell r="A359">
            <v>357</v>
          </cell>
          <cell r="C359" t="str">
            <v>YTD 3-9 LE</v>
          </cell>
          <cell r="E359">
            <v>0</v>
          </cell>
          <cell r="F359">
            <v>0</v>
          </cell>
          <cell r="G359">
            <v>130</v>
          </cell>
          <cell r="H359">
            <v>130</v>
          </cell>
          <cell r="I359">
            <v>130</v>
          </cell>
          <cell r="J359">
            <v>130</v>
          </cell>
          <cell r="K359">
            <v>130</v>
          </cell>
          <cell r="L359">
            <v>130</v>
          </cell>
          <cell r="M359">
            <v>242</v>
          </cell>
          <cell r="N359">
            <v>242</v>
          </cell>
          <cell r="O359">
            <v>242</v>
          </cell>
          <cell r="P359">
            <v>242</v>
          </cell>
        </row>
        <row r="360">
          <cell r="A360">
            <v>358</v>
          </cell>
          <cell r="C360" t="str">
            <v>YTD 6-6 LE</v>
          </cell>
          <cell r="E360">
            <v>0</v>
          </cell>
          <cell r="F360">
            <v>0</v>
          </cell>
          <cell r="G360">
            <v>130</v>
          </cell>
          <cell r="H360">
            <v>130</v>
          </cell>
          <cell r="I360">
            <v>130</v>
          </cell>
          <cell r="J360">
            <v>130</v>
          </cell>
          <cell r="K360">
            <v>130</v>
          </cell>
          <cell r="L360">
            <v>130</v>
          </cell>
          <cell r="M360">
            <v>242</v>
          </cell>
          <cell r="N360">
            <v>242</v>
          </cell>
          <cell r="O360">
            <v>242</v>
          </cell>
          <cell r="P360">
            <v>242</v>
          </cell>
        </row>
        <row r="361">
          <cell r="A361">
            <v>359</v>
          </cell>
          <cell r="C361" t="str">
            <v>YTD 7-5 LE</v>
          </cell>
          <cell r="E361">
            <v>0</v>
          </cell>
          <cell r="F361">
            <v>0</v>
          </cell>
          <cell r="G361">
            <v>130</v>
          </cell>
          <cell r="H361">
            <v>130</v>
          </cell>
          <cell r="I361">
            <v>130</v>
          </cell>
          <cell r="J361">
            <v>130</v>
          </cell>
          <cell r="K361">
            <v>130</v>
          </cell>
          <cell r="L361">
            <v>130</v>
          </cell>
          <cell r="M361">
            <v>242</v>
          </cell>
          <cell r="N361">
            <v>242</v>
          </cell>
          <cell r="O361">
            <v>242</v>
          </cell>
          <cell r="P361">
            <v>242</v>
          </cell>
        </row>
        <row r="362">
          <cell r="A362">
            <v>360</v>
          </cell>
          <cell r="C362" t="str">
            <v>Budget</v>
          </cell>
          <cell r="E362">
            <v>0</v>
          </cell>
          <cell r="F362">
            <v>0</v>
          </cell>
          <cell r="G362">
            <v>130</v>
          </cell>
          <cell r="H362">
            <v>130</v>
          </cell>
          <cell r="I362">
            <v>130</v>
          </cell>
          <cell r="J362">
            <v>130</v>
          </cell>
          <cell r="K362">
            <v>130</v>
          </cell>
          <cell r="L362">
            <v>130</v>
          </cell>
          <cell r="M362">
            <v>242</v>
          </cell>
          <cell r="N362">
            <v>242</v>
          </cell>
          <cell r="O362">
            <v>242</v>
          </cell>
          <cell r="P362">
            <v>242</v>
          </cell>
        </row>
        <row r="363">
          <cell r="A363">
            <v>361</v>
          </cell>
        </row>
        <row r="364">
          <cell r="A364">
            <v>362</v>
          </cell>
          <cell r="B364" t="str">
            <v>Headcount</v>
          </cell>
        </row>
        <row r="365">
          <cell r="A365">
            <v>363</v>
          </cell>
          <cell r="C365" t="str">
            <v>Actual</v>
          </cell>
          <cell r="E365">
            <v>19.166666666666668</v>
          </cell>
          <cell r="F365">
            <v>19.166666666666668</v>
          </cell>
          <cell r="G365">
            <v>19.166666666666668</v>
          </cell>
          <cell r="H365">
            <v>19.166666666666668</v>
          </cell>
          <cell r="I365">
            <v>19.166666666666668</v>
          </cell>
          <cell r="J365">
            <v>19.166666666666668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</row>
        <row r="366">
          <cell r="A366">
            <v>364</v>
          </cell>
          <cell r="C366" t="str">
            <v>Budget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</row>
        <row r="367">
          <cell r="A367">
            <v>365</v>
          </cell>
          <cell r="C367" t="str">
            <v>3-9 LE</v>
          </cell>
          <cell r="E367">
            <v>3600</v>
          </cell>
          <cell r="F367">
            <v>3600</v>
          </cell>
          <cell r="G367">
            <v>3600</v>
          </cell>
          <cell r="H367">
            <v>3600</v>
          </cell>
          <cell r="I367">
            <v>3600</v>
          </cell>
          <cell r="J367">
            <v>3600</v>
          </cell>
          <cell r="K367">
            <v>3600</v>
          </cell>
          <cell r="L367">
            <v>3600</v>
          </cell>
          <cell r="M367">
            <v>3600</v>
          </cell>
          <cell r="N367">
            <v>3600</v>
          </cell>
          <cell r="O367">
            <v>3600</v>
          </cell>
          <cell r="P367">
            <v>3600</v>
          </cell>
        </row>
        <row r="368">
          <cell r="A368">
            <v>366</v>
          </cell>
          <cell r="C368" t="str">
            <v>6-6 LE</v>
          </cell>
          <cell r="E368">
            <v>3600</v>
          </cell>
          <cell r="F368">
            <v>3600</v>
          </cell>
          <cell r="G368">
            <v>3600</v>
          </cell>
          <cell r="H368">
            <v>3600</v>
          </cell>
          <cell r="I368">
            <v>3600</v>
          </cell>
          <cell r="J368">
            <v>3600</v>
          </cell>
          <cell r="K368">
            <v>3600</v>
          </cell>
          <cell r="L368">
            <v>3600</v>
          </cell>
          <cell r="M368">
            <v>3600</v>
          </cell>
          <cell r="N368">
            <v>3600</v>
          </cell>
          <cell r="O368">
            <v>3600</v>
          </cell>
          <cell r="P368">
            <v>3600</v>
          </cell>
        </row>
        <row r="369">
          <cell r="A369">
            <v>367</v>
          </cell>
          <cell r="C369" t="str">
            <v>7-5 LE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</row>
        <row r="370">
          <cell r="A370">
            <v>368</v>
          </cell>
        </row>
        <row r="371">
          <cell r="A371">
            <v>369</v>
          </cell>
          <cell r="B371" t="str">
            <v>Sales and Delivery Variances</v>
          </cell>
        </row>
        <row r="372">
          <cell r="A372">
            <v>370</v>
          </cell>
          <cell r="C372" t="str">
            <v>YTD Actual</v>
          </cell>
        </row>
        <row r="373">
          <cell r="A373">
            <v>371</v>
          </cell>
          <cell r="C373" t="str">
            <v>Energy</v>
          </cell>
          <cell r="E373">
            <v>181.95425596000001</v>
          </cell>
          <cell r="F373">
            <v>7.1248404399999856</v>
          </cell>
          <cell r="G373">
            <v>11.27360792999994</v>
          </cell>
          <cell r="H373">
            <v>13.956082739999999</v>
          </cell>
          <cell r="I373">
            <v>15.469881579999935</v>
          </cell>
          <cell r="J373">
            <v>24.11121186999992</v>
          </cell>
          <cell r="K373">
            <v>31.165743389999989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>
            <v>372</v>
          </cell>
          <cell r="C374" t="str">
            <v>Delivery</v>
          </cell>
          <cell r="E374">
            <v>-15.404312850000025</v>
          </cell>
          <cell r="F374">
            <v>297.72925831999999</v>
          </cell>
          <cell r="G374">
            <v>453.37859526999995</v>
          </cell>
          <cell r="H374">
            <v>589.98147578999999</v>
          </cell>
          <cell r="I374">
            <v>729.88722329000007</v>
          </cell>
          <cell r="J374">
            <v>910.46640848999994</v>
          </cell>
          <cell r="K374">
            <v>1092.7693092499999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373</v>
          </cell>
          <cell r="C375" t="str">
            <v>Gas</v>
          </cell>
          <cell r="E375">
            <v>32.419187210000018</v>
          </cell>
          <cell r="F375">
            <v>60.914763430000022</v>
          </cell>
          <cell r="G375">
            <v>89.968092679999984</v>
          </cell>
          <cell r="H375">
            <v>104.14024187999999</v>
          </cell>
          <cell r="I375">
            <v>114.83977269000002</v>
          </cell>
          <cell r="J375">
            <v>123.70187869</v>
          </cell>
          <cell r="K375">
            <v>130.24113655999997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</row>
        <row r="376">
          <cell r="A376">
            <v>374</v>
          </cell>
        </row>
        <row r="377">
          <cell r="A377">
            <v>375</v>
          </cell>
          <cell r="C377" t="str">
            <v>Budget</v>
          </cell>
        </row>
        <row r="378">
          <cell r="A378">
            <v>376</v>
          </cell>
          <cell r="C378" t="str">
            <v>Energy</v>
          </cell>
          <cell r="E378">
            <v>3.2600000000000051</v>
          </cell>
          <cell r="F378">
            <v>5.6779999999999973</v>
          </cell>
          <cell r="G378">
            <v>7.4500000000000028</v>
          </cell>
          <cell r="H378">
            <v>8.3030000000000044</v>
          </cell>
          <cell r="I378">
            <v>9.6090000000000089</v>
          </cell>
          <cell r="J378">
            <v>13.265000000000015</v>
          </cell>
          <cell r="K378">
            <v>19.302000000000021</v>
          </cell>
          <cell r="L378">
            <v>24.506000000000014</v>
          </cell>
          <cell r="M378">
            <v>27.50500000000001</v>
          </cell>
          <cell r="N378">
            <v>28.609000000000009</v>
          </cell>
          <cell r="O378">
            <v>30.260000000000019</v>
          </cell>
          <cell r="P378">
            <v>32.936000000000021</v>
          </cell>
        </row>
        <row r="379">
          <cell r="A379">
            <v>377</v>
          </cell>
          <cell r="C379" t="str">
            <v>Delivery</v>
          </cell>
          <cell r="E379">
            <v>159.50300000000001</v>
          </cell>
          <cell r="F379">
            <v>303.16399999999999</v>
          </cell>
          <cell r="G379">
            <v>446.649</v>
          </cell>
          <cell r="H379">
            <v>578.02300000000002</v>
          </cell>
          <cell r="I379">
            <v>714.42499999999995</v>
          </cell>
          <cell r="J379">
            <v>873.59399999999994</v>
          </cell>
          <cell r="K379">
            <v>1062.931</v>
          </cell>
          <cell r="L379">
            <v>1246.559</v>
          </cell>
          <cell r="M379">
            <v>1402.1030000000001</v>
          </cell>
          <cell r="N379">
            <v>1536.7910000000002</v>
          </cell>
          <cell r="O379">
            <v>1676.4690000000003</v>
          </cell>
          <cell r="P379">
            <v>1829.6750000000002</v>
          </cell>
        </row>
        <row r="380">
          <cell r="A380">
            <v>378</v>
          </cell>
          <cell r="C380" t="str">
            <v>Gas</v>
          </cell>
          <cell r="E380">
            <v>36.372</v>
          </cell>
          <cell r="F380">
            <v>71.082999999999998</v>
          </cell>
          <cell r="G380">
            <v>101.82</v>
          </cell>
          <cell r="H380">
            <v>124.32199999999999</v>
          </cell>
          <cell r="I380">
            <v>138.667</v>
          </cell>
          <cell r="J380">
            <v>149.01500000000001</v>
          </cell>
          <cell r="K380">
            <v>158.161</v>
          </cell>
          <cell r="L380">
            <v>167.167</v>
          </cell>
          <cell r="M380">
            <v>176.797</v>
          </cell>
          <cell r="N380">
            <v>188.833</v>
          </cell>
          <cell r="O380">
            <v>208.11599999999999</v>
          </cell>
          <cell r="P380">
            <v>235.09199999999998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 O M"/>
      <sheetName val="BUD O M"/>
      <sheetName val="ACT CAP"/>
      <sheetName val="BUD CAP"/>
      <sheetName val="Calculations"/>
    </sheetNames>
    <sheetDataSet>
      <sheetData sheetId="0" refreshError="1">
        <row r="7">
          <cell r="D7">
            <v>42631.939999999995</v>
          </cell>
          <cell r="E7">
            <v>33885.899999999994</v>
          </cell>
          <cell r="F7">
            <v>42182.119999999995</v>
          </cell>
          <cell r="G7">
            <v>46031.429999999993</v>
          </cell>
          <cell r="H7">
            <v>45035.1</v>
          </cell>
          <cell r="I7">
            <v>43921.56</v>
          </cell>
          <cell r="J7">
            <v>48408</v>
          </cell>
          <cell r="K7">
            <v>63191.88</v>
          </cell>
          <cell r="L7">
            <v>57001</v>
          </cell>
          <cell r="M7">
            <v>67803.33</v>
          </cell>
          <cell r="N7">
            <v>57478.12</v>
          </cell>
          <cell r="O7">
            <v>49319.12</v>
          </cell>
          <cell r="P7">
            <v>422288.93</v>
          </cell>
          <cell r="Q7">
            <v>1210</v>
          </cell>
          <cell r="R7">
            <v>441000</v>
          </cell>
          <cell r="S7">
            <v>0</v>
          </cell>
          <cell r="T7">
            <v>441000</v>
          </cell>
        </row>
        <row r="8">
          <cell r="D8">
            <v>-417.93</v>
          </cell>
          <cell r="E8">
            <v>-306.72000000000003</v>
          </cell>
          <cell r="F8">
            <v>211.68</v>
          </cell>
          <cell r="G8">
            <v>313.64</v>
          </cell>
          <cell r="H8">
            <v>756.89</v>
          </cell>
          <cell r="I8">
            <v>438.26</v>
          </cell>
          <cell r="J8">
            <v>1318.25</v>
          </cell>
          <cell r="K8">
            <v>1022</v>
          </cell>
          <cell r="L8">
            <v>1113</v>
          </cell>
          <cell r="M8">
            <v>1682.9</v>
          </cell>
          <cell r="N8">
            <v>1086.8499999999999</v>
          </cell>
          <cell r="O8">
            <v>999.2</v>
          </cell>
          <cell r="P8">
            <v>4449.07</v>
          </cell>
          <cell r="Q8">
            <v>1220</v>
          </cell>
          <cell r="R8">
            <v>24000</v>
          </cell>
          <cell r="S8">
            <v>0</v>
          </cell>
          <cell r="T8">
            <v>24000</v>
          </cell>
        </row>
        <row r="9">
          <cell r="F9">
            <v>18972.039999999979</v>
          </cell>
          <cell r="I9">
            <v>475000</v>
          </cell>
          <cell r="L9">
            <v>416850</v>
          </cell>
          <cell r="M9">
            <v>36400</v>
          </cell>
          <cell r="N9">
            <v>0</v>
          </cell>
          <cell r="O9">
            <v>350000</v>
          </cell>
          <cell r="P9">
            <v>910822.04</v>
          </cell>
          <cell r="Q9">
            <v>1230</v>
          </cell>
          <cell r="R9">
            <v>788000</v>
          </cell>
          <cell r="S9">
            <v>0</v>
          </cell>
          <cell r="T9">
            <v>788000</v>
          </cell>
        </row>
        <row r="10"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1240</v>
          </cell>
          <cell r="R10">
            <v>100000</v>
          </cell>
          <cell r="S10">
            <v>0</v>
          </cell>
          <cell r="T10">
            <v>100000</v>
          </cell>
        </row>
        <row r="11">
          <cell r="F11">
            <v>70804.010000000009</v>
          </cell>
          <cell r="G11">
            <v>-24042.969999999998</v>
          </cell>
          <cell r="H11">
            <v>22234.77</v>
          </cell>
          <cell r="I11">
            <v>11758.77</v>
          </cell>
          <cell r="J11">
            <v>25689.96</v>
          </cell>
          <cell r="K11">
            <v>20763</v>
          </cell>
          <cell r="L11">
            <v>24576</v>
          </cell>
          <cell r="M11">
            <v>32351.18</v>
          </cell>
          <cell r="N11">
            <v>33652.86</v>
          </cell>
          <cell r="O11">
            <v>33992.76</v>
          </cell>
          <cell r="P11">
            <v>151783.54</v>
          </cell>
          <cell r="Q11">
            <v>1299</v>
          </cell>
          <cell r="R11">
            <v>167600</v>
          </cell>
          <cell r="S11">
            <v>0</v>
          </cell>
          <cell r="T11">
            <v>167600</v>
          </cell>
        </row>
        <row r="12">
          <cell r="F12">
            <v>4318.7700000000004</v>
          </cell>
          <cell r="G12">
            <v>7792.87</v>
          </cell>
          <cell r="M12">
            <v>0</v>
          </cell>
          <cell r="N12">
            <v>0</v>
          </cell>
          <cell r="O12">
            <v>0</v>
          </cell>
          <cell r="P12">
            <v>12111.64</v>
          </cell>
          <cell r="Q12">
            <v>1610</v>
          </cell>
          <cell r="R12">
            <v>0</v>
          </cell>
          <cell r="S12">
            <v>0</v>
          </cell>
          <cell r="T12">
            <v>0</v>
          </cell>
        </row>
        <row r="13">
          <cell r="I13">
            <v>2940</v>
          </cell>
          <cell r="M13">
            <v>0</v>
          </cell>
          <cell r="N13">
            <v>0</v>
          </cell>
          <cell r="O13">
            <v>0</v>
          </cell>
          <cell r="P13">
            <v>2940</v>
          </cell>
          <cell r="Q13">
            <v>1700</v>
          </cell>
          <cell r="R13">
            <v>0</v>
          </cell>
          <cell r="S13">
            <v>0</v>
          </cell>
          <cell r="T13">
            <v>0</v>
          </cell>
        </row>
        <row r="14">
          <cell r="D14">
            <v>163949.79999999999</v>
          </cell>
          <cell r="E14">
            <v>39747.490000000005</v>
          </cell>
          <cell r="F14">
            <v>-367.54999999999973</v>
          </cell>
          <cell r="G14">
            <v>1120.95</v>
          </cell>
          <cell r="H14">
            <v>6215.32</v>
          </cell>
          <cell r="I14">
            <v>46220.91</v>
          </cell>
          <cell r="J14">
            <v>33709.839999999997</v>
          </cell>
          <cell r="K14">
            <v>54289</v>
          </cell>
          <cell r="L14">
            <v>139265</v>
          </cell>
          <cell r="M14">
            <v>96924.56</v>
          </cell>
          <cell r="N14">
            <v>102546.18</v>
          </cell>
          <cell r="O14">
            <v>230757</v>
          </cell>
          <cell r="P14">
            <v>484150.76</v>
          </cell>
          <cell r="Q14">
            <v>2000</v>
          </cell>
          <cell r="R14">
            <v>103500</v>
          </cell>
          <cell r="S14">
            <v>0</v>
          </cell>
          <cell r="T14">
            <v>103500</v>
          </cell>
        </row>
        <row r="15"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2300</v>
          </cell>
          <cell r="R15">
            <v>0</v>
          </cell>
          <cell r="S15">
            <v>0</v>
          </cell>
          <cell r="T15">
            <v>0</v>
          </cell>
        </row>
        <row r="16">
          <cell r="D16">
            <v>52621.67</v>
          </cell>
          <cell r="E16">
            <v>54063.19</v>
          </cell>
          <cell r="F16">
            <v>59248.85</v>
          </cell>
          <cell r="G16">
            <v>55944.17</v>
          </cell>
          <cell r="H16">
            <v>57060.58</v>
          </cell>
          <cell r="I16">
            <v>55849.9</v>
          </cell>
          <cell r="J16">
            <v>53440.49</v>
          </cell>
          <cell r="K16">
            <v>57126</v>
          </cell>
          <cell r="L16">
            <v>55790</v>
          </cell>
          <cell r="M16">
            <v>55902.1</v>
          </cell>
          <cell r="N16">
            <v>55268.94</v>
          </cell>
          <cell r="O16">
            <v>61028.19</v>
          </cell>
          <cell r="P16">
            <v>501144.85000000003</v>
          </cell>
          <cell r="Q16">
            <v>2310</v>
          </cell>
          <cell r="R16">
            <v>766500</v>
          </cell>
          <cell r="S16">
            <v>0</v>
          </cell>
          <cell r="T16">
            <v>766500</v>
          </cell>
        </row>
        <row r="17"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2400</v>
          </cell>
          <cell r="R17">
            <v>0</v>
          </cell>
          <cell r="S17">
            <v>0</v>
          </cell>
          <cell r="T17">
            <v>0</v>
          </cell>
        </row>
        <row r="18">
          <cell r="F18">
            <v>100</v>
          </cell>
          <cell r="J18">
            <v>29860</v>
          </cell>
          <cell r="K18">
            <v>-29860</v>
          </cell>
          <cell r="M18">
            <v>0</v>
          </cell>
          <cell r="N18">
            <v>45081.9</v>
          </cell>
          <cell r="O18">
            <v>29992.5</v>
          </cell>
          <cell r="P18">
            <v>100</v>
          </cell>
          <cell r="Q18">
            <v>2500</v>
          </cell>
          <cell r="R18">
            <v>0</v>
          </cell>
          <cell r="S18">
            <v>0</v>
          </cell>
          <cell r="T18">
            <v>0</v>
          </cell>
        </row>
        <row r="19">
          <cell r="E19">
            <v>604</v>
          </cell>
          <cell r="M19">
            <v>0</v>
          </cell>
          <cell r="N19">
            <v>0</v>
          </cell>
          <cell r="O19">
            <v>607.32000000000005</v>
          </cell>
          <cell r="P19">
            <v>604</v>
          </cell>
          <cell r="Q19">
            <v>3000</v>
          </cell>
          <cell r="R19">
            <v>0</v>
          </cell>
          <cell r="S19">
            <v>0</v>
          </cell>
          <cell r="T19">
            <v>0</v>
          </cell>
        </row>
        <row r="20"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3100</v>
          </cell>
          <cell r="R20">
            <v>0</v>
          </cell>
          <cell r="S20">
            <v>0</v>
          </cell>
          <cell r="T20">
            <v>0</v>
          </cell>
        </row>
        <row r="21">
          <cell r="D21">
            <v>1457.08</v>
          </cell>
          <cell r="E21">
            <v>861.92</v>
          </cell>
          <cell r="J21">
            <v>397.56</v>
          </cell>
          <cell r="L21">
            <v>857</v>
          </cell>
          <cell r="M21">
            <v>0</v>
          </cell>
          <cell r="N21">
            <v>5156.6099999999997</v>
          </cell>
          <cell r="O21">
            <v>8598.06</v>
          </cell>
          <cell r="P21">
            <v>3573.56</v>
          </cell>
          <cell r="Q21">
            <v>3200</v>
          </cell>
          <cell r="R21">
            <v>0</v>
          </cell>
          <cell r="S21">
            <v>0</v>
          </cell>
          <cell r="T21">
            <v>0</v>
          </cell>
        </row>
        <row r="22">
          <cell r="M22">
            <v>0</v>
          </cell>
          <cell r="N22">
            <v>0</v>
          </cell>
          <cell r="O22">
            <v>4053.72</v>
          </cell>
          <cell r="P22">
            <v>0</v>
          </cell>
          <cell r="Q22">
            <v>4000</v>
          </cell>
          <cell r="R22">
            <v>0</v>
          </cell>
          <cell r="S22">
            <v>0</v>
          </cell>
          <cell r="T22">
            <v>0</v>
          </cell>
        </row>
        <row r="23">
          <cell r="D23">
            <v>10088.1</v>
          </cell>
          <cell r="E23">
            <v>20257</v>
          </cell>
          <cell r="F23">
            <v>3951.42</v>
          </cell>
          <cell r="G23">
            <v>8479.33</v>
          </cell>
          <cell r="H23">
            <v>20189.43</v>
          </cell>
          <cell r="I23">
            <v>12611.89</v>
          </cell>
          <cell r="J23">
            <v>29425.14</v>
          </cell>
          <cell r="K23">
            <v>5986</v>
          </cell>
          <cell r="L23">
            <v>4069</v>
          </cell>
          <cell r="M23">
            <v>11631.01</v>
          </cell>
          <cell r="N23">
            <v>21909.48</v>
          </cell>
          <cell r="O23">
            <v>6873.97</v>
          </cell>
          <cell r="P23">
            <v>115057.31</v>
          </cell>
          <cell r="Q23">
            <v>5000</v>
          </cell>
          <cell r="R23">
            <v>321500</v>
          </cell>
          <cell r="S23">
            <v>0</v>
          </cell>
          <cell r="T23">
            <v>321500</v>
          </cell>
        </row>
        <row r="24">
          <cell r="D24">
            <v>6289.34</v>
          </cell>
          <cell r="E24">
            <v>3051.48</v>
          </cell>
          <cell r="F24">
            <v>5455.95</v>
          </cell>
          <cell r="G24">
            <v>14212.57</v>
          </cell>
          <cell r="H24">
            <v>7305.57</v>
          </cell>
          <cell r="I24">
            <v>20569.5</v>
          </cell>
          <cell r="J24">
            <v>9339.06</v>
          </cell>
          <cell r="K24">
            <v>20979.120000000003</v>
          </cell>
          <cell r="L24">
            <v>8394</v>
          </cell>
          <cell r="M24">
            <v>55361.13</v>
          </cell>
          <cell r="N24">
            <v>8092.79</v>
          </cell>
          <cell r="O24">
            <v>32807.51</v>
          </cell>
          <cell r="P24">
            <v>95596.59</v>
          </cell>
          <cell r="Q24">
            <v>5200</v>
          </cell>
          <cell r="R24">
            <v>783700</v>
          </cell>
          <cell r="S24">
            <v>0</v>
          </cell>
          <cell r="T24">
            <v>783700</v>
          </cell>
        </row>
        <row r="25">
          <cell r="E25">
            <v>63.6</v>
          </cell>
          <cell r="F25">
            <v>273.47000000000003</v>
          </cell>
          <cell r="H25">
            <v>562.29999999999995</v>
          </cell>
          <cell r="M25">
            <v>250</v>
          </cell>
          <cell r="N25">
            <v>0</v>
          </cell>
          <cell r="O25">
            <v>0</v>
          </cell>
          <cell r="P25">
            <v>899.37</v>
          </cell>
          <cell r="Q25">
            <v>5400</v>
          </cell>
          <cell r="R25">
            <v>1800</v>
          </cell>
          <cell r="S25">
            <v>0</v>
          </cell>
          <cell r="T25">
            <v>1800</v>
          </cell>
        </row>
        <row r="26">
          <cell r="D26">
            <v>1002.66</v>
          </cell>
          <cell r="E26">
            <v>861.11</v>
          </cell>
          <cell r="F26">
            <v>830.76</v>
          </cell>
          <cell r="G26">
            <v>836.93</v>
          </cell>
          <cell r="H26">
            <v>888.91</v>
          </cell>
          <cell r="I26">
            <v>1227.83</v>
          </cell>
          <cell r="J26">
            <v>1791.48</v>
          </cell>
          <cell r="K26">
            <v>1541</v>
          </cell>
          <cell r="L26">
            <v>952</v>
          </cell>
          <cell r="M26">
            <v>4261.66</v>
          </cell>
          <cell r="N26">
            <v>1365.12</v>
          </cell>
          <cell r="O26">
            <v>1113.9100000000001</v>
          </cell>
          <cell r="P26">
            <v>9932.68</v>
          </cell>
          <cell r="Q26">
            <v>5600</v>
          </cell>
          <cell r="R26">
            <v>12000</v>
          </cell>
          <cell r="S26">
            <v>0</v>
          </cell>
          <cell r="T26">
            <v>12000</v>
          </cell>
        </row>
        <row r="27"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5799</v>
          </cell>
          <cell r="R27">
            <v>0</v>
          </cell>
          <cell r="S27">
            <v>0</v>
          </cell>
          <cell r="T27">
            <v>0</v>
          </cell>
        </row>
        <row r="28">
          <cell r="D28">
            <v>40.81</v>
          </cell>
          <cell r="F28">
            <v>346.81</v>
          </cell>
          <cell r="J28">
            <v>255</v>
          </cell>
          <cell r="K28">
            <v>288</v>
          </cell>
          <cell r="L28">
            <v>7450</v>
          </cell>
          <cell r="M28">
            <v>1673.9</v>
          </cell>
          <cell r="N28">
            <v>0</v>
          </cell>
          <cell r="O28">
            <v>15098.26</v>
          </cell>
          <cell r="P28">
            <v>8380.6200000000008</v>
          </cell>
          <cell r="Q28">
            <v>6000</v>
          </cell>
          <cell r="R28">
            <v>10300</v>
          </cell>
          <cell r="S28">
            <v>0</v>
          </cell>
          <cell r="T28">
            <v>10300</v>
          </cell>
        </row>
        <row r="29"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6200</v>
          </cell>
          <cell r="R29">
            <v>0</v>
          </cell>
          <cell r="S29">
            <v>0</v>
          </cell>
          <cell r="T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6600</v>
          </cell>
          <cell r="R30">
            <v>0</v>
          </cell>
          <cell r="S30">
            <v>0</v>
          </cell>
          <cell r="T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6800</v>
          </cell>
          <cell r="R31">
            <v>5100</v>
          </cell>
          <cell r="S31">
            <v>0</v>
          </cell>
          <cell r="T31">
            <v>5100</v>
          </cell>
        </row>
        <row r="32">
          <cell r="E32">
            <v>-27.55</v>
          </cell>
          <cell r="F32">
            <v>-22.32</v>
          </cell>
          <cell r="G32">
            <v>-290</v>
          </cell>
          <cell r="I32">
            <v>-0.01</v>
          </cell>
          <cell r="K32">
            <v>0</v>
          </cell>
          <cell r="L32">
            <v>381</v>
          </cell>
          <cell r="M32">
            <v>214.21</v>
          </cell>
          <cell r="N32">
            <v>-6.99</v>
          </cell>
          <cell r="O32">
            <v>181.66</v>
          </cell>
          <cell r="P32">
            <v>41.120000000000005</v>
          </cell>
          <cell r="Q32">
            <v>7000</v>
          </cell>
          <cell r="R32">
            <v>0</v>
          </cell>
          <cell r="S32">
            <v>0</v>
          </cell>
          <cell r="T32">
            <v>0</v>
          </cell>
        </row>
      </sheetData>
      <sheetData sheetId="1" refreshError="1">
        <row r="7">
          <cell r="D7">
            <v>38900</v>
          </cell>
          <cell r="E7">
            <v>33800</v>
          </cell>
          <cell r="F7">
            <v>37200</v>
          </cell>
          <cell r="G7">
            <v>35500</v>
          </cell>
          <cell r="H7">
            <v>38900</v>
          </cell>
          <cell r="I7">
            <v>35500</v>
          </cell>
          <cell r="J7">
            <v>37200</v>
          </cell>
          <cell r="K7">
            <v>38900</v>
          </cell>
          <cell r="L7">
            <v>33800</v>
          </cell>
          <cell r="M7">
            <v>38900</v>
          </cell>
          <cell r="N7">
            <v>37200</v>
          </cell>
          <cell r="O7">
            <v>35200</v>
          </cell>
        </row>
        <row r="8">
          <cell r="D8">
            <v>2100</v>
          </cell>
          <cell r="E8">
            <v>1800</v>
          </cell>
          <cell r="F8">
            <v>2000</v>
          </cell>
          <cell r="G8">
            <v>1900</v>
          </cell>
          <cell r="H8">
            <v>2100</v>
          </cell>
          <cell r="I8">
            <v>1900</v>
          </cell>
          <cell r="J8">
            <v>2000</v>
          </cell>
          <cell r="K8">
            <v>2100</v>
          </cell>
          <cell r="L8">
            <v>1800</v>
          </cell>
          <cell r="M8">
            <v>2100</v>
          </cell>
          <cell r="N8">
            <v>2000</v>
          </cell>
          <cell r="O8">
            <v>2200</v>
          </cell>
        </row>
        <row r="9">
          <cell r="F9">
            <v>197000</v>
          </cell>
          <cell r="I9">
            <v>197000</v>
          </cell>
          <cell r="L9">
            <v>197000</v>
          </cell>
          <cell r="O9">
            <v>197000</v>
          </cell>
        </row>
        <row r="10">
          <cell r="D10">
            <v>8300</v>
          </cell>
          <cell r="E10">
            <v>8300</v>
          </cell>
          <cell r="F10">
            <v>8400</v>
          </cell>
          <cell r="G10">
            <v>8300</v>
          </cell>
          <cell r="H10">
            <v>8300</v>
          </cell>
          <cell r="I10">
            <v>8400</v>
          </cell>
          <cell r="J10">
            <v>8300</v>
          </cell>
          <cell r="K10">
            <v>8300</v>
          </cell>
          <cell r="L10">
            <v>8400</v>
          </cell>
          <cell r="M10">
            <v>8300</v>
          </cell>
          <cell r="N10">
            <v>8300</v>
          </cell>
          <cell r="O10">
            <v>8400</v>
          </cell>
        </row>
        <row r="11">
          <cell r="D11">
            <v>14800</v>
          </cell>
          <cell r="E11">
            <v>12800</v>
          </cell>
          <cell r="F11">
            <v>14100</v>
          </cell>
          <cell r="G11">
            <v>13500</v>
          </cell>
          <cell r="H11">
            <v>14800</v>
          </cell>
          <cell r="I11">
            <v>13500</v>
          </cell>
          <cell r="J11">
            <v>14100</v>
          </cell>
          <cell r="K11">
            <v>14800</v>
          </cell>
          <cell r="L11">
            <v>12800</v>
          </cell>
          <cell r="M11">
            <v>14800</v>
          </cell>
          <cell r="N11">
            <v>14100</v>
          </cell>
          <cell r="O11">
            <v>13500</v>
          </cell>
        </row>
        <row r="14">
          <cell r="D14">
            <v>8600</v>
          </cell>
          <cell r="E14">
            <v>8600</v>
          </cell>
          <cell r="F14">
            <v>8600</v>
          </cell>
          <cell r="G14">
            <v>8600</v>
          </cell>
          <cell r="H14">
            <v>8600</v>
          </cell>
          <cell r="I14">
            <v>8600</v>
          </cell>
          <cell r="J14">
            <v>8600</v>
          </cell>
          <cell r="K14">
            <v>8600</v>
          </cell>
          <cell r="L14">
            <v>8600</v>
          </cell>
          <cell r="M14">
            <v>8600</v>
          </cell>
          <cell r="N14">
            <v>8600</v>
          </cell>
          <cell r="O14">
            <v>8900</v>
          </cell>
        </row>
        <row r="16">
          <cell r="D16">
            <v>63900</v>
          </cell>
          <cell r="E16">
            <v>63900</v>
          </cell>
          <cell r="F16">
            <v>63900</v>
          </cell>
          <cell r="G16">
            <v>63800</v>
          </cell>
          <cell r="H16">
            <v>63900</v>
          </cell>
          <cell r="I16">
            <v>63800</v>
          </cell>
          <cell r="J16">
            <v>63900</v>
          </cell>
          <cell r="K16">
            <v>63900</v>
          </cell>
          <cell r="L16">
            <v>63800</v>
          </cell>
          <cell r="M16">
            <v>63900</v>
          </cell>
          <cell r="N16">
            <v>63900</v>
          </cell>
          <cell r="O16">
            <v>63900</v>
          </cell>
        </row>
        <row r="23">
          <cell r="D23">
            <v>26800</v>
          </cell>
          <cell r="E23">
            <v>26800</v>
          </cell>
          <cell r="F23">
            <v>26800</v>
          </cell>
          <cell r="G23">
            <v>26800</v>
          </cell>
          <cell r="H23">
            <v>26800</v>
          </cell>
          <cell r="I23">
            <v>26700</v>
          </cell>
          <cell r="J23">
            <v>26800</v>
          </cell>
          <cell r="K23">
            <v>26800</v>
          </cell>
          <cell r="L23">
            <v>26800</v>
          </cell>
          <cell r="M23">
            <v>26800</v>
          </cell>
          <cell r="N23">
            <v>26800</v>
          </cell>
          <cell r="O23">
            <v>26800</v>
          </cell>
        </row>
        <row r="24">
          <cell r="D24">
            <v>71000</v>
          </cell>
          <cell r="E24">
            <v>71000</v>
          </cell>
          <cell r="F24">
            <v>71000</v>
          </cell>
          <cell r="G24">
            <v>65000</v>
          </cell>
          <cell r="H24">
            <v>65000</v>
          </cell>
          <cell r="I24">
            <v>65000</v>
          </cell>
          <cell r="J24">
            <v>75000</v>
          </cell>
          <cell r="K24">
            <v>75000</v>
          </cell>
          <cell r="L24">
            <v>75000</v>
          </cell>
          <cell r="M24">
            <v>50200</v>
          </cell>
          <cell r="N24">
            <v>50200</v>
          </cell>
          <cell r="O24">
            <v>50300</v>
          </cell>
        </row>
        <row r="25">
          <cell r="D25">
            <v>200</v>
          </cell>
          <cell r="E25">
            <v>100</v>
          </cell>
          <cell r="F25">
            <v>100</v>
          </cell>
          <cell r="G25">
            <v>200</v>
          </cell>
          <cell r="H25">
            <v>200</v>
          </cell>
          <cell r="I25">
            <v>100</v>
          </cell>
          <cell r="J25">
            <v>200</v>
          </cell>
          <cell r="K25">
            <v>200</v>
          </cell>
          <cell r="L25">
            <v>100</v>
          </cell>
          <cell r="M25">
            <v>200</v>
          </cell>
          <cell r="N25">
            <v>100</v>
          </cell>
          <cell r="O25">
            <v>100</v>
          </cell>
        </row>
        <row r="26">
          <cell r="D26">
            <v>1000</v>
          </cell>
          <cell r="E26">
            <v>1000</v>
          </cell>
          <cell r="F26">
            <v>1000</v>
          </cell>
          <cell r="G26">
            <v>1000</v>
          </cell>
          <cell r="H26">
            <v>1000</v>
          </cell>
          <cell r="I26">
            <v>1000</v>
          </cell>
          <cell r="J26">
            <v>1000</v>
          </cell>
          <cell r="K26">
            <v>1000</v>
          </cell>
          <cell r="L26">
            <v>1000</v>
          </cell>
          <cell r="M26">
            <v>1000</v>
          </cell>
          <cell r="N26">
            <v>1000</v>
          </cell>
          <cell r="O26">
            <v>1000</v>
          </cell>
        </row>
        <row r="28">
          <cell r="D28">
            <v>900</v>
          </cell>
          <cell r="E28">
            <v>900</v>
          </cell>
          <cell r="F28">
            <v>800</v>
          </cell>
          <cell r="G28">
            <v>900</v>
          </cell>
          <cell r="H28">
            <v>900</v>
          </cell>
          <cell r="I28">
            <v>800</v>
          </cell>
          <cell r="J28">
            <v>900</v>
          </cell>
          <cell r="K28">
            <v>900</v>
          </cell>
          <cell r="L28">
            <v>800</v>
          </cell>
          <cell r="M28">
            <v>900</v>
          </cell>
          <cell r="N28">
            <v>900</v>
          </cell>
          <cell r="O28">
            <v>700</v>
          </cell>
        </row>
        <row r="31">
          <cell r="D31">
            <v>400</v>
          </cell>
          <cell r="E31">
            <v>400</v>
          </cell>
          <cell r="F31">
            <v>500</v>
          </cell>
          <cell r="G31">
            <v>400</v>
          </cell>
          <cell r="H31">
            <v>400</v>
          </cell>
          <cell r="I31">
            <v>500</v>
          </cell>
          <cell r="J31">
            <v>400</v>
          </cell>
          <cell r="K31">
            <v>400</v>
          </cell>
          <cell r="L31">
            <v>400</v>
          </cell>
          <cell r="M31">
            <v>400</v>
          </cell>
          <cell r="N31">
            <v>400</v>
          </cell>
          <cell r="O31">
            <v>500</v>
          </cell>
        </row>
      </sheetData>
      <sheetData sheetId="2" refreshError="1">
        <row r="7">
          <cell r="E7">
            <v>2542.6999999999998</v>
          </cell>
          <cell r="F7">
            <v>749.81999999999994</v>
          </cell>
          <cell r="G7">
            <v>1568.19</v>
          </cell>
          <cell r="H7">
            <v>1200.43</v>
          </cell>
          <cell r="I7">
            <v>225.06</v>
          </cell>
          <cell r="J7">
            <v>2582.1699999999996</v>
          </cell>
          <cell r="K7">
            <v>1034</v>
          </cell>
          <cell r="L7">
            <v>563</v>
          </cell>
          <cell r="M7">
            <v>0</v>
          </cell>
          <cell r="N7">
            <v>204</v>
          </cell>
          <cell r="O7">
            <v>1896.58</v>
          </cell>
          <cell r="P7">
            <v>10465.369999999999</v>
          </cell>
          <cell r="Q7">
            <v>1210</v>
          </cell>
          <cell r="R7">
            <v>0</v>
          </cell>
          <cell r="S7">
            <v>0</v>
          </cell>
          <cell r="T7">
            <v>0</v>
          </cell>
        </row>
        <row r="8">
          <cell r="K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1220</v>
          </cell>
          <cell r="R8">
            <v>0</v>
          </cell>
          <cell r="S8">
            <v>0</v>
          </cell>
          <cell r="T8">
            <v>0</v>
          </cell>
        </row>
        <row r="9"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1230</v>
          </cell>
          <cell r="R9">
            <v>0</v>
          </cell>
          <cell r="S9">
            <v>0</v>
          </cell>
          <cell r="T9">
            <v>0</v>
          </cell>
        </row>
        <row r="10"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1240</v>
          </cell>
          <cell r="R10">
            <v>0</v>
          </cell>
          <cell r="S10">
            <v>0</v>
          </cell>
          <cell r="T10">
            <v>0</v>
          </cell>
        </row>
        <row r="11">
          <cell r="F11">
            <v>2099.08</v>
          </cell>
          <cell r="G11">
            <v>-892.26</v>
          </cell>
          <cell r="H11">
            <v>-109.9</v>
          </cell>
          <cell r="I11">
            <v>98.449999999999989</v>
          </cell>
          <cell r="J11">
            <v>1452.74</v>
          </cell>
          <cell r="K11">
            <v>330</v>
          </cell>
          <cell r="L11">
            <v>259</v>
          </cell>
          <cell r="M11">
            <v>0</v>
          </cell>
          <cell r="N11">
            <v>119.16</v>
          </cell>
          <cell r="O11">
            <v>1458.14</v>
          </cell>
          <cell r="P11">
            <v>3237.1099999999997</v>
          </cell>
          <cell r="Q11">
            <v>1299</v>
          </cell>
          <cell r="R11">
            <v>0</v>
          </cell>
          <cell r="S11">
            <v>0</v>
          </cell>
          <cell r="T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1610</v>
          </cell>
          <cell r="R12">
            <v>0</v>
          </cell>
          <cell r="S12">
            <v>0</v>
          </cell>
          <cell r="T12">
            <v>0</v>
          </cell>
        </row>
        <row r="13"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1700</v>
          </cell>
          <cell r="R13">
            <v>0</v>
          </cell>
          <cell r="S13">
            <v>0</v>
          </cell>
          <cell r="T13">
            <v>0</v>
          </cell>
        </row>
        <row r="14">
          <cell r="F14">
            <v>296.39999999999998</v>
          </cell>
          <cell r="G14">
            <v>61.4</v>
          </cell>
          <cell r="H14">
            <v>-61.4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296.39999999999998</v>
          </cell>
          <cell r="Q14">
            <v>2000</v>
          </cell>
          <cell r="R14">
            <v>0</v>
          </cell>
          <cell r="S14">
            <v>0</v>
          </cell>
          <cell r="T14">
            <v>0</v>
          </cell>
        </row>
        <row r="15"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2300</v>
          </cell>
          <cell r="R15">
            <v>0</v>
          </cell>
          <cell r="S15">
            <v>0</v>
          </cell>
          <cell r="T15">
            <v>0</v>
          </cell>
        </row>
        <row r="16"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2310</v>
          </cell>
          <cell r="R16">
            <v>0</v>
          </cell>
          <cell r="S16">
            <v>0</v>
          </cell>
          <cell r="T16">
            <v>0</v>
          </cell>
        </row>
        <row r="17"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2400</v>
          </cell>
          <cell r="R17">
            <v>0</v>
          </cell>
          <cell r="S17">
            <v>0</v>
          </cell>
          <cell r="T17">
            <v>0</v>
          </cell>
        </row>
        <row r="18">
          <cell r="K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2500</v>
          </cell>
          <cell r="R18">
            <v>0</v>
          </cell>
          <cell r="S18">
            <v>0</v>
          </cell>
          <cell r="T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3000</v>
          </cell>
          <cell r="R19">
            <v>0</v>
          </cell>
          <cell r="S19">
            <v>0</v>
          </cell>
          <cell r="T19">
            <v>0</v>
          </cell>
        </row>
        <row r="20"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3100</v>
          </cell>
          <cell r="R20">
            <v>0</v>
          </cell>
          <cell r="S20">
            <v>0</v>
          </cell>
          <cell r="T20">
            <v>0</v>
          </cell>
        </row>
        <row r="21">
          <cell r="L21">
            <v>151</v>
          </cell>
          <cell r="M21">
            <v>0</v>
          </cell>
          <cell r="N21">
            <v>0</v>
          </cell>
          <cell r="O21">
            <v>0</v>
          </cell>
          <cell r="P21">
            <v>151</v>
          </cell>
          <cell r="Q21">
            <v>3200</v>
          </cell>
          <cell r="R21">
            <v>0</v>
          </cell>
          <cell r="S21">
            <v>0</v>
          </cell>
          <cell r="T21">
            <v>0</v>
          </cell>
        </row>
        <row r="22"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4000</v>
          </cell>
          <cell r="R22">
            <v>0</v>
          </cell>
          <cell r="S22">
            <v>0</v>
          </cell>
          <cell r="T22">
            <v>0</v>
          </cell>
        </row>
        <row r="23"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5000</v>
          </cell>
          <cell r="R23">
            <v>0</v>
          </cell>
          <cell r="S23">
            <v>0</v>
          </cell>
          <cell r="T23">
            <v>0</v>
          </cell>
        </row>
        <row r="24">
          <cell r="D24">
            <v>4196</v>
          </cell>
          <cell r="E24">
            <v>4989</v>
          </cell>
          <cell r="F24">
            <v>6530.83</v>
          </cell>
          <cell r="G24">
            <v>-111.26</v>
          </cell>
          <cell r="H24">
            <v>2678.3</v>
          </cell>
          <cell r="I24">
            <v>4104.66</v>
          </cell>
          <cell r="J24">
            <v>2203.0300000000002</v>
          </cell>
          <cell r="K24">
            <v>2519</v>
          </cell>
          <cell r="L24">
            <v>6677</v>
          </cell>
          <cell r="M24">
            <v>5295.13</v>
          </cell>
          <cell r="N24">
            <v>2500.63</v>
          </cell>
          <cell r="O24">
            <v>4765.9399999999996</v>
          </cell>
          <cell r="P24">
            <v>33786.559999999998</v>
          </cell>
          <cell r="Q24">
            <v>5200</v>
          </cell>
          <cell r="R24">
            <v>8000</v>
          </cell>
          <cell r="S24">
            <v>0</v>
          </cell>
          <cell r="T24">
            <v>8000</v>
          </cell>
        </row>
        <row r="25"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5400</v>
          </cell>
          <cell r="R25">
            <v>0</v>
          </cell>
          <cell r="S25">
            <v>0</v>
          </cell>
          <cell r="T25">
            <v>0</v>
          </cell>
        </row>
        <row r="26"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5600</v>
          </cell>
          <cell r="R26">
            <v>0</v>
          </cell>
          <cell r="S26">
            <v>0</v>
          </cell>
          <cell r="T26">
            <v>0</v>
          </cell>
        </row>
        <row r="27"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5799</v>
          </cell>
          <cell r="R27">
            <v>0</v>
          </cell>
          <cell r="S27">
            <v>0</v>
          </cell>
          <cell r="T27">
            <v>0</v>
          </cell>
        </row>
        <row r="28">
          <cell r="F28">
            <v>320.14</v>
          </cell>
          <cell r="K28">
            <v>4</v>
          </cell>
          <cell r="M28">
            <v>0</v>
          </cell>
          <cell r="N28">
            <v>0</v>
          </cell>
          <cell r="O28">
            <v>0</v>
          </cell>
          <cell r="P28">
            <v>324.14</v>
          </cell>
          <cell r="Q28">
            <v>6000</v>
          </cell>
          <cell r="R28">
            <v>0</v>
          </cell>
          <cell r="S28">
            <v>0</v>
          </cell>
          <cell r="T28">
            <v>0</v>
          </cell>
        </row>
        <row r="29"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6200</v>
          </cell>
          <cell r="R29">
            <v>0</v>
          </cell>
          <cell r="S29">
            <v>0</v>
          </cell>
          <cell r="T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6600</v>
          </cell>
          <cell r="R30">
            <v>0</v>
          </cell>
          <cell r="S30">
            <v>0</v>
          </cell>
          <cell r="T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6800</v>
          </cell>
          <cell r="R31">
            <v>0</v>
          </cell>
          <cell r="S31">
            <v>0</v>
          </cell>
          <cell r="T31">
            <v>0</v>
          </cell>
        </row>
        <row r="32">
          <cell r="E32">
            <v>28</v>
          </cell>
          <cell r="F32">
            <v>22.32</v>
          </cell>
          <cell r="H32">
            <v>712.53</v>
          </cell>
          <cell r="L32">
            <v>5</v>
          </cell>
          <cell r="M32">
            <v>0</v>
          </cell>
          <cell r="N32">
            <v>-0.02</v>
          </cell>
          <cell r="O32">
            <v>7.8</v>
          </cell>
          <cell r="P32">
            <v>767.85</v>
          </cell>
          <cell r="Q32">
            <v>7000</v>
          </cell>
          <cell r="R32">
            <v>0</v>
          </cell>
          <cell r="S32">
            <v>0</v>
          </cell>
          <cell r="T32">
            <v>0</v>
          </cell>
        </row>
      </sheetData>
      <sheetData sheetId="3" refreshError="1">
        <row r="24">
          <cell r="F24">
            <v>4000</v>
          </cell>
          <cell r="L24">
            <v>4000</v>
          </cell>
        </row>
      </sheetData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IP - April 23, 2004"/>
      <sheetName val="#REF"/>
    </sheetNames>
    <sheetDataSet>
      <sheetData sheetId="0" refreshError="1"/>
      <sheetData sheetId="1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A - 1"/>
      <sheetName val="A - 2"/>
      <sheetName val="A - 2.1"/>
      <sheetName val="A - 3"/>
      <sheetName val="A - 4"/>
      <sheetName val="A - 5a"/>
      <sheetName val="A - 5b"/>
      <sheetName val="WPA - 5a"/>
      <sheetName val="WPA - 5b"/>
      <sheetName val="B - 1"/>
      <sheetName val="WPB - 1"/>
      <sheetName val="B - 2"/>
      <sheetName val="B - 2.1"/>
      <sheetName val="WPB - 2.1a"/>
      <sheetName val="WPB - 2.1b"/>
      <sheetName val="B - 2.2"/>
      <sheetName val="WPB - 2.2a"/>
      <sheetName val="WPB - 2.2b"/>
      <sheetName val="WPB - 2.2c"/>
      <sheetName val="WPB - 2.2d"/>
      <sheetName val="B - 2.3"/>
      <sheetName val="WPB - 2.3"/>
      <sheetName val="B - 2.4"/>
      <sheetName val="WPB - 2.4a"/>
      <sheetName val="WPB - 2.4b"/>
      <sheetName val="B - 3"/>
      <sheetName val="B - 4"/>
      <sheetName val="B - 5"/>
      <sheetName val="WPB - 5"/>
      <sheetName val="B - 6a"/>
      <sheetName val="B - 6b"/>
      <sheetName val="B - 7"/>
      <sheetName val="WPB - 7"/>
      <sheetName val="B - 7.1"/>
      <sheetName val="B - 7.2a"/>
      <sheetName val="B - 7.2b"/>
      <sheetName val="B - 8"/>
      <sheetName val="B - 8.1"/>
      <sheetName val="WPB - 8.1a"/>
      <sheetName val="WPB - 8.1b"/>
      <sheetName val="B - 9"/>
      <sheetName val="WPB - 9a"/>
      <sheetName val="WPB - 9b"/>
      <sheetName val="B - 9.1"/>
      <sheetName val="B - 13"/>
      <sheetName val="WPB - 13a"/>
      <sheetName val="WPB - 13b"/>
      <sheetName val="WPB - 13c"/>
      <sheetName val="B - 14"/>
      <sheetName val="WPB - 14"/>
      <sheetName val="C - 1"/>
      <sheetName val="C - 2"/>
      <sheetName val="C - 2.1"/>
      <sheetName val="WPC - 2.1"/>
      <sheetName val="C - 2.2"/>
      <sheetName val="C - 2.3"/>
      <sheetName val="WPC - 2.3a"/>
      <sheetName val="WPC - 2.3b"/>
      <sheetName val="C - 2.4"/>
      <sheetName val="WPC - 2.4"/>
      <sheetName val="C - 2.5"/>
      <sheetName val="WPC - 2.5"/>
      <sheetName val="C - 2.6"/>
      <sheetName val="WPC - 2.6"/>
      <sheetName val="C - 2.7"/>
      <sheetName val="WPC - 2.7"/>
      <sheetName val="C - 2.8"/>
      <sheetName val="WPC - 2.8"/>
      <sheetName val="C - 2.9"/>
      <sheetName val="C - 2.10"/>
      <sheetName val="C - 2.x"/>
      <sheetName val="C - 2.12"/>
      <sheetName val="WPC - 2.12a"/>
      <sheetName val="WPC - 2.12b"/>
      <sheetName val="C - 2.13"/>
      <sheetName val="WPC - 2.13a"/>
      <sheetName val="WPC - 2.13b"/>
      <sheetName val="WPC - 2.13c"/>
      <sheetName val="C - 2.14"/>
      <sheetName val="C - 2.15"/>
      <sheetName val="WPC - 2.15a"/>
      <sheetName val="WPC - 2.15b"/>
      <sheetName val="WPC - 2.15c"/>
      <sheetName val="C - 2.16"/>
      <sheetName val="WPC - 2.16"/>
      <sheetName val="C - 2.17"/>
      <sheetName val="WPC - 2.17a"/>
      <sheetName val="WPC - 2.17b"/>
      <sheetName val="C - 2.18"/>
      <sheetName val="C - 2.19"/>
      <sheetName val="C - 2.20"/>
      <sheetName val="WPC - 2.20"/>
      <sheetName val="C - 2.21"/>
      <sheetName val="WPC - 2.21a"/>
      <sheetName val="WPC - 2.21b"/>
      <sheetName val="WPC - 2.21c"/>
      <sheetName val="C - 3"/>
      <sheetName val="C - 4"/>
      <sheetName val="WPC - 4"/>
      <sheetName val="C - 5"/>
      <sheetName val="C - 5b"/>
      <sheetName val="C - 5.1"/>
      <sheetName val="C - 5.2"/>
      <sheetName val="C - 5.3"/>
      <sheetName val="C - 5.4"/>
      <sheetName val="WPC - 5.4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 - 10"/>
      <sheetName val="C - 10.1"/>
      <sheetName val="C - 11.1"/>
      <sheetName val="WPC - 11.1"/>
      <sheetName val="C - 11.2a"/>
      <sheetName val="C - 11.2b"/>
      <sheetName val="C-11.2c"/>
      <sheetName val="C-11.2d"/>
      <sheetName val="C - 11.2e"/>
      <sheetName val="C - 11.2f"/>
      <sheetName val="C - 11.2g"/>
      <sheetName val="C - 11.2h"/>
      <sheetName val="C - 11.3"/>
      <sheetName val="WPC - 11.3"/>
      <sheetName val="C - 12"/>
      <sheetName val="WPC - 12a"/>
      <sheetName val="WPC - 12b"/>
      <sheetName val="C - 13"/>
      <sheetName val="C - 14"/>
      <sheetName val="WPC - 14"/>
      <sheetName val="C - 16"/>
      <sheetName val="C-17a"/>
      <sheetName val="C-17b"/>
      <sheetName val="C-17c"/>
      <sheetName val="C-17d"/>
      <sheetName val="C - 18"/>
      <sheetName val="WPC - 18a"/>
      <sheetName val="WPC - 18b"/>
      <sheetName val="C - 19"/>
      <sheetName val="C - 21"/>
      <sheetName val="C - 23"/>
      <sheetName val="WPC - 23"/>
      <sheetName val="C - 25"/>
      <sheetName val="C - 26"/>
      <sheetName val="Print Macro Creat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st"/>
      <sheetName val="East"/>
      <sheetName val="Exhibit - No Fossil"/>
      <sheetName val="Exhibit"/>
      <sheetName val="Ratio Summary"/>
      <sheetName val="SAS Results"/>
      <sheetName val="SAP Results"/>
      <sheetName val="CBPP Summary"/>
      <sheetName val="SMRP Results"/>
      <sheetName val="SPBP Results"/>
      <sheetName val="BU Transl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I5" t="str">
            <v>BSC</v>
          </cell>
          <cell r="J5">
            <v>7368378</v>
          </cell>
        </row>
        <row r="6">
          <cell r="I6" t="str">
            <v>EDSS</v>
          </cell>
          <cell r="J6">
            <v>234284</v>
          </cell>
        </row>
        <row r="7">
          <cell r="I7" t="str">
            <v>ComEd</v>
          </cell>
          <cell r="J7">
            <v>80255</v>
          </cell>
        </row>
        <row r="8">
          <cell r="I8" t="str">
            <v>Genco - Power Labs</v>
          </cell>
          <cell r="J8">
            <v>31006</v>
          </cell>
        </row>
        <row r="9">
          <cell r="I9" t="str">
            <v>Genco - Corporate</v>
          </cell>
          <cell r="J9">
            <v>381287</v>
          </cell>
        </row>
        <row r="10">
          <cell r="I10" t="str">
            <v>Genco - Fossil</v>
          </cell>
          <cell r="J10">
            <v>7463518</v>
          </cell>
        </row>
        <row r="11">
          <cell r="I11" t="str">
            <v>Genco - Nuclear</v>
          </cell>
          <cell r="J11">
            <v>11594885</v>
          </cell>
        </row>
        <row r="12">
          <cell r="I12" t="str">
            <v>Genco - New England</v>
          </cell>
          <cell r="J12">
            <v>517450</v>
          </cell>
        </row>
        <row r="13">
          <cell r="I13" t="str">
            <v>PECO</v>
          </cell>
          <cell r="J13">
            <v>33941975</v>
          </cell>
        </row>
        <row r="14">
          <cell r="I14" t="str">
            <v>Genco - Power Team</v>
          </cell>
          <cell r="J14">
            <v>172526</v>
          </cell>
        </row>
        <row r="15">
          <cell r="I15" t="str">
            <v>Genco - Hydro</v>
          </cell>
          <cell r="J15">
            <v>230641</v>
          </cell>
        </row>
        <row r="16">
          <cell r="I16" t="str">
            <v>Genco - TXU</v>
          </cell>
          <cell r="J16">
            <v>358029</v>
          </cell>
        </row>
        <row r="19">
          <cell r="I19" t="str">
            <v>BSC</v>
          </cell>
          <cell r="J19">
            <v>4050946</v>
          </cell>
        </row>
        <row r="20">
          <cell r="I20" t="str">
            <v>ComEd</v>
          </cell>
          <cell r="J20">
            <v>9404397</v>
          </cell>
        </row>
        <row r="21">
          <cell r="I21" t="str">
            <v>Genco - Corporate</v>
          </cell>
          <cell r="J21">
            <v>2500286</v>
          </cell>
        </row>
        <row r="22">
          <cell r="I22" t="str">
            <v>Genco - Fossil</v>
          </cell>
          <cell r="J22">
            <v>335831</v>
          </cell>
        </row>
        <row r="23">
          <cell r="I23" t="str">
            <v>Genco - Nuclear</v>
          </cell>
          <cell r="J23">
            <v>6074967</v>
          </cell>
        </row>
        <row r="24">
          <cell r="I24" t="str">
            <v>Genco - New England</v>
          </cell>
          <cell r="J24">
            <v>9582</v>
          </cell>
        </row>
        <row r="25">
          <cell r="I25" t="str">
            <v>Genco - NRG</v>
          </cell>
          <cell r="J25">
            <v>25848</v>
          </cell>
        </row>
      </sheetData>
      <sheetData sheetId="8" refreshError="1">
        <row r="28">
          <cell r="H28" t="str">
            <v>BSC</v>
          </cell>
          <cell r="I28">
            <v>618908</v>
          </cell>
        </row>
        <row r="29">
          <cell r="H29" t="str">
            <v>Genco - Corporate</v>
          </cell>
          <cell r="I29">
            <v>36265</v>
          </cell>
        </row>
        <row r="30">
          <cell r="H30" t="str">
            <v>Genco - Fossil</v>
          </cell>
          <cell r="I30">
            <v>62294</v>
          </cell>
        </row>
        <row r="31">
          <cell r="H31" t="str">
            <v>Genco - Nuclear</v>
          </cell>
          <cell r="I31">
            <v>120114</v>
          </cell>
        </row>
        <row r="32">
          <cell r="H32" t="str">
            <v>Genco - New England</v>
          </cell>
          <cell r="I32">
            <v>0</v>
          </cell>
        </row>
        <row r="33">
          <cell r="H33" t="str">
            <v>PECO</v>
          </cell>
          <cell r="I33">
            <v>404131</v>
          </cell>
        </row>
        <row r="34">
          <cell r="H34" t="str">
            <v>Genco - Power Team</v>
          </cell>
          <cell r="I34">
            <v>14296</v>
          </cell>
        </row>
        <row r="37">
          <cell r="H37" t="str">
            <v>BSC</v>
          </cell>
          <cell r="I37">
            <v>10038941</v>
          </cell>
        </row>
        <row r="38">
          <cell r="H38" t="str">
            <v>ComEd</v>
          </cell>
          <cell r="I38">
            <v>12623949</v>
          </cell>
        </row>
        <row r="39">
          <cell r="H39" t="str">
            <v>Genco - Corporate</v>
          </cell>
          <cell r="I39">
            <v>4131295</v>
          </cell>
        </row>
        <row r="40">
          <cell r="H40" t="str">
            <v>Genco - Fossil</v>
          </cell>
          <cell r="I40">
            <v>29858</v>
          </cell>
        </row>
        <row r="41">
          <cell r="H41" t="str">
            <v>Genco - Nuclear</v>
          </cell>
          <cell r="I41">
            <v>2318033</v>
          </cell>
        </row>
        <row r="42">
          <cell r="H42" t="str">
            <v>Genco - NRG</v>
          </cell>
          <cell r="I42">
            <v>30990</v>
          </cell>
        </row>
        <row r="43">
          <cell r="H43" t="str">
            <v>PECO</v>
          </cell>
          <cell r="I43">
            <v>1151740</v>
          </cell>
        </row>
      </sheetData>
      <sheetData sheetId="9"/>
      <sheetData sheetId="10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Declarations"/>
      <sheetName val="Report Specific Functions"/>
      <sheetName val="Report Template Module"/>
      <sheetName val="REPORT1"/>
      <sheetName val="REPORT1.xlr"/>
    </sheetNames>
    <definedNames>
      <definedName name="Choose_Prefs"/>
      <definedName name="Refresh_Repor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ction Data"/>
      <sheetName val="Auction Report"/>
      <sheetName val="Payment Memo"/>
      <sheetName val="DR_Form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A - 1"/>
      <sheetName val="A - 2"/>
      <sheetName val="A - 2.1"/>
      <sheetName val="A - 3"/>
      <sheetName val="A - 4"/>
      <sheetName val="A - 5a"/>
      <sheetName val="A - 5b"/>
      <sheetName val="WPA - 5"/>
      <sheetName val="WPA - 5a"/>
      <sheetName val="WPA - 5b"/>
      <sheetName val="B - 1"/>
      <sheetName val="WPB - 1"/>
      <sheetName val="B - 2"/>
      <sheetName val="B - 2.1"/>
      <sheetName val="WPB - 2.1a"/>
      <sheetName val="WPB - 2.1b"/>
      <sheetName val="WPB - 2.1c"/>
      <sheetName val="WPB - 2.1d"/>
      <sheetName val="WPB - 2.1e"/>
      <sheetName val="B - 3"/>
      <sheetName val="B - 4"/>
      <sheetName val="WPB - 4"/>
      <sheetName val="B - 5"/>
      <sheetName val="WPB - 5"/>
      <sheetName val="B - 6a"/>
      <sheetName val="B - 6b"/>
      <sheetName val="B - 7.2a"/>
      <sheetName val="B - 7.2b"/>
      <sheetName val="B - 8"/>
      <sheetName val="B - 8.1"/>
      <sheetName val="WPB-8.1asub"/>
      <sheetName val="WPB - 8.1a"/>
      <sheetName val="WPB - 8.1b"/>
      <sheetName val="WPB - 8.1c"/>
      <sheetName val="B - 9"/>
      <sheetName val="B-9sub"/>
      <sheetName val="WPB - 9a"/>
      <sheetName val="WPB - 9b"/>
      <sheetName val="B - 9.1"/>
      <sheetName val="B - 13"/>
      <sheetName val="WPB - 13"/>
      <sheetName val="B - 14"/>
      <sheetName val="WPB - 14"/>
      <sheetName val="C - 1"/>
      <sheetName val="C - 2"/>
      <sheetName val="C - 2 sub"/>
      <sheetName val="C - 2.1"/>
      <sheetName val="WPC - 2.1"/>
      <sheetName val="C - 2.2"/>
      <sheetName val="C - 2.3"/>
      <sheetName val="WPC - 2.3a"/>
      <sheetName val="WPC - 2.3b"/>
      <sheetName val="C - 2.4"/>
      <sheetName val="WPC - 2.4"/>
      <sheetName val="C - 2.5"/>
      <sheetName val="WPC - 2.5"/>
      <sheetName val="C - 2.6"/>
      <sheetName val="WPC - 2.6a"/>
      <sheetName val="WPC - 2.6b"/>
      <sheetName val="C - 2.7"/>
      <sheetName val="WPC - 2.7"/>
      <sheetName val="WPC - 2.7a"/>
      <sheetName val="WPC - 2.7b"/>
      <sheetName val="WPC - 2.7c"/>
      <sheetName val="WPC - 2.7d"/>
      <sheetName val="WPC - 2.7e"/>
      <sheetName val="C-2.8"/>
      <sheetName val="C - 2.9"/>
      <sheetName val="C - 2.10"/>
      <sheetName val="C - 2.11"/>
      <sheetName val="WPC - 2.11"/>
      <sheetName val="C - 2.12"/>
      <sheetName val="WPC-2.12"/>
      <sheetName val="C - 2.13"/>
      <sheetName val="C - 2.14"/>
      <sheetName val="WPC - 2.14"/>
      <sheetName val="C - 2.15"/>
      <sheetName val="WPC - 2.15a"/>
      <sheetName val="WPC - 2.15b"/>
      <sheetName val="C - 2.16"/>
      <sheetName val="C - 3"/>
      <sheetName val="C - 4"/>
      <sheetName val="WPC-4"/>
      <sheetName val="WPC - 4dup"/>
      <sheetName val="C - 5"/>
      <sheetName val="C - 5.1"/>
      <sheetName val="C - 5.2"/>
      <sheetName val="C - 5.3"/>
      <sheetName val="C - 5.4"/>
      <sheetName val="WPC - 5.4"/>
      <sheetName val="C - 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 - 10"/>
      <sheetName val="C - 10.1"/>
      <sheetName val="C - 11.1"/>
      <sheetName val="WPC - 11.1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3"/>
      <sheetName val="WPC - 11.3a"/>
      <sheetName val="WPC - 11.3b"/>
      <sheetName val="WPC - 11.3c"/>
      <sheetName val="WPC - 11.3d"/>
      <sheetName val="C - 12"/>
      <sheetName val="WPC-12"/>
      <sheetName val="C - 13a"/>
      <sheetName val="C - 13b"/>
      <sheetName val="C - 14"/>
      <sheetName val="WPC - 14"/>
      <sheetName val="C - 16"/>
      <sheetName val="WPC - 16"/>
      <sheetName val="C - 17a"/>
      <sheetName val="C - 17b"/>
      <sheetName val="C - 17c"/>
      <sheetName val="C - 17d"/>
      <sheetName val="C - 18"/>
      <sheetName val="WPC - 18a"/>
      <sheetName val="WPC - 18b"/>
      <sheetName val="WPC - 18c"/>
      <sheetName val="C - 19"/>
      <sheetName val="C-21"/>
      <sheetName val="C - 23"/>
      <sheetName val="WPC - 23"/>
      <sheetName val="C - 25"/>
      <sheetName val="C - 31"/>
    </sheetNames>
    <sheetDataSet>
      <sheetData sheetId="0" refreshError="1">
        <row r="159">
          <cell r="C159" t="str">
            <v>AmerenCILCO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A - 1"/>
      <sheetName val="A - 2"/>
      <sheetName val="A - 2.1"/>
      <sheetName val="A - 3"/>
      <sheetName val="A - 4"/>
      <sheetName val="A - 5a"/>
      <sheetName val="A - 5b"/>
      <sheetName val="WPA - 5a"/>
      <sheetName val="WPA - 5b"/>
      <sheetName val="WPA - 5c"/>
      <sheetName val="B - 1"/>
      <sheetName val="WPB - 1"/>
      <sheetName val="B - 2"/>
      <sheetName val="B - 2.1"/>
      <sheetName val="B - 2.2"/>
      <sheetName val="WPB - 2.2"/>
      <sheetName val="B - 2.3"/>
      <sheetName val="WPB - 2.1b"/>
      <sheetName val="WPB - 2.1c"/>
      <sheetName val="WPB - 2.1d"/>
      <sheetName val="WPB - 2.1e"/>
      <sheetName val="B - 3a"/>
      <sheetName val="B - 3b"/>
      <sheetName val="WPB - 4"/>
      <sheetName val="B - 4"/>
      <sheetName val="B - 5"/>
      <sheetName val="WPB - 5a"/>
      <sheetName val="WPB - 5b"/>
      <sheetName val="WPB - 5c"/>
      <sheetName val="B - 5.2"/>
      <sheetName val="B - 6"/>
      <sheetName val="WPB - 6a"/>
      <sheetName val="WPB - 6b"/>
      <sheetName val="WPB - 7.2UEC"/>
      <sheetName val="B - 7.2a"/>
      <sheetName val="B - 7.2b"/>
      <sheetName val="Workpaper"/>
      <sheetName val="B - 8"/>
      <sheetName val="B - 8.1"/>
      <sheetName val="WPB - 8.1a"/>
      <sheetName val="WPB - 8.1b"/>
      <sheetName val="B - 9"/>
      <sheetName val="WPB - 9a"/>
      <sheetName val="WPB - 9b"/>
      <sheetName val="B - 9.1"/>
      <sheetName val="B - 13"/>
      <sheetName val="WPB - 13a"/>
      <sheetName val="WPB - 13b"/>
      <sheetName val="WPB - 13c"/>
      <sheetName val="B - 14"/>
      <sheetName val="WPB - 14"/>
      <sheetName val="C - 1"/>
      <sheetName val="C - 2"/>
      <sheetName val="C - 2.1"/>
      <sheetName val="WPC - 2.1"/>
      <sheetName val="C - 2.2"/>
      <sheetName val="C - 2.3"/>
      <sheetName val="WPC - 2.3a"/>
      <sheetName val="WPC - 2.3b"/>
      <sheetName val="C - 2.4"/>
      <sheetName val="WPC - 2.4"/>
      <sheetName val="C - 2.5"/>
      <sheetName val="WPC - 2.5a"/>
      <sheetName val="WPC - 2.5b"/>
      <sheetName val="C - 2.6"/>
      <sheetName val="WPC - 2.6"/>
      <sheetName val="C - 2.7"/>
      <sheetName val="WPC - 2.7"/>
      <sheetName val="C - 2.8"/>
      <sheetName val="WPC - 2.8"/>
      <sheetName val="C - 2.9"/>
      <sheetName val="C - 2.10"/>
      <sheetName val="C - 2.11"/>
      <sheetName val="WPC - 2.11"/>
      <sheetName val="C - 2.12"/>
      <sheetName val="C - 2.14"/>
      <sheetName val="WPC - 2.14"/>
      <sheetName val="C - 2.15"/>
      <sheetName val="WPC - 2.15a"/>
      <sheetName val="WPC - 2.15b"/>
      <sheetName val="C - 2.16"/>
      <sheetName val="C - 2.6 NOT USED"/>
      <sheetName val="WPC - 2.6a NOT USED"/>
      <sheetName val="C - 2.18"/>
      <sheetName val="WPC - 2.18a"/>
      <sheetName val="WPC - 2.18b"/>
      <sheetName val="C - 2.20"/>
      <sheetName val="WPC - 2.15"/>
      <sheetName val="C - 3"/>
      <sheetName val="WPC - 3a"/>
      <sheetName val="WPC - 3b"/>
      <sheetName val="C - 4"/>
      <sheetName val="WPC - 4a"/>
      <sheetName val="WPC - 4b"/>
      <sheetName val="WPC - 4c"/>
      <sheetName val="WPC - 4d"/>
      <sheetName val="WPC - 5a"/>
      <sheetName val="WPC - 5b"/>
      <sheetName val="C - 5"/>
      <sheetName val="C - 5b"/>
      <sheetName val="C - 5.1"/>
      <sheetName val="C - 5.2"/>
      <sheetName val="C - 5.3"/>
      <sheetName val="C - 5.4"/>
      <sheetName val="WPC - 5.4"/>
      <sheetName val="C - 5.5"/>
      <sheetName val="WPC - 5.5"/>
      <sheetName val="C - 6"/>
      <sheetName val="WPC - 6"/>
      <sheetName val="C - 6.1"/>
      <sheetName val="WPC - 6.1"/>
      <sheetName val="C - 6.2"/>
      <sheetName val="C - 7"/>
      <sheetName val="WPC - 7"/>
      <sheetName val="C - 8"/>
      <sheetName val="WPC - 8"/>
      <sheetName val="C - 9"/>
      <sheetName val="WPC - 9"/>
      <sheetName val="C - 10"/>
      <sheetName val="WPC - 10"/>
      <sheetName val="C - 10.1"/>
      <sheetName val="C - 11.1"/>
      <sheetName val="WPC - 11.1a"/>
      <sheetName val="WPC - 11.1b"/>
      <sheetName val="WPC - 11.1c"/>
      <sheetName val="WPC - 11.1d"/>
      <sheetName val="C - 11.2a 2001"/>
      <sheetName val="C - 11.2b 2002"/>
      <sheetName val="C - 11.2a"/>
      <sheetName val="C - 11.2b"/>
      <sheetName val="C - 11.2e 2001"/>
      <sheetName val="C - 11.2f 2002"/>
      <sheetName val="C - 11.2c"/>
      <sheetName val="C - 11.2d"/>
      <sheetName val="C - 11.2e"/>
      <sheetName val="C - 11.2f"/>
      <sheetName val="C - 11.2i 2001"/>
      <sheetName val="C - 11.2j 2002"/>
      <sheetName val="C - 11.2g"/>
      <sheetName val="C - 11.2h"/>
      <sheetName val="C - 11.2m 2001"/>
      <sheetName val="C - 11.2n 2002"/>
      <sheetName val="C - 11.3"/>
      <sheetName val="WPC - 11.3a"/>
      <sheetName val="WPC - 11.3b"/>
      <sheetName val="C - 12"/>
      <sheetName val="WPC - 12a"/>
      <sheetName val="WPC - 12b"/>
      <sheetName val="WPC - 12c"/>
      <sheetName val="C - 13"/>
      <sheetName val="C - 14"/>
      <sheetName val="WPC - 14a"/>
      <sheetName val="WPC - 14b"/>
      <sheetName val="C - 16"/>
      <sheetName val="C - 17a"/>
      <sheetName val="C - 17b"/>
      <sheetName val="C - 17c"/>
      <sheetName val="C - 17d"/>
      <sheetName val="C - 17 - 2002"/>
      <sheetName val="C - 17 - 2001"/>
      <sheetName val="WPC - 18c1"/>
      <sheetName val="C - 18"/>
      <sheetName val="WPC - 18a"/>
      <sheetName val="WPC - 18b"/>
      <sheetName val="WPC - 18c"/>
      <sheetName val="WPC - 18d"/>
      <sheetName val="WPC - 18e"/>
      <sheetName val="WPC - 18f"/>
      <sheetName val="C - 19"/>
      <sheetName val="C - 21"/>
      <sheetName val="WPC - 21"/>
      <sheetName val="WPC - 21b"/>
      <sheetName val="C - 23"/>
      <sheetName val="WPC - 23a"/>
      <sheetName val="WPC - 23b"/>
      <sheetName val="WPC - 23c"/>
      <sheetName val="C - 25"/>
      <sheetName val="C - 26"/>
    </sheetNames>
    <sheetDataSet>
      <sheetData sheetId="0">
        <row r="186">
          <cell r="C186" t="str">
            <v>AmerenCIPS</v>
          </cell>
        </row>
        <row r="187">
          <cell r="C187" t="str">
            <v>AmerenUE Illinois</v>
          </cell>
        </row>
        <row r="190">
          <cell r="C190" t="str">
            <v>($000s)</v>
          </cell>
        </row>
        <row r="192">
          <cell r="C192" t="str">
            <v>As Of December 31,</v>
          </cell>
        </row>
        <row r="193">
          <cell r="C193" t="str">
            <v>As of December 31, 2006</v>
          </cell>
        </row>
        <row r="194">
          <cell r="C194" t="str">
            <v>For the Twelve Months Ended December 31,</v>
          </cell>
        </row>
        <row r="195">
          <cell r="C195" t="str">
            <v>For the Twelve Months Ended December 31, 2006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Sch A-1"/>
      <sheetName val="Sch A-2"/>
      <sheetName val="Sch A-2.1"/>
      <sheetName val="Sch A-3"/>
      <sheetName val="Sch A-4"/>
      <sheetName val="Sch A-5 RB"/>
      <sheetName val="Sch A-5 Exp"/>
      <sheetName val="WPA-5"/>
      <sheetName val="WPA - 5b"/>
      <sheetName val="WPA-5.2"/>
      <sheetName val="Sch B-1"/>
      <sheetName val="Sch B-2"/>
      <sheetName val="Sch B-2.1"/>
      <sheetName val="Sch B-2.2"/>
      <sheetName val="WPB-2.2a"/>
      <sheetName val="WPB-2.2b"/>
      <sheetName val="Sch B-2.3"/>
      <sheetName val="WPB-2.3"/>
      <sheetName val="Sch B-2.4"/>
      <sheetName val="WPB-2.4"/>
      <sheetName val="Sch B-2.5"/>
      <sheetName val="WPB-2.5a"/>
      <sheetName val="Sch B-2.6"/>
      <sheetName val="WPB-2.6"/>
      <sheetName val="Sch B-3"/>
      <sheetName val="Sch B-4"/>
      <sheetName val="Sch B-5"/>
      <sheetName val="WPB-5"/>
      <sheetName val="Sch B-5.1"/>
      <sheetName val="Sch B-6"/>
      <sheetName val="Sch B-7.2"/>
      <sheetName val="Sch B-7.2a"/>
      <sheetName val="Sch B-8"/>
      <sheetName val="Sch B-8.1"/>
      <sheetName val="WPB-8.1a"/>
      <sheetName val="Sch B-9"/>
      <sheetName val="WPB-9"/>
      <sheetName val="WPB-9a"/>
      <sheetName val="WPB-9b"/>
      <sheetName val="Sch B-9.1"/>
      <sheetName val="Sch B-13"/>
      <sheetName val="WPB-13a"/>
      <sheetName val="Sch B-14"/>
      <sheetName val="Sch C-1"/>
      <sheetName val="Sch C-2"/>
      <sheetName val="Sch C-2.1"/>
      <sheetName val="WPC-2.1"/>
      <sheetName val="Sch C-2.2"/>
      <sheetName val="WPC-2.2"/>
      <sheetName val="Sch C-2.3"/>
      <sheetName val="WPC-2.3"/>
      <sheetName val="WPC-2.3.3 Annualized Detail"/>
      <sheetName val="Sch C-2.4"/>
      <sheetName val="Sch C-2.5"/>
      <sheetName val="WPC-2.5"/>
      <sheetName val="Sch C-2.6"/>
      <sheetName val="WPC-2.6"/>
      <sheetName val="Sch C-2.7"/>
      <sheetName val="Sch C-2.8"/>
      <sheetName val="Sch C-2.9"/>
      <sheetName val="Sch C-2.10"/>
      <sheetName val="WPC-2.10"/>
      <sheetName val="Sch C-2.11"/>
      <sheetName val="WPC-2.11"/>
      <sheetName val="Sch C-2.12"/>
      <sheetName val="WPC-2.12"/>
      <sheetName val="Sch C-2.13"/>
      <sheetName val="WPC-2.13"/>
      <sheetName val="Sch C-2.14"/>
      <sheetName val="WPC-2.14"/>
      <sheetName val="WPC-2.14a"/>
      <sheetName val="Sch C-2.15"/>
      <sheetName val="Sch C-2.16"/>
      <sheetName val="Sch C-2.17"/>
      <sheetName val="Sch C-2.18"/>
      <sheetName val="Sch C-2.19"/>
      <sheetName val="WPC-2.19"/>
      <sheetName val="Sch C-2.20"/>
      <sheetName val="WPC-2.20"/>
      <sheetName val="Sch C-2.21"/>
      <sheetName val="WPC-2.21"/>
      <sheetName val="Sch C-2.22"/>
      <sheetName val="Sch C-2.23"/>
      <sheetName val="WPC-2.23"/>
      <sheetName val="Sch C-2.24"/>
      <sheetName val="Sch C-3"/>
      <sheetName val="Sch C-4"/>
      <sheetName val="WPC-4"/>
      <sheetName val="Sch C-5a"/>
      <sheetName val="Sch C-5b"/>
      <sheetName val="Sch C-5.1"/>
      <sheetName val="Sch C-5.2"/>
      <sheetName val="Sch C-5.3"/>
      <sheetName val="Sch C-5.4"/>
      <sheetName val="WPC-5.4"/>
      <sheetName val="Sch C-6"/>
      <sheetName val="Sch C-6.1"/>
      <sheetName val="Sch C-6.2"/>
      <sheetName val="Sch C-7"/>
      <sheetName val="Schedule C-7"/>
      <sheetName val="Sch C-8"/>
      <sheetName val="Sch C-9"/>
      <sheetName val="Sch C-10"/>
      <sheetName val="WPC-10"/>
      <sheetName val="Sch C-10.1"/>
      <sheetName val="Sch C-11.1"/>
      <sheetName val="WPC-11.1"/>
      <sheetName val="WPC-11.1a"/>
      <sheetName val="Sch C-11.2a"/>
      <sheetName val="Sch C-11.2b"/>
      <sheetName val="Sch C-11.2c"/>
      <sheetName val="Sch C-11.2d"/>
      <sheetName val="Sch C-11.2e"/>
      <sheetName val="Sch C-11.2f"/>
      <sheetName val="Sch C-11.2g"/>
      <sheetName val="Sch C-11.2h"/>
      <sheetName val="Sch C-11.3"/>
      <sheetName val="WPC-11.3"/>
      <sheetName val="WPC-11.3a"/>
      <sheetName val="WPC-11.3b"/>
      <sheetName val="WPC-11.3c"/>
      <sheetName val="Sch C-12"/>
      <sheetName val="WPC-12"/>
      <sheetName val="Sch C-13"/>
      <sheetName val="Sch C-14"/>
      <sheetName val="WPC-14"/>
      <sheetName val="Sch C-16 OLD-Replaced 12.12.05"/>
      <sheetName val="WPC-16a"/>
      <sheetName val="Sch C-16"/>
      <sheetName val="Sch C-17 2004"/>
      <sheetName val="Sch C-17 2004 to Sept"/>
      <sheetName val="Sch C-17 2003"/>
      <sheetName val="Sch C-17 2002"/>
      <sheetName val="Sch C-17 2001"/>
      <sheetName val="Sch C-18"/>
      <sheetName val="WPC-18a"/>
      <sheetName val="WPC-18b"/>
      <sheetName val="WPC-18c"/>
      <sheetName val="Sch C-19"/>
      <sheetName val="Sch C-21"/>
      <sheetName val="Sch C-22"/>
      <sheetName val="Sch C-23"/>
      <sheetName val="WPC-23"/>
      <sheetName val="Sch C-25"/>
      <sheetName val="Sch C-26"/>
      <sheetName val="Sch C-29"/>
      <sheetName val="Sch C-31"/>
      <sheetName val="Sch C-32"/>
      <sheetName val="WPA-5.1.4 Func Factors"/>
      <sheetName val="WPB-1 Cust Adv"/>
      <sheetName val="WPB-2.2.3"/>
      <sheetName val="WPB-2.4.2 Int Plt Gross - AMS"/>
      <sheetName val="WPB-2.4.3 Int Plt Reserve - AMS"/>
      <sheetName val="WPB-2.4.4 Int Plt Net - AMS"/>
      <sheetName val="WPB-2.4.5 Gen Plt Gross -AMS"/>
      <sheetName val="WPB-2.4.6 Gen Plt Reserve - AMS"/>
      <sheetName val="WPB-2.4.7 Gen Plt Net - AMS"/>
      <sheetName val="Sch B-5.2 Merged or Acq Prop"/>
      <sheetName val="Sch B-5.3 Leased Prop"/>
      <sheetName val="Sch B-7 CWIP"/>
      <sheetName val="Sch B-7.1 CWIP % Complete"/>
      <sheetName val="WPB-8.1b"/>
      <sheetName val="Construction"/>
      <sheetName val="GPROD"/>
      <sheetName val="ETRANS"/>
      <sheetName val="GTRANS"/>
      <sheetName val="EDISTR"/>
      <sheetName val="GDISTR"/>
      <sheetName val="DistrMisc"/>
      <sheetName val="Other"/>
      <sheetName val="Sch B-10 Def Charges"/>
      <sheetName val="Sch B-11 PHFFU"/>
      <sheetName val="Sch B-12 Analysis of PHFFU"/>
      <sheetName val="WPC-2.2.2"/>
      <sheetName val="WPC-2.2.3"/>
      <sheetName val="WPC-2.2.4"/>
      <sheetName val="WPC-2.2.5"/>
      <sheetName val="WPC-2.2.6"/>
      <sheetName val="WPC-2.2.7"/>
      <sheetName val="WPC-2.3.4 IP 04-05"/>
      <sheetName val="WPC-2.3.5 IP 05-05"/>
      <sheetName val="WPC-2.3.6 IP 06-05"/>
      <sheetName val="WPC-2.3.6 IP 07-05"/>
      <sheetName val="WPC-2.8"/>
      <sheetName val="WPC-2.13.3"/>
      <sheetName val="WPC-2.13.4"/>
      <sheetName val="WPC-2.13.5"/>
      <sheetName val="WPC-2.13.6"/>
      <sheetName val="WPC-2.13.7"/>
      <sheetName val="WPC-2.13.8"/>
      <sheetName val="WPC-2.13.9"/>
      <sheetName val="WPC-2.13.10"/>
      <sheetName val="WPC-2.13.11"/>
      <sheetName val="WPC-2.13.12"/>
      <sheetName val="WPC-2.22"/>
      <sheetName val="Sch C-5.5 ITC &amp; Job Dev. Cr"/>
      <sheetName val="WPC-6.1"/>
      <sheetName val="WPC-6.1 2004"/>
      <sheetName val="WPC-6.1 2003"/>
      <sheetName val="WPC-6.1 2002"/>
      <sheetName val="WPC-6.1 2001"/>
      <sheetName val="WPC-6.2"/>
      <sheetName val="Sheet2"/>
      <sheetName val="WPC-7"/>
      <sheetName val="WPC-8"/>
      <sheetName val="WPC-9"/>
      <sheetName val="Sch 11.4 Recon Est Ovrhd"/>
      <sheetName val="WPC-13.1 Affl Int Trans"/>
      <sheetName val="WPC-14a"/>
      <sheetName val="WPC-14b"/>
      <sheetName val="WPC-14c"/>
      <sheetName val="WPC-14d"/>
      <sheetName val="WPC-14e"/>
      <sheetName val="Sch C-15 Major Maint Proj"/>
      <sheetName val="WPC-16"/>
      <sheetName val="WPC-18b Accr Prop Tax"/>
      <sheetName val="WPC-18a 2004"/>
      <sheetName val="Sch C-18a Oth Tx 2003"/>
      <sheetName val="WPC-18a 2003"/>
      <sheetName val="Sch C-18a Oth Tx 2002"/>
      <sheetName val="WPC-18a Oth Tx 2002"/>
      <sheetName val="WPC-18a 2001"/>
      <sheetName val="Sch C-20 Local Tx"/>
      <sheetName val="Sch C-24 Legal Exp &amp; Res"/>
      <sheetName val="WPC-25"/>
      <sheetName val="Sch C-27 Fuel Adj Rev &amp; Exp"/>
      <sheetName val="Sch C-28 Fuel Transp Exp"/>
      <sheetName val="Sch C-30 PGA Rev &amp; Exp"/>
      <sheetName val="Sch C-33 Billing Exper"/>
      <sheetName val="Common"/>
      <sheetName val="Allocators"/>
      <sheetName val="C-6 Social and Svc Club Dues"/>
      <sheetName val="Schedule C-6.1"/>
      <sheetName val="WPC-6.1  2003"/>
      <sheetName val="WPC-6.1   2002"/>
      <sheetName val="WPC-6.1   2001"/>
      <sheetName val="Schedule C-6.2"/>
      <sheetName val="Schedule C-8"/>
      <sheetName val="Schedule C-11.1"/>
      <sheetName val="WPC-11.1b"/>
      <sheetName val="WPC-11.3d"/>
      <sheetName val="Sch C-17"/>
      <sheetName val="Schedule C-18a 2004"/>
      <sheetName val="Schedule C-18b 2003"/>
      <sheetName val="Schedule C-18c 2002"/>
      <sheetName val="Schedule C-18d 2001"/>
      <sheetName val="Schedule C-18e Accr Prop Tax"/>
      <sheetName val="Schedule C-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 refreshError="1"/>
      <sheetData sheetId="120"/>
      <sheetData sheetId="121"/>
      <sheetData sheetId="122"/>
      <sheetData sheetId="123" refreshError="1"/>
      <sheetData sheetId="124" refreshError="1"/>
      <sheetData sheetId="125" refreshError="1"/>
      <sheetData sheetId="126"/>
      <sheetData sheetId="127" refreshError="1"/>
      <sheetData sheetId="128" refreshError="1"/>
      <sheetData sheetId="129" refreshError="1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/>
      <sheetData sheetId="143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/>
      <sheetData sheetId="200" refreshError="1"/>
      <sheetData sheetId="201" refreshError="1"/>
      <sheetData sheetId="202" refreshError="1"/>
      <sheetData sheetId="203"/>
      <sheetData sheetId="204" refreshError="1"/>
      <sheetData sheetId="205"/>
      <sheetData sheetId="206"/>
      <sheetData sheetId="207"/>
      <sheetData sheetId="208" refreshError="1"/>
      <sheetData sheetId="209" refreshError="1"/>
      <sheetData sheetId="210"/>
      <sheetData sheetId="211"/>
      <sheetData sheetId="212"/>
      <sheetData sheetId="213"/>
      <sheetData sheetId="214"/>
      <sheetData sheetId="215" refreshError="1"/>
      <sheetData sheetId="216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>
        <row r="2">
          <cell r="B2" t="str">
            <v>Ameren IP</v>
          </cell>
        </row>
        <row r="3">
          <cell r="B3" t="str">
            <v>Docket No.</v>
          </cell>
        </row>
      </sheetData>
      <sheetData sheetId="232" refreshError="1">
        <row r="7">
          <cell r="W7">
            <v>69.952500000000001</v>
          </cell>
        </row>
        <row r="18">
          <cell r="W18">
            <v>69.435000000000002</v>
          </cell>
        </row>
        <row r="20">
          <cell r="W20">
            <v>69.502499999999998</v>
          </cell>
        </row>
        <row r="22">
          <cell r="W22">
            <v>68.872500000000002</v>
          </cell>
        </row>
      </sheetData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Application of Controls"/>
      <sheetName val="Doc &amp; Chg Control Tab Sample 1"/>
      <sheetName val="Doc &amp; Chg Control Tab Sample 2"/>
      <sheetName val="Inventory Request- UPDATED"/>
      <sheetName val="Inventory Request- OLD"/>
      <sheetName val="Categories &amp; Complexity"/>
      <sheetName val="lists"/>
      <sheetName val="Assumptions - In"/>
      <sheetName val="Spreadsheet Inventory Template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A - 1"/>
      <sheetName val="A - 2"/>
      <sheetName val="A - 2.1"/>
      <sheetName val="A - 4"/>
      <sheetName val="A - 5a"/>
      <sheetName val="A - 5b"/>
      <sheetName val="WPA - 5a"/>
      <sheetName val="WPA - 5b"/>
      <sheetName val="WPA - 5c"/>
      <sheetName val="B - 1"/>
      <sheetName val="WPB - 1a"/>
      <sheetName val="WPB - 1b"/>
      <sheetName val="B - 2"/>
      <sheetName val="B - 2.1"/>
      <sheetName val="B - 2.2"/>
      <sheetName val="WPB - 2.2"/>
      <sheetName val="B - 2.3"/>
      <sheetName val="B - 2.4"/>
      <sheetName val="B-2.5"/>
      <sheetName val="WPB-2.5"/>
      <sheetName val="B - 3a"/>
      <sheetName val="B - 3b"/>
      <sheetName val="B - 4"/>
      <sheetName val="B - 5"/>
      <sheetName val="WPB - 5a"/>
      <sheetName val="WPB - 5b"/>
      <sheetName val="WPB - 5c"/>
      <sheetName val="B - 5.2"/>
      <sheetName val="B - 6a"/>
      <sheetName val="WPB - 6a"/>
      <sheetName val="B - 6b"/>
      <sheetName val="B - 7.2a"/>
      <sheetName val="B - 7.2b"/>
      <sheetName val="B - 8(alt)"/>
      <sheetName val="B - 8"/>
      <sheetName val="B - 8.1"/>
      <sheetName val="WPB - 8.1"/>
      <sheetName val="B-9"/>
      <sheetName val="WPB - 9"/>
      <sheetName val="B - 9.1"/>
      <sheetName val="B - 13"/>
      <sheetName val="WPB - 13a"/>
      <sheetName val="WPB - 13b"/>
      <sheetName val="WPB - 13c"/>
      <sheetName val="B-14"/>
      <sheetName val="WPB - 14"/>
      <sheetName val="C - 1"/>
      <sheetName val="C - 2"/>
      <sheetName val="C - 2.1"/>
      <sheetName val="C - 2.2"/>
      <sheetName val="C - 2.3"/>
      <sheetName val="C - 2.4"/>
      <sheetName val="C-2.4"/>
      <sheetName val="C-2.5"/>
      <sheetName val="C-2.6"/>
      <sheetName val="WPC-2.6a"/>
      <sheetName val="WPC-2.6b"/>
      <sheetName val="C-2.7"/>
      <sheetName val="C-2.8"/>
      <sheetName val="WPC-2.8"/>
      <sheetName val="C-2.9"/>
      <sheetName val="WPC-2.9"/>
      <sheetName val="C-2.10"/>
      <sheetName val="WPC-2.10"/>
      <sheetName val="C-2.11"/>
      <sheetName val="C-2.12"/>
      <sheetName val="C-2.13"/>
      <sheetName val="C-2.14"/>
      <sheetName val="WPC-2.14"/>
      <sheetName val="C - 3"/>
      <sheetName val="WPC - 3a"/>
      <sheetName val="WPC - 3b"/>
      <sheetName val="C - 4"/>
      <sheetName val="WPC - 4a"/>
      <sheetName val="WPC - 4b"/>
      <sheetName val="WPC - 4c"/>
      <sheetName val="C-5"/>
      <sheetName val="C - 5b"/>
      <sheetName val="C - 5.1"/>
      <sheetName val="C-5.2"/>
      <sheetName val="C-5.3"/>
      <sheetName val="C - 5.4"/>
      <sheetName val="WPC - 5.4"/>
      <sheetName val="C-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 - 10"/>
      <sheetName val="C - 10.1"/>
      <sheetName val="C - 11.1"/>
      <sheetName val="WPC - 11.1a"/>
      <sheetName val="WPC - 11.1b"/>
      <sheetName val="WPC - 11.1c"/>
      <sheetName val="WPC - 11.1d"/>
      <sheetName val="C-11.2a"/>
      <sheetName val="C-11.2b"/>
      <sheetName val="C-11.2c"/>
      <sheetName val="C-11.2d"/>
      <sheetName val="C-11.2e"/>
      <sheetName val="C-11.2f"/>
      <sheetName val="C-11.2g"/>
      <sheetName val="C-11.2h"/>
      <sheetName val="C - 11.3"/>
      <sheetName val="WPC - 11.3a"/>
      <sheetName val="WPC - 11.3b"/>
      <sheetName val="C - 12"/>
      <sheetName val="WPC - 12a"/>
      <sheetName val="WPC - 12b"/>
      <sheetName val="WPC-12c"/>
      <sheetName val="WPC - 12d"/>
      <sheetName val="C - 13"/>
      <sheetName val="C - 14"/>
      <sheetName val="WPC-14a"/>
      <sheetName val="WPC-14b"/>
      <sheetName val="C - 16"/>
      <sheetName val="C - 17a"/>
      <sheetName val="C - 17b"/>
      <sheetName val="C - 17c"/>
      <sheetName val="C - 17d"/>
      <sheetName val="C - 18"/>
      <sheetName val="WPC - 18a"/>
      <sheetName val="WPC - 18b"/>
      <sheetName val="WPC - 18c"/>
      <sheetName val="C - 19"/>
      <sheetName val="C - 21"/>
      <sheetName val="WPC - 21a"/>
      <sheetName val="WPC - 21b"/>
      <sheetName val="C - 23"/>
      <sheetName val="WPC - 23a"/>
      <sheetName val="WPC - 23b"/>
      <sheetName val="WPC - 23c"/>
      <sheetName val="WPC - 23d"/>
      <sheetName val="C - 25"/>
      <sheetName val="C - 26"/>
      <sheetName val="C - 30"/>
    </sheetNames>
    <sheetDataSet>
      <sheetData sheetId="0" refreshError="1">
        <row r="154">
          <cell r="B154" t="str">
            <v>AmerenCIPS</v>
          </cell>
        </row>
        <row r="160">
          <cell r="B160" t="str">
            <v>(000s)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A - 1"/>
      <sheetName val="A - 2"/>
      <sheetName val="A - 2.1"/>
      <sheetName val="A - 3"/>
      <sheetName val="A - 4"/>
      <sheetName val="A - 5a"/>
      <sheetName val="A - 5b"/>
      <sheetName val="WPA - 5a"/>
      <sheetName val="WPA - 5b"/>
      <sheetName val="WPA - 5c"/>
      <sheetName val="B - 1"/>
      <sheetName val="WPB - 1"/>
      <sheetName val="WPB - 1b"/>
      <sheetName val="B - 2"/>
      <sheetName val="B - 2.1"/>
      <sheetName val="B - 2.2"/>
      <sheetName val="WPB - 2.2"/>
      <sheetName val="B - 2.3"/>
      <sheetName val="B - 2.4"/>
      <sheetName val="B-2.5"/>
      <sheetName val="WPB-2.5"/>
      <sheetName val="B - 2.6"/>
      <sheetName val="B - 2.7"/>
      <sheetName val="B - 3a"/>
      <sheetName val="B - 3b"/>
      <sheetName val="B - 4"/>
      <sheetName val="B - 5"/>
      <sheetName val="WPB - 5a"/>
      <sheetName val="WPB - 5b"/>
      <sheetName val="WPB - 5c"/>
      <sheetName val="B - 5.2"/>
      <sheetName val="B - 6a"/>
      <sheetName val="WPB - 6a"/>
      <sheetName val="B - 6b"/>
      <sheetName val="B - 7.2a"/>
      <sheetName val="B - 7.2b"/>
      <sheetName val="EXH-3"/>
      <sheetName val="EXH-2"/>
      <sheetName val="EXH-1"/>
      <sheetName val="B - 8"/>
      <sheetName val="B - 8.1"/>
      <sheetName val="WPB - 8.1a"/>
      <sheetName val="WPB - 8.1b"/>
      <sheetName val="B-9"/>
      <sheetName val="WPB - 9"/>
      <sheetName val="B - 9.1"/>
      <sheetName val="B - 13"/>
      <sheetName val="WPB - 13a"/>
      <sheetName val="WPB - 13b"/>
      <sheetName val="WPB - 13c"/>
      <sheetName val="B-14"/>
      <sheetName val="WPB - 14"/>
      <sheetName val="C - 1"/>
      <sheetName val="C - 2"/>
      <sheetName val="C - 2.1"/>
      <sheetName val="C - 2.2"/>
      <sheetName val="C - 2.3"/>
      <sheetName val="C - 2.4"/>
      <sheetName val="C-2.4"/>
      <sheetName val="C-2.5"/>
      <sheetName val="C-2.6"/>
      <sheetName val="WPC-2.6a"/>
      <sheetName val="WPC-2.6b"/>
      <sheetName val="C-2.7"/>
      <sheetName val="C-2.8"/>
      <sheetName val="WPC - 2.8"/>
      <sheetName val="C-2.9"/>
      <sheetName val="WPC-2.9"/>
      <sheetName val="WPC - 2.9a"/>
      <sheetName val="WPC - 2.9b"/>
      <sheetName val="C-2.10"/>
      <sheetName val="WPC-2.10"/>
      <sheetName val="C-2.11"/>
      <sheetName val="C-2.12"/>
      <sheetName val="C-2.13"/>
      <sheetName val="C-2.14"/>
      <sheetName val="WPC-2.14"/>
      <sheetName val="C - 3"/>
      <sheetName val="WPC - 3a"/>
      <sheetName val="WPC - 3b"/>
      <sheetName val="C - 4"/>
      <sheetName val="WPC - 4a"/>
      <sheetName val="WPC - 4b"/>
      <sheetName val="WPC - 4c"/>
      <sheetName val="C-5"/>
      <sheetName val="C - 5b"/>
      <sheetName val="C - 5.1"/>
      <sheetName val="C-5.2"/>
      <sheetName val="C-5.3"/>
      <sheetName val="C - 5.4"/>
      <sheetName val="WPC - 5.4"/>
      <sheetName val="C-5.5"/>
      <sheetName val="C - 6"/>
      <sheetName val="WPC - 6"/>
      <sheetName val="C - 6.1"/>
      <sheetName val="WPC - 6.1"/>
      <sheetName val="C - 6.2"/>
      <sheetName val="C - 7"/>
      <sheetName val="WPC - 7"/>
      <sheetName val="C - 8"/>
      <sheetName val="WPC - 8"/>
      <sheetName val="C - 9"/>
      <sheetName val="C - 10"/>
      <sheetName val="WPC - 10"/>
      <sheetName val="C - 10.1"/>
      <sheetName val="C - 11.1"/>
      <sheetName val="WPC - 11.1a"/>
      <sheetName val="WPC - 11.1b"/>
      <sheetName val="WPC - 11.1c"/>
      <sheetName val="WPC - 11.1d"/>
      <sheetName val="C-11.2a"/>
      <sheetName val="C-11.2b"/>
      <sheetName val="C-11.2c"/>
      <sheetName val="C-11.2d"/>
      <sheetName val="C-11.2e"/>
      <sheetName val="C-11.2f"/>
      <sheetName val="C-11.2g"/>
      <sheetName val="C-11.2h"/>
      <sheetName val="C - 11.3"/>
      <sheetName val="WPC - 11.3a"/>
      <sheetName val="WPC - 11.3b"/>
      <sheetName val="C - 12"/>
      <sheetName val="WPC - 12a"/>
      <sheetName val="WPC - 12b"/>
      <sheetName val="WPC - 12c"/>
      <sheetName val="WPC-12c"/>
      <sheetName val="WPC - 12d"/>
      <sheetName val="C - 13"/>
      <sheetName val="C - 14"/>
      <sheetName val="WPC-14a"/>
      <sheetName val="WPC-14b"/>
      <sheetName val="C - 16"/>
      <sheetName val="C - 17a"/>
      <sheetName val="C - 17b"/>
      <sheetName val="C - 17c"/>
      <sheetName val="C - 17d"/>
      <sheetName val="C - 18"/>
      <sheetName val="WPC - 18a"/>
      <sheetName val="WPC - 18b"/>
      <sheetName val="WPC - 18c"/>
      <sheetName val="C - 19"/>
      <sheetName val="C - 21"/>
      <sheetName val="WPC - 21a"/>
      <sheetName val="WPC - 21b"/>
      <sheetName val="C - 23"/>
      <sheetName val="WPC - 23a"/>
      <sheetName val="WPC - 23b"/>
      <sheetName val="WPC - 23c"/>
      <sheetName val="WPC - 23d"/>
      <sheetName val="C - 25"/>
      <sheetName val="C - 26"/>
      <sheetName val="C - 30"/>
    </sheetNames>
    <sheetDataSet>
      <sheetData sheetId="0">
        <row r="170">
          <cell r="B170" t="str">
            <v>AmerenCIPS</v>
          </cell>
        </row>
        <row r="171">
          <cell r="B171" t="str">
            <v>AmerenUE Illinois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A - 1"/>
      <sheetName val="A - 2"/>
      <sheetName val="A - 2.1"/>
      <sheetName val="A - 4"/>
      <sheetName val="A - 5a"/>
      <sheetName val="A - 5b"/>
      <sheetName val="WPA - 5a"/>
      <sheetName val="WPA - 5b"/>
      <sheetName val="B - 1"/>
      <sheetName val="WPB-1.1"/>
      <sheetName val="WPB-1.2"/>
      <sheetName val="B  - 2"/>
      <sheetName val="B - 2.1"/>
      <sheetName val="B - 2.2"/>
      <sheetName val="B - 3"/>
      <sheetName val="B - 4"/>
      <sheetName val="B - 5"/>
      <sheetName val="B - 6a"/>
      <sheetName val="B - 6b"/>
      <sheetName val="B - 7.2a"/>
      <sheetName val="B - 7.2b"/>
      <sheetName val="B - 8 (alt)"/>
      <sheetName val="B - 8"/>
      <sheetName val="B - 8.1"/>
      <sheetName val="WPB - 8.1"/>
      <sheetName val="B - 9"/>
      <sheetName val="WPB - 9"/>
      <sheetName val="B - 13"/>
      <sheetName val="WPB - 13a"/>
      <sheetName val="WPB - 13b"/>
      <sheetName val="WPB - 13c"/>
      <sheetName val="2003 - B - 13"/>
      <sheetName val="2003 - WPB - 13"/>
      <sheetName val="B - 14"/>
      <sheetName val="WPB - 14"/>
      <sheetName val="C - 1"/>
      <sheetName val="C - 2"/>
      <sheetName val="C - 2.1"/>
      <sheetName val="C - 2.2"/>
      <sheetName val="C - 2.3"/>
      <sheetName val="C - 2.4moot"/>
      <sheetName val="C-2.4"/>
      <sheetName val="C-2.5"/>
      <sheetName val="C-2.6"/>
      <sheetName val="WPC-2.6a"/>
      <sheetName val="WPC-2.6b"/>
      <sheetName val="C-2.7"/>
      <sheetName val="C-2.8"/>
      <sheetName val="WPC-2.8"/>
      <sheetName val="C-2.9"/>
      <sheetName val="WPC-2.9"/>
      <sheetName val="C-2.10"/>
      <sheetName val="WPC-2.10a"/>
      <sheetName val="WPC - 2.10b"/>
      <sheetName val="C-2.11"/>
      <sheetName val="C-2.12"/>
      <sheetName val="WPC-2.12"/>
      <sheetName val="C-2.13"/>
      <sheetName val="C-2.14"/>
      <sheetName val="C - 3"/>
      <sheetName val="C - 4"/>
      <sheetName val="WPC - 4"/>
      <sheetName val="C-5"/>
      <sheetName val="C - 5b"/>
      <sheetName val="C - 5.1"/>
      <sheetName val="C-5.2"/>
      <sheetName val="C - 5.3"/>
      <sheetName val="C - 5.4"/>
      <sheetName val="WPC - 5.4"/>
      <sheetName val="C - 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-10"/>
      <sheetName val="C - 10.1"/>
      <sheetName val="C - 11.1"/>
      <sheetName val="WPC - 11.1"/>
      <sheetName val="C-11.2a"/>
      <sheetName val="WPC-11.2a"/>
      <sheetName val="C-11.2b"/>
      <sheetName val="C-11.2c"/>
      <sheetName val="C-11.2d"/>
      <sheetName val="C-11.2e"/>
      <sheetName val="C-11.2f"/>
      <sheetName val="C-11.2g"/>
      <sheetName val="C-11.2h"/>
      <sheetName val="C - 11.3"/>
      <sheetName val="WPC - 11.3"/>
      <sheetName val="C - 12"/>
      <sheetName val="WPC - 12a"/>
      <sheetName val="WPC - 12b"/>
      <sheetName val="WPC - 12c"/>
      <sheetName val="C-13"/>
      <sheetName val="C - 14"/>
      <sheetName val="WPC - 14"/>
      <sheetName val="C - 16"/>
      <sheetName val="WPC-16"/>
      <sheetName val="C - 17a"/>
      <sheetName val="C - 17b"/>
      <sheetName val="C - 17c"/>
      <sheetName val="C - 17d"/>
      <sheetName val="C-18"/>
      <sheetName val="WPC - 18a"/>
      <sheetName val="WPC - 18b"/>
      <sheetName val="WPC - 18c"/>
      <sheetName val="C - 19"/>
      <sheetName val="C - 21"/>
      <sheetName val="C - 23"/>
      <sheetName val="WPC - 23"/>
      <sheetName val="C - 25"/>
      <sheetName val="C - 26"/>
      <sheetName val="C - 30"/>
    </sheetNames>
    <sheetDataSet>
      <sheetData sheetId="0" refreshError="1">
        <row r="109">
          <cell r="C109" t="str">
            <v>AmerenCILCO</v>
          </cell>
        </row>
        <row r="110">
          <cell r="C110" t="str">
            <v>As of December 31, 2006</v>
          </cell>
        </row>
        <row r="111">
          <cell r="C111" t="str">
            <v>As of December 31,</v>
          </cell>
        </row>
        <row r="112">
          <cell r="C112" t="str">
            <v>For the Twelve Months Ended December 31, 2006</v>
          </cell>
        </row>
        <row r="113">
          <cell r="C113" t="str">
            <v>For the Twelve Months Ended December 31,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O Fees"/>
      <sheetName val="Cost Care"/>
    </sheetNames>
    <sheetDataSet>
      <sheetData sheetId="0"/>
      <sheetData sheetId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ne Year Credit Facility (2)"/>
      <sheetName val="One Year Credit Facility"/>
      <sheetName val="One Year Credit Facility (2 (3)"/>
      <sheetName val="Three Year Credit Facility"/>
      <sheetName val="FIVE Year Credit Facility"/>
      <sheetName val="Credit Facility.2005"/>
      <sheetName val="Credit Facility.2004"/>
      <sheetName val="Formulas"/>
      <sheetName val="Spreadsheet Changes"/>
      <sheetName val="Credit Facility"/>
      <sheetName val="One Year Credit Facility05"/>
    </sheetNames>
    <sheetDataSet>
      <sheetData sheetId="0" refreshError="1"/>
      <sheetData sheetId="1" refreshError="1">
        <row r="23">
          <cell r="A23">
            <v>37955</v>
          </cell>
          <cell r="B23">
            <v>52239.015521978028</v>
          </cell>
          <cell r="C23">
            <v>561148.134478022</v>
          </cell>
          <cell r="D23">
            <v>52239.015521978028</v>
          </cell>
        </row>
        <row r="24">
          <cell r="A24">
            <v>37986</v>
          </cell>
          <cell r="B24">
            <v>52239.015521978028</v>
          </cell>
          <cell r="C24">
            <v>508909.11895604397</v>
          </cell>
          <cell r="D24">
            <v>104478.03104395606</v>
          </cell>
        </row>
        <row r="25">
          <cell r="A25">
            <v>38017</v>
          </cell>
          <cell r="B25">
            <v>52239.015521978028</v>
          </cell>
          <cell r="C25">
            <v>456670.10343406594</v>
          </cell>
          <cell r="D25">
            <v>52239.015521978028</v>
          </cell>
        </row>
        <row r="26">
          <cell r="A26">
            <v>38046</v>
          </cell>
          <cell r="B26">
            <v>48868.756456043964</v>
          </cell>
          <cell r="C26">
            <v>407801.34697802196</v>
          </cell>
          <cell r="D26">
            <v>101107.77197802199</v>
          </cell>
        </row>
        <row r="27">
          <cell r="A27">
            <v>38077</v>
          </cell>
          <cell r="B27">
            <v>52239.015521978028</v>
          </cell>
          <cell r="C27">
            <v>355562.33145604393</v>
          </cell>
          <cell r="D27">
            <v>153346.78750000003</v>
          </cell>
        </row>
        <row r="28">
          <cell r="A28">
            <v>38107</v>
          </cell>
          <cell r="B28">
            <v>50553.885989010996</v>
          </cell>
          <cell r="C28">
            <v>305008.44546703296</v>
          </cell>
          <cell r="D28">
            <v>203900.67348901104</v>
          </cell>
        </row>
        <row r="29">
          <cell r="A29">
            <v>38138</v>
          </cell>
          <cell r="B29">
            <v>52239.015521978028</v>
          </cell>
          <cell r="C29">
            <v>252769.42994505493</v>
          </cell>
          <cell r="D29">
            <v>256139.68901098907</v>
          </cell>
        </row>
        <row r="30">
          <cell r="A30">
            <v>38168</v>
          </cell>
          <cell r="B30">
            <v>50553.885989010996</v>
          </cell>
          <cell r="C30">
            <v>202215.54395604393</v>
          </cell>
          <cell r="D30">
            <v>306693.57500000007</v>
          </cell>
        </row>
        <row r="31">
          <cell r="A31" t="str">
            <v>Adjustment</v>
          </cell>
          <cell r="B31">
            <v>186715.54395604393</v>
          </cell>
          <cell r="C31">
            <v>15500</v>
          </cell>
          <cell r="D31">
            <v>493409.11895604397</v>
          </cell>
        </row>
        <row r="32">
          <cell r="A32">
            <v>38199</v>
          </cell>
          <cell r="B32">
            <v>3875</v>
          </cell>
          <cell r="C32">
            <v>198340.54395604393</v>
          </cell>
          <cell r="D32">
            <v>497284.11895604397</v>
          </cell>
        </row>
        <row r="33">
          <cell r="A33">
            <v>38230</v>
          </cell>
          <cell r="B33">
            <v>3875</v>
          </cell>
          <cell r="C33">
            <v>194465.54395604393</v>
          </cell>
          <cell r="D33">
            <v>501159.11895604397</v>
          </cell>
        </row>
        <row r="34">
          <cell r="A34">
            <v>38260</v>
          </cell>
          <cell r="B34">
            <v>3875</v>
          </cell>
          <cell r="C34">
            <v>190590.54395604393</v>
          </cell>
          <cell r="D34">
            <v>505034.11895604397</v>
          </cell>
        </row>
      </sheetData>
      <sheetData sheetId="2" refreshError="1">
        <row r="23">
          <cell r="A23">
            <v>38321</v>
          </cell>
          <cell r="B23">
            <v>6280.8870054945055</v>
          </cell>
          <cell r="C23">
            <v>67468.882994505504</v>
          </cell>
          <cell r="D23">
            <v>6280.8870054945055</v>
          </cell>
        </row>
        <row r="24">
          <cell r="A24">
            <v>38352</v>
          </cell>
          <cell r="B24">
            <v>6280.8870054945055</v>
          </cell>
          <cell r="C24">
            <v>61187.995989010997</v>
          </cell>
          <cell r="D24">
            <v>12561.774010989011</v>
          </cell>
        </row>
        <row r="25">
          <cell r="A25">
            <v>38383</v>
          </cell>
          <cell r="B25">
            <v>6280.8870054945055</v>
          </cell>
          <cell r="C25">
            <v>54907.108983516489</v>
          </cell>
          <cell r="D25">
            <v>6280.8870054945055</v>
          </cell>
        </row>
        <row r="26">
          <cell r="A26">
            <v>38411</v>
          </cell>
          <cell r="B26">
            <v>5875.6684890109891</v>
          </cell>
          <cell r="C26">
            <v>49031.440494505499</v>
          </cell>
          <cell r="D26">
            <v>12156.555494505494</v>
          </cell>
        </row>
        <row r="27">
          <cell r="A27">
            <v>38442</v>
          </cell>
          <cell r="B27">
            <v>6280.8870054945055</v>
          </cell>
          <cell r="C27">
            <v>42750.553489010992</v>
          </cell>
          <cell r="D27">
            <v>18437.442499999997</v>
          </cell>
        </row>
        <row r="28">
          <cell r="A28">
            <v>38472</v>
          </cell>
          <cell r="B28">
            <v>6078.2777472527478</v>
          </cell>
          <cell r="C28">
            <v>36672.275741758247</v>
          </cell>
          <cell r="D28">
            <v>24515.720247252746</v>
          </cell>
        </row>
        <row r="29">
          <cell r="A29">
            <v>38503</v>
          </cell>
          <cell r="B29">
            <v>6280.8870054945055</v>
          </cell>
          <cell r="C29">
            <v>30391.38873626374</v>
          </cell>
          <cell r="D29">
            <v>30796.60725274725</v>
          </cell>
        </row>
        <row r="30">
          <cell r="A30">
            <v>38533</v>
          </cell>
          <cell r="B30">
            <v>6078.2777472527478</v>
          </cell>
          <cell r="C30">
            <v>202215.54395604393</v>
          </cell>
          <cell r="D30">
            <v>36874.884999999995</v>
          </cell>
        </row>
        <row r="31">
          <cell r="A31">
            <v>38564</v>
          </cell>
          <cell r="B31">
            <v>6078.2777472527478</v>
          </cell>
          <cell r="C31">
            <v>15500</v>
          </cell>
          <cell r="D31">
            <v>42953.16274725274</v>
          </cell>
        </row>
        <row r="32">
          <cell r="A32">
            <v>38595</v>
          </cell>
          <cell r="B32">
            <v>6078.2777472527478</v>
          </cell>
          <cell r="C32">
            <v>196137.26620879117</v>
          </cell>
          <cell r="D32">
            <v>49031.440494505485</v>
          </cell>
        </row>
        <row r="33">
          <cell r="A33">
            <v>38625</v>
          </cell>
          <cell r="B33">
            <v>6078.2777472527478</v>
          </cell>
          <cell r="C33">
            <v>190058.98846153842</v>
          </cell>
          <cell r="D33">
            <v>55109.71824175823</v>
          </cell>
        </row>
        <row r="34">
          <cell r="A34">
            <v>38656</v>
          </cell>
          <cell r="B34">
            <v>6078.2777472527478</v>
          </cell>
          <cell r="C34">
            <v>183980.71071428567</v>
          </cell>
          <cell r="D34">
            <v>61187.995989010975</v>
          </cell>
        </row>
      </sheetData>
      <sheetData sheetId="3" refreshError="1">
        <row r="22">
          <cell r="A22">
            <v>37955</v>
          </cell>
          <cell r="B22">
            <v>15746.865277777779</v>
          </cell>
          <cell r="C22">
            <v>551140.28472222225</v>
          </cell>
          <cell r="D22">
            <v>15746.865277777779</v>
          </cell>
        </row>
        <row r="23">
          <cell r="A23">
            <v>37986</v>
          </cell>
          <cell r="B23">
            <v>15746.865277777779</v>
          </cell>
          <cell r="C23">
            <v>535393.41944444447</v>
          </cell>
          <cell r="D23">
            <v>31493.730555555558</v>
          </cell>
        </row>
        <row r="24">
          <cell r="A24">
            <v>38017</v>
          </cell>
          <cell r="B24">
            <v>15746.865277777779</v>
          </cell>
          <cell r="C24">
            <v>519646.5541666667</v>
          </cell>
          <cell r="D24">
            <v>15746.865277777779</v>
          </cell>
        </row>
        <row r="25">
          <cell r="A25">
            <v>38046</v>
          </cell>
          <cell r="B25">
            <v>15746.865277777779</v>
          </cell>
          <cell r="C25">
            <v>503899.68888888892</v>
          </cell>
          <cell r="D25">
            <v>31493.730555555558</v>
          </cell>
        </row>
        <row r="26">
          <cell r="A26">
            <v>38077</v>
          </cell>
          <cell r="B26">
            <v>15746.865277777779</v>
          </cell>
          <cell r="C26">
            <v>488152.82361111115</v>
          </cell>
          <cell r="D26">
            <v>47240.59583333334</v>
          </cell>
        </row>
        <row r="27">
          <cell r="A27">
            <v>38107</v>
          </cell>
          <cell r="B27">
            <v>15746.865277777779</v>
          </cell>
          <cell r="C27">
            <v>472405.95833333337</v>
          </cell>
          <cell r="D27">
            <v>62987.461111111115</v>
          </cell>
        </row>
        <row r="28">
          <cell r="A28">
            <v>38138</v>
          </cell>
          <cell r="B28">
            <v>15746.865277777779</v>
          </cell>
          <cell r="C28">
            <v>456659.0930555556</v>
          </cell>
          <cell r="D28">
            <v>78734.326388888891</v>
          </cell>
        </row>
        <row r="29">
          <cell r="A29">
            <v>38168</v>
          </cell>
          <cell r="B29">
            <v>15746.865277777779</v>
          </cell>
          <cell r="C29">
            <v>440912.22777777782</v>
          </cell>
          <cell r="D29">
            <v>94481.191666666666</v>
          </cell>
        </row>
        <row r="30">
          <cell r="A30">
            <v>38199</v>
          </cell>
          <cell r="B30">
            <v>15746.865277777779</v>
          </cell>
          <cell r="C30">
            <v>425165.36250000005</v>
          </cell>
          <cell r="D30">
            <v>110228.05694444444</v>
          </cell>
        </row>
        <row r="31">
          <cell r="A31">
            <v>38230</v>
          </cell>
          <cell r="B31">
            <v>15746.865277777779</v>
          </cell>
          <cell r="C31">
            <v>409418.49722222227</v>
          </cell>
          <cell r="D31">
            <v>125974.92222222222</v>
          </cell>
        </row>
        <row r="32">
          <cell r="A32">
            <v>38260</v>
          </cell>
          <cell r="B32">
            <v>15746.865277777779</v>
          </cell>
          <cell r="C32">
            <v>393671.6319444445</v>
          </cell>
          <cell r="D32">
            <v>141721.78750000001</v>
          </cell>
        </row>
        <row r="33">
          <cell r="A33">
            <v>38291</v>
          </cell>
          <cell r="B33">
            <v>15746.865277777779</v>
          </cell>
          <cell r="C33">
            <v>377924.76666666672</v>
          </cell>
          <cell r="D33">
            <v>157468.65277777778</v>
          </cell>
        </row>
        <row r="34">
          <cell r="A34">
            <v>38321</v>
          </cell>
          <cell r="B34">
            <v>15746.865277777779</v>
          </cell>
          <cell r="C34">
            <v>362177.90138888895</v>
          </cell>
          <cell r="D34">
            <v>173215.51805555556</v>
          </cell>
        </row>
        <row r="35">
          <cell r="A35">
            <v>38352</v>
          </cell>
          <cell r="B35">
            <v>15746.865277777779</v>
          </cell>
          <cell r="C35">
            <v>346431.03611111117</v>
          </cell>
          <cell r="D35">
            <v>188962.38333333333</v>
          </cell>
        </row>
        <row r="36">
          <cell r="A36">
            <v>38383</v>
          </cell>
          <cell r="B36">
            <v>15746.865277777779</v>
          </cell>
          <cell r="C36">
            <v>330684.1708333334</v>
          </cell>
          <cell r="D36">
            <v>15746.865277777779</v>
          </cell>
        </row>
        <row r="37">
          <cell r="A37">
            <v>38411</v>
          </cell>
          <cell r="B37">
            <v>15746.865277777779</v>
          </cell>
          <cell r="C37">
            <v>314937.30555555562</v>
          </cell>
          <cell r="D37">
            <v>31493.730555555558</v>
          </cell>
        </row>
        <row r="38">
          <cell r="A38">
            <v>38442</v>
          </cell>
          <cell r="B38">
            <v>15746.865277777779</v>
          </cell>
          <cell r="C38">
            <v>299190.44027777785</v>
          </cell>
          <cell r="D38">
            <v>47240.59583333334</v>
          </cell>
        </row>
        <row r="39">
          <cell r="A39">
            <v>38472</v>
          </cell>
          <cell r="B39">
            <v>15746.865277777779</v>
          </cell>
          <cell r="C39">
            <v>283443.57500000007</v>
          </cell>
          <cell r="D39">
            <v>62987.461111111115</v>
          </cell>
        </row>
        <row r="40">
          <cell r="A40">
            <v>38503</v>
          </cell>
          <cell r="B40">
            <v>15746.865277777779</v>
          </cell>
          <cell r="C40">
            <v>267696.70972222229</v>
          </cell>
          <cell r="D40">
            <v>78734.326388888891</v>
          </cell>
        </row>
        <row r="41">
          <cell r="A41">
            <v>38533</v>
          </cell>
          <cell r="B41">
            <v>15746.865277777779</v>
          </cell>
          <cell r="C41">
            <v>251949.84444444452</v>
          </cell>
          <cell r="D41">
            <v>94481.191666666666</v>
          </cell>
        </row>
        <row r="42">
          <cell r="A42">
            <v>38564</v>
          </cell>
          <cell r="B42">
            <v>15746.865277777779</v>
          </cell>
          <cell r="C42">
            <v>236202.97916666674</v>
          </cell>
          <cell r="D42">
            <v>110228.05694444444</v>
          </cell>
        </row>
        <row r="43">
          <cell r="A43">
            <v>38595</v>
          </cell>
          <cell r="B43">
            <v>15746.865277777779</v>
          </cell>
          <cell r="C43">
            <v>220456.11388888897</v>
          </cell>
          <cell r="D43">
            <v>125974.92222222222</v>
          </cell>
        </row>
        <row r="44">
          <cell r="A44">
            <v>38625</v>
          </cell>
          <cell r="B44">
            <v>15746.865277777779</v>
          </cell>
          <cell r="C44">
            <v>204709.24861111119</v>
          </cell>
          <cell r="D44">
            <v>141721.78750000001</v>
          </cell>
        </row>
        <row r="45">
          <cell r="A45">
            <v>38656</v>
          </cell>
          <cell r="B45">
            <v>15746.865277777779</v>
          </cell>
          <cell r="C45">
            <v>188962.38333333342</v>
          </cell>
          <cell r="D45">
            <v>157468.65277777778</v>
          </cell>
        </row>
        <row r="46">
          <cell r="A46">
            <v>38686</v>
          </cell>
          <cell r="B46">
            <v>15746.865277777779</v>
          </cell>
          <cell r="C46">
            <v>173215.51805555564</v>
          </cell>
          <cell r="D46">
            <v>173215.51805555556</v>
          </cell>
        </row>
        <row r="47">
          <cell r="A47">
            <v>38717</v>
          </cell>
          <cell r="B47">
            <v>15746.865277777779</v>
          </cell>
          <cell r="C47">
            <v>157468.65277777787</v>
          </cell>
          <cell r="D47">
            <v>188962.38333333333</v>
          </cell>
        </row>
        <row r="48">
          <cell r="A48">
            <v>38748</v>
          </cell>
          <cell r="B48">
            <v>15746.865277777779</v>
          </cell>
          <cell r="C48">
            <v>141721.78750000009</v>
          </cell>
          <cell r="D48">
            <v>15746.865277777779</v>
          </cell>
        </row>
        <row r="49">
          <cell r="A49">
            <v>38776</v>
          </cell>
          <cell r="B49">
            <v>15746.865277777779</v>
          </cell>
          <cell r="C49">
            <v>125974.92222222232</v>
          </cell>
          <cell r="D49">
            <v>31493.730555555558</v>
          </cell>
        </row>
        <row r="50">
          <cell r="A50">
            <v>38807</v>
          </cell>
          <cell r="B50">
            <v>15746.865277777779</v>
          </cell>
          <cell r="C50">
            <v>110228.05694444454</v>
          </cell>
          <cell r="D50">
            <v>47240.59583333334</v>
          </cell>
        </row>
        <row r="51">
          <cell r="A51">
            <v>38837</v>
          </cell>
          <cell r="B51">
            <v>15746.865277777779</v>
          </cell>
          <cell r="C51">
            <v>94481.191666666768</v>
          </cell>
          <cell r="D51">
            <v>62987.461111111115</v>
          </cell>
        </row>
        <row r="52">
          <cell r="A52">
            <v>38868</v>
          </cell>
          <cell r="B52">
            <v>15746.865277777779</v>
          </cell>
          <cell r="C52">
            <v>78734.326388888992</v>
          </cell>
          <cell r="D52">
            <v>78734.326388888891</v>
          </cell>
        </row>
        <row r="53">
          <cell r="A53">
            <v>38898</v>
          </cell>
          <cell r="B53">
            <v>15746.865277777779</v>
          </cell>
          <cell r="C53">
            <v>62987.461111111217</v>
          </cell>
          <cell r="D53">
            <v>94481.191666666666</v>
          </cell>
        </row>
        <row r="54">
          <cell r="A54">
            <v>38929</v>
          </cell>
          <cell r="B54">
            <v>15746.865277777779</v>
          </cell>
          <cell r="C54">
            <v>47240.595833333442</v>
          </cell>
          <cell r="D54">
            <v>110228.05694444444</v>
          </cell>
        </row>
        <row r="55">
          <cell r="A55">
            <v>38960</v>
          </cell>
          <cell r="B55">
            <v>15746.865277777779</v>
          </cell>
          <cell r="C55">
            <v>31493.730555555663</v>
          </cell>
          <cell r="D55">
            <v>125974.92222222222</v>
          </cell>
        </row>
        <row r="56">
          <cell r="A56">
            <v>38990</v>
          </cell>
          <cell r="B56">
            <v>15746.865277777779</v>
          </cell>
          <cell r="C56">
            <v>15746.865277777884</v>
          </cell>
          <cell r="D56">
            <v>141721.78750000001</v>
          </cell>
        </row>
        <row r="57">
          <cell r="A57">
            <v>39021</v>
          </cell>
          <cell r="B57">
            <v>15746.865277777779</v>
          </cell>
          <cell r="C57">
            <v>1.0550138540565968E-10</v>
          </cell>
          <cell r="D57">
            <v>157468.65277777778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Rank2"/>
      <sheetName val="Rank"/>
      <sheetName val="Data DGS"/>
      <sheetName val="DGS"/>
      <sheetName val="CS"/>
      <sheetName val="Data CS"/>
      <sheetName val="PctRev"/>
      <sheetName val="PP"/>
      <sheetName val="Cost"/>
      <sheetName val="Adm"/>
      <sheetName val="HdctBwAvg"/>
      <sheetName val="NR by Cluster"/>
      <sheetName val="Comp"/>
      <sheetName val="Data"/>
      <sheetName val="DataAdm"/>
      <sheetName val="RSF"/>
      <sheetName val="Adm Salary Leveling"/>
      <sheetName val="Tables"/>
      <sheetName val="One Year Credit Facility (2 (3)"/>
      <sheetName val="One Year Credit Facility"/>
      <sheetName val="Three Year Credit Facil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4">
          <cell r="H4">
            <v>7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MRP Funded Status Split PBO"/>
      <sheetName val="SPBP Funded Status Split PBO"/>
      <sheetName val="AMG Funded Status Split PBO"/>
      <sheetName val="ENE Funded Status Split PBO"/>
      <sheetName val="CBPPBU Funded Status Split PBO"/>
      <sheetName val="CBPP Funded Status Split PBO"/>
      <sheetName val="ECRP Funded Status Split PBO"/>
      <sheetName val="East-West Ratio Summary"/>
      <sheetName val="2007 BU FVA, TO, PSC Split"/>
      <sheetName val="2007 BU PBO, SC Split(PreEDSS)"/>
      <sheetName val="2007 BU PBO, SC Split(PostEDSS)"/>
      <sheetName val="BU Ratio Summary"/>
      <sheetName val="Summary of FAS 158 Entries"/>
      <sheetName val="Steps"/>
      <sheetName val="Plans Included"/>
      <sheetName val="change07 by plan"/>
      <sheetName val="nppc 07 by plan"/>
      <sheetName val="Extra Information"/>
      <sheetName val="Output1"/>
      <sheetName val="Output2"/>
      <sheetName val="Output3"/>
      <sheetName val="Output4"/>
      <sheetName val="Output5"/>
      <sheetName val="Output6"/>
      <sheetName val="Output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8">
          <cell r="D28">
            <v>6.2100000000000002E-2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s CWIP Blanket WOs"/>
      <sheetName val="Estimated Retirements"/>
      <sheetName val="WO Type Id PJF Acct"/>
    </sheetNames>
    <sheetDataSet>
      <sheetData sheetId="0"/>
      <sheetData sheetId="1" refreshError="1"/>
      <sheetData sheetId="2" refreshError="1">
        <row r="6">
          <cell r="C6" t="str">
            <v>PJF 2</v>
          </cell>
          <cell r="D6">
            <v>23030</v>
          </cell>
          <cell r="E6">
            <v>23040</v>
          </cell>
          <cell r="F6">
            <v>23550</v>
          </cell>
          <cell r="G6">
            <v>23670</v>
          </cell>
          <cell r="H6">
            <v>23760</v>
          </cell>
          <cell r="I6">
            <v>23800</v>
          </cell>
          <cell r="J6">
            <v>23820</v>
          </cell>
          <cell r="K6">
            <v>23830</v>
          </cell>
          <cell r="L6">
            <v>23900</v>
          </cell>
          <cell r="M6">
            <v>23920</v>
          </cell>
          <cell r="N6">
            <v>23940</v>
          </cell>
          <cell r="O6">
            <v>23950</v>
          </cell>
          <cell r="P6">
            <v>23960</v>
          </cell>
          <cell r="Q6" t="str">
            <v>Grand Total</v>
          </cell>
        </row>
        <row r="7">
          <cell r="E7">
            <v>1</v>
          </cell>
          <cell r="Q7">
            <v>1</v>
          </cell>
        </row>
        <row r="8">
          <cell r="E8">
            <v>1</v>
          </cell>
          <cell r="Q8">
            <v>1</v>
          </cell>
        </row>
        <row r="9">
          <cell r="C9" t="str">
            <v>107732</v>
          </cell>
          <cell r="F9">
            <v>1</v>
          </cell>
          <cell r="Q9">
            <v>1</v>
          </cell>
        </row>
        <row r="10">
          <cell r="F10">
            <v>1</v>
          </cell>
          <cell r="Q10">
            <v>1</v>
          </cell>
        </row>
        <row r="11">
          <cell r="C11" t="str">
            <v>107735</v>
          </cell>
          <cell r="F11">
            <v>1</v>
          </cell>
          <cell r="Q11">
            <v>1</v>
          </cell>
        </row>
        <row r="12">
          <cell r="C12" t="str">
            <v>107736</v>
          </cell>
          <cell r="F12">
            <v>1</v>
          </cell>
          <cell r="Q12">
            <v>1</v>
          </cell>
        </row>
        <row r="13">
          <cell r="C13" t="str">
            <v>107737</v>
          </cell>
          <cell r="F13">
            <v>1</v>
          </cell>
          <cell r="Q13">
            <v>1</v>
          </cell>
        </row>
        <row r="14">
          <cell r="C14" t="str">
            <v>107751</v>
          </cell>
          <cell r="G14">
            <v>1</v>
          </cell>
          <cell r="Q14">
            <v>1</v>
          </cell>
        </row>
        <row r="15">
          <cell r="C15" t="str">
            <v>107753</v>
          </cell>
          <cell r="G15">
            <v>1</v>
          </cell>
          <cell r="Q15">
            <v>1</v>
          </cell>
        </row>
        <row r="16">
          <cell r="C16" t="str">
            <v>107754</v>
          </cell>
          <cell r="G16">
            <v>1</v>
          </cell>
          <cell r="Q16">
            <v>1</v>
          </cell>
        </row>
        <row r="17">
          <cell r="C17" t="str">
            <v>107755</v>
          </cell>
          <cell r="G17">
            <v>1</v>
          </cell>
          <cell r="Q17">
            <v>1</v>
          </cell>
        </row>
        <row r="18">
          <cell r="C18" t="str">
            <v>107756</v>
          </cell>
          <cell r="G18">
            <v>1</v>
          </cell>
          <cell r="Q18">
            <v>1</v>
          </cell>
        </row>
        <row r="19">
          <cell r="C19" t="str">
            <v>107759</v>
          </cell>
          <cell r="G19">
            <v>1</v>
          </cell>
          <cell r="Q19">
            <v>1</v>
          </cell>
        </row>
        <row r="20">
          <cell r="C20" t="str">
            <v>107771</v>
          </cell>
          <cell r="H20">
            <v>1</v>
          </cell>
          <cell r="Q20">
            <v>1</v>
          </cell>
        </row>
        <row r="21">
          <cell r="C21" t="str">
            <v>107773</v>
          </cell>
          <cell r="H21">
            <v>1</v>
          </cell>
          <cell r="Q21">
            <v>1</v>
          </cell>
        </row>
        <row r="22">
          <cell r="C22" t="str">
            <v>107774</v>
          </cell>
          <cell r="H22">
            <v>1</v>
          </cell>
          <cell r="Q22">
            <v>1</v>
          </cell>
        </row>
        <row r="23">
          <cell r="C23" t="str">
            <v>107775</v>
          </cell>
          <cell r="H23">
            <v>1</v>
          </cell>
          <cell r="Q23">
            <v>1</v>
          </cell>
        </row>
        <row r="24">
          <cell r="H24">
            <v>1</v>
          </cell>
          <cell r="Q24">
            <v>1</v>
          </cell>
        </row>
        <row r="25">
          <cell r="C25" t="str">
            <v>107781</v>
          </cell>
          <cell r="I25">
            <v>0.25</v>
          </cell>
          <cell r="J25">
            <v>0.5</v>
          </cell>
          <cell r="K25">
            <v>0.25</v>
          </cell>
          <cell r="Q25">
            <v>1</v>
          </cell>
        </row>
        <row r="26">
          <cell r="I26">
            <v>0.25</v>
          </cell>
          <cell r="J26">
            <v>0.5</v>
          </cell>
          <cell r="K26">
            <v>0.25</v>
          </cell>
          <cell r="Q26">
            <v>1</v>
          </cell>
        </row>
        <row r="27">
          <cell r="I27">
            <v>0.25</v>
          </cell>
          <cell r="J27">
            <v>0.5</v>
          </cell>
          <cell r="K27">
            <v>0.25</v>
          </cell>
          <cell r="Q27">
            <v>1</v>
          </cell>
        </row>
        <row r="28">
          <cell r="I28">
            <v>0.25</v>
          </cell>
          <cell r="J28">
            <v>0.5</v>
          </cell>
          <cell r="K28">
            <v>0.25</v>
          </cell>
          <cell r="Q28">
            <v>1</v>
          </cell>
        </row>
        <row r="29">
          <cell r="I29">
            <v>0.25</v>
          </cell>
          <cell r="J29">
            <v>0.5</v>
          </cell>
          <cell r="O29">
            <v>0.25</v>
          </cell>
          <cell r="Q29">
            <v>1</v>
          </cell>
        </row>
        <row r="30">
          <cell r="I30">
            <v>0.25</v>
          </cell>
          <cell r="J30">
            <v>0.5</v>
          </cell>
          <cell r="O30">
            <v>0.25</v>
          </cell>
          <cell r="Q30">
            <v>1</v>
          </cell>
        </row>
        <row r="31">
          <cell r="L31">
            <v>1</v>
          </cell>
          <cell r="Q31">
            <v>1</v>
          </cell>
        </row>
        <row r="32">
          <cell r="M32">
            <v>1</v>
          </cell>
          <cell r="Q32">
            <v>1</v>
          </cell>
        </row>
        <row r="33">
          <cell r="N33">
            <v>0.25</v>
          </cell>
          <cell r="P33">
            <v>0.75</v>
          </cell>
          <cell r="Q33">
            <v>1</v>
          </cell>
        </row>
        <row r="34">
          <cell r="N34">
            <v>0.25</v>
          </cell>
          <cell r="P34">
            <v>0.75</v>
          </cell>
          <cell r="Q34">
            <v>1</v>
          </cell>
        </row>
        <row r="35">
          <cell r="D35">
            <v>1</v>
          </cell>
          <cell r="Q35">
            <v>1</v>
          </cell>
        </row>
        <row r="36">
          <cell r="E36">
            <v>1</v>
          </cell>
          <cell r="Q36">
            <v>1</v>
          </cell>
        </row>
        <row r="37">
          <cell r="E37">
            <v>1</v>
          </cell>
          <cell r="Q37">
            <v>1</v>
          </cell>
        </row>
        <row r="38">
          <cell r="C38" t="str">
            <v>107835</v>
          </cell>
          <cell r="F38">
            <v>1</v>
          </cell>
          <cell r="Q38">
            <v>1</v>
          </cell>
        </row>
        <row r="39">
          <cell r="C39" t="str">
            <v>107851</v>
          </cell>
          <cell r="G39">
            <v>1</v>
          </cell>
          <cell r="Q39">
            <v>1</v>
          </cell>
        </row>
        <row r="40">
          <cell r="C40" t="str">
            <v>107853</v>
          </cell>
          <cell r="G40">
            <v>1</v>
          </cell>
          <cell r="Q40">
            <v>1</v>
          </cell>
        </row>
        <row r="41">
          <cell r="C41" t="str">
            <v>107854</v>
          </cell>
          <cell r="G41">
            <v>1</v>
          </cell>
          <cell r="Q41">
            <v>1</v>
          </cell>
        </row>
        <row r="42">
          <cell r="C42" t="str">
            <v>107855</v>
          </cell>
          <cell r="G42">
            <v>1</v>
          </cell>
          <cell r="Q42">
            <v>1</v>
          </cell>
        </row>
        <row r="43">
          <cell r="C43" t="str">
            <v>107856</v>
          </cell>
          <cell r="G43">
            <v>1</v>
          </cell>
          <cell r="Q43">
            <v>1</v>
          </cell>
        </row>
        <row r="44">
          <cell r="C44" t="str">
            <v>107859</v>
          </cell>
          <cell r="G44">
            <v>1</v>
          </cell>
          <cell r="Q44">
            <v>1</v>
          </cell>
        </row>
        <row r="45">
          <cell r="C45" t="str">
            <v>107861</v>
          </cell>
          <cell r="I45">
            <v>1</v>
          </cell>
          <cell r="Q45">
            <v>1</v>
          </cell>
        </row>
        <row r="46">
          <cell r="C46" t="str">
            <v>107871</v>
          </cell>
          <cell r="H46">
            <v>1</v>
          </cell>
          <cell r="Q46">
            <v>1</v>
          </cell>
        </row>
        <row r="47">
          <cell r="C47" t="str">
            <v>107873</v>
          </cell>
          <cell r="H47">
            <v>1</v>
          </cell>
          <cell r="Q47">
            <v>1</v>
          </cell>
        </row>
        <row r="48">
          <cell r="C48" t="str">
            <v>107874</v>
          </cell>
          <cell r="H48">
            <v>1</v>
          </cell>
          <cell r="Q48">
            <v>1</v>
          </cell>
        </row>
        <row r="49">
          <cell r="C49" t="str">
            <v>107875</v>
          </cell>
          <cell r="H49">
            <v>1</v>
          </cell>
          <cell r="Q49">
            <v>1</v>
          </cell>
        </row>
        <row r="50">
          <cell r="C50" t="str">
            <v>107876</v>
          </cell>
          <cell r="H50">
            <v>1</v>
          </cell>
          <cell r="Q50">
            <v>1</v>
          </cell>
        </row>
        <row r="51">
          <cell r="C51" t="str">
            <v>107881</v>
          </cell>
          <cell r="I51">
            <v>0.25</v>
          </cell>
          <cell r="J51">
            <v>0.5</v>
          </cell>
          <cell r="K51">
            <v>0.25</v>
          </cell>
          <cell r="Q51">
            <v>1</v>
          </cell>
        </row>
        <row r="52">
          <cell r="I52">
            <v>0.25</v>
          </cell>
          <cell r="J52">
            <v>0.5</v>
          </cell>
          <cell r="K52">
            <v>0.25</v>
          </cell>
          <cell r="Q52">
            <v>1</v>
          </cell>
        </row>
        <row r="53">
          <cell r="I53">
            <v>0.25</v>
          </cell>
          <cell r="J53">
            <v>0.5</v>
          </cell>
          <cell r="K53">
            <v>0.25</v>
          </cell>
          <cell r="Q53">
            <v>1</v>
          </cell>
        </row>
        <row r="54">
          <cell r="I54">
            <v>0.25</v>
          </cell>
          <cell r="J54">
            <v>0.5</v>
          </cell>
          <cell r="K54">
            <v>0.25</v>
          </cell>
          <cell r="Q54">
            <v>1</v>
          </cell>
        </row>
        <row r="55">
          <cell r="L55">
            <v>1</v>
          </cell>
          <cell r="Q55">
            <v>1</v>
          </cell>
        </row>
        <row r="56">
          <cell r="M56">
            <v>1</v>
          </cell>
          <cell r="Q56">
            <v>1</v>
          </cell>
        </row>
        <row r="57">
          <cell r="C57" t="str">
            <v>1078S8</v>
          </cell>
          <cell r="N57">
            <v>0.25</v>
          </cell>
          <cell r="P57">
            <v>0.75</v>
          </cell>
          <cell r="Q57">
            <v>1</v>
          </cell>
        </row>
        <row r="58">
          <cell r="N58">
            <v>0.25</v>
          </cell>
          <cell r="P58">
            <v>0.75</v>
          </cell>
          <cell r="Q58">
            <v>1</v>
          </cell>
        </row>
        <row r="59">
          <cell r="L59">
            <v>1</v>
          </cell>
          <cell r="Q59">
            <v>1</v>
          </cell>
        </row>
      </sheetData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 2007"/>
      <sheetName val="FY 2006"/>
      <sheetName val="FY 2005"/>
      <sheetName val="FY 2004"/>
    </sheetNames>
    <sheetDataSet>
      <sheetData sheetId="0"/>
      <sheetData sheetId="1"/>
      <sheetData sheetId="2"/>
      <sheetData sheetId="3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FR A-1 - REC for Reconcil"/>
      <sheetName val="Sch FR A-3 for Reconcil"/>
      <sheetName val="RECs with Numbers"/>
    </sheetNames>
    <definedNames>
      <definedName name="DATAFEEDER" refersTo="#REF!"/>
    </definedNames>
    <sheetDataSet>
      <sheetData sheetId="0"/>
      <sheetData sheetId="1"/>
      <sheetData sheetId="2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ctional Plant CWIP (2)"/>
      <sheetName val="Functional Plant CWIP"/>
      <sheetName val="Intantigble Plant CWIP"/>
      <sheetName val="JointUse Subs-CWIP"/>
      <sheetName val="CWIP to In-Service Pro Forma"/>
      <sheetName val="Pro Forma (3)"/>
      <sheetName val="Pro Forma (2)"/>
      <sheetName val="Pro Forma"/>
      <sheetName val="CWIP Dec 2004-Data"/>
      <sheetName val="Alloc Table"/>
      <sheetName val="CWIP-Ameren#-WO#"/>
      <sheetName val="Remaining CWIP No AFUDC"/>
      <sheetName val="Remaining CWIP"/>
      <sheetName val="CWIP Statusing"/>
      <sheetName val="BWO CWIP"/>
      <sheetName val="CWIP W-InServ Date&gt;2004"/>
      <sheetName val="CWIP W-InServ Date&lt;2005"/>
      <sheetName val="E-PJF Translation - Active"/>
      <sheetName val="Controls"/>
      <sheetName val="Joint Use Subs"/>
      <sheetName val="CWIP Review"/>
      <sheetName val="CWIP &lt;2005 Reti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3">
          <cell r="A3" t="str">
            <v>Actual Proj Function</v>
          </cell>
          <cell r="B3" t="str">
            <v>Project Function Title</v>
          </cell>
          <cell r="C3" t="str">
            <v>Type</v>
          </cell>
          <cell r="D3" t="str">
            <v>Budget PJF</v>
          </cell>
          <cell r="E3" t="str">
            <v>Budget PJF Loading Factor</v>
          </cell>
          <cell r="F3" t="str">
            <v>COR Factor</v>
          </cell>
          <cell r="G3" t="str">
            <v>FERC Description</v>
          </cell>
          <cell r="H3" t="str">
            <v>Total</v>
          </cell>
          <cell r="I3" t="str">
            <v>Miscellaneous Intangible Plan</v>
          </cell>
          <cell r="J3" t="str">
            <v>Structures and Improvements</v>
          </cell>
          <cell r="K3" t="str">
            <v>Boiler Plant Equipment</v>
          </cell>
          <cell r="L3" t="str">
            <v>Turbogenerator Units</v>
          </cell>
          <cell r="M3" t="str">
            <v>Accessory Electric Equip</v>
          </cell>
          <cell r="N3" t="str">
            <v>Misc Power Plant Equip</v>
          </cell>
          <cell r="O3" t="str">
            <v>Structures and Improvements</v>
          </cell>
          <cell r="P3" t="str">
            <v>Reactor Plant Equip</v>
          </cell>
          <cell r="Q3" t="str">
            <v>Turbogenerator Units</v>
          </cell>
          <cell r="R3" t="str">
            <v>Accessory Electric Equip</v>
          </cell>
          <cell r="S3" t="str">
            <v>Misc Power Plant Equip</v>
          </cell>
          <cell r="T3" t="str">
            <v>Generators</v>
          </cell>
          <cell r="U3" t="str">
            <v>Structures &amp; Improvements</v>
          </cell>
          <cell r="V3" t="str">
            <v>Station Equipment</v>
          </cell>
          <cell r="W3" t="str">
            <v>Towers and Fixtures</v>
          </cell>
          <cell r="X3" t="str">
            <v>Poles and Fixtures</v>
          </cell>
          <cell r="Y3" t="str">
            <v>Ovrhead conductors, devices</v>
          </cell>
          <cell r="Z3" t="str">
            <v>Structures and Improvements</v>
          </cell>
          <cell r="AA3" t="str">
            <v>Station Equipment</v>
          </cell>
          <cell r="AB3" t="str">
            <v>Poles, Towers and Fixtures</v>
          </cell>
          <cell r="AC3" t="str">
            <v>Ovrhead Conductors, Devices</v>
          </cell>
          <cell r="AD3" t="str">
            <v>Underground Conduit</v>
          </cell>
          <cell r="AE3" t="str">
            <v>Undrgrnd conductors,devices</v>
          </cell>
          <cell r="AF3" t="str">
            <v>Line Transformers</v>
          </cell>
          <cell r="AG3" t="str">
            <v>Services</v>
          </cell>
          <cell r="AH3" t="str">
            <v>Meters</v>
          </cell>
          <cell r="AI3" t="str">
            <v>Installs Customer Premise</v>
          </cell>
          <cell r="AJ3" t="str">
            <v>Street Lghtng &amp; Signal Sys</v>
          </cell>
          <cell r="AK3" t="str">
            <v>Land and Land rights</v>
          </cell>
          <cell r="AL3" t="str">
            <v>Structures and Improvements</v>
          </cell>
          <cell r="AM3" t="str">
            <v>Office Furniture, Equipment</v>
          </cell>
          <cell r="AN3" t="str">
            <v>Computers, Personal</v>
          </cell>
          <cell r="AO3" t="str">
            <v>Transportation Equipment</v>
          </cell>
          <cell r="AP3" t="str">
            <v>Tools</v>
          </cell>
          <cell r="AQ3" t="str">
            <v>Laboratory Equipment</v>
          </cell>
          <cell r="AR3" t="str">
            <v>Communication Equipment</v>
          </cell>
          <cell r="AS3" t="str">
            <v>Non-Utility</v>
          </cell>
        </row>
        <row r="4">
          <cell r="A4">
            <v>107510</v>
          </cell>
          <cell r="B4" t="str">
            <v>HQ-PRODUCTION FACIL-FOSSIL</v>
          </cell>
          <cell r="H4">
            <v>1</v>
          </cell>
          <cell r="J4">
            <v>0.2</v>
          </cell>
          <cell r="K4">
            <v>0.5</v>
          </cell>
          <cell r="L4">
            <v>0.2</v>
          </cell>
          <cell r="M4">
            <v>0.05</v>
          </cell>
          <cell r="N4">
            <v>0.05</v>
          </cell>
        </row>
        <row r="5">
          <cell r="A5">
            <v>107514</v>
          </cell>
          <cell r="B5" t="str">
            <v>HQ-PRODUCTION FACIL-FOSSIL</v>
          </cell>
          <cell r="H5">
            <v>1</v>
          </cell>
          <cell r="J5">
            <v>0.2</v>
          </cell>
          <cell r="K5">
            <v>0.5</v>
          </cell>
          <cell r="L5">
            <v>0.2</v>
          </cell>
          <cell r="M5">
            <v>0.05</v>
          </cell>
          <cell r="N5">
            <v>0.05</v>
          </cell>
        </row>
        <row r="6">
          <cell r="A6">
            <v>107521</v>
          </cell>
          <cell r="B6" t="str">
            <v>OTHER PRODUCTION</v>
          </cell>
          <cell r="H6">
            <v>1</v>
          </cell>
          <cell r="T6">
            <v>1</v>
          </cell>
        </row>
        <row r="7">
          <cell r="A7">
            <v>107524</v>
          </cell>
          <cell r="B7" t="str">
            <v>OTHER PRODUCTION</v>
          </cell>
          <cell r="H7">
            <v>1</v>
          </cell>
          <cell r="T7">
            <v>1</v>
          </cell>
        </row>
        <row r="8">
          <cell r="A8">
            <v>107527</v>
          </cell>
          <cell r="B8" t="str">
            <v>OTHER PRODUCTION</v>
          </cell>
          <cell r="H8">
            <v>1</v>
          </cell>
          <cell r="T8">
            <v>1</v>
          </cell>
        </row>
        <row r="9">
          <cell r="A9">
            <v>107529</v>
          </cell>
          <cell r="B9" t="str">
            <v>OTHER PRODUCTION</v>
          </cell>
          <cell r="H9">
            <v>1</v>
          </cell>
          <cell r="T9">
            <v>1</v>
          </cell>
        </row>
        <row r="10">
          <cell r="A10">
            <v>107532</v>
          </cell>
          <cell r="B10" t="str">
            <v>HQ-OVHD TRANS LINE 345 KV</v>
          </cell>
          <cell r="H10">
            <v>1</v>
          </cell>
          <cell r="W10">
            <v>0.2</v>
          </cell>
          <cell r="X10">
            <v>0.3</v>
          </cell>
          <cell r="Y10">
            <v>0.5</v>
          </cell>
        </row>
        <row r="11">
          <cell r="A11">
            <v>107533</v>
          </cell>
          <cell r="B11" t="str">
            <v>HQ-OVHD TRANS LINE 345 KV</v>
          </cell>
          <cell r="H11">
            <v>1</v>
          </cell>
          <cell r="W11">
            <v>0.2</v>
          </cell>
          <cell r="X11">
            <v>0.3</v>
          </cell>
          <cell r="Y11">
            <v>0.5</v>
          </cell>
        </row>
        <row r="12">
          <cell r="A12">
            <v>107534</v>
          </cell>
          <cell r="B12" t="str">
            <v>HQ - OVHD TRANS LINE 345KV</v>
          </cell>
          <cell r="H12">
            <v>1</v>
          </cell>
          <cell r="W12">
            <v>0.2</v>
          </cell>
          <cell r="X12">
            <v>0.3</v>
          </cell>
          <cell r="Y12">
            <v>0.5</v>
          </cell>
        </row>
        <row r="13">
          <cell r="A13">
            <v>107535</v>
          </cell>
          <cell r="B13" t="str">
            <v>HQ-OVHD TRANS LINE 345 KV</v>
          </cell>
          <cell r="H13">
            <v>1</v>
          </cell>
          <cell r="W13">
            <v>0.2</v>
          </cell>
          <cell r="X13">
            <v>0.3</v>
          </cell>
          <cell r="Y13">
            <v>0.5</v>
          </cell>
        </row>
        <row r="14">
          <cell r="A14">
            <v>107536</v>
          </cell>
          <cell r="B14" t="str">
            <v>HQ-OVHD TRANS LINE 345 KV</v>
          </cell>
          <cell r="H14">
            <v>1</v>
          </cell>
          <cell r="W14">
            <v>0.2</v>
          </cell>
          <cell r="X14">
            <v>0.3</v>
          </cell>
          <cell r="Y14">
            <v>0.5</v>
          </cell>
        </row>
        <row r="15">
          <cell r="A15">
            <v>107539</v>
          </cell>
          <cell r="B15" t="str">
            <v>HQ-OVHD TRANS LINE 345 KV</v>
          </cell>
          <cell r="H15">
            <v>1</v>
          </cell>
          <cell r="W15">
            <v>0.2</v>
          </cell>
          <cell r="X15">
            <v>0.3</v>
          </cell>
          <cell r="Y15">
            <v>0.5</v>
          </cell>
        </row>
        <row r="16">
          <cell r="A16">
            <v>107541</v>
          </cell>
          <cell r="B16" t="str">
            <v>HQ-OVHD TRANS LINE 138 KV</v>
          </cell>
          <cell r="H16">
            <v>1</v>
          </cell>
          <cell r="W16">
            <v>0.2</v>
          </cell>
          <cell r="X16">
            <v>0.3</v>
          </cell>
          <cell r="Y16">
            <v>0.5</v>
          </cell>
        </row>
        <row r="17">
          <cell r="A17">
            <v>107542</v>
          </cell>
          <cell r="B17" t="str">
            <v>HQ-OVHD TRANS LINE 138 KV</v>
          </cell>
          <cell r="H17">
            <v>1</v>
          </cell>
          <cell r="W17">
            <v>0.2</v>
          </cell>
          <cell r="X17">
            <v>0.3</v>
          </cell>
          <cell r="Y17">
            <v>0.5</v>
          </cell>
        </row>
        <row r="18">
          <cell r="A18">
            <v>107543</v>
          </cell>
          <cell r="B18" t="str">
            <v>HQ-OVHD TRANS LINE 138 KV</v>
          </cell>
          <cell r="H18">
            <v>1</v>
          </cell>
          <cell r="W18">
            <v>0.2</v>
          </cell>
          <cell r="X18">
            <v>0.3</v>
          </cell>
          <cell r="Y18">
            <v>0.5</v>
          </cell>
        </row>
        <row r="19">
          <cell r="A19">
            <v>107544</v>
          </cell>
          <cell r="B19" t="str">
            <v>HQ-OVHD TRANS LINE 138 KV</v>
          </cell>
          <cell r="H19">
            <v>1</v>
          </cell>
          <cell r="W19">
            <v>0.2</v>
          </cell>
          <cell r="X19">
            <v>0.3</v>
          </cell>
          <cell r="Y19">
            <v>0.5</v>
          </cell>
        </row>
        <row r="20">
          <cell r="A20">
            <v>107545</v>
          </cell>
          <cell r="B20" t="str">
            <v>HQ-OVHD TRANS LINE 138 KV</v>
          </cell>
          <cell r="H20">
            <v>1</v>
          </cell>
          <cell r="W20">
            <v>0.2</v>
          </cell>
          <cell r="X20">
            <v>0.3</v>
          </cell>
          <cell r="Y20">
            <v>0.5</v>
          </cell>
        </row>
        <row r="21">
          <cell r="A21">
            <v>107546</v>
          </cell>
          <cell r="B21" t="str">
            <v>HQ-OVHD TRANS LINE 138 KV</v>
          </cell>
          <cell r="H21">
            <v>1</v>
          </cell>
          <cell r="W21">
            <v>0.2</v>
          </cell>
          <cell r="X21">
            <v>0.3</v>
          </cell>
          <cell r="Y21">
            <v>0.5</v>
          </cell>
        </row>
        <row r="22">
          <cell r="A22">
            <v>107547</v>
          </cell>
          <cell r="B22" t="str">
            <v>HQ-OVHD TRANS LINE 138 KV</v>
          </cell>
          <cell r="H22">
            <v>1</v>
          </cell>
          <cell r="W22">
            <v>0.2</v>
          </cell>
          <cell r="X22">
            <v>0.3</v>
          </cell>
          <cell r="Y22">
            <v>0.5</v>
          </cell>
        </row>
        <row r="23">
          <cell r="A23">
            <v>107549</v>
          </cell>
          <cell r="B23" t="str">
            <v>HQ-OVHD TRANS LINE 138 KV</v>
          </cell>
          <cell r="H23">
            <v>1</v>
          </cell>
          <cell r="W23">
            <v>0.2</v>
          </cell>
          <cell r="X23">
            <v>0.3</v>
          </cell>
          <cell r="Y23">
            <v>0.5</v>
          </cell>
        </row>
        <row r="24">
          <cell r="A24">
            <v>107551</v>
          </cell>
          <cell r="B24" t="str">
            <v>HQ-OVHD TRANS LINE 69 KV</v>
          </cell>
          <cell r="H24">
            <v>1</v>
          </cell>
          <cell r="AB24">
            <v>0.5</v>
          </cell>
          <cell r="AC24">
            <v>0.5</v>
          </cell>
        </row>
        <row r="25">
          <cell r="A25">
            <v>107552</v>
          </cell>
          <cell r="B25" t="str">
            <v>HQ-OVHD TRANS LINE 69 KV</v>
          </cell>
          <cell r="H25">
            <v>1</v>
          </cell>
          <cell r="AB25">
            <v>0.5</v>
          </cell>
          <cell r="AC25">
            <v>0.5</v>
          </cell>
        </row>
        <row r="26">
          <cell r="A26">
            <v>107553</v>
          </cell>
          <cell r="B26" t="str">
            <v>HQ-OVHD TRANS LINE 69 KV</v>
          </cell>
          <cell r="H26">
            <v>1</v>
          </cell>
          <cell r="AB26">
            <v>0.5</v>
          </cell>
          <cell r="AC26">
            <v>0.5</v>
          </cell>
        </row>
        <row r="27">
          <cell r="A27">
            <v>107554</v>
          </cell>
          <cell r="B27" t="str">
            <v>HQ-OVHD TRANS LINE 69 KV</v>
          </cell>
          <cell r="H27">
            <v>1</v>
          </cell>
          <cell r="AB27">
            <v>0.5</v>
          </cell>
          <cell r="AC27">
            <v>0.5</v>
          </cell>
        </row>
        <row r="28">
          <cell r="A28">
            <v>107555</v>
          </cell>
          <cell r="B28" t="str">
            <v>HQ-OVHD TRANS LINE 69 KV</v>
          </cell>
          <cell r="H28">
            <v>1</v>
          </cell>
          <cell r="AB28">
            <v>0.5</v>
          </cell>
          <cell r="AC28">
            <v>0.5</v>
          </cell>
        </row>
        <row r="29">
          <cell r="A29">
            <v>107556</v>
          </cell>
          <cell r="B29" t="str">
            <v>HQ-OVHD TRANS LINE 69 KV</v>
          </cell>
          <cell r="H29">
            <v>1</v>
          </cell>
          <cell r="AB29">
            <v>0.5</v>
          </cell>
          <cell r="AC29">
            <v>0.5</v>
          </cell>
        </row>
        <row r="30">
          <cell r="A30">
            <v>107559</v>
          </cell>
          <cell r="B30" t="str">
            <v>HQ-OVHD TRANS LINE 69 KV</v>
          </cell>
          <cell r="H30">
            <v>1</v>
          </cell>
          <cell r="AB30">
            <v>0.5</v>
          </cell>
          <cell r="AC30">
            <v>0.5</v>
          </cell>
        </row>
        <row r="31">
          <cell r="A31">
            <v>107561</v>
          </cell>
          <cell r="B31" t="str">
            <v>HQ-UG TRANS LINE &gt;= 69 KV</v>
          </cell>
          <cell r="H31">
            <v>1</v>
          </cell>
          <cell r="AD31">
            <v>0.5</v>
          </cell>
          <cell r="AE31">
            <v>0.5</v>
          </cell>
        </row>
        <row r="32">
          <cell r="A32">
            <v>107563</v>
          </cell>
          <cell r="B32" t="str">
            <v>TRANS SUB HI VOLTAGE &gt; 230 KV</v>
          </cell>
          <cell r="H32">
            <v>1</v>
          </cell>
          <cell r="U32">
            <v>1</v>
          </cell>
        </row>
        <row r="33">
          <cell r="A33">
            <v>107564</v>
          </cell>
          <cell r="B33" t="str">
            <v>H-TRANS SUB EQ HI VOLT &gt;=230KV</v>
          </cell>
          <cell r="H33">
            <v>1</v>
          </cell>
          <cell r="V33">
            <v>1</v>
          </cell>
        </row>
        <row r="34">
          <cell r="A34">
            <v>107565</v>
          </cell>
          <cell r="B34" t="str">
            <v>H-TRANS SUB EQ HI VOLT &gt;=230KV</v>
          </cell>
          <cell r="H34">
            <v>1</v>
          </cell>
          <cell r="V34">
            <v>1</v>
          </cell>
        </row>
        <row r="35">
          <cell r="A35">
            <v>107566</v>
          </cell>
          <cell r="B35" t="str">
            <v>H-TRANS SUB EQ HI VOLT &gt;=230KV</v>
          </cell>
          <cell r="H35">
            <v>1</v>
          </cell>
          <cell r="V35">
            <v>1</v>
          </cell>
        </row>
        <row r="36">
          <cell r="A36">
            <v>107573</v>
          </cell>
          <cell r="B36" t="str">
            <v>TRANS SUB - HI VOLTAGE &lt; 230KV</v>
          </cell>
          <cell r="H36">
            <v>1</v>
          </cell>
          <cell r="Z36">
            <v>0.05</v>
          </cell>
          <cell r="AA36">
            <v>0.95</v>
          </cell>
        </row>
        <row r="37">
          <cell r="A37">
            <v>107574</v>
          </cell>
          <cell r="B37" t="str">
            <v>H-TRANS SUB EQ HI VOLT&lt;230 KV</v>
          </cell>
          <cell r="H37">
            <v>1</v>
          </cell>
          <cell r="Z37">
            <v>0.05</v>
          </cell>
          <cell r="AA37">
            <v>0.95</v>
          </cell>
        </row>
        <row r="38">
          <cell r="A38">
            <v>107575</v>
          </cell>
          <cell r="B38" t="str">
            <v>H-TRANS SUB EQ HI VOLT &lt; 230KV</v>
          </cell>
          <cell r="H38">
            <v>1</v>
          </cell>
          <cell r="U38">
            <v>0.05</v>
          </cell>
          <cell r="V38">
            <v>0.95</v>
          </cell>
        </row>
        <row r="39">
          <cell r="A39">
            <v>107576</v>
          </cell>
          <cell r="B39" t="str">
            <v>H-TRANS SUB EQ HI VOLT &lt; 230KV</v>
          </cell>
          <cell r="H39">
            <v>1</v>
          </cell>
          <cell r="U39">
            <v>0.05</v>
          </cell>
          <cell r="V39">
            <v>0.95</v>
          </cell>
        </row>
        <row r="40">
          <cell r="A40">
            <v>107585</v>
          </cell>
          <cell r="B40" t="str">
            <v>H-TRANS SUB 69 KV 2NDARY VOLT</v>
          </cell>
          <cell r="H40">
            <v>1</v>
          </cell>
          <cell r="Z40">
            <v>0.05</v>
          </cell>
          <cell r="AA40">
            <v>0.95</v>
          </cell>
        </row>
        <row r="41">
          <cell r="A41">
            <v>107586</v>
          </cell>
          <cell r="B41" t="str">
            <v>H-TRANS SUB 69 KV 2NDARY VOLT</v>
          </cell>
          <cell r="H41">
            <v>1</v>
          </cell>
          <cell r="Z41">
            <v>0.05</v>
          </cell>
          <cell r="AA41">
            <v>0.95</v>
          </cell>
        </row>
        <row r="42">
          <cell r="A42">
            <v>107591</v>
          </cell>
          <cell r="B42" t="str">
            <v>HQ-OVHD DISTR LINE 34.5 KV</v>
          </cell>
          <cell r="H42">
            <v>1</v>
          </cell>
          <cell r="AB42">
            <v>0.05</v>
          </cell>
          <cell r="AC42">
            <v>0.95</v>
          </cell>
        </row>
        <row r="43">
          <cell r="A43">
            <v>107592</v>
          </cell>
          <cell r="B43" t="str">
            <v>HQ-OVHD DIST LINES 34.5 KV</v>
          </cell>
          <cell r="H43">
            <v>1</v>
          </cell>
          <cell r="AB43">
            <v>0.05</v>
          </cell>
          <cell r="AC43">
            <v>0.95</v>
          </cell>
        </row>
        <row r="44">
          <cell r="A44">
            <v>107593</v>
          </cell>
          <cell r="B44" t="str">
            <v>HQ-OVHD DISTR LINE 34.5 KV</v>
          </cell>
          <cell r="H44">
            <v>1</v>
          </cell>
          <cell r="AB44">
            <v>0.05</v>
          </cell>
          <cell r="AC44">
            <v>0.95</v>
          </cell>
        </row>
        <row r="45">
          <cell r="A45">
            <v>107594</v>
          </cell>
          <cell r="B45" t="str">
            <v>HQ-OVHD DISTR LINE 34.5 KV</v>
          </cell>
          <cell r="H45">
            <v>1</v>
          </cell>
          <cell r="AB45">
            <v>0.05</v>
          </cell>
          <cell r="AC45">
            <v>0.95</v>
          </cell>
        </row>
        <row r="46">
          <cell r="A46">
            <v>107595</v>
          </cell>
          <cell r="B46" t="str">
            <v>HQ-OVHD DISTR LINE 34.5 KV</v>
          </cell>
          <cell r="H46">
            <v>1</v>
          </cell>
          <cell r="AB46">
            <v>0.05</v>
          </cell>
          <cell r="AC46">
            <v>0.95</v>
          </cell>
        </row>
        <row r="47">
          <cell r="A47">
            <v>107596</v>
          </cell>
          <cell r="B47" t="str">
            <v>HQ-OVHD DISTR LINE 34.5 KV</v>
          </cell>
          <cell r="H47">
            <v>1</v>
          </cell>
          <cell r="AB47">
            <v>0.05</v>
          </cell>
          <cell r="AC47">
            <v>0.95</v>
          </cell>
        </row>
        <row r="48">
          <cell r="A48">
            <v>107633</v>
          </cell>
          <cell r="B48" t="str">
            <v>OVHD TRANS LINE 345 KV</v>
          </cell>
          <cell r="H48">
            <v>1</v>
          </cell>
          <cell r="W48">
            <v>0.2</v>
          </cell>
          <cell r="X48">
            <v>0.3</v>
          </cell>
          <cell r="Y48">
            <v>0.5</v>
          </cell>
        </row>
        <row r="49">
          <cell r="A49">
            <v>107634</v>
          </cell>
          <cell r="B49" t="str">
            <v>AREA - OVHD TRANS LINE 345KV</v>
          </cell>
          <cell r="H49">
            <v>1</v>
          </cell>
          <cell r="W49">
            <v>0.2</v>
          </cell>
          <cell r="X49">
            <v>0.3</v>
          </cell>
          <cell r="Y49">
            <v>0.5</v>
          </cell>
        </row>
        <row r="50">
          <cell r="A50">
            <v>107635</v>
          </cell>
          <cell r="B50" t="str">
            <v>OVHD TRANS LINE 345 KV</v>
          </cell>
          <cell r="H50">
            <v>1</v>
          </cell>
          <cell r="W50">
            <v>0.2</v>
          </cell>
          <cell r="X50">
            <v>0.3</v>
          </cell>
          <cell r="Y50">
            <v>0.5</v>
          </cell>
        </row>
        <row r="51">
          <cell r="A51">
            <v>107639</v>
          </cell>
          <cell r="B51" t="str">
            <v>OVHD TRANS LINE 345 KV</v>
          </cell>
          <cell r="H51">
            <v>1</v>
          </cell>
          <cell r="W51">
            <v>0.2</v>
          </cell>
          <cell r="X51">
            <v>0.3</v>
          </cell>
          <cell r="Y51">
            <v>0.5</v>
          </cell>
        </row>
        <row r="52">
          <cell r="A52">
            <v>107641</v>
          </cell>
          <cell r="B52" t="str">
            <v>OVHD TRANS LINE 138 KV</v>
          </cell>
          <cell r="H52">
            <v>1</v>
          </cell>
          <cell r="W52">
            <v>0.2</v>
          </cell>
          <cell r="X52">
            <v>0.3</v>
          </cell>
          <cell r="Y52">
            <v>0.5</v>
          </cell>
        </row>
        <row r="53">
          <cell r="A53">
            <v>107643</v>
          </cell>
          <cell r="B53" t="str">
            <v>OVHD TRANS LINE 138 KV</v>
          </cell>
          <cell r="H53">
            <v>1</v>
          </cell>
          <cell r="W53">
            <v>0.2</v>
          </cell>
          <cell r="X53">
            <v>0.3</v>
          </cell>
          <cell r="Y53">
            <v>0.5</v>
          </cell>
        </row>
        <row r="54">
          <cell r="A54">
            <v>107644</v>
          </cell>
          <cell r="B54" t="str">
            <v>OVHD TRANS LINE 138 KV</v>
          </cell>
          <cell r="H54">
            <v>1</v>
          </cell>
          <cell r="W54">
            <v>0.2</v>
          </cell>
          <cell r="X54">
            <v>0.3</v>
          </cell>
          <cell r="Y54">
            <v>0.5</v>
          </cell>
        </row>
        <row r="55">
          <cell r="A55">
            <v>107645</v>
          </cell>
          <cell r="B55" t="str">
            <v>OVHD TRANS LINE 138 KV</v>
          </cell>
          <cell r="H55">
            <v>1</v>
          </cell>
          <cell r="W55">
            <v>0.2</v>
          </cell>
          <cell r="X55">
            <v>0.3</v>
          </cell>
          <cell r="Y55">
            <v>0.5</v>
          </cell>
        </row>
        <row r="56">
          <cell r="A56">
            <v>107646</v>
          </cell>
          <cell r="B56" t="str">
            <v>OVHD TRANS LINE 138 KV</v>
          </cell>
          <cell r="H56">
            <v>1</v>
          </cell>
          <cell r="W56">
            <v>0.2</v>
          </cell>
          <cell r="X56">
            <v>0.3</v>
          </cell>
          <cell r="Y56">
            <v>0.5</v>
          </cell>
        </row>
        <row r="57">
          <cell r="A57">
            <v>107649</v>
          </cell>
          <cell r="B57" t="str">
            <v>OVHD TRANS LINE 138 KV</v>
          </cell>
          <cell r="H57">
            <v>1</v>
          </cell>
          <cell r="W57">
            <v>0.2</v>
          </cell>
          <cell r="X57">
            <v>0.3</v>
          </cell>
          <cell r="Y57">
            <v>0.5</v>
          </cell>
        </row>
        <row r="58">
          <cell r="A58">
            <v>107651</v>
          </cell>
          <cell r="B58" t="str">
            <v>OVHD TRANS LINE 69 KV</v>
          </cell>
          <cell r="H58">
            <v>1</v>
          </cell>
          <cell r="AB58">
            <v>0.5</v>
          </cell>
          <cell r="AC58">
            <v>0.5</v>
          </cell>
        </row>
        <row r="59">
          <cell r="A59">
            <v>107653</v>
          </cell>
          <cell r="B59" t="str">
            <v>OVHD TRANS LINE 69 KV</v>
          </cell>
          <cell r="H59">
            <v>1</v>
          </cell>
          <cell r="AB59">
            <v>0.5</v>
          </cell>
          <cell r="AC59">
            <v>0.5</v>
          </cell>
        </row>
        <row r="60">
          <cell r="A60">
            <v>107654</v>
          </cell>
          <cell r="B60" t="str">
            <v>OVHD TRANS LINE 69 KV</v>
          </cell>
          <cell r="H60">
            <v>1</v>
          </cell>
          <cell r="AB60">
            <v>0.5</v>
          </cell>
          <cell r="AC60">
            <v>0.5</v>
          </cell>
        </row>
        <row r="61">
          <cell r="A61">
            <v>107655</v>
          </cell>
          <cell r="B61" t="str">
            <v>OVHD TRANS LINE 69 KV</v>
          </cell>
          <cell r="H61">
            <v>1</v>
          </cell>
          <cell r="AB61">
            <v>0.5</v>
          </cell>
          <cell r="AC61">
            <v>0.5</v>
          </cell>
        </row>
        <row r="62">
          <cell r="A62">
            <v>107656</v>
          </cell>
          <cell r="B62" t="str">
            <v>OVHD TRANS LINE 69 KV</v>
          </cell>
          <cell r="H62">
            <v>1</v>
          </cell>
          <cell r="AB62">
            <v>0.5</v>
          </cell>
          <cell r="AC62">
            <v>0.5</v>
          </cell>
        </row>
        <row r="63">
          <cell r="A63">
            <v>107659</v>
          </cell>
          <cell r="B63" t="str">
            <v>OVHD TRANS LINE 69 KV</v>
          </cell>
          <cell r="H63">
            <v>1</v>
          </cell>
          <cell r="AB63">
            <v>0.5</v>
          </cell>
          <cell r="AC63">
            <v>0.5</v>
          </cell>
        </row>
        <row r="64">
          <cell r="A64">
            <v>107661</v>
          </cell>
          <cell r="B64" t="str">
            <v>UG TRANS LINE &gt;= 69 KV</v>
          </cell>
          <cell r="H64">
            <v>1</v>
          </cell>
          <cell r="AB64">
            <v>0.5</v>
          </cell>
          <cell r="AC64">
            <v>0.5</v>
          </cell>
        </row>
        <row r="65">
          <cell r="A65">
            <v>107665</v>
          </cell>
          <cell r="B65" t="str">
            <v>A-TRANS SUB EQ HI VOLT &gt;=230KV</v>
          </cell>
          <cell r="H65">
            <v>1</v>
          </cell>
          <cell r="U65">
            <v>0.05</v>
          </cell>
          <cell r="V65">
            <v>0.95</v>
          </cell>
        </row>
        <row r="66">
          <cell r="A66">
            <v>107666</v>
          </cell>
          <cell r="B66" t="str">
            <v>A-TRANS SUB EQ HI VOLT &gt;=230KV</v>
          </cell>
          <cell r="H66">
            <v>1</v>
          </cell>
          <cell r="U66">
            <v>0.05</v>
          </cell>
          <cell r="V66">
            <v>0.95</v>
          </cell>
        </row>
        <row r="67">
          <cell r="A67">
            <v>107675</v>
          </cell>
          <cell r="B67" t="str">
            <v>A-TRANS SUB EQ HI VOLT &lt; 230KV</v>
          </cell>
          <cell r="H67">
            <v>1</v>
          </cell>
          <cell r="Z67">
            <v>0.05</v>
          </cell>
          <cell r="AA67">
            <v>0.95</v>
          </cell>
        </row>
        <row r="68">
          <cell r="A68">
            <v>107676</v>
          </cell>
          <cell r="B68" t="str">
            <v>A-TRANS SUB EQ HI VOLT &lt; 230KV</v>
          </cell>
          <cell r="H68">
            <v>1</v>
          </cell>
          <cell r="Z68">
            <v>0.05</v>
          </cell>
          <cell r="AA68">
            <v>0.95</v>
          </cell>
        </row>
        <row r="69">
          <cell r="A69">
            <v>107685</v>
          </cell>
          <cell r="B69" t="str">
            <v>A-TRANS SUB 69 KV 2NDARY VOLT</v>
          </cell>
          <cell r="H69">
            <v>1</v>
          </cell>
          <cell r="Z69">
            <v>0.05</v>
          </cell>
          <cell r="AA69">
            <v>0.95</v>
          </cell>
        </row>
        <row r="70">
          <cell r="A70">
            <v>107686</v>
          </cell>
          <cell r="B70" t="str">
            <v>A-TRANS SUB 69 KV 2NDARY VOLT</v>
          </cell>
          <cell r="H70">
            <v>1</v>
          </cell>
          <cell r="Z70">
            <v>0.05</v>
          </cell>
          <cell r="AA70">
            <v>0.95</v>
          </cell>
        </row>
        <row r="71">
          <cell r="A71">
            <v>107691</v>
          </cell>
          <cell r="B71" t="str">
            <v>OVHD DISTR LINE 34.5 KV</v>
          </cell>
          <cell r="H71">
            <v>1</v>
          </cell>
          <cell r="AB71">
            <v>0.5</v>
          </cell>
          <cell r="AC71">
            <v>0.5</v>
          </cell>
        </row>
        <row r="72">
          <cell r="A72">
            <v>107693</v>
          </cell>
          <cell r="B72" t="str">
            <v>OVHD DISTR LINE 34.5 KV</v>
          </cell>
          <cell r="H72">
            <v>1</v>
          </cell>
          <cell r="AB72">
            <v>0.5</v>
          </cell>
          <cell r="AC72">
            <v>0.5</v>
          </cell>
        </row>
        <row r="73">
          <cell r="A73">
            <v>107694</v>
          </cell>
          <cell r="B73" t="str">
            <v>OVHD DISTR LINE 34.5 KV</v>
          </cell>
          <cell r="H73">
            <v>1</v>
          </cell>
          <cell r="AB73">
            <v>0.5</v>
          </cell>
          <cell r="AC73">
            <v>0.5</v>
          </cell>
        </row>
        <row r="74">
          <cell r="A74">
            <v>107695</v>
          </cell>
          <cell r="B74" t="str">
            <v>OVHD DISTR LINE 34.5 KV</v>
          </cell>
          <cell r="H74">
            <v>1</v>
          </cell>
          <cell r="AB74">
            <v>0.5</v>
          </cell>
          <cell r="AC74">
            <v>0.5</v>
          </cell>
        </row>
        <row r="75">
          <cell r="A75">
            <v>107696</v>
          </cell>
          <cell r="B75" t="str">
            <v>OVHD DISTR LINE 34.5 KV</v>
          </cell>
          <cell r="H75">
            <v>1</v>
          </cell>
          <cell r="AB75">
            <v>0.5</v>
          </cell>
          <cell r="AC75">
            <v>0.5</v>
          </cell>
        </row>
        <row r="76">
          <cell r="A76" t="str">
            <v>107940</v>
          </cell>
          <cell r="B76" t="str">
            <v>HQ OVHD DIST LINES - 138 KV</v>
          </cell>
          <cell r="H76">
            <v>1</v>
          </cell>
          <cell r="AB76">
            <v>0.5</v>
          </cell>
          <cell r="AC76">
            <v>0.5</v>
          </cell>
        </row>
        <row r="77">
          <cell r="A77" t="str">
            <v>107941</v>
          </cell>
          <cell r="B77" t="str">
            <v>HQ OVHD DIST LINES - 138 KV</v>
          </cell>
          <cell r="H77">
            <v>1</v>
          </cell>
          <cell r="AB77">
            <v>0.5</v>
          </cell>
          <cell r="AC77">
            <v>0.5</v>
          </cell>
        </row>
        <row r="78">
          <cell r="A78">
            <v>107942</v>
          </cell>
          <cell r="B78" t="str">
            <v>HQ OVHD DIST LINES - 138 KV</v>
          </cell>
          <cell r="H78">
            <v>1</v>
          </cell>
          <cell r="AB78">
            <v>0.5</v>
          </cell>
          <cell r="AC78">
            <v>0.5</v>
          </cell>
        </row>
        <row r="79">
          <cell r="A79">
            <v>107943</v>
          </cell>
          <cell r="B79" t="str">
            <v>HQ OVHD DIST LINES - 138 KV</v>
          </cell>
          <cell r="H79">
            <v>1</v>
          </cell>
          <cell r="AB79">
            <v>0.5</v>
          </cell>
          <cell r="AC79">
            <v>0.5</v>
          </cell>
        </row>
        <row r="80">
          <cell r="A80">
            <v>107944</v>
          </cell>
          <cell r="B80" t="str">
            <v>HQ OVHD DIST LINES - 138 KV</v>
          </cell>
          <cell r="H80">
            <v>1</v>
          </cell>
          <cell r="AB80">
            <v>0.5</v>
          </cell>
          <cell r="AC80">
            <v>0.5</v>
          </cell>
        </row>
        <row r="81">
          <cell r="A81">
            <v>107945</v>
          </cell>
          <cell r="B81" t="str">
            <v>HQ OVHD DIST LINES - 138 KV</v>
          </cell>
          <cell r="H81">
            <v>1</v>
          </cell>
          <cell r="AB81">
            <v>0.5</v>
          </cell>
          <cell r="AC81">
            <v>0.5</v>
          </cell>
        </row>
        <row r="82">
          <cell r="A82">
            <v>107946</v>
          </cell>
          <cell r="B82" t="str">
            <v>HQ OVHD DIST LINES - 138 KV</v>
          </cell>
          <cell r="H82">
            <v>1</v>
          </cell>
          <cell r="AB82">
            <v>0.5</v>
          </cell>
          <cell r="AC82">
            <v>0.5</v>
          </cell>
        </row>
        <row r="83">
          <cell r="A83">
            <v>107947</v>
          </cell>
          <cell r="B83" t="str">
            <v>HQ OVHD DIST LINES - 138 KV</v>
          </cell>
          <cell r="H83">
            <v>1</v>
          </cell>
          <cell r="AB83">
            <v>0.5</v>
          </cell>
          <cell r="AC83">
            <v>0.5</v>
          </cell>
        </row>
        <row r="84">
          <cell r="A84">
            <v>107949</v>
          </cell>
          <cell r="B84" t="str">
            <v>HQ OVHD DIST LINES - 138 KV</v>
          </cell>
          <cell r="H84">
            <v>1</v>
          </cell>
          <cell r="AB84">
            <v>0.5</v>
          </cell>
          <cell r="AC84">
            <v>0.5</v>
          </cell>
        </row>
        <row r="85">
          <cell r="A85">
            <v>107950</v>
          </cell>
          <cell r="B85" t="str">
            <v xml:space="preserve">HQ OVHD DIST LINES - 69 KV </v>
          </cell>
          <cell r="H85">
            <v>1</v>
          </cell>
          <cell r="AB85">
            <v>0.5</v>
          </cell>
          <cell r="AC85">
            <v>0.5</v>
          </cell>
        </row>
        <row r="86">
          <cell r="A86">
            <v>107951</v>
          </cell>
          <cell r="B86" t="str">
            <v xml:space="preserve">HQ OVHD DIST LINES - 69 KV </v>
          </cell>
          <cell r="H86">
            <v>1</v>
          </cell>
          <cell r="AB86">
            <v>0.5</v>
          </cell>
          <cell r="AC86">
            <v>0.5</v>
          </cell>
        </row>
        <row r="87">
          <cell r="A87">
            <v>107952</v>
          </cell>
          <cell r="B87" t="str">
            <v xml:space="preserve">HQ OVHD DIST LINES - 69 KV </v>
          </cell>
          <cell r="H87">
            <v>1</v>
          </cell>
          <cell r="AB87">
            <v>0.5</v>
          </cell>
          <cell r="AC87">
            <v>0.5</v>
          </cell>
        </row>
        <row r="88">
          <cell r="A88">
            <v>107953</v>
          </cell>
          <cell r="B88" t="str">
            <v xml:space="preserve">HQ OVHD DIST LINES - 69 KV    </v>
          </cell>
          <cell r="H88">
            <v>1</v>
          </cell>
          <cell r="AB88">
            <v>0.5</v>
          </cell>
          <cell r="AC88">
            <v>0.5</v>
          </cell>
        </row>
        <row r="89">
          <cell r="A89">
            <v>107954</v>
          </cell>
          <cell r="B89" t="str">
            <v xml:space="preserve">HQ OVHD DIST LINES - 69 KV    </v>
          </cell>
          <cell r="H89">
            <v>1</v>
          </cell>
          <cell r="AB89">
            <v>0.5</v>
          </cell>
          <cell r="AC89">
            <v>0.5</v>
          </cell>
        </row>
        <row r="90">
          <cell r="A90">
            <v>107955</v>
          </cell>
          <cell r="B90" t="str">
            <v xml:space="preserve">HQ OVHD DIST LINES - 69 KV    </v>
          </cell>
          <cell r="H90">
            <v>1</v>
          </cell>
          <cell r="AB90">
            <v>0.5</v>
          </cell>
          <cell r="AC90">
            <v>0.5</v>
          </cell>
        </row>
        <row r="91">
          <cell r="A91" t="str">
            <v>107956</v>
          </cell>
          <cell r="B91" t="str">
            <v xml:space="preserve">HQ OVHD DIST LINES - 69 KV    </v>
          </cell>
          <cell r="H91">
            <v>1</v>
          </cell>
          <cell r="AB91">
            <v>0.5</v>
          </cell>
          <cell r="AC91">
            <v>0.5</v>
          </cell>
        </row>
        <row r="92">
          <cell r="A92" t="str">
            <v>107957</v>
          </cell>
          <cell r="B92" t="str">
            <v xml:space="preserve">HQ OVHD DIST LINES - 69 KV    </v>
          </cell>
          <cell r="H92">
            <v>1</v>
          </cell>
          <cell r="AB92">
            <v>0.5</v>
          </cell>
          <cell r="AC92">
            <v>0.5</v>
          </cell>
        </row>
        <row r="93">
          <cell r="A93" t="str">
            <v>107959</v>
          </cell>
          <cell r="B93" t="str">
            <v xml:space="preserve">HQ OVHD DIST LINES - 69 KV    </v>
          </cell>
          <cell r="H93">
            <v>1</v>
          </cell>
          <cell r="AB93">
            <v>0.5</v>
          </cell>
          <cell r="AC93">
            <v>0.5</v>
          </cell>
        </row>
        <row r="94">
          <cell r="A94" t="str">
            <v>107960</v>
          </cell>
          <cell r="B94" t="str">
            <v>H-DIS SUB EQ JTUSE HVOLT&gt;230KV</v>
          </cell>
          <cell r="H94">
            <v>1</v>
          </cell>
          <cell r="Z94">
            <v>0.05</v>
          </cell>
          <cell r="AA94">
            <v>0.95</v>
          </cell>
        </row>
        <row r="95">
          <cell r="A95" t="str">
            <v>107961</v>
          </cell>
          <cell r="B95" t="str">
            <v>H-DIS SUB EQ JTUSE HVOLT&gt;230KV</v>
          </cell>
          <cell r="H95">
            <v>1</v>
          </cell>
          <cell r="Z95">
            <v>0.05</v>
          </cell>
          <cell r="AA95">
            <v>0.95</v>
          </cell>
        </row>
        <row r="96">
          <cell r="A96" t="str">
            <v>107962</v>
          </cell>
          <cell r="B96" t="str">
            <v>H-DIS SUB EQ JTUSE HVOLT&gt;230KV</v>
          </cell>
          <cell r="H96">
            <v>1</v>
          </cell>
          <cell r="Z96">
            <v>0.05</v>
          </cell>
          <cell r="AA96">
            <v>0.95</v>
          </cell>
        </row>
        <row r="97">
          <cell r="A97" t="str">
            <v>107963</v>
          </cell>
          <cell r="B97" t="str">
            <v>H-DIS SUB EQ JTUSE HVOLT&gt;230KV</v>
          </cell>
          <cell r="H97">
            <v>1</v>
          </cell>
          <cell r="Z97">
            <v>0.05</v>
          </cell>
          <cell r="AA97">
            <v>0.95</v>
          </cell>
        </row>
        <row r="98">
          <cell r="A98" t="str">
            <v>107964</v>
          </cell>
          <cell r="B98" t="str">
            <v>H-DIS SUB EQ JTUSE HVOLT&gt;230KV</v>
          </cell>
          <cell r="H98">
            <v>1</v>
          </cell>
          <cell r="Z98">
            <v>0.05</v>
          </cell>
          <cell r="AA98">
            <v>0.95</v>
          </cell>
        </row>
        <row r="99">
          <cell r="A99">
            <v>107965</v>
          </cell>
          <cell r="B99" t="str">
            <v>H-DIS SUB EQ JTUSE HVOLT&gt;230KV</v>
          </cell>
          <cell r="H99">
            <v>1</v>
          </cell>
          <cell r="Z99">
            <v>0.05</v>
          </cell>
          <cell r="AA99">
            <v>0.95</v>
          </cell>
        </row>
        <row r="100">
          <cell r="A100" t="str">
            <v>107966</v>
          </cell>
          <cell r="B100" t="str">
            <v>H-DIS SUB EQ JTUSE HVOLT&gt;230KV</v>
          </cell>
          <cell r="H100">
            <v>1</v>
          </cell>
          <cell r="Z100">
            <v>0.05</v>
          </cell>
          <cell r="AA100">
            <v>0.95</v>
          </cell>
        </row>
        <row r="101">
          <cell r="A101" t="str">
            <v>107967</v>
          </cell>
          <cell r="B101" t="str">
            <v>H-DIS SUB EQ JTUSE HVOLT&gt;230KV</v>
          </cell>
          <cell r="H101">
            <v>1</v>
          </cell>
          <cell r="Z101">
            <v>0.05</v>
          </cell>
          <cell r="AA101">
            <v>0.95</v>
          </cell>
        </row>
        <row r="102">
          <cell r="A102" t="str">
            <v>107969</v>
          </cell>
          <cell r="B102" t="str">
            <v>H-DIS SUB EQ JTUSE HVOLT&gt;230KV</v>
          </cell>
          <cell r="H102">
            <v>1</v>
          </cell>
          <cell r="Z102">
            <v>0.05</v>
          </cell>
          <cell r="AA102">
            <v>0.95</v>
          </cell>
        </row>
        <row r="103">
          <cell r="A103" t="str">
            <v>107970</v>
          </cell>
          <cell r="B103" t="str">
            <v>H-DIST JT USE SUB HIVOLT&lt;230KV</v>
          </cell>
          <cell r="H103">
            <v>1</v>
          </cell>
          <cell r="Z103">
            <v>0.05</v>
          </cell>
          <cell r="AA103">
            <v>0.95</v>
          </cell>
        </row>
        <row r="104">
          <cell r="A104" t="str">
            <v>107971</v>
          </cell>
          <cell r="B104" t="str">
            <v>H-DIST JT USE SUB HIVOLT&lt;230KV</v>
          </cell>
          <cell r="H104">
            <v>1</v>
          </cell>
          <cell r="Z104">
            <v>0.05</v>
          </cell>
          <cell r="AA104">
            <v>0.95</v>
          </cell>
        </row>
        <row r="105">
          <cell r="A105" t="str">
            <v>107972</v>
          </cell>
          <cell r="B105" t="str">
            <v>H-DIST JT USE SUB HIVOLT&lt;230KV</v>
          </cell>
          <cell r="H105">
            <v>1</v>
          </cell>
          <cell r="Z105">
            <v>0.05</v>
          </cell>
          <cell r="AA105">
            <v>0.95</v>
          </cell>
        </row>
        <row r="106">
          <cell r="A106" t="str">
            <v>107973</v>
          </cell>
          <cell r="B106" t="str">
            <v>H-DIST JT USE SUB HIVOLT&lt;230KV</v>
          </cell>
          <cell r="H106">
            <v>1</v>
          </cell>
          <cell r="Z106">
            <v>0.05</v>
          </cell>
          <cell r="AA106">
            <v>0.95</v>
          </cell>
        </row>
        <row r="107">
          <cell r="A107">
            <v>107974</v>
          </cell>
          <cell r="B107" t="str">
            <v>H-DIST JT USE SUB HIVOLT&lt;230KV</v>
          </cell>
          <cell r="H107">
            <v>1</v>
          </cell>
          <cell r="Z107">
            <v>0.05</v>
          </cell>
          <cell r="AA107">
            <v>0.95</v>
          </cell>
        </row>
        <row r="108">
          <cell r="A108">
            <v>107975</v>
          </cell>
          <cell r="B108" t="str">
            <v>H-DIST JT USE SUB HIVOLT&lt;230KV</v>
          </cell>
          <cell r="H108">
            <v>1</v>
          </cell>
          <cell r="Z108">
            <v>0.05</v>
          </cell>
          <cell r="AA108">
            <v>0.95</v>
          </cell>
        </row>
        <row r="109">
          <cell r="A109" t="str">
            <v>107976</v>
          </cell>
          <cell r="B109" t="str">
            <v>H-DIST JT USE SUB HIVOLT&lt;230KV</v>
          </cell>
          <cell r="H109">
            <v>1</v>
          </cell>
          <cell r="Z109">
            <v>0.05</v>
          </cell>
          <cell r="AA109">
            <v>0.95</v>
          </cell>
        </row>
        <row r="110">
          <cell r="A110" t="str">
            <v>107977</v>
          </cell>
          <cell r="B110" t="str">
            <v>H-DIST JT USE SUB HIVOLT&lt;230KV</v>
          </cell>
          <cell r="H110">
            <v>1</v>
          </cell>
          <cell r="Z110">
            <v>0.05</v>
          </cell>
          <cell r="AA110">
            <v>0.95</v>
          </cell>
        </row>
        <row r="111">
          <cell r="A111" t="str">
            <v>107979</v>
          </cell>
          <cell r="B111" t="str">
            <v>H-DIST JT USE SUB HIVOLT&lt;230KV</v>
          </cell>
          <cell r="H111">
            <v>1</v>
          </cell>
          <cell r="Z111">
            <v>0.05</v>
          </cell>
          <cell r="AA111">
            <v>0.95</v>
          </cell>
        </row>
        <row r="112">
          <cell r="A112" t="str">
            <v>107980</v>
          </cell>
          <cell r="B112" t="str">
            <v>HQ-DISTRIBUTION SUBSTATN-69KV</v>
          </cell>
          <cell r="H112">
            <v>1</v>
          </cell>
          <cell r="Z112">
            <v>0.05</v>
          </cell>
          <cell r="AA112">
            <v>0.95</v>
          </cell>
        </row>
        <row r="113">
          <cell r="A113" t="str">
            <v>107981</v>
          </cell>
          <cell r="B113" t="str">
            <v>HQ-DISTRIBUTION SUBSTATN-69KV</v>
          </cell>
          <cell r="H113">
            <v>1</v>
          </cell>
          <cell r="Z113">
            <v>0.05</v>
          </cell>
          <cell r="AA113">
            <v>0.95</v>
          </cell>
        </row>
        <row r="114">
          <cell r="A114" t="str">
            <v>107982</v>
          </cell>
          <cell r="B114" t="str">
            <v xml:space="preserve">HQ-DISTIBUTION SUBSTATN-69KV </v>
          </cell>
          <cell r="H114">
            <v>1</v>
          </cell>
          <cell r="Z114">
            <v>0.05</v>
          </cell>
          <cell r="AA114">
            <v>0.95</v>
          </cell>
        </row>
        <row r="115">
          <cell r="A115" t="str">
            <v>107983</v>
          </cell>
          <cell r="B115" t="str">
            <v xml:space="preserve">HQ-DISTRIBUTION SUBSTAN-69KV </v>
          </cell>
          <cell r="H115">
            <v>1</v>
          </cell>
          <cell r="Z115">
            <v>0.05</v>
          </cell>
          <cell r="AA115">
            <v>0.95</v>
          </cell>
        </row>
        <row r="116">
          <cell r="A116">
            <v>107984</v>
          </cell>
          <cell r="B116" t="str">
            <v>HQ-DISTRIBUTION SUBSTATN-69KV</v>
          </cell>
          <cell r="H116">
            <v>1</v>
          </cell>
          <cell r="Z116">
            <v>0.05</v>
          </cell>
          <cell r="AA116">
            <v>0.95</v>
          </cell>
        </row>
        <row r="117">
          <cell r="A117">
            <v>107985</v>
          </cell>
          <cell r="B117" t="str">
            <v>HQ-DISTRIBUTION SUBSTATN-69KV</v>
          </cell>
          <cell r="H117">
            <v>1</v>
          </cell>
          <cell r="Z117">
            <v>0.05</v>
          </cell>
          <cell r="AA117">
            <v>0.95</v>
          </cell>
        </row>
        <row r="118">
          <cell r="A118">
            <v>107986</v>
          </cell>
          <cell r="B118" t="str">
            <v>HQ-DISTRIBUTION SUBSTATN-69KV</v>
          </cell>
          <cell r="H118">
            <v>1</v>
          </cell>
          <cell r="Z118">
            <v>0.05</v>
          </cell>
          <cell r="AA118">
            <v>0.95</v>
          </cell>
        </row>
        <row r="119">
          <cell r="A119" t="str">
            <v>107987</v>
          </cell>
          <cell r="B119" t="str">
            <v>DIST SUB 69 KV 2NDARY VOLTAGE</v>
          </cell>
          <cell r="H119">
            <v>1</v>
          </cell>
          <cell r="Z119">
            <v>0.05</v>
          </cell>
          <cell r="AA119">
            <v>0.95</v>
          </cell>
        </row>
        <row r="120">
          <cell r="A120" t="str">
            <v>107989</v>
          </cell>
          <cell r="B120" t="str">
            <v>DIST SUB 69 KV 2NDARY VOLTAGE</v>
          </cell>
          <cell r="H120">
            <v>1</v>
          </cell>
          <cell r="Z120">
            <v>0.05</v>
          </cell>
          <cell r="AA120">
            <v>0.95</v>
          </cell>
        </row>
        <row r="121">
          <cell r="A121" t="str">
            <v>1075A1</v>
          </cell>
          <cell r="B121" t="str">
            <v>HQ-OVHD DIST LINE &lt; 34.5 KV</v>
          </cell>
          <cell r="H121">
            <v>1</v>
          </cell>
          <cell r="AB121">
            <v>0.5</v>
          </cell>
          <cell r="AC121">
            <v>0.5</v>
          </cell>
        </row>
        <row r="122">
          <cell r="A122" t="str">
            <v>1075A3</v>
          </cell>
          <cell r="B122" t="str">
            <v>HQ-OVHD DIST LINE &lt; 34.5 KV</v>
          </cell>
          <cell r="H122">
            <v>1</v>
          </cell>
          <cell r="AB122">
            <v>0.5</v>
          </cell>
          <cell r="AC122">
            <v>0.5</v>
          </cell>
        </row>
        <row r="123">
          <cell r="A123" t="str">
            <v>1075A4</v>
          </cell>
          <cell r="B123" t="str">
            <v>HQ-OVHD DIST LINE &lt; 34.5 KV</v>
          </cell>
          <cell r="H123">
            <v>1</v>
          </cell>
          <cell r="AB123">
            <v>0.5</v>
          </cell>
          <cell r="AC123">
            <v>0.5</v>
          </cell>
        </row>
        <row r="124">
          <cell r="A124" t="str">
            <v>1075A5</v>
          </cell>
          <cell r="B124" t="str">
            <v>HQ-OVHD DIST LINE &lt; 34.5 KV</v>
          </cell>
          <cell r="H124">
            <v>1</v>
          </cell>
          <cell r="AB124">
            <v>0.5</v>
          </cell>
          <cell r="AC124">
            <v>0.5</v>
          </cell>
        </row>
        <row r="125">
          <cell r="A125" t="str">
            <v>1075A6</v>
          </cell>
          <cell r="B125" t="str">
            <v>HQ-OVHD DIST LINE &lt; 34.5 KV</v>
          </cell>
          <cell r="H125">
            <v>1</v>
          </cell>
          <cell r="AB125">
            <v>0.5</v>
          </cell>
          <cell r="AC125">
            <v>0.5</v>
          </cell>
        </row>
        <row r="126">
          <cell r="A126" t="str">
            <v>1075E1</v>
          </cell>
          <cell r="B126" t="str">
            <v>HQ-DIST SUB 34.5 KV 2NDARY VLT</v>
          </cell>
          <cell r="H126">
            <v>1</v>
          </cell>
          <cell r="Z126">
            <v>0.05</v>
          </cell>
          <cell r="AA126">
            <v>0.95</v>
          </cell>
        </row>
        <row r="127">
          <cell r="A127" t="str">
            <v>1075E2</v>
          </cell>
          <cell r="B127" t="str">
            <v>HQ-DIST SUB 34.5 KV 2NDARY VLT</v>
          </cell>
          <cell r="H127">
            <v>1</v>
          </cell>
          <cell r="Z127">
            <v>0.05</v>
          </cell>
          <cell r="AA127">
            <v>0.95</v>
          </cell>
        </row>
        <row r="128">
          <cell r="A128" t="str">
            <v>1075E3</v>
          </cell>
          <cell r="B128" t="str">
            <v>HQ-DIST SUB 34.5 KV 2NDARY VLT</v>
          </cell>
          <cell r="H128">
            <v>1</v>
          </cell>
          <cell r="Z128">
            <v>0.05</v>
          </cell>
          <cell r="AA128">
            <v>0.95</v>
          </cell>
        </row>
        <row r="129">
          <cell r="A129" t="str">
            <v>1075E4</v>
          </cell>
          <cell r="B129" t="str">
            <v>HQ-DIST SUB 34.5 KV 2NDARY VLT</v>
          </cell>
          <cell r="H129">
            <v>1</v>
          </cell>
          <cell r="Z129">
            <v>0.05</v>
          </cell>
          <cell r="AA129">
            <v>0.95</v>
          </cell>
        </row>
        <row r="130">
          <cell r="A130" t="str">
            <v>1075E5</v>
          </cell>
          <cell r="B130" t="str">
            <v>HQ-DIST SUB 34.5 KV 2NDARY VLT</v>
          </cell>
          <cell r="H130">
            <v>1</v>
          </cell>
          <cell r="Z130">
            <v>0.05</v>
          </cell>
          <cell r="AA130">
            <v>0.95</v>
          </cell>
        </row>
        <row r="131">
          <cell r="A131" t="str">
            <v>1075E6</v>
          </cell>
          <cell r="B131" t="str">
            <v>HQ-DIST SUB 34.5 KV 2NDARY VLT</v>
          </cell>
          <cell r="H131">
            <v>1</v>
          </cell>
          <cell r="Z131">
            <v>0.05</v>
          </cell>
          <cell r="AA131">
            <v>0.95</v>
          </cell>
        </row>
        <row r="132">
          <cell r="A132" t="str">
            <v>1075F1</v>
          </cell>
          <cell r="B132" t="str">
            <v>HQ-DIST SUB &lt;34.5 KV 2ND VOLT</v>
          </cell>
          <cell r="H132">
            <v>1</v>
          </cell>
          <cell r="Z132">
            <v>0.05</v>
          </cell>
          <cell r="AA132">
            <v>0.95</v>
          </cell>
        </row>
        <row r="133">
          <cell r="A133" t="str">
            <v>1075F2</v>
          </cell>
          <cell r="B133" t="str">
            <v>HQ-DIST SUB &lt;34.5 KV 2ND VOLT</v>
          </cell>
          <cell r="H133">
            <v>1</v>
          </cell>
          <cell r="Z133">
            <v>0.05</v>
          </cell>
          <cell r="AA133">
            <v>0.95</v>
          </cell>
        </row>
        <row r="134">
          <cell r="A134" t="str">
            <v>1075F3</v>
          </cell>
          <cell r="B134" t="str">
            <v>HQ-DIST SUB &lt;34.5 KV 2ND VOLT</v>
          </cell>
          <cell r="H134">
            <v>1</v>
          </cell>
          <cell r="Z134">
            <v>0.05</v>
          </cell>
          <cell r="AA134">
            <v>0.95</v>
          </cell>
        </row>
        <row r="135">
          <cell r="A135" t="str">
            <v>1075F4</v>
          </cell>
          <cell r="B135" t="str">
            <v>HQ-DIST SUB &lt;34.5 KV 2ND VOLT</v>
          </cell>
          <cell r="H135">
            <v>1</v>
          </cell>
          <cell r="Z135">
            <v>0.05</v>
          </cell>
          <cell r="AA135">
            <v>0.95</v>
          </cell>
        </row>
        <row r="136">
          <cell r="A136" t="str">
            <v>1075F5</v>
          </cell>
          <cell r="B136" t="str">
            <v>HQ-DIST SUB &lt;34.5 KV 2ND VOLT</v>
          </cell>
          <cell r="H136">
            <v>1</v>
          </cell>
          <cell r="Z136">
            <v>0.05</v>
          </cell>
          <cell r="AA136">
            <v>0.95</v>
          </cell>
        </row>
        <row r="137">
          <cell r="A137" t="str">
            <v>1075F6</v>
          </cell>
          <cell r="B137" t="str">
            <v>HQ-DIST SUB &lt;34.5 KV 2ND VOLT</v>
          </cell>
          <cell r="H137">
            <v>1</v>
          </cell>
          <cell r="Z137">
            <v>0.05</v>
          </cell>
          <cell r="AA137">
            <v>0.95</v>
          </cell>
        </row>
        <row r="138">
          <cell r="A138" t="str">
            <v>1075G1</v>
          </cell>
          <cell r="B138" t="str">
            <v>HQ-CUST SUB &gt;= 138 2NDARY VOLT</v>
          </cell>
          <cell r="H138">
            <v>1</v>
          </cell>
          <cell r="Z138">
            <v>0.05</v>
          </cell>
          <cell r="AA138">
            <v>0.95</v>
          </cell>
        </row>
        <row r="139">
          <cell r="A139" t="str">
            <v>1075G2</v>
          </cell>
          <cell r="B139" t="str">
            <v>HQ-CUST SUB &gt;= 138 2NDARY VOLT</v>
          </cell>
          <cell r="H139">
            <v>1</v>
          </cell>
          <cell r="Z139">
            <v>0.05</v>
          </cell>
          <cell r="AA139">
            <v>0.95</v>
          </cell>
        </row>
        <row r="140">
          <cell r="A140" t="str">
            <v>1075G3</v>
          </cell>
          <cell r="B140" t="str">
            <v>HQ-CUST SUB &gt;= 138 2NDARY VOLT</v>
          </cell>
          <cell r="H140">
            <v>1</v>
          </cell>
          <cell r="Z140">
            <v>0.05</v>
          </cell>
          <cell r="AA140">
            <v>0.95</v>
          </cell>
        </row>
        <row r="141">
          <cell r="A141" t="str">
            <v>1075G4</v>
          </cell>
          <cell r="B141" t="str">
            <v>HQ-CUST SUB &gt;= 138 2NDARY VOLT</v>
          </cell>
          <cell r="H141">
            <v>1</v>
          </cell>
          <cell r="Z141">
            <v>0.05</v>
          </cell>
          <cell r="AA141">
            <v>0.95</v>
          </cell>
        </row>
        <row r="142">
          <cell r="A142" t="str">
            <v>1075G5</v>
          </cell>
          <cell r="B142" t="str">
            <v>HQ-CUST SUB &gt;= 138 2NDARY VOLT</v>
          </cell>
          <cell r="H142">
            <v>1</v>
          </cell>
          <cell r="Z142">
            <v>0.05</v>
          </cell>
          <cell r="AA142">
            <v>0.95</v>
          </cell>
        </row>
        <row r="143">
          <cell r="A143" t="str">
            <v>1075G6</v>
          </cell>
          <cell r="B143" t="str">
            <v>HQ-CUST SUB &gt;= 138 2NDARY VOLT</v>
          </cell>
          <cell r="H143">
            <v>1</v>
          </cell>
          <cell r="Z143">
            <v>0.05</v>
          </cell>
          <cell r="AA143">
            <v>0.95</v>
          </cell>
        </row>
        <row r="144">
          <cell r="A144" t="str">
            <v>1075H1</v>
          </cell>
          <cell r="B144" t="str">
            <v>HQ-CUST SUB 69 2NDARY VOLT</v>
          </cell>
          <cell r="H144">
            <v>1</v>
          </cell>
          <cell r="Z144">
            <v>0.05</v>
          </cell>
          <cell r="AA144">
            <v>0.95</v>
          </cell>
        </row>
        <row r="145">
          <cell r="A145" t="str">
            <v>1075H2</v>
          </cell>
          <cell r="B145" t="str">
            <v>HQ-CUST SUB 69 2NDARY VOLT</v>
          </cell>
          <cell r="H145">
            <v>1</v>
          </cell>
          <cell r="Z145">
            <v>0.05</v>
          </cell>
          <cell r="AA145">
            <v>0.95</v>
          </cell>
        </row>
        <row r="146">
          <cell r="A146" t="str">
            <v>1075H3</v>
          </cell>
          <cell r="B146" t="str">
            <v>HQ-CUST SUB 69 2NDARY VOLT</v>
          </cell>
          <cell r="H146">
            <v>1</v>
          </cell>
          <cell r="Z146">
            <v>0.05</v>
          </cell>
          <cell r="AA146">
            <v>0.95</v>
          </cell>
        </row>
        <row r="147">
          <cell r="A147" t="str">
            <v>1075H4</v>
          </cell>
          <cell r="B147" t="str">
            <v>HQ-CUST SUB 69 2NDARY VOLT</v>
          </cell>
          <cell r="H147">
            <v>1</v>
          </cell>
          <cell r="Z147">
            <v>0.05</v>
          </cell>
          <cell r="AA147">
            <v>0.95</v>
          </cell>
        </row>
        <row r="148">
          <cell r="A148" t="str">
            <v>1075H5</v>
          </cell>
          <cell r="B148" t="str">
            <v>HQ-CUST SUB 69 2NDARY VOLT</v>
          </cell>
          <cell r="H148">
            <v>1</v>
          </cell>
          <cell r="Z148">
            <v>0.05</v>
          </cell>
          <cell r="AA148">
            <v>0.95</v>
          </cell>
        </row>
        <row r="149">
          <cell r="A149" t="str">
            <v>1075H6</v>
          </cell>
          <cell r="B149" t="str">
            <v>HQ-CUST SUB 69 2NDARY VOLT</v>
          </cell>
          <cell r="H149">
            <v>1</v>
          </cell>
          <cell r="Z149">
            <v>0.05</v>
          </cell>
          <cell r="AA149">
            <v>0.95</v>
          </cell>
        </row>
        <row r="150">
          <cell r="A150" t="str">
            <v>1075I1</v>
          </cell>
          <cell r="B150" t="str">
            <v>HQ-CUST SUB 34.5 2NDARY VOLT</v>
          </cell>
          <cell r="H150">
            <v>1</v>
          </cell>
          <cell r="Z150">
            <v>0.05</v>
          </cell>
          <cell r="AA150">
            <v>0.95</v>
          </cell>
        </row>
        <row r="151">
          <cell r="A151" t="str">
            <v>1075I2</v>
          </cell>
          <cell r="B151" t="str">
            <v>HQ-CUST SUB 34.5 2NDARY VOLT</v>
          </cell>
          <cell r="H151">
            <v>1</v>
          </cell>
          <cell r="Z151">
            <v>0.05</v>
          </cell>
          <cell r="AA151">
            <v>0.95</v>
          </cell>
        </row>
        <row r="152">
          <cell r="A152" t="str">
            <v>1075I3</v>
          </cell>
          <cell r="B152" t="str">
            <v>HQ-CUST SUB 34.5 2NDARY VOLT</v>
          </cell>
          <cell r="H152">
            <v>1</v>
          </cell>
          <cell r="Z152">
            <v>0.05</v>
          </cell>
          <cell r="AA152">
            <v>0.95</v>
          </cell>
        </row>
        <row r="153">
          <cell r="A153" t="str">
            <v>1075I4</v>
          </cell>
          <cell r="B153" t="str">
            <v>HQ-CUST SUB 34.5 2NDARY VOLT</v>
          </cell>
          <cell r="H153">
            <v>1</v>
          </cell>
          <cell r="Z153">
            <v>0.05</v>
          </cell>
          <cell r="AA153">
            <v>0.95</v>
          </cell>
        </row>
        <row r="154">
          <cell r="A154" t="str">
            <v>1075I5</v>
          </cell>
          <cell r="B154" t="str">
            <v>HQ-CUST SUB 34.5 2NDARY VOLT</v>
          </cell>
          <cell r="H154">
            <v>1</v>
          </cell>
          <cell r="Z154">
            <v>0.05</v>
          </cell>
          <cell r="AA154">
            <v>0.95</v>
          </cell>
        </row>
        <row r="155">
          <cell r="A155" t="str">
            <v>1075I6</v>
          </cell>
          <cell r="B155" t="str">
            <v>HQ-CUST SUB 34.5 2NDARY VOLT</v>
          </cell>
          <cell r="H155">
            <v>1</v>
          </cell>
          <cell r="Z155">
            <v>0.05</v>
          </cell>
          <cell r="AA155">
            <v>0.95</v>
          </cell>
        </row>
        <row r="156">
          <cell r="A156" t="str">
            <v>1075J1</v>
          </cell>
          <cell r="B156" t="str">
            <v>HQ-CUST SUB &lt; 34.5 2NDARY VOLT</v>
          </cell>
          <cell r="H156">
            <v>1</v>
          </cell>
          <cell r="Z156">
            <v>0.05</v>
          </cell>
          <cell r="AA156">
            <v>0.95</v>
          </cell>
        </row>
        <row r="157">
          <cell r="A157" t="str">
            <v>1075J2</v>
          </cell>
          <cell r="B157" t="str">
            <v>HQ-CUST SUB &lt; 34.5 2NDARY VOLT</v>
          </cell>
          <cell r="H157">
            <v>1</v>
          </cell>
          <cell r="Z157">
            <v>0.05</v>
          </cell>
          <cell r="AA157">
            <v>0.95</v>
          </cell>
        </row>
        <row r="158">
          <cell r="A158" t="str">
            <v>1075J3</v>
          </cell>
          <cell r="B158" t="str">
            <v>HQ-CUST SUB &lt; 34.5 2NDARY VOLT</v>
          </cell>
          <cell r="H158">
            <v>1</v>
          </cell>
          <cell r="Z158">
            <v>0.05</v>
          </cell>
          <cell r="AA158">
            <v>0.95</v>
          </cell>
        </row>
        <row r="159">
          <cell r="A159" t="str">
            <v>1075J4</v>
          </cell>
          <cell r="B159" t="str">
            <v>HQ-CUST SUB &lt; 34.5 2NDARY VOLT</v>
          </cell>
          <cell r="H159">
            <v>1</v>
          </cell>
          <cell r="Z159">
            <v>0.05</v>
          </cell>
          <cell r="AA159">
            <v>0.95</v>
          </cell>
        </row>
        <row r="160">
          <cell r="A160" t="str">
            <v>1075J5</v>
          </cell>
          <cell r="B160" t="str">
            <v>HQ-CUST SUB &lt; 34.5 2NDARY VOLT</v>
          </cell>
          <cell r="H160">
            <v>1</v>
          </cell>
          <cell r="Z160">
            <v>0.05</v>
          </cell>
          <cell r="AA160">
            <v>0.95</v>
          </cell>
        </row>
        <row r="161">
          <cell r="A161" t="str">
            <v>1075J6</v>
          </cell>
          <cell r="B161" t="str">
            <v>HQ-CUST SUB &lt; 34.5 2NDARY VOLT</v>
          </cell>
          <cell r="H161">
            <v>1</v>
          </cell>
          <cell r="Z161">
            <v>0.05</v>
          </cell>
          <cell r="AA161">
            <v>0.95</v>
          </cell>
        </row>
        <row r="162">
          <cell r="A162" t="str">
            <v>1075K1</v>
          </cell>
          <cell r="B162" t="str">
            <v>HQ-METER &amp; INSTR TRANS - ELEC</v>
          </cell>
          <cell r="H162">
            <v>1</v>
          </cell>
          <cell r="AB162">
            <v>0.5</v>
          </cell>
          <cell r="AC162">
            <v>0.5</v>
          </cell>
        </row>
        <row r="163">
          <cell r="A163" t="str">
            <v>1075K5</v>
          </cell>
          <cell r="B163" t="str">
            <v>METERS &amp; INST TRANSFORMERS</v>
          </cell>
          <cell r="H163">
            <v>1</v>
          </cell>
          <cell r="AB163">
            <v>0.5</v>
          </cell>
          <cell r="AC163">
            <v>0.5</v>
          </cell>
        </row>
        <row r="164">
          <cell r="A164" t="str">
            <v>1075K6</v>
          </cell>
          <cell r="B164" t="str">
            <v>HQ - METER INSTALLATIONS</v>
          </cell>
          <cell r="H164">
            <v>1</v>
          </cell>
          <cell r="AB164">
            <v>0.5</v>
          </cell>
          <cell r="AC164">
            <v>0.5</v>
          </cell>
        </row>
        <row r="165">
          <cell r="A165" t="str">
            <v>1075K9</v>
          </cell>
          <cell r="B165" t="str">
            <v>HQ - METER INSTALLLATIONS</v>
          </cell>
          <cell r="H165">
            <v>1</v>
          </cell>
          <cell r="AB165">
            <v>0.5</v>
          </cell>
          <cell r="AC165">
            <v>0.5</v>
          </cell>
        </row>
        <row r="166">
          <cell r="A166" t="str">
            <v>1075L1</v>
          </cell>
          <cell r="B166" t="str">
            <v>HQ-TRANS,CAP &amp; VOLT REGULATORS</v>
          </cell>
          <cell r="H166">
            <v>1</v>
          </cell>
          <cell r="AB166">
            <v>0.5</v>
          </cell>
          <cell r="AC166">
            <v>0.5</v>
          </cell>
        </row>
        <row r="167">
          <cell r="A167" t="str">
            <v>1075L5</v>
          </cell>
          <cell r="B167" t="str">
            <v>HQ-TRANS,CAPACITOR &amp; VOLT REG</v>
          </cell>
          <cell r="H167">
            <v>1</v>
          </cell>
          <cell r="AB167">
            <v>0.5</v>
          </cell>
          <cell r="AC167">
            <v>0.5</v>
          </cell>
        </row>
        <row r="168">
          <cell r="A168" t="str">
            <v>1075M8</v>
          </cell>
          <cell r="B168" t="str">
            <v>BUILDING/IMPROVEMENTS-ELEC</v>
          </cell>
          <cell r="H168">
            <v>1</v>
          </cell>
          <cell r="AL168">
            <v>1</v>
          </cell>
        </row>
        <row r="169">
          <cell r="A169" t="str">
            <v>1075N8</v>
          </cell>
          <cell r="B169" t="str">
            <v>OFFICE FURNITURE &amp; FIXT-ELEC</v>
          </cell>
          <cell r="H169">
            <v>1</v>
          </cell>
          <cell r="AM169">
            <v>1</v>
          </cell>
        </row>
        <row r="170">
          <cell r="A170" t="str">
            <v>1075P8</v>
          </cell>
          <cell r="B170" t="str">
            <v>(PC) EQUIPMENT (391)</v>
          </cell>
          <cell r="H170">
            <v>1</v>
          </cell>
          <cell r="AN170">
            <v>1</v>
          </cell>
        </row>
        <row r="171">
          <cell r="A171" t="str">
            <v>1075Q8</v>
          </cell>
          <cell r="B171" t="str">
            <v>PASSENGER CAR-ELECTRIC (392)</v>
          </cell>
          <cell r="H171">
            <v>1</v>
          </cell>
          <cell r="AO171">
            <v>1</v>
          </cell>
        </row>
        <row r="172">
          <cell r="A172" t="str">
            <v>1075R8</v>
          </cell>
          <cell r="B172" t="str">
            <v>OTHER MOTIVE EQUIPMENT-ELEC</v>
          </cell>
          <cell r="H172">
            <v>1</v>
          </cell>
          <cell r="AO172">
            <v>1</v>
          </cell>
        </row>
        <row r="173">
          <cell r="A173" t="str">
            <v>1075S8</v>
          </cell>
          <cell r="B173" t="str">
            <v>HQ-TOOLS AND WORK EQUIP-ELEC</v>
          </cell>
          <cell r="H173">
            <v>1</v>
          </cell>
          <cell r="AP173">
            <v>0.7</v>
          </cell>
          <cell r="AQ173">
            <v>0.3</v>
          </cell>
        </row>
        <row r="174">
          <cell r="A174" t="str">
            <v>1075T8</v>
          </cell>
          <cell r="B174" t="str">
            <v>HQ-POWER OPERATED EQUIP-ELEC</v>
          </cell>
          <cell r="H174">
            <v>1</v>
          </cell>
          <cell r="AP174">
            <v>0.7</v>
          </cell>
          <cell r="AQ174">
            <v>0.3</v>
          </cell>
        </row>
        <row r="175">
          <cell r="A175" t="str">
            <v>1075U8</v>
          </cell>
          <cell r="B175" t="str">
            <v>COMM FACILITITES &amp; EQUIP-ELEC</v>
          </cell>
          <cell r="H175">
            <v>1</v>
          </cell>
          <cell r="AR175">
            <v>1</v>
          </cell>
        </row>
        <row r="176">
          <cell r="A176" t="str">
            <v>1075V8</v>
          </cell>
          <cell r="B176" t="str">
            <v>OTHER (PROP ACCTS) (398 &amp; 399)</v>
          </cell>
          <cell r="H176">
            <v>1</v>
          </cell>
          <cell r="AM176">
            <v>1</v>
          </cell>
        </row>
        <row r="177">
          <cell r="A177" t="str">
            <v>1075W9</v>
          </cell>
          <cell r="B177" t="str">
            <v>INTANGIBLE PLANT</v>
          </cell>
          <cell r="H177">
            <v>1</v>
          </cell>
          <cell r="I177">
            <v>1</v>
          </cell>
        </row>
        <row r="178">
          <cell r="A178" t="str">
            <v>1075X9</v>
          </cell>
          <cell r="B178" t="str">
            <v>TRANSFER OF EQUIPMENT-ELEC</v>
          </cell>
          <cell r="H178">
            <v>1</v>
          </cell>
          <cell r="Z178">
            <v>1</v>
          </cell>
        </row>
        <row r="179">
          <cell r="A179" t="str">
            <v>1075Y9</v>
          </cell>
          <cell r="B179" t="str">
            <v>HQ NON-UTILITY PROP - ELEC</v>
          </cell>
          <cell r="H179">
            <v>1</v>
          </cell>
          <cell r="AS179">
            <v>1</v>
          </cell>
        </row>
        <row r="180">
          <cell r="A180" t="str">
            <v>1075Z9</v>
          </cell>
          <cell r="B180" t="str">
            <v>DISTRIBUTIVE GENRTN FACILITIES</v>
          </cell>
          <cell r="H180">
            <v>1</v>
          </cell>
          <cell r="AS180">
            <v>1</v>
          </cell>
        </row>
        <row r="181">
          <cell r="A181" t="str">
            <v>1076A1</v>
          </cell>
          <cell r="B181" t="str">
            <v>OVHD DIST LINE &lt; 34.5 KV</v>
          </cell>
          <cell r="H181">
            <v>1</v>
          </cell>
          <cell r="AB181">
            <v>0.5</v>
          </cell>
          <cell r="AC181">
            <v>0.5</v>
          </cell>
        </row>
        <row r="182">
          <cell r="A182" t="str">
            <v>1076A3</v>
          </cell>
          <cell r="B182" t="str">
            <v>OVHD DIST LINE &lt; 34.5 KV</v>
          </cell>
          <cell r="H182">
            <v>1</v>
          </cell>
          <cell r="AB182">
            <v>0.5</v>
          </cell>
          <cell r="AC182">
            <v>0.5</v>
          </cell>
        </row>
        <row r="183">
          <cell r="A183" t="str">
            <v>1076A4</v>
          </cell>
          <cell r="B183" t="str">
            <v>OVHD DIST LINE &lt; 34.5 KV</v>
          </cell>
          <cell r="H183">
            <v>1</v>
          </cell>
          <cell r="AB183">
            <v>0.5</v>
          </cell>
          <cell r="AC183">
            <v>0.5</v>
          </cell>
        </row>
        <row r="184">
          <cell r="A184" t="str">
            <v>1076A5</v>
          </cell>
          <cell r="B184" t="str">
            <v>OVHD DIST LINE &lt; 34.5 KV</v>
          </cell>
          <cell r="H184">
            <v>1</v>
          </cell>
          <cell r="AB184">
            <v>0.5</v>
          </cell>
          <cell r="AC184">
            <v>0.5</v>
          </cell>
        </row>
        <row r="185">
          <cell r="A185" t="str">
            <v>1076A6</v>
          </cell>
          <cell r="B185" t="str">
            <v>OVHD DIST LINE &lt; 34.5 KV</v>
          </cell>
          <cell r="H185">
            <v>1</v>
          </cell>
          <cell r="AB185">
            <v>0.5</v>
          </cell>
          <cell r="AC185">
            <v>0.5</v>
          </cell>
        </row>
        <row r="186">
          <cell r="A186" t="str">
            <v>1076B1</v>
          </cell>
          <cell r="B186" t="str">
            <v>ST LIGHTINGS AND NITE LIGHTS</v>
          </cell>
          <cell r="H186">
            <v>1</v>
          </cell>
          <cell r="AB186">
            <v>0.46</v>
          </cell>
          <cell r="AC186">
            <v>0.43</v>
          </cell>
          <cell r="AJ186">
            <v>0.11</v>
          </cell>
        </row>
        <row r="187">
          <cell r="A187" t="str">
            <v>1076B3</v>
          </cell>
          <cell r="B187" t="str">
            <v>ST LIGHTINGS AND NITE LIGHTS</v>
          </cell>
          <cell r="H187">
            <v>1</v>
          </cell>
          <cell r="AB187">
            <v>0.46</v>
          </cell>
          <cell r="AC187">
            <v>0.43</v>
          </cell>
          <cell r="AJ187">
            <v>0.11</v>
          </cell>
        </row>
        <row r="188">
          <cell r="A188" t="str">
            <v>1076B5</v>
          </cell>
          <cell r="B188" t="str">
            <v>ST LIGHTINGS AND NITE LIGHTS</v>
          </cell>
          <cell r="H188">
            <v>1</v>
          </cell>
          <cell r="AB188">
            <v>0.46</v>
          </cell>
          <cell r="AC188">
            <v>0.43</v>
          </cell>
          <cell r="AJ188">
            <v>0.11</v>
          </cell>
        </row>
        <row r="189">
          <cell r="A189" t="str">
            <v>1076B6</v>
          </cell>
          <cell r="B189" t="str">
            <v>AREA STREET LIGHTS - CONSTRUCT</v>
          </cell>
          <cell r="H189">
            <v>1</v>
          </cell>
          <cell r="AB189">
            <v>0.46</v>
          </cell>
          <cell r="AC189">
            <v>0.43</v>
          </cell>
          <cell r="AJ189">
            <v>0.11</v>
          </cell>
        </row>
        <row r="190">
          <cell r="A190" t="str">
            <v>1076C1</v>
          </cell>
          <cell r="B190" t="str">
            <v>UG DIST LINE-34.5KV BUT &lt;69 KV</v>
          </cell>
          <cell r="H190">
            <v>1</v>
          </cell>
          <cell r="AD190">
            <v>0.4</v>
          </cell>
          <cell r="AE190">
            <v>0.6</v>
          </cell>
        </row>
        <row r="191">
          <cell r="A191" t="str">
            <v>1076C3</v>
          </cell>
          <cell r="B191" t="str">
            <v>UG DIST LINE-34.5KV BUT &lt;69 KV</v>
          </cell>
          <cell r="H191">
            <v>1</v>
          </cell>
          <cell r="AD191">
            <v>0.4</v>
          </cell>
          <cell r="AE191">
            <v>0.6</v>
          </cell>
        </row>
        <row r="192">
          <cell r="A192" t="str">
            <v>1076C5</v>
          </cell>
          <cell r="B192" t="str">
            <v>UG DIST LINE-34.5KV BUT &lt;69 KV</v>
          </cell>
          <cell r="H192">
            <v>1</v>
          </cell>
          <cell r="AD192">
            <v>0.4</v>
          </cell>
          <cell r="AE192">
            <v>0.6</v>
          </cell>
        </row>
        <row r="193">
          <cell r="A193" t="str">
            <v>1076D1</v>
          </cell>
          <cell r="B193" t="str">
            <v>UG DIST LINE &lt; 34.5 KV</v>
          </cell>
          <cell r="H193">
            <v>1</v>
          </cell>
          <cell r="AD193">
            <v>0.4</v>
          </cell>
          <cell r="AE193">
            <v>0.6</v>
          </cell>
        </row>
        <row r="194">
          <cell r="A194" t="str">
            <v>1076D3</v>
          </cell>
          <cell r="B194" t="str">
            <v>UG DIST LINE &lt; 34.5 KV</v>
          </cell>
          <cell r="H194">
            <v>1</v>
          </cell>
          <cell r="AD194">
            <v>0.4</v>
          </cell>
          <cell r="AE194">
            <v>0.6</v>
          </cell>
        </row>
        <row r="195">
          <cell r="A195" t="str">
            <v>1076D5</v>
          </cell>
          <cell r="B195" t="str">
            <v>UG DIST LINE &lt; 34.5 KV</v>
          </cell>
          <cell r="H195">
            <v>1</v>
          </cell>
          <cell r="AD195">
            <v>0.4</v>
          </cell>
          <cell r="AE195">
            <v>0.6</v>
          </cell>
        </row>
        <row r="196">
          <cell r="A196" t="str">
            <v>1076E1</v>
          </cell>
          <cell r="B196" t="str">
            <v>DIST SUB 34.5 KV 2NDARY VOLT</v>
          </cell>
          <cell r="H196">
            <v>1</v>
          </cell>
          <cell r="Z196">
            <v>0.05</v>
          </cell>
          <cell r="AA196">
            <v>0.95</v>
          </cell>
        </row>
        <row r="197">
          <cell r="A197" t="str">
            <v>1076E2</v>
          </cell>
          <cell r="B197" t="str">
            <v>DIST SUB 34.5 KV 2NDARY VOLT</v>
          </cell>
          <cell r="H197">
            <v>1</v>
          </cell>
          <cell r="Z197">
            <v>0.05</v>
          </cell>
          <cell r="AA197">
            <v>0.95</v>
          </cell>
        </row>
        <row r="198">
          <cell r="A198" t="str">
            <v>1076E3</v>
          </cell>
          <cell r="B198" t="str">
            <v>DIST SUB 34.5 KV 2NDARY VOLT</v>
          </cell>
          <cell r="H198">
            <v>1</v>
          </cell>
          <cell r="Z198">
            <v>0.05</v>
          </cell>
          <cell r="AA198">
            <v>0.95</v>
          </cell>
        </row>
        <row r="199">
          <cell r="A199" t="str">
            <v>1076E4</v>
          </cell>
          <cell r="B199" t="str">
            <v>DIST SUB 34.5 KV 2NDARY VOLT</v>
          </cell>
          <cell r="H199">
            <v>1</v>
          </cell>
          <cell r="Z199">
            <v>0.05</v>
          </cell>
          <cell r="AA199">
            <v>0.95</v>
          </cell>
        </row>
        <row r="200">
          <cell r="A200" t="str">
            <v>1076E5</v>
          </cell>
          <cell r="B200" t="str">
            <v>DIST SUB 34.5 KV 2NDARY VOLT</v>
          </cell>
          <cell r="H200">
            <v>1</v>
          </cell>
          <cell r="Z200">
            <v>0.05</v>
          </cell>
          <cell r="AA200">
            <v>0.95</v>
          </cell>
        </row>
        <row r="201">
          <cell r="A201" t="str">
            <v>1076E6</v>
          </cell>
          <cell r="B201" t="str">
            <v>DIST SUB 34.5 KV 2NDARY VOLT</v>
          </cell>
          <cell r="H201">
            <v>1</v>
          </cell>
          <cell r="Z201">
            <v>0.05</v>
          </cell>
          <cell r="AA201">
            <v>0.95</v>
          </cell>
        </row>
        <row r="202">
          <cell r="A202" t="str">
            <v>1076F1</v>
          </cell>
          <cell r="B202" t="str">
            <v>DIST SUB &lt;34.5 KV 2NDARY VOLT</v>
          </cell>
          <cell r="H202">
            <v>1</v>
          </cell>
          <cell r="Z202">
            <v>0.05</v>
          </cell>
          <cell r="AA202">
            <v>0.95</v>
          </cell>
        </row>
        <row r="203">
          <cell r="A203" t="str">
            <v>1076F2</v>
          </cell>
          <cell r="B203" t="str">
            <v>DIST SUB &lt;34.5 KV 2NDARY VOLT</v>
          </cell>
          <cell r="H203">
            <v>1</v>
          </cell>
          <cell r="Z203">
            <v>0.05</v>
          </cell>
          <cell r="AA203">
            <v>0.95</v>
          </cell>
        </row>
        <row r="204">
          <cell r="A204" t="str">
            <v>1076F3</v>
          </cell>
          <cell r="B204" t="str">
            <v>DIST SUB &lt;34.5 KV 2NDARY VOLT</v>
          </cell>
          <cell r="H204">
            <v>1</v>
          </cell>
          <cell r="Z204">
            <v>0.05</v>
          </cell>
          <cell r="AA204">
            <v>0.95</v>
          </cell>
        </row>
        <row r="205">
          <cell r="A205" t="str">
            <v>1076F4</v>
          </cell>
          <cell r="B205" t="str">
            <v>DIST SUB &lt;34.5 KV 2NDARY VOLT</v>
          </cell>
          <cell r="H205">
            <v>1</v>
          </cell>
          <cell r="Z205">
            <v>0.05</v>
          </cell>
          <cell r="AA205">
            <v>0.95</v>
          </cell>
        </row>
        <row r="206">
          <cell r="A206" t="str">
            <v>1076F5</v>
          </cell>
          <cell r="B206" t="str">
            <v>DIST SUB &lt;34.5 KV 2NDARY VOLT</v>
          </cell>
          <cell r="H206">
            <v>1</v>
          </cell>
          <cell r="Z206">
            <v>0.05</v>
          </cell>
          <cell r="AA206">
            <v>0.95</v>
          </cell>
        </row>
        <row r="207">
          <cell r="A207" t="str">
            <v>1076F6</v>
          </cell>
          <cell r="B207" t="str">
            <v>DIST SUB &lt;34.5 KV 2NDARY VOLT</v>
          </cell>
          <cell r="H207">
            <v>1</v>
          </cell>
          <cell r="Z207">
            <v>0.05</v>
          </cell>
          <cell r="AA207">
            <v>0.95</v>
          </cell>
        </row>
        <row r="208">
          <cell r="A208" t="str">
            <v>1076G1</v>
          </cell>
          <cell r="B208" t="str">
            <v>CUST SUB &gt;= 138 2NDARY VOLT</v>
          </cell>
          <cell r="H208">
            <v>1</v>
          </cell>
          <cell r="Z208">
            <v>0.05</v>
          </cell>
          <cell r="AA208">
            <v>0.95</v>
          </cell>
        </row>
        <row r="209">
          <cell r="A209" t="str">
            <v>1076G2</v>
          </cell>
          <cell r="B209" t="str">
            <v>CUST SUB &gt;= 138 2NDARY VOLT</v>
          </cell>
          <cell r="H209">
            <v>1</v>
          </cell>
          <cell r="Z209">
            <v>0.05</v>
          </cell>
          <cell r="AA209">
            <v>0.95</v>
          </cell>
        </row>
        <row r="210">
          <cell r="A210" t="str">
            <v>1076G3</v>
          </cell>
          <cell r="B210" t="str">
            <v>CUST SUB &gt;= 138 2NDARY VOLT</v>
          </cell>
          <cell r="H210">
            <v>1</v>
          </cell>
          <cell r="Z210">
            <v>0.05</v>
          </cell>
          <cell r="AA210">
            <v>0.95</v>
          </cell>
        </row>
        <row r="211">
          <cell r="A211" t="str">
            <v>1076G4</v>
          </cell>
          <cell r="B211" t="str">
            <v>CUST SUB &gt;= 138 2NDARY VOLT</v>
          </cell>
          <cell r="H211">
            <v>1</v>
          </cell>
          <cell r="Z211">
            <v>0.05</v>
          </cell>
          <cell r="AA211">
            <v>0.95</v>
          </cell>
        </row>
        <row r="212">
          <cell r="A212" t="str">
            <v>1076G5</v>
          </cell>
          <cell r="B212" t="str">
            <v>CUST SUB &gt;= 138 2NDARY VOLT</v>
          </cell>
          <cell r="H212">
            <v>1</v>
          </cell>
          <cell r="Z212">
            <v>0.05</v>
          </cell>
          <cell r="AA212">
            <v>0.95</v>
          </cell>
        </row>
        <row r="213">
          <cell r="A213" t="str">
            <v>1076G6</v>
          </cell>
          <cell r="B213" t="str">
            <v>CUST SUB &gt;= 138 2NDARY VOLT</v>
          </cell>
          <cell r="H213">
            <v>1</v>
          </cell>
          <cell r="Z213">
            <v>0.05</v>
          </cell>
          <cell r="AA213">
            <v>0.95</v>
          </cell>
        </row>
        <row r="214">
          <cell r="A214" t="str">
            <v>1076H1</v>
          </cell>
          <cell r="B214" t="str">
            <v>CUST SUB 69 2NDARY VOLT</v>
          </cell>
          <cell r="H214">
            <v>1</v>
          </cell>
          <cell r="Z214">
            <v>0.05</v>
          </cell>
          <cell r="AA214">
            <v>0.95</v>
          </cell>
        </row>
        <row r="215">
          <cell r="A215" t="str">
            <v>1076H2</v>
          </cell>
          <cell r="B215" t="str">
            <v>CUST SUB 69 2NDARY VOLT</v>
          </cell>
          <cell r="H215">
            <v>1</v>
          </cell>
          <cell r="Z215">
            <v>0.05</v>
          </cell>
          <cell r="AA215">
            <v>0.95</v>
          </cell>
        </row>
        <row r="216">
          <cell r="A216" t="str">
            <v>1076H3</v>
          </cell>
          <cell r="B216" t="str">
            <v>CUST SUB 69 2NDARY VOLT</v>
          </cell>
          <cell r="H216">
            <v>1</v>
          </cell>
          <cell r="Z216">
            <v>0.05</v>
          </cell>
          <cell r="AA216">
            <v>0.95</v>
          </cell>
        </row>
        <row r="217">
          <cell r="A217" t="str">
            <v>1076H4</v>
          </cell>
          <cell r="B217" t="str">
            <v>CUST SUB 69 2NDARY VOLT</v>
          </cell>
          <cell r="H217">
            <v>1</v>
          </cell>
          <cell r="Z217">
            <v>0.05</v>
          </cell>
          <cell r="AA217">
            <v>0.95</v>
          </cell>
        </row>
        <row r="218">
          <cell r="A218" t="str">
            <v>1076H5</v>
          </cell>
          <cell r="B218" t="str">
            <v>CUST SUB 69 2NDARY VOLT</v>
          </cell>
          <cell r="H218">
            <v>1</v>
          </cell>
          <cell r="Z218">
            <v>0.05</v>
          </cell>
          <cell r="AA218">
            <v>0.95</v>
          </cell>
        </row>
        <row r="219">
          <cell r="A219" t="str">
            <v>1076H6</v>
          </cell>
          <cell r="B219" t="str">
            <v>CUST SUB 69 2NDARY VOLT</v>
          </cell>
          <cell r="H219">
            <v>1</v>
          </cell>
          <cell r="Z219">
            <v>0.05</v>
          </cell>
          <cell r="AA219">
            <v>0.95</v>
          </cell>
        </row>
        <row r="220">
          <cell r="A220" t="str">
            <v>1076I1</v>
          </cell>
          <cell r="B220" t="str">
            <v>CUST SUB 34.5 2NDARY VOLT</v>
          </cell>
          <cell r="H220">
            <v>1</v>
          </cell>
          <cell r="Z220">
            <v>0.05</v>
          </cell>
          <cell r="AA220">
            <v>0.95</v>
          </cell>
        </row>
        <row r="221">
          <cell r="A221" t="str">
            <v>1076I2</v>
          </cell>
          <cell r="B221" t="str">
            <v>CUST SUB 34.5 2NDARY VOLT</v>
          </cell>
          <cell r="H221">
            <v>1</v>
          </cell>
          <cell r="Z221">
            <v>0.05</v>
          </cell>
          <cell r="AA221">
            <v>0.95</v>
          </cell>
        </row>
        <row r="222">
          <cell r="A222" t="str">
            <v>1076I3</v>
          </cell>
          <cell r="B222" t="str">
            <v>CUST SUB 34.5 2NDARY VOLT</v>
          </cell>
          <cell r="H222">
            <v>1</v>
          </cell>
          <cell r="Z222">
            <v>0.05</v>
          </cell>
          <cell r="AA222">
            <v>0.95</v>
          </cell>
        </row>
        <row r="223">
          <cell r="A223" t="str">
            <v>1076I4</v>
          </cell>
          <cell r="B223" t="str">
            <v>CUST SUB 34.5 2NDARY VOLT</v>
          </cell>
          <cell r="H223">
            <v>1</v>
          </cell>
          <cell r="Z223">
            <v>0.05</v>
          </cell>
          <cell r="AA223">
            <v>0.95</v>
          </cell>
        </row>
        <row r="224">
          <cell r="A224" t="str">
            <v>1076I5</v>
          </cell>
          <cell r="B224" t="str">
            <v>CUST SUB 34.5 2NDARY VOLT</v>
          </cell>
          <cell r="H224">
            <v>1</v>
          </cell>
          <cell r="Z224">
            <v>0.05</v>
          </cell>
          <cell r="AA224">
            <v>0.95</v>
          </cell>
        </row>
        <row r="225">
          <cell r="A225" t="str">
            <v>1076I6</v>
          </cell>
          <cell r="B225" t="str">
            <v>CUST SUB 34.5 2NDARY VOLT</v>
          </cell>
          <cell r="H225">
            <v>1</v>
          </cell>
          <cell r="Z225">
            <v>0.05</v>
          </cell>
          <cell r="AA225">
            <v>0.95</v>
          </cell>
        </row>
        <row r="226">
          <cell r="A226" t="str">
            <v>1076J1</v>
          </cell>
          <cell r="B226" t="str">
            <v>CUST SUB &lt; 34.5 2NDARY VOLT</v>
          </cell>
          <cell r="H226">
            <v>1</v>
          </cell>
          <cell r="Z226">
            <v>0.05</v>
          </cell>
          <cell r="AA226">
            <v>0.95</v>
          </cell>
        </row>
        <row r="227">
          <cell r="A227" t="str">
            <v>1076J2</v>
          </cell>
          <cell r="B227" t="str">
            <v>CUST SUB &lt; 34.5 2NDARY VOLT</v>
          </cell>
          <cell r="H227">
            <v>1</v>
          </cell>
          <cell r="Z227">
            <v>0.05</v>
          </cell>
          <cell r="AA227">
            <v>0.95</v>
          </cell>
        </row>
        <row r="228">
          <cell r="A228" t="str">
            <v>1076J3</v>
          </cell>
          <cell r="B228" t="str">
            <v>CUST SUB &lt; 34.5 2NDARY VOLT</v>
          </cell>
          <cell r="H228">
            <v>1</v>
          </cell>
          <cell r="Z228">
            <v>0.05</v>
          </cell>
          <cell r="AA228">
            <v>0.95</v>
          </cell>
        </row>
        <row r="229">
          <cell r="A229" t="str">
            <v>1076J4</v>
          </cell>
          <cell r="B229" t="str">
            <v>CUST SUB &lt; 34.5 2NDARY VOLT</v>
          </cell>
          <cell r="H229">
            <v>1</v>
          </cell>
          <cell r="Z229">
            <v>0.05</v>
          </cell>
          <cell r="AA229">
            <v>0.95</v>
          </cell>
        </row>
        <row r="230">
          <cell r="A230" t="str">
            <v>1076J5</v>
          </cell>
          <cell r="B230" t="str">
            <v>CUST SUB &lt; 34.5 2NDARY VOLT</v>
          </cell>
          <cell r="H230">
            <v>1</v>
          </cell>
          <cell r="Z230">
            <v>0.05</v>
          </cell>
          <cell r="AA230">
            <v>0.95</v>
          </cell>
        </row>
        <row r="231">
          <cell r="A231" t="str">
            <v>1076J6</v>
          </cell>
          <cell r="B231" t="str">
            <v>CUST SUB &lt; 34.5 2NDARY VOLT</v>
          </cell>
          <cell r="H231">
            <v>1</v>
          </cell>
          <cell r="Z231">
            <v>0.05</v>
          </cell>
          <cell r="AA231">
            <v>0.95</v>
          </cell>
        </row>
        <row r="232">
          <cell r="A232" t="str">
            <v>1076K1</v>
          </cell>
          <cell r="B232" t="str">
            <v>AREA-METER &amp; INSTR TRANS-ELEC</v>
          </cell>
          <cell r="H232">
            <v>1</v>
          </cell>
          <cell r="AB232">
            <v>0.5</v>
          </cell>
          <cell r="AC232">
            <v>0.5</v>
          </cell>
        </row>
        <row r="233">
          <cell r="A233" t="str">
            <v>1076K5</v>
          </cell>
          <cell r="B233" t="str">
            <v>METERS &amp; INST TRANSFORMERS</v>
          </cell>
          <cell r="H233">
            <v>1</v>
          </cell>
          <cell r="AB233">
            <v>0.5</v>
          </cell>
          <cell r="AC233">
            <v>0.5</v>
          </cell>
        </row>
        <row r="234">
          <cell r="A234" t="str">
            <v>1076L1</v>
          </cell>
          <cell r="B234" t="str">
            <v>AREA-TRANS,CAP &amp; VOLT REG</v>
          </cell>
          <cell r="H234">
            <v>1</v>
          </cell>
          <cell r="AB234">
            <v>0.5</v>
          </cell>
          <cell r="AC234">
            <v>0.5</v>
          </cell>
        </row>
        <row r="235">
          <cell r="A235" t="str">
            <v>1076L5</v>
          </cell>
          <cell r="B235" t="str">
            <v>TRANSFORM,CAPACITOR &amp; VOLT REG</v>
          </cell>
          <cell r="H235">
            <v>1</v>
          </cell>
          <cell r="AB235">
            <v>0.5</v>
          </cell>
          <cell r="AC235">
            <v>0.5</v>
          </cell>
        </row>
        <row r="236">
          <cell r="A236" t="str">
            <v>1076M8</v>
          </cell>
          <cell r="B236" t="str">
            <v>BUILDING/IMPROVEMENTS-ELEC</v>
          </cell>
          <cell r="H236">
            <v>1</v>
          </cell>
          <cell r="AL236">
            <v>1</v>
          </cell>
        </row>
        <row r="237">
          <cell r="A237" t="str">
            <v>1076N8</v>
          </cell>
          <cell r="B237" t="str">
            <v>OFFICE FURNITURE &amp; FIXT-ELEC</v>
          </cell>
          <cell r="H237">
            <v>1</v>
          </cell>
          <cell r="AM237">
            <v>1</v>
          </cell>
        </row>
        <row r="238">
          <cell r="A238" t="str">
            <v>1076P8</v>
          </cell>
          <cell r="B238" t="str">
            <v>(PC) EQUIPMENT (391)</v>
          </cell>
          <cell r="H238">
            <v>1</v>
          </cell>
          <cell r="AN238">
            <v>1</v>
          </cell>
        </row>
        <row r="239">
          <cell r="A239" t="str">
            <v>1076R8</v>
          </cell>
          <cell r="B239" t="str">
            <v>OTHER AUTOMOTIVE EQUIPMNT-ELEC</v>
          </cell>
          <cell r="H239">
            <v>1</v>
          </cell>
          <cell r="AO239">
            <v>1</v>
          </cell>
        </row>
        <row r="240">
          <cell r="A240" t="str">
            <v>1076S8</v>
          </cell>
          <cell r="B240" t="str">
            <v>TOOLS &amp; WORK EQUIPMENT-ELEC</v>
          </cell>
          <cell r="H240">
            <v>1</v>
          </cell>
          <cell r="AP240">
            <v>0.7</v>
          </cell>
          <cell r="AQ240">
            <v>0.3</v>
          </cell>
        </row>
        <row r="241">
          <cell r="A241" t="str">
            <v>1076T8</v>
          </cell>
          <cell r="B241" t="str">
            <v>POWER OPERATED EQUIP-ELEC</v>
          </cell>
          <cell r="H241">
            <v>1</v>
          </cell>
          <cell r="AP241">
            <v>0.7</v>
          </cell>
          <cell r="AQ241">
            <v>0.3</v>
          </cell>
        </row>
        <row r="242">
          <cell r="A242" t="str">
            <v>1076U8</v>
          </cell>
          <cell r="B242" t="str">
            <v>COMM FACILITIES &amp; EQUIP - ELEC</v>
          </cell>
          <cell r="H242">
            <v>1</v>
          </cell>
          <cell r="AR242">
            <v>1</v>
          </cell>
        </row>
        <row r="243">
          <cell r="A243" t="str">
            <v>1076V8</v>
          </cell>
          <cell r="B243" t="str">
            <v>OTHER (PROP ACCTS) (398 &amp; 399)</v>
          </cell>
          <cell r="H243">
            <v>1</v>
          </cell>
          <cell r="AM243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Sch A-1"/>
      <sheetName val="Sch A-2"/>
      <sheetName val="Sch A-2.1"/>
      <sheetName val="Sch A-3"/>
      <sheetName val="Sch A-4"/>
      <sheetName val="Sch A-5 RB"/>
      <sheetName val="Sch A-5 Exp"/>
      <sheetName val="WPA - 5a"/>
      <sheetName val="WPA - 5b"/>
      <sheetName val="Sch B-1"/>
      <sheetName val="WPB-1"/>
      <sheetName val="Sch B-2"/>
      <sheetName val="Sch B-2.1"/>
      <sheetName val="Sch B-2.2"/>
      <sheetName val="Sch B-2.3"/>
      <sheetName val="Sch B-2.4"/>
      <sheetName val="Sch B-3"/>
      <sheetName val="Sch B-4"/>
      <sheetName val="Sch B-5"/>
      <sheetName val="WPB-5"/>
      <sheetName val="Sch B-5.1"/>
      <sheetName val="Sch B-6"/>
      <sheetName val="Sch B-7.2a"/>
      <sheetName val="Sch B-7.2b"/>
      <sheetName val="EXH-3"/>
      <sheetName val="EXH-2"/>
      <sheetName val="EXH-1"/>
      <sheetName val="Sch B-8"/>
      <sheetName val="Sch B-8.1"/>
      <sheetName val="WPB-8.1a"/>
      <sheetName val="WPB-8.1b"/>
      <sheetName val="Sch B-9"/>
      <sheetName val="WPB-9a"/>
      <sheetName val="WPB-9b"/>
      <sheetName val="Sch B-9.1"/>
      <sheetName val="Sch B-13"/>
      <sheetName val="WPB-13a"/>
      <sheetName val="WPB-13b"/>
      <sheetName val="WPB-13c"/>
      <sheetName val="Sch B-14"/>
      <sheetName val="WPB - 14"/>
      <sheetName val="Sch C-1"/>
      <sheetName val="Sch C-2"/>
      <sheetName val="Sch C-2.1"/>
      <sheetName val="WPC-2.1"/>
      <sheetName val="Sch C-2.2"/>
      <sheetName val="Sch C-2.3"/>
      <sheetName val="Sch C-2.4"/>
      <sheetName val="Sch C-2.5"/>
      <sheetName val="WPC-2.5a"/>
      <sheetName val="WPC-2.5b"/>
      <sheetName val="Sch C-2.6"/>
      <sheetName val="WPC-2.6"/>
      <sheetName val="C - 2.7"/>
      <sheetName val="WPC - 2.7a"/>
      <sheetName val="WPC - 2.7b"/>
      <sheetName val="Sch C-2.x"/>
      <sheetName val="WPC-2.x"/>
      <sheetName val="Sch C-2.8"/>
      <sheetName val="Sch C-2.9"/>
      <sheetName val="Sch C-2.y"/>
      <sheetName val="C - 2.10"/>
      <sheetName val="WPC - 2.10a"/>
      <sheetName val="WPC - 2.10b"/>
      <sheetName val="Sch C-2.11"/>
      <sheetName val="WPC-2.11"/>
      <sheetName val="Sch C-2.12"/>
      <sheetName val="WPC-2.12a"/>
      <sheetName val="WPC-2.12b"/>
      <sheetName val="Sch C-2.13"/>
      <sheetName val="Sch C-2.14"/>
      <sheetName val="Sch C-2.15"/>
      <sheetName val="Sch C-2.16"/>
      <sheetName val="WPC-2.16"/>
      <sheetName val="Sch C-2.17"/>
      <sheetName val="WPC-2.17"/>
      <sheetName val="Sch C-2.18"/>
      <sheetName val="Sch C-2.19"/>
      <sheetName val="WPC-2.19"/>
      <sheetName val="Sch C-2.20"/>
      <sheetName val="WPC-2.20"/>
      <sheetName val="Sch C-2.21"/>
      <sheetName val="WPC-2.21"/>
      <sheetName val="Sch C-2.22"/>
      <sheetName val="Sch C-2.23"/>
      <sheetName val="Sch C-2.24"/>
      <sheetName val="Sch C-3"/>
      <sheetName val="Sch C-4"/>
      <sheetName val="WPC-4"/>
      <sheetName val="Sch C-5"/>
      <sheetName val="Sch C-5b"/>
      <sheetName val="Sch C-5.1"/>
      <sheetName val="Sch C-5.2"/>
      <sheetName val="Sch C-5.3"/>
      <sheetName val="Sch C-5.4"/>
      <sheetName val="WPC-5.4"/>
      <sheetName val="Sch C-6"/>
      <sheetName val="Sch C-6.1"/>
      <sheetName val="Sch C-6.2"/>
      <sheetName val="Sch C-7"/>
      <sheetName val="Sch C-8"/>
      <sheetName val="WPC - 8"/>
      <sheetName val="Sch C-9"/>
      <sheetName val="Sch C-10"/>
      <sheetName val="WPC - 10"/>
      <sheetName val="Sch C-10.1"/>
      <sheetName val="Sch C-11.1"/>
      <sheetName val="WPC-11.1"/>
      <sheetName val="Sch C-11.2a"/>
      <sheetName val="Sch C-11.2b"/>
      <sheetName val="Sch C-11.2c"/>
      <sheetName val="Sch C-11.2d"/>
      <sheetName val="Sch C-11.2e"/>
      <sheetName val="Sch C-11.2f"/>
      <sheetName val="Sch C-11.2g"/>
      <sheetName val="Sch C-11.2h"/>
      <sheetName val="Sch C-11.3"/>
      <sheetName val="WPC-11.3a"/>
      <sheetName val="WPC-11.3b"/>
      <sheetName val="WPC-11.3c"/>
      <sheetName val="WPC-11.3d"/>
      <sheetName val="Sch C-12"/>
      <sheetName val="WPC-12a"/>
      <sheetName val="WPC-12b"/>
      <sheetName val="Sch C-13a"/>
      <sheetName val="Sch C-13b"/>
      <sheetName val="Sch C-14"/>
      <sheetName val="WPC-14"/>
      <sheetName val="Sch C-16"/>
      <sheetName val="Sch C-17a"/>
      <sheetName val="Sch C-17b"/>
      <sheetName val="Sch C-17c"/>
      <sheetName val="Sch C-17d"/>
      <sheetName val="Sch C-18"/>
      <sheetName val="WPC-18a"/>
      <sheetName val="WPC-18b"/>
      <sheetName val="WPC-18c"/>
      <sheetName val="Sch C-19"/>
      <sheetName val="Sch C-21"/>
      <sheetName val="Sch C-22"/>
      <sheetName val="Sch C-23"/>
      <sheetName val="WPC-23"/>
      <sheetName val="Sch C-25"/>
      <sheetName val="Sch C-26"/>
      <sheetName val="Sch C-29"/>
      <sheetName val="Sch C-31"/>
      <sheetName val="Sch B-5.2 Merged or Acq Prop"/>
      <sheetName val="Sch B-5.3 Leased Prop"/>
      <sheetName val="Sch B-10 Def Charges"/>
      <sheetName val="Sch B-11 PHFFU"/>
      <sheetName val="Sch B-12 Analysis of PHFFU"/>
      <sheetName val="Sch C-5.5 ITC &amp; Job Dev. Cr"/>
      <sheetName val="WPC-6.1 2004"/>
      <sheetName val="WPC-6.1 2003"/>
      <sheetName val="WPC-6.2"/>
      <sheetName val="WPC-8"/>
      <sheetName val="WPC-9"/>
      <sheetName val="Sch 11.4 Recon Est Ovrhd"/>
      <sheetName val="WPC-14a"/>
      <sheetName val="WPC-14b"/>
      <sheetName val="WPC-14c"/>
      <sheetName val="WPC-14d"/>
      <sheetName val="WPC-14e"/>
      <sheetName val="Sch C-15 Major Maint Proj"/>
      <sheetName val="Sch C-24 Legal Exp &amp; Res"/>
      <sheetName val="WPC-25"/>
      <sheetName val="Sch C-27 Fuel Adj Rev &amp; Exp"/>
      <sheetName val="Sch C-28 Fuel Transp Exp"/>
      <sheetName val="Sch C-33 Billing Exper"/>
      <sheetName val="Common"/>
      <sheetName val="Sch C-2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>
        <row r="2">
          <cell r="B2" t="str">
            <v>AmerenIP</v>
          </cell>
        </row>
        <row r="11">
          <cell r="B11" t="str">
            <v>For the Twelve Months Ended December 31,</v>
          </cell>
        </row>
      </sheetData>
      <sheetData sheetId="172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Sch A-1"/>
      <sheetName val="Sch A-2"/>
      <sheetName val="Sch A-2.1"/>
      <sheetName val="Sch A-3"/>
      <sheetName val="Sch A-4"/>
      <sheetName val="Sch A-5 RB"/>
      <sheetName val="Sch A-5 Exp"/>
      <sheetName val="WPA - 5a"/>
      <sheetName val="WPA - 5b"/>
      <sheetName val="Sch B-1"/>
      <sheetName val="WPB-1"/>
      <sheetName val="Sch B-2"/>
      <sheetName val="Sch B-2.1"/>
      <sheetName val="Sch B-2.2"/>
      <sheetName val="Sch B-2.3"/>
      <sheetName val="Sch B-2.4"/>
      <sheetName val="Sch B-3"/>
      <sheetName val="Sch B-4"/>
      <sheetName val="Sch B-5"/>
      <sheetName val="WPB-5"/>
      <sheetName val="Sch B-5.1"/>
      <sheetName val="Sch B-6"/>
      <sheetName val="Sch B-7.2a"/>
      <sheetName val="Sch B-7.2b"/>
      <sheetName val="EXH-3"/>
      <sheetName val="EXH-2"/>
      <sheetName val="EXH-1"/>
      <sheetName val="Sch B-8"/>
      <sheetName val="Sch B-8.1"/>
      <sheetName val="WPB-8.1a"/>
      <sheetName val="WPB-8.1b"/>
      <sheetName val="Sch B-9"/>
      <sheetName val="WPB-9a"/>
      <sheetName val="WPB-9b"/>
      <sheetName val="Sch B-9.1"/>
      <sheetName val="Sch B-13"/>
      <sheetName val="WPB-13a"/>
      <sheetName val="WPB-13b"/>
      <sheetName val="WPB-13c"/>
      <sheetName val="Sch B-14"/>
      <sheetName val="WPB - 14"/>
      <sheetName val="Sch C-1"/>
      <sheetName val="Sch C-2"/>
      <sheetName val="Sch C-2.1"/>
      <sheetName val="WPC-2.1"/>
      <sheetName val="Sch C-2.2"/>
      <sheetName val="Sch C-2.3"/>
      <sheetName val="Sch C-2.4"/>
      <sheetName val="Sch C-2.5"/>
      <sheetName val="WPC-2.5a"/>
      <sheetName val="WPC-2.5b"/>
      <sheetName val="Sch C-2.6"/>
      <sheetName val="WPC-2.6"/>
      <sheetName val="C - 2.7"/>
      <sheetName val="WPC - 2.7a"/>
      <sheetName val="WPC - 2.7b"/>
      <sheetName val="Sch C-2.x"/>
      <sheetName val="WPC-2.x"/>
      <sheetName val="Sch C-2.8"/>
      <sheetName val="Sch C-2.9"/>
      <sheetName val="Sch C-2.y"/>
      <sheetName val="C - 2.10"/>
      <sheetName val="WPC - 2.10a"/>
      <sheetName val="WPC - 2.10b"/>
      <sheetName val="Sch C-2.11"/>
      <sheetName val="WPC-2.11"/>
      <sheetName val="Sch C-2.12"/>
      <sheetName val="WPC-2.12a"/>
      <sheetName val="WPC-2.12b"/>
      <sheetName val="Sch C-2.13"/>
      <sheetName val="Sch C-2.14"/>
      <sheetName val="Sch C-2.15"/>
      <sheetName val="Sch C-2.16"/>
      <sheetName val="WPC-2.16"/>
      <sheetName val="Sch C-2.17"/>
      <sheetName val="WPC-2.17"/>
      <sheetName val="Sch C-2.18"/>
      <sheetName val="Sch C-2.19"/>
      <sheetName val="WPC-2.19"/>
      <sheetName val="Sch C-2.20"/>
      <sheetName val="WPC-2.20"/>
      <sheetName val="Sch C-2.21"/>
      <sheetName val="WPC-2.21"/>
      <sheetName val="Sch C-2.22"/>
      <sheetName val="Sch C-2.23"/>
      <sheetName val="Sch C-2.24"/>
      <sheetName val="Sch C-3"/>
      <sheetName val="Sch C-4"/>
      <sheetName val="WPC-4"/>
      <sheetName val="Sch C-5"/>
      <sheetName val="Sch C-5b"/>
      <sheetName val="Sch C-5.1"/>
      <sheetName val="Sch C-5.2"/>
      <sheetName val="Sch C-5.3"/>
      <sheetName val="Sch C-5.4"/>
      <sheetName val="WPC-5.4"/>
      <sheetName val="Sch C-6"/>
      <sheetName val="Sch C-6.1"/>
      <sheetName val="Sch C-6.2"/>
      <sheetName val="Sch C-7"/>
      <sheetName val="Sch C-8"/>
      <sheetName val="WPC - 8"/>
      <sheetName val="Sch C-9"/>
      <sheetName val="Sch C-10"/>
      <sheetName val="WPC - 10"/>
      <sheetName val="Sch C-10.1"/>
      <sheetName val="Sch C-11.1"/>
      <sheetName val="WPC-11.1"/>
      <sheetName val="Sch C-11.2a"/>
      <sheetName val="Sch C-11.2b"/>
      <sheetName val="Sch C-11.2c"/>
      <sheetName val="Sch C-11.2d"/>
      <sheetName val="Sch C-11.2e"/>
      <sheetName val="Sch C-11.2f"/>
      <sheetName val="Sch C-11.2g"/>
      <sheetName val="Sch C-11.2h"/>
      <sheetName val="Sch C-11.3"/>
      <sheetName val="WPC-11.3a"/>
      <sheetName val="WPC-11.3b"/>
      <sheetName val="WPC-11.3c"/>
      <sheetName val="WPC-11.3d"/>
      <sheetName val="Sch C-12"/>
      <sheetName val="WPC-12a"/>
      <sheetName val="WPC-12b"/>
      <sheetName val="Sch C-13a"/>
      <sheetName val="Sch C-13b"/>
      <sheetName val="Sch C-14"/>
      <sheetName val="WPC-14"/>
      <sheetName val="Sch C-16"/>
      <sheetName val="Sch C-17a"/>
      <sheetName val="Sch C-17b"/>
      <sheetName val="Sch C-17c"/>
      <sheetName val="Sch C-17d"/>
      <sheetName val="Sch C-18"/>
      <sheetName val="WPC-18a"/>
      <sheetName val="WPC-18b"/>
      <sheetName val="WPC-18c"/>
      <sheetName val="Sch C-19"/>
      <sheetName val="Sch C-21"/>
      <sheetName val="Sch C-22"/>
      <sheetName val="Sch C-23"/>
      <sheetName val="WPC-23"/>
      <sheetName val="Sch C-25"/>
      <sheetName val="Sch C-26"/>
      <sheetName val="Sch C-29"/>
      <sheetName val="Sch C-31"/>
      <sheetName val="Sch B-5.2 Merged or Acq Prop"/>
      <sheetName val="Sch B-5.3 Leased Prop"/>
      <sheetName val="Sch B-10 Def Charges"/>
      <sheetName val="Sch B-11 PHFFU"/>
      <sheetName val="Sch B-12 Analysis of PHFFU"/>
      <sheetName val="Sch C-5.5 ITC &amp; Job Dev. Cr"/>
      <sheetName val="WPC-6.1 2004"/>
      <sheetName val="WPC-6.1 2003"/>
      <sheetName val="WPC-6.2"/>
      <sheetName val="WPC-8"/>
      <sheetName val="WPC-9"/>
      <sheetName val="Sch 11.4 Recon Est Ovrhd"/>
      <sheetName val="WPC-14a"/>
      <sheetName val="WPC-14b"/>
      <sheetName val="WPC-14c"/>
      <sheetName val="WPC-14d"/>
      <sheetName val="WPC-14e"/>
      <sheetName val="Sch C-15 Major Maint Proj"/>
      <sheetName val="Sch C-24 Legal Exp &amp; Res"/>
      <sheetName val="WPC-25"/>
      <sheetName val="Sch C-27 Fuel Adj Rev &amp; Exp"/>
      <sheetName val="Sch C-28 Fuel Transp Exp"/>
      <sheetName val="Sch C-33 Billing Exper"/>
      <sheetName val="Common"/>
      <sheetName val="Sch C-2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>
        <row r="2">
          <cell r="B2" t="str">
            <v>AmerenIP</v>
          </cell>
        </row>
        <row r="11">
          <cell r="B11" t="str">
            <v>For the Twelve Months Ended December 31,</v>
          </cell>
        </row>
      </sheetData>
      <sheetData sheetId="17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A - 2"/>
      <sheetName val="A - 1"/>
      <sheetName val="A - 2.1"/>
      <sheetName val="A - 3"/>
      <sheetName val="A - 4"/>
      <sheetName val="A - 5a"/>
      <sheetName val="A - 5b"/>
      <sheetName val="WPA - 5"/>
      <sheetName val="DefResp-3a"/>
      <sheetName val="WPA - 5a"/>
      <sheetName val="DefResp-3b"/>
      <sheetName val="B - 1"/>
      <sheetName val="WPB - 1"/>
      <sheetName val="B - 2"/>
      <sheetName val="B - 2.1"/>
      <sheetName val="WPB - 2.1a"/>
      <sheetName val="WPB - 2.1b"/>
      <sheetName val="WPB - 2.1c"/>
      <sheetName val="WPB - 2.1d"/>
      <sheetName val="WPB - 2.1e"/>
      <sheetName val="B - 3"/>
      <sheetName val="B - 4"/>
      <sheetName val="WPB - 4"/>
      <sheetName val="B - 5"/>
      <sheetName val="WPB - 5"/>
      <sheetName val="B - 6a"/>
      <sheetName val="B - 6b"/>
      <sheetName val="B - 7.2a"/>
      <sheetName val="B - 7.2b"/>
      <sheetName val="B - 8"/>
      <sheetName val="CWC"/>
      <sheetName val="B - 8.1"/>
      <sheetName val="WPB-8.1asub"/>
      <sheetName val="WPB - 8.1a"/>
      <sheetName val="WPB - 8.1b"/>
      <sheetName val="WPB - 8.1c"/>
      <sheetName val="B - 9"/>
      <sheetName val="B-9sub"/>
      <sheetName val="WPB - 9a"/>
      <sheetName val="WPB - 9b"/>
      <sheetName val="B - 9.1"/>
      <sheetName val="B - 13"/>
      <sheetName val="WPB - 13"/>
      <sheetName val="B - 14"/>
      <sheetName val="WPB - 14"/>
      <sheetName val="C - 1"/>
      <sheetName val="C - 2"/>
      <sheetName val="C - 2 sub"/>
      <sheetName val="C - 2.1"/>
      <sheetName val="WPC - 2.1"/>
      <sheetName val="C - 2.2"/>
      <sheetName val="C - 2.3"/>
      <sheetName val="WPC - 2.3a"/>
      <sheetName val="WPC - 2.3b"/>
      <sheetName val="C - 2.4"/>
      <sheetName val="WPC - 2.4"/>
      <sheetName val="C - 2.5"/>
      <sheetName val="WPC - 2.5"/>
      <sheetName val="C - 2.6"/>
      <sheetName val="WPC - 2.6a"/>
      <sheetName val="C - 2.6 NOT USED"/>
      <sheetName val="WPC - 2.6a NOT USED"/>
      <sheetName val="WPC - 2.6b"/>
      <sheetName val="C - 2.7"/>
      <sheetName val="WPC - 2.7"/>
      <sheetName val="WPC - 2.7a"/>
      <sheetName val="WPC - 2.7b"/>
      <sheetName val="WPC - 2.7c"/>
      <sheetName val="WPC - 2.7d"/>
      <sheetName val="WPC - 2.7e"/>
      <sheetName val="C - 2.8"/>
      <sheetName val="C - 2.9"/>
      <sheetName val="C - 2.10"/>
      <sheetName val="C - 2.11"/>
      <sheetName val="WPC - 2.11"/>
      <sheetName val="C - 2.12"/>
      <sheetName val="WPC - 2.12"/>
      <sheetName val="C - 2.13"/>
      <sheetName val="C - 2.14"/>
      <sheetName val="WPC - 2.14"/>
      <sheetName val="C - 2.15"/>
      <sheetName val="WPC - 2.15a"/>
      <sheetName val="WPC - 2.15b"/>
      <sheetName val="C - 2.16"/>
      <sheetName val="C - 3"/>
      <sheetName val="C - 4"/>
      <sheetName val="WPC - 4"/>
      <sheetName val="WPC - 4dup"/>
      <sheetName val="C - 5"/>
      <sheetName val="C - 5b"/>
      <sheetName val="C - 5.1"/>
      <sheetName val="C - 5.2"/>
      <sheetName val="C - 5.3"/>
      <sheetName val="C - 5.4"/>
      <sheetName val="WPC - 5.4"/>
      <sheetName val="C - 5.5"/>
      <sheetName val="C - 6"/>
      <sheetName val="C - 6.1"/>
      <sheetName val="C - 6.2"/>
      <sheetName val="C - 7"/>
      <sheetName val="C - 8"/>
      <sheetName val="WPC - 8"/>
      <sheetName val="C - 9"/>
      <sheetName val="C - 10"/>
      <sheetName val="WPC - 10"/>
      <sheetName val="C - 10.1"/>
      <sheetName val="C - 11.1"/>
      <sheetName val="WPC - 11.1"/>
      <sheetName val="C - 11.2a"/>
      <sheetName val="C - 11.2b"/>
      <sheetName val="C - 11.2c"/>
      <sheetName val="C - 11.2d"/>
      <sheetName val="C - 11.2e"/>
      <sheetName val="C - 11.2f"/>
      <sheetName val="C - 11.2g"/>
      <sheetName val="C - 11.2h"/>
      <sheetName val="C - 11.3"/>
      <sheetName val="WPC - 11.3a"/>
      <sheetName val="WPC - 11.3b"/>
      <sheetName val="WPC - 11.3c"/>
      <sheetName val="WPC - 11.3d"/>
      <sheetName val="C - 12"/>
      <sheetName val="WPC - 12"/>
      <sheetName val="C - 13a"/>
      <sheetName val="C - 13b"/>
      <sheetName val="C - 14"/>
      <sheetName val="WPC - 14"/>
      <sheetName val="C - 16"/>
      <sheetName val="WPC - 16"/>
      <sheetName val="C - 17a"/>
      <sheetName val="C - 17b"/>
      <sheetName val="C - 17c"/>
      <sheetName val="C - 17d"/>
      <sheetName val="C - 18"/>
      <sheetName val="WPC-18a"/>
      <sheetName val="WPC-18b"/>
      <sheetName val="WPC - 18b"/>
      <sheetName val="C - 19"/>
      <sheetName val="C - 21"/>
      <sheetName val="C - 23"/>
      <sheetName val="WPC - 23"/>
      <sheetName val="C - 25"/>
      <sheetName val="Schedule C-30"/>
      <sheetName val="WPC-30a"/>
      <sheetName val="WPC-30b"/>
      <sheetName val="WPC-30c"/>
      <sheetName val="WPC-30d"/>
      <sheetName val="WPC-30e"/>
      <sheetName val="C - 31"/>
      <sheetName val="B-9"/>
      <sheetName val="B-9 Sub"/>
      <sheetName val="WPB - 13a"/>
      <sheetName val="WPB - 13b"/>
      <sheetName val="WPB - 13c"/>
      <sheetName val="C-11.2a"/>
      <sheetName val="WPC-11.2a"/>
      <sheetName val="C-11.2b"/>
      <sheetName val="C-11.2c"/>
      <sheetName val="C-11.2d"/>
      <sheetName val="C-11.2e"/>
      <sheetName val="C-11.2f"/>
      <sheetName val="C-11.2g"/>
      <sheetName val="C-11.2h"/>
    </sheetNames>
    <sheetDataSet>
      <sheetData sheetId="0" refreshError="1">
        <row r="154">
          <cell r="C154" t="str">
            <v>AmerenCILCO</v>
          </cell>
        </row>
        <row r="156">
          <cell r="C156" t="str">
            <v>As of December 31,</v>
          </cell>
        </row>
        <row r="158">
          <cell r="C158" t="str">
            <v>For the Twelve Months Ended December 31,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Sch A-1"/>
      <sheetName val="Sch A-2"/>
      <sheetName val="Sch A-2.1"/>
      <sheetName val="Sch A-3"/>
      <sheetName val="Sch A-4"/>
      <sheetName val="Sch A-5a"/>
      <sheetName val="Sch A-5b"/>
      <sheetName val="WPA-5a"/>
      <sheetName val="WPA-5b"/>
      <sheetName val="Sch B-1"/>
      <sheetName val="WPB-1"/>
      <sheetName val="Sch B-2"/>
      <sheetName val="Sch B-2.1"/>
      <sheetName val="Sch B-2.2"/>
      <sheetName val="WPB-2.2"/>
      <sheetName val="Sch B-2.3"/>
      <sheetName val="Sch B-3"/>
      <sheetName val="Sch B-4"/>
      <sheetName val="Sch B-5"/>
      <sheetName val="WPB-5"/>
      <sheetName val="Sch B-5.1"/>
      <sheetName val="Sch B-6a"/>
      <sheetName val="Sch B-6b"/>
      <sheetName val="Sch B-7.2a"/>
      <sheetName val="Sch B-7.2b"/>
      <sheetName val="Sch B-8"/>
      <sheetName val="Sch B-8.1"/>
      <sheetName val="WPB-8.1a"/>
      <sheetName val="WPB-8.1b"/>
      <sheetName val="Sch B-9"/>
      <sheetName val="WPB-9a"/>
      <sheetName val="WPB-9b"/>
      <sheetName val="Sch B-9.1"/>
      <sheetName val="Sch B-9.1 - Last filing"/>
      <sheetName val="Sch B-13"/>
      <sheetName val="WPB-13a"/>
      <sheetName val="WPB-13b"/>
      <sheetName val="Sch B-14"/>
      <sheetName val="WPB-14"/>
      <sheetName val="Sch C-1"/>
      <sheetName val="Sch C-2"/>
      <sheetName val="Sch C-2.1"/>
      <sheetName val="WPC-2.1"/>
      <sheetName val="Sch C-2.2"/>
      <sheetName val="Sch C-2.3"/>
      <sheetName val="WPC-2.3a"/>
      <sheetName val="WPC-2.3b"/>
      <sheetName val="Sch C-2.4"/>
      <sheetName val="WPC-2.4"/>
      <sheetName val="Sch C-2.5"/>
      <sheetName val="WPC-2.5a"/>
      <sheetName val="WPC-2.5b"/>
      <sheetName val="Sch C-2.6"/>
      <sheetName val="WPC-2.6"/>
      <sheetName val="Sch C-2.7"/>
      <sheetName val="WPC - 2.7"/>
      <sheetName val="Sch C-2.8"/>
      <sheetName val="WPC - 2.8"/>
      <sheetName val="Sch C-2.9"/>
      <sheetName val="Sch C-2.10"/>
      <sheetName val="Sch C-2.11"/>
      <sheetName val="WPC - 2.11"/>
      <sheetName val="Sch C-2.12"/>
      <sheetName val="Sch C-2.13"/>
      <sheetName val="WPC-2.13"/>
      <sheetName val="Sch C-2.14"/>
      <sheetName val="WPC-2.14"/>
      <sheetName val="Sch C-2.15"/>
      <sheetName val="WPC-2.15a"/>
      <sheetName val="WPC-2.15b"/>
      <sheetName val="Sch C-2.16"/>
      <sheetName val="Sch C-2.17"/>
      <sheetName val="Sch C-2.18"/>
      <sheetName val="WPC-2.18a"/>
      <sheetName val="WPC-2.18b"/>
      <sheetName val="Sch C-2.19"/>
      <sheetName val="WPC-2.19"/>
      <sheetName val="Sch C-2.20"/>
      <sheetName val="Sch C-3"/>
      <sheetName val="Sch C-4"/>
      <sheetName val="WPC-4"/>
      <sheetName val="Sch C-5"/>
      <sheetName val="Sch C-5b"/>
      <sheetName val="Sch C-5.1"/>
      <sheetName val="Sch C-5.2"/>
      <sheetName val="Sch C-5.3"/>
      <sheetName val="Sch C-5.4"/>
      <sheetName val="WPC-5.4"/>
      <sheetName val="Sch C-6"/>
      <sheetName val="Sch C-6.1"/>
      <sheetName val="Sch C-6.2"/>
      <sheetName val="Sch C-7"/>
      <sheetName val="Sch C-8"/>
      <sheetName val="WPC-8"/>
      <sheetName val="Sch C-9"/>
      <sheetName val="Sch C-10"/>
      <sheetName val="WPC-10"/>
      <sheetName val="Sch C-10.1"/>
      <sheetName val="Sch C-11.1"/>
      <sheetName val="WPC-11.1"/>
      <sheetName val="Sch C-11.2a"/>
      <sheetName val="Sch C-11.2b"/>
      <sheetName val="Sch C-11.2c"/>
      <sheetName val="Sch C-11.2d"/>
      <sheetName val="Sch C-11.2e"/>
      <sheetName val="Sch C-11.2f"/>
      <sheetName val="Sch C-11.2g"/>
      <sheetName val="Sch C-11.2h"/>
      <sheetName val="Sch C-11.3"/>
      <sheetName val="WPC-11.3a"/>
      <sheetName val="WPC-11.3b"/>
      <sheetName val="WPC-11.3c"/>
      <sheetName val="WPC-11.3d"/>
      <sheetName val="Sch C-12"/>
      <sheetName val="WPC-12a"/>
      <sheetName val="WPC-12b"/>
      <sheetName val="Sch C-13a"/>
      <sheetName val="Sch C-13b"/>
      <sheetName val="Sch C-14"/>
      <sheetName val="WPC-14"/>
      <sheetName val="Sch C-16"/>
      <sheetName val="Sch C-17 - 2004"/>
      <sheetName val="Sch C-17 - 2003"/>
      <sheetName val="Sch C-17a"/>
      <sheetName val="Sch C-17b"/>
      <sheetName val="Sch C-17c"/>
      <sheetName val="Sch C-17d"/>
      <sheetName val="Sch C-18"/>
      <sheetName val="WPC-18a"/>
      <sheetName val="WPC-18b"/>
      <sheetName val="WPC-18c"/>
      <sheetName val="WPC-18"/>
      <sheetName val="WPC-18d - old"/>
      <sheetName val="WPC-18d"/>
      <sheetName val="Sch C-19"/>
      <sheetName val="Sch C-21"/>
      <sheetName val="Sch C-22"/>
      <sheetName val="Sch C-23"/>
      <sheetName val="WPC-23"/>
      <sheetName val="Sch C-25"/>
      <sheetName val="Sch C-26"/>
      <sheetName val="Comm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>
        <row r="5">
          <cell r="B5" t="str">
            <v>As of December 31, 2006 ($000)</v>
          </cell>
        </row>
        <row r="7">
          <cell r="B7" t="str">
            <v>As of December 31,</v>
          </cell>
        </row>
        <row r="9">
          <cell r="B9" t="str">
            <v>For the Twelve Months Ended December 31, 2006 ($000)</v>
          </cell>
        </row>
      </sheetData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ecific Allocated Examples"/>
      <sheetName val="Specific Examples"/>
      <sheetName val="Generation Example"/>
      <sheetName val="Summary"/>
      <sheetName val="By Factor"/>
      <sheetName val="By Category"/>
      <sheetName val="Pivot"/>
      <sheetName val="PA12633200612"/>
      <sheetName val="Allocation Factor Categories"/>
      <sheetName val="Allocation Factors"/>
      <sheetName val="IL-A&amp;G SR Pivot"/>
      <sheetName val="Pivot total A&amp;G Charges"/>
      <sheetName val="AMS-A&amp;GChargesByTarget"/>
      <sheetName val="Sheet1"/>
      <sheetName val="Allocated to AUIs"/>
    </sheetNames>
    <sheetDataSet>
      <sheetData sheetId="0" refreshError="1"/>
      <sheetData sheetId="1"/>
      <sheetData sheetId="2"/>
      <sheetData sheetId="3"/>
      <sheetData sheetId="4"/>
      <sheetData sheetId="5">
        <row r="2">
          <cell r="A2" t="str">
            <v>001A</v>
          </cell>
        </row>
      </sheetData>
      <sheetData sheetId="6">
        <row r="8">
          <cell r="A8" t="str">
            <v>ADC</v>
          </cell>
        </row>
      </sheetData>
      <sheetData sheetId="7"/>
      <sheetData sheetId="8">
        <row r="2">
          <cell r="A2" t="str">
            <v>001A</v>
          </cell>
          <cell r="B2" t="str">
            <v>Electric/Gas Composite (T&amp;D &amp; Interchange MO/IL) *</v>
          </cell>
          <cell r="C2" t="str">
            <v>N</v>
          </cell>
          <cell r="D2" t="str">
            <v>N</v>
          </cell>
          <cell r="E2" t="str">
            <v>N</v>
          </cell>
        </row>
        <row r="3">
          <cell r="A3" t="str">
            <v>001D</v>
          </cell>
          <cell r="B3" t="str">
            <v>Illinois Gas Composite (T&amp;D &amp; Interchange Sales &amp; T&amp;D customers)**</v>
          </cell>
          <cell r="C3" t="str">
            <v>Y</v>
          </cell>
          <cell r="D3" t="str">
            <v>N</v>
          </cell>
          <cell r="E3" t="str">
            <v>N</v>
          </cell>
        </row>
        <row r="4">
          <cell r="A4" t="str">
            <v>001G</v>
          </cell>
          <cell r="B4" t="str">
            <v>UEC/CIP Composite (Electric/Gas T&amp;D MO/IL)*</v>
          </cell>
          <cell r="C4" t="str">
            <v>Y</v>
          </cell>
          <cell r="D4" t="str">
            <v>N</v>
          </cell>
          <cell r="E4" t="str">
            <v>N</v>
          </cell>
        </row>
        <row r="5">
          <cell r="A5" t="str">
            <v>002A</v>
          </cell>
          <cell r="B5" t="str">
            <v># of Customers(T&amp;D &amp; Interchange Electric/Gas in MO/IL)^^^</v>
          </cell>
          <cell r="C5" t="str">
            <v>Y</v>
          </cell>
          <cell r="D5" t="str">
            <v>N</v>
          </cell>
          <cell r="E5" t="str">
            <v>N</v>
          </cell>
        </row>
        <row r="6">
          <cell r="A6" t="str">
            <v>002D</v>
          </cell>
          <cell r="B6" t="str">
            <v># of Gas Customers (T&amp;D in MO/IL)</v>
          </cell>
          <cell r="C6" t="str">
            <v>Y</v>
          </cell>
          <cell r="D6" t="str">
            <v>N</v>
          </cell>
          <cell r="E6" t="str">
            <v>N</v>
          </cell>
        </row>
        <row r="7">
          <cell r="A7" t="str">
            <v>002F</v>
          </cell>
          <cell r="B7" t="str">
            <v># of Customers (T&amp;D Illinois non-residential electric)</v>
          </cell>
          <cell r="C7" t="str">
            <v>N</v>
          </cell>
          <cell r="D7" t="str">
            <v>Y</v>
          </cell>
          <cell r="E7" t="str">
            <v>N</v>
          </cell>
        </row>
        <row r="8">
          <cell r="A8" t="str">
            <v>002I</v>
          </cell>
          <cell r="B8" t="str">
            <v># of Customers (T&amp;D Electric/Gas Illinois)^^^</v>
          </cell>
          <cell r="C8" t="str">
            <v>N</v>
          </cell>
          <cell r="D8" t="str">
            <v>Y</v>
          </cell>
          <cell r="E8" t="str">
            <v>N</v>
          </cell>
        </row>
        <row r="9">
          <cell r="A9" t="str">
            <v>002K</v>
          </cell>
          <cell r="B9" t="str">
            <v># Electric Distribution Customers (MO/IL)</v>
          </cell>
          <cell r="C9" t="str">
            <v>Y</v>
          </cell>
          <cell r="D9" t="str">
            <v>N</v>
          </cell>
          <cell r="E9" t="str">
            <v>N</v>
          </cell>
        </row>
        <row r="10">
          <cell r="A10" t="str">
            <v>002L</v>
          </cell>
          <cell r="B10" t="str">
            <v># Electric/Gas Distribution Customers (MO/IL)</v>
          </cell>
          <cell r="C10" t="str">
            <v>N</v>
          </cell>
          <cell r="D10" t="str">
            <v>N</v>
          </cell>
          <cell r="E10" t="str">
            <v>N</v>
          </cell>
        </row>
        <row r="11">
          <cell r="A11" t="str">
            <v>002M</v>
          </cell>
          <cell r="B11" t="str">
            <v># Electric/Gas Distribution Customers (IL)</v>
          </cell>
          <cell r="C11" t="str">
            <v>N</v>
          </cell>
          <cell r="D11" t="str">
            <v>Y</v>
          </cell>
          <cell r="E11" t="str">
            <v>N</v>
          </cell>
        </row>
        <row r="12">
          <cell r="A12" t="str">
            <v>002O</v>
          </cell>
          <cell r="B12" t="str">
            <v># Electric Distribution Customers (IL)</v>
          </cell>
          <cell r="C12" t="str">
            <v>N</v>
          </cell>
          <cell r="D12" t="str">
            <v>Y</v>
          </cell>
          <cell r="E12" t="str">
            <v>N</v>
          </cell>
        </row>
        <row r="13">
          <cell r="A13" t="str">
            <v>002P</v>
          </cell>
          <cell r="B13" t="str">
            <v># Gas Distribution Customers (IL)</v>
          </cell>
          <cell r="C13" t="str">
            <v>N</v>
          </cell>
          <cell r="D13" t="str">
            <v>Y</v>
          </cell>
          <cell r="E13" t="str">
            <v>N</v>
          </cell>
        </row>
        <row r="14">
          <cell r="A14" t="str">
            <v>003A</v>
          </cell>
          <cell r="B14" t="str">
            <v>Electric/Gas Sales (T&amp;D and Interchange in MO/IL)</v>
          </cell>
          <cell r="C14" t="str">
            <v>N</v>
          </cell>
          <cell r="D14" t="str">
            <v>N</v>
          </cell>
          <cell r="E14" t="str">
            <v>N</v>
          </cell>
        </row>
        <row r="15">
          <cell r="A15" t="str">
            <v>003B</v>
          </cell>
          <cell r="B15" t="str">
            <v>Electric Sales (T&amp;D and Interchange in MO/IL)</v>
          </cell>
          <cell r="C15" t="str">
            <v>N</v>
          </cell>
          <cell r="D15" t="str">
            <v>N</v>
          </cell>
          <cell r="E15" t="str">
            <v>N</v>
          </cell>
        </row>
        <row r="16">
          <cell r="A16" t="str">
            <v>004A</v>
          </cell>
          <cell r="B16" t="str">
            <v># of Employees (Mgmt &amp; Contract)</v>
          </cell>
          <cell r="C16" t="str">
            <v>N</v>
          </cell>
          <cell r="D16" t="str">
            <v>N</v>
          </cell>
          <cell r="E16" t="str">
            <v>N</v>
          </cell>
        </row>
        <row r="17">
          <cell r="A17" t="str">
            <v>004B</v>
          </cell>
          <cell r="B17" t="str">
            <v># of Contract Employees</v>
          </cell>
          <cell r="C17" t="str">
            <v>N</v>
          </cell>
          <cell r="D17" t="str">
            <v>N</v>
          </cell>
          <cell r="E17" t="str">
            <v>N</v>
          </cell>
        </row>
        <row r="18">
          <cell r="A18" t="str">
            <v>004C</v>
          </cell>
          <cell r="B18" t="str">
            <v># of Non-Contract Employees</v>
          </cell>
          <cell r="C18" t="str">
            <v>N</v>
          </cell>
          <cell r="D18" t="str">
            <v>N</v>
          </cell>
          <cell r="E18" t="str">
            <v>N</v>
          </cell>
        </row>
        <row r="19">
          <cell r="A19" t="str">
            <v>004F</v>
          </cell>
          <cell r="B19" t="str">
            <v># UEC/CIP Employees (Mgmt &amp; Contract)</v>
          </cell>
          <cell r="C19" t="str">
            <v>Y</v>
          </cell>
          <cell r="D19" t="str">
            <v>N</v>
          </cell>
          <cell r="E19" t="str">
            <v>N</v>
          </cell>
        </row>
        <row r="20">
          <cell r="A20" t="str">
            <v>004O</v>
          </cell>
          <cell r="B20" t="str">
            <v>Number of Employees (Management &amp; Contract (Excluding AME &amp; GMC)</v>
          </cell>
          <cell r="C20" t="str">
            <v>N</v>
          </cell>
          <cell r="D20" t="str">
            <v>N</v>
          </cell>
          <cell r="E20" t="str">
            <v>N</v>
          </cell>
        </row>
        <row r="21">
          <cell r="A21" t="str">
            <v>004P</v>
          </cell>
          <cell r="B21" t="str">
            <v>Number of Energy Delivery Employees</v>
          </cell>
          <cell r="C21" t="str">
            <v>Y</v>
          </cell>
          <cell r="D21" t="str">
            <v>N</v>
          </cell>
          <cell r="E21" t="str">
            <v>N</v>
          </cell>
        </row>
        <row r="22">
          <cell r="A22" t="str">
            <v>007A</v>
          </cell>
          <cell r="B22" t="str">
            <v>Total Capitalization</v>
          </cell>
          <cell r="C22" t="str">
            <v>N</v>
          </cell>
          <cell r="D22" t="str">
            <v>N</v>
          </cell>
          <cell r="E22" t="str">
            <v>N</v>
          </cell>
        </row>
        <row r="23">
          <cell r="A23" t="str">
            <v>008A</v>
          </cell>
          <cell r="B23" t="str">
            <v>Total Assets</v>
          </cell>
          <cell r="C23" t="str">
            <v>N</v>
          </cell>
          <cell r="D23" t="str">
            <v>N</v>
          </cell>
          <cell r="E23" t="str">
            <v>N</v>
          </cell>
        </row>
        <row r="24">
          <cell r="A24" t="str">
            <v>008C</v>
          </cell>
          <cell r="B24" t="str">
            <v>Net Plant Assets</v>
          </cell>
          <cell r="C24" t="str">
            <v>N</v>
          </cell>
          <cell r="D24" t="str">
            <v>N</v>
          </cell>
          <cell r="E24" t="str">
            <v>N</v>
          </cell>
        </row>
        <row r="25">
          <cell r="A25" t="str">
            <v>010A</v>
          </cell>
          <cell r="B25" t="str">
            <v>Peak Load (Electric)</v>
          </cell>
          <cell r="C25" t="str">
            <v>Y</v>
          </cell>
          <cell r="D25" t="str">
            <v>N</v>
          </cell>
          <cell r="E25" t="str">
            <v>N</v>
          </cell>
        </row>
        <row r="26">
          <cell r="A26" t="str">
            <v>010B</v>
          </cell>
          <cell r="B26" t="str">
            <v>Peak Load (Gas)</v>
          </cell>
          <cell r="C26" t="str">
            <v>N</v>
          </cell>
          <cell r="D26" t="str">
            <v>N</v>
          </cell>
          <cell r="E26" t="str">
            <v>N</v>
          </cell>
        </row>
        <row r="27">
          <cell r="A27" t="str">
            <v>011A</v>
          </cell>
          <cell r="B27" t="str">
            <v>Generating Capacity (All Plants)</v>
          </cell>
          <cell r="C27" t="str">
            <v>N</v>
          </cell>
          <cell r="D27" t="str">
            <v>N</v>
          </cell>
          <cell r="E27" t="str">
            <v>Y</v>
          </cell>
        </row>
        <row r="28">
          <cell r="A28" t="str">
            <v>011B</v>
          </cell>
          <cell r="B28" t="str">
            <v>Generating Capacity (Fossil)</v>
          </cell>
          <cell r="C28" t="str">
            <v>N</v>
          </cell>
          <cell r="D28" t="str">
            <v>N</v>
          </cell>
          <cell r="E28" t="str">
            <v>Y</v>
          </cell>
        </row>
        <row r="29">
          <cell r="A29" t="str">
            <v>011C</v>
          </cell>
          <cell r="B29" t="str">
            <v>Generating Capacity Nameplate (Including Not in Service)</v>
          </cell>
          <cell r="C29" t="str">
            <v>N</v>
          </cell>
          <cell r="D29" t="str">
            <v>N</v>
          </cell>
          <cell r="E29" t="str">
            <v>Y</v>
          </cell>
        </row>
        <row r="30">
          <cell r="A30" t="str">
            <v>011D</v>
          </cell>
          <cell r="B30" t="e">
            <v>#N/A</v>
          </cell>
          <cell r="C30" t="str">
            <v>N</v>
          </cell>
          <cell r="D30" t="str">
            <v>N</v>
          </cell>
          <cell r="E30" t="str">
            <v>Y</v>
          </cell>
        </row>
        <row r="31">
          <cell r="A31" t="str">
            <v>012A</v>
          </cell>
          <cell r="B31" t="str">
            <v>Gas Throughput (Incl. Transp.)</v>
          </cell>
          <cell r="C31" t="str">
            <v>N</v>
          </cell>
          <cell r="D31" t="str">
            <v>N</v>
          </cell>
          <cell r="E31" t="str">
            <v>N</v>
          </cell>
        </row>
        <row r="32">
          <cell r="A32" t="str">
            <v>012B</v>
          </cell>
          <cell r="B32" t="str">
            <v>Total Electric Net Output</v>
          </cell>
          <cell r="C32" t="str">
            <v>N</v>
          </cell>
          <cell r="D32" t="str">
            <v>N</v>
          </cell>
          <cell r="E32" t="str">
            <v>N</v>
          </cell>
        </row>
        <row r="33">
          <cell r="A33" t="str">
            <v>012D</v>
          </cell>
          <cell r="B33" t="str">
            <v>Electric Net Generation</v>
          </cell>
          <cell r="C33" t="str">
            <v>N</v>
          </cell>
          <cell r="D33" t="str">
            <v>N</v>
          </cell>
          <cell r="E33" t="str">
            <v>Y</v>
          </cell>
        </row>
        <row r="34">
          <cell r="A34" t="str">
            <v>015A</v>
          </cell>
          <cell r="B34" t="str">
            <v>Current Tax Expense</v>
          </cell>
          <cell r="C34" t="str">
            <v>N</v>
          </cell>
          <cell r="D34" t="str">
            <v>N</v>
          </cell>
          <cell r="E34" t="str">
            <v>N</v>
          </cell>
        </row>
        <row r="35">
          <cell r="A35" t="str">
            <v>016A</v>
          </cell>
          <cell r="B35" t="str">
            <v># of Vehicles</v>
          </cell>
          <cell r="C35" t="str">
            <v>N</v>
          </cell>
          <cell r="D35" t="str">
            <v>N</v>
          </cell>
          <cell r="E35" t="str">
            <v>N</v>
          </cell>
        </row>
        <row r="36">
          <cell r="A36" t="str">
            <v>017A</v>
          </cell>
          <cell r="B36" t="str">
            <v># of General Ledger Transactions</v>
          </cell>
          <cell r="C36" t="str">
            <v>N</v>
          </cell>
          <cell r="D36" t="str">
            <v>N</v>
          </cell>
          <cell r="E36" t="str">
            <v>N</v>
          </cell>
        </row>
        <row r="37">
          <cell r="A37" t="str">
            <v>017B</v>
          </cell>
          <cell r="B37" t="str">
            <v># of Accounts Payable Vouchers</v>
          </cell>
          <cell r="C37" t="str">
            <v>N</v>
          </cell>
          <cell r="D37" t="str">
            <v>N</v>
          </cell>
          <cell r="E37" t="str">
            <v>N</v>
          </cell>
        </row>
        <row r="38">
          <cell r="A38" t="str">
            <v>017C</v>
          </cell>
          <cell r="B38" t="str">
            <v># Projects (Active &amp; Closed) All Projects</v>
          </cell>
          <cell r="C38" t="str">
            <v>N</v>
          </cell>
          <cell r="D38" t="str">
            <v>N</v>
          </cell>
          <cell r="E38" t="str">
            <v>N</v>
          </cell>
        </row>
        <row r="39">
          <cell r="A39" t="str">
            <v>018A</v>
          </cell>
          <cell r="B39" t="str">
            <v>$ Purchases</v>
          </cell>
          <cell r="C39" t="str">
            <v>N</v>
          </cell>
          <cell r="D39" t="str">
            <v>N</v>
          </cell>
          <cell r="E39" t="str">
            <v>N</v>
          </cell>
        </row>
        <row r="40">
          <cell r="A40" t="str">
            <v>018D</v>
          </cell>
          <cell r="B40" t="e">
            <v>#N/A</v>
          </cell>
          <cell r="C40" t="str">
            <v>N</v>
          </cell>
          <cell r="D40" t="str">
            <v>N</v>
          </cell>
          <cell r="E40" t="str">
            <v>N</v>
          </cell>
        </row>
        <row r="41">
          <cell r="A41" t="str">
            <v>ADC</v>
          </cell>
          <cell r="B41" t="str">
            <v>100% to Ameren Development</v>
          </cell>
          <cell r="C41" t="str">
            <v>N</v>
          </cell>
          <cell r="D41" t="str">
            <v>N</v>
          </cell>
          <cell r="E41" t="str">
            <v>N</v>
          </cell>
        </row>
        <row r="42">
          <cell r="A42" t="str">
            <v>AED</v>
          </cell>
          <cell r="B42" t="str">
            <v>100% to Ameren Energy Development Co.</v>
          </cell>
          <cell r="C42" t="str">
            <v>N</v>
          </cell>
          <cell r="D42" t="str">
            <v>N</v>
          </cell>
          <cell r="E42" t="str">
            <v>N</v>
          </cell>
        </row>
        <row r="43">
          <cell r="A43" t="str">
            <v>AFS</v>
          </cell>
          <cell r="B43" t="str">
            <v>100% to Ameren Energy Fuel &amp; Services</v>
          </cell>
          <cell r="C43" t="str">
            <v>N</v>
          </cell>
          <cell r="D43" t="str">
            <v>N</v>
          </cell>
          <cell r="E43" t="str">
            <v>N</v>
          </cell>
        </row>
        <row r="44">
          <cell r="A44" t="str">
            <v>AMC</v>
          </cell>
          <cell r="B44" t="str">
            <v>100% to Ameren Corporation</v>
          </cell>
          <cell r="C44" t="str">
            <v>N</v>
          </cell>
          <cell r="D44" t="str">
            <v>N</v>
          </cell>
          <cell r="E44" t="str">
            <v>N</v>
          </cell>
        </row>
        <row r="45">
          <cell r="A45" t="str">
            <v>ARG</v>
          </cell>
          <cell r="B45" t="str">
            <v>100% to Ameren Resources Generating Co.</v>
          </cell>
          <cell r="C45" t="str">
            <v>N</v>
          </cell>
          <cell r="D45" t="str">
            <v>N</v>
          </cell>
          <cell r="E45" t="str">
            <v>N</v>
          </cell>
        </row>
        <row r="46">
          <cell r="A46" t="str">
            <v>CCP</v>
          </cell>
          <cell r="B46" t="str">
            <v>100% to AmerenCILCORP</v>
          </cell>
          <cell r="C46" t="str">
            <v>N</v>
          </cell>
          <cell r="D46" t="str">
            <v>N</v>
          </cell>
          <cell r="E46" t="str">
            <v>N</v>
          </cell>
        </row>
        <row r="47">
          <cell r="A47" t="str">
            <v>CIC</v>
          </cell>
          <cell r="B47" t="str">
            <v>100% to CIPSCO Investment</v>
          </cell>
          <cell r="C47" t="str">
            <v>N</v>
          </cell>
          <cell r="D47" t="str">
            <v>N</v>
          </cell>
          <cell r="E47" t="str">
            <v>N</v>
          </cell>
        </row>
        <row r="48">
          <cell r="A48" t="str">
            <v>CIL</v>
          </cell>
          <cell r="B48" t="str">
            <v>100% to AmerenCILCO</v>
          </cell>
          <cell r="C48" t="str">
            <v>N</v>
          </cell>
          <cell r="D48" t="str">
            <v>N</v>
          </cell>
          <cell r="E48" t="str">
            <v>N</v>
          </cell>
        </row>
        <row r="49">
          <cell r="A49" t="str">
            <v>CIP</v>
          </cell>
          <cell r="B49" t="str">
            <v>100% to AmerenCIPS</v>
          </cell>
          <cell r="C49" t="str">
            <v>N</v>
          </cell>
          <cell r="D49" t="str">
            <v>N</v>
          </cell>
          <cell r="E49" t="str">
            <v>N</v>
          </cell>
        </row>
        <row r="50">
          <cell r="A50" t="str">
            <v>GEN</v>
          </cell>
          <cell r="B50" t="str">
            <v>100% to Ameren Energy Generating Co.</v>
          </cell>
          <cell r="C50" t="str">
            <v>N</v>
          </cell>
          <cell r="D50" t="str">
            <v>N</v>
          </cell>
          <cell r="E50" t="str">
            <v>N</v>
          </cell>
        </row>
        <row r="51">
          <cell r="A51" t="str">
            <v>GMC</v>
          </cell>
          <cell r="B51" t="str">
            <v>100% to Ameren Energy Marketing Company</v>
          </cell>
          <cell r="C51" t="str">
            <v>N</v>
          </cell>
          <cell r="D51" t="str">
            <v>N</v>
          </cell>
          <cell r="E51" t="str">
            <v>N</v>
          </cell>
        </row>
        <row r="52">
          <cell r="A52" t="str">
            <v>IHC</v>
          </cell>
          <cell r="B52" t="str">
            <v>100% to Ameren Energy Resources Co.</v>
          </cell>
          <cell r="C52" t="str">
            <v>N</v>
          </cell>
          <cell r="D52" t="str">
            <v>N</v>
          </cell>
          <cell r="E52" t="str">
            <v>N</v>
          </cell>
        </row>
        <row r="53">
          <cell r="A53" t="str">
            <v>Indirect</v>
          </cell>
          <cell r="B53" t="e">
            <v>#N/A</v>
          </cell>
          <cell r="C53" t="str">
            <v>N</v>
          </cell>
          <cell r="D53" t="str">
            <v>N</v>
          </cell>
          <cell r="E53" t="str">
            <v>N</v>
          </cell>
        </row>
        <row r="54">
          <cell r="A54" t="str">
            <v>IPC</v>
          </cell>
          <cell r="B54" t="str">
            <v>100% to AmerenIP</v>
          </cell>
          <cell r="C54" t="str">
            <v>N</v>
          </cell>
          <cell r="D54" t="str">
            <v>N</v>
          </cell>
          <cell r="E54" t="str">
            <v>N</v>
          </cell>
        </row>
        <row r="55">
          <cell r="A55" t="str">
            <v>MV1</v>
          </cell>
          <cell r="B55" t="str">
            <v>100% to Ameren Resources - Medina Valley</v>
          </cell>
          <cell r="C55" t="str">
            <v>N</v>
          </cell>
          <cell r="D55" t="str">
            <v>N</v>
          </cell>
          <cell r="E55" t="str">
            <v>N</v>
          </cell>
        </row>
        <row r="56">
          <cell r="A56" t="str">
            <v>UDC</v>
          </cell>
          <cell r="B56" t="str">
            <v xml:space="preserve">100% to Union  Electric Development </v>
          </cell>
          <cell r="C56" t="str">
            <v>N</v>
          </cell>
          <cell r="D56" t="str">
            <v>N</v>
          </cell>
          <cell r="E56" t="str">
            <v>N</v>
          </cell>
        </row>
        <row r="57">
          <cell r="A57" t="str">
            <v>UEC</v>
          </cell>
          <cell r="B57" t="str">
            <v>100% to AmerenUE</v>
          </cell>
          <cell r="C57" t="str">
            <v>N</v>
          </cell>
          <cell r="D57" t="str">
            <v>N</v>
          </cell>
          <cell r="E57" t="str">
            <v>N</v>
          </cell>
        </row>
        <row r="58">
          <cell r="A58" t="str">
            <v>(blank)</v>
          </cell>
          <cell r="B58" t="e">
            <v>#N/A</v>
          </cell>
          <cell r="C58" t="str">
            <v>N</v>
          </cell>
          <cell r="D58" t="str">
            <v>N</v>
          </cell>
          <cell r="E58" t="str">
            <v>N</v>
          </cell>
        </row>
      </sheetData>
      <sheetData sheetId="9">
        <row r="8">
          <cell r="A8" t="str">
            <v>ADC</v>
          </cell>
          <cell r="B8" t="str">
            <v>100% to Ameren Development</v>
          </cell>
        </row>
        <row r="9">
          <cell r="A9" t="str">
            <v>AMC</v>
          </cell>
          <cell r="B9" t="str">
            <v>100% to Ameren Corporation</v>
          </cell>
        </row>
        <row r="10">
          <cell r="A10" t="str">
            <v>AEC</v>
          </cell>
          <cell r="B10" t="str">
            <v>100% to Ameren Energy Communications, Inc.</v>
          </cell>
        </row>
        <row r="11">
          <cell r="A11" t="str">
            <v>AME</v>
          </cell>
          <cell r="B11" t="str">
            <v>100% to Ameren Energy</v>
          </cell>
        </row>
        <row r="12">
          <cell r="A12" t="str">
            <v>AMS</v>
          </cell>
          <cell r="B12" t="str">
            <v>100% to Ameren Services</v>
          </cell>
        </row>
        <row r="13">
          <cell r="A13" t="str">
            <v>CIC</v>
          </cell>
          <cell r="B13" t="str">
            <v>100% to CIPSCO Investment</v>
          </cell>
        </row>
        <row r="14">
          <cell r="A14" t="str">
            <v>ERC</v>
          </cell>
          <cell r="B14" t="str">
            <v>100% to Ameren ERC</v>
          </cell>
        </row>
        <row r="15">
          <cell r="A15" t="str">
            <v>GEN</v>
          </cell>
          <cell r="B15" t="str">
            <v>100% to Ameren Energy Generating Co.</v>
          </cell>
        </row>
        <row r="16">
          <cell r="A16" t="str">
            <v>AED</v>
          </cell>
          <cell r="B16" t="str">
            <v>100% to Ameren Energy Development Co.</v>
          </cell>
        </row>
        <row r="17">
          <cell r="A17" t="str">
            <v>IHC</v>
          </cell>
          <cell r="B17" t="str">
            <v>100% to Ameren Energy Resources Co.</v>
          </cell>
        </row>
        <row r="18">
          <cell r="A18" t="str">
            <v>IMS</v>
          </cell>
          <cell r="B18" t="str">
            <v>100% to Illinois Materials Supply Co.</v>
          </cell>
        </row>
        <row r="19">
          <cell r="A19" t="str">
            <v>GMC</v>
          </cell>
          <cell r="B19" t="str">
            <v>100% to Ameren Energy Marketing Company</v>
          </cell>
        </row>
        <row r="20">
          <cell r="A20" t="str">
            <v>AFS</v>
          </cell>
          <cell r="B20" t="str">
            <v>100% to Ameren Energy Fuel &amp; Services</v>
          </cell>
        </row>
        <row r="21">
          <cell r="A21" t="str">
            <v>UDC</v>
          </cell>
          <cell r="B21" t="str">
            <v xml:space="preserve">100% to Union  Electric Development </v>
          </cell>
        </row>
        <row r="22">
          <cell r="A22" t="str">
            <v>UEC</v>
          </cell>
          <cell r="B22" t="str">
            <v>100% to AmerenUE</v>
          </cell>
        </row>
        <row r="23">
          <cell r="A23" t="str">
            <v>CIP</v>
          </cell>
          <cell r="B23" t="str">
            <v>100% to AmerenCIPS</v>
          </cell>
        </row>
        <row r="24">
          <cell r="A24" t="str">
            <v>CIL</v>
          </cell>
          <cell r="B24" t="str">
            <v>100% to AmerenCILCO</v>
          </cell>
        </row>
        <row r="25">
          <cell r="A25" t="str">
            <v>CIM</v>
          </cell>
          <cell r="B25" t="str">
            <v>100% to AmerenCILCORP Investment Mgt.</v>
          </cell>
        </row>
        <row r="26">
          <cell r="A26" t="str">
            <v>CCP</v>
          </cell>
          <cell r="B26" t="str">
            <v>100% to AmerenCILCORP</v>
          </cell>
        </row>
        <row r="27">
          <cell r="A27" t="str">
            <v>QST</v>
          </cell>
          <cell r="B27" t="str">
            <v>100% to QST Enterprises</v>
          </cell>
        </row>
        <row r="28">
          <cell r="A28" t="str">
            <v>CVI</v>
          </cell>
          <cell r="B28" t="str">
            <v>100% to AmerenCILCORP Venture</v>
          </cell>
        </row>
        <row r="29">
          <cell r="A29" t="str">
            <v>CED</v>
          </cell>
          <cell r="B29" t="str">
            <v>100% to CILCO Exploration &amp; Dev.</v>
          </cell>
        </row>
        <row r="30">
          <cell r="A30" t="str">
            <v>CRG</v>
          </cell>
          <cell r="B30" t="str">
            <v>100% to CILCO Energy Corporation</v>
          </cell>
        </row>
        <row r="31">
          <cell r="A31" t="str">
            <v>CIS</v>
          </cell>
          <cell r="B31" t="str">
            <v>100% to CILCO Infraservices</v>
          </cell>
        </row>
        <row r="32">
          <cell r="A32" t="str">
            <v>CSI</v>
          </cell>
          <cell r="B32" t="str">
            <v>100% to CILCO Energy Sevices</v>
          </cell>
        </row>
        <row r="33">
          <cell r="A33" t="str">
            <v>MV1</v>
          </cell>
          <cell r="B33" t="str">
            <v>100% to Ameren Resources - Medina Valley</v>
          </cell>
        </row>
        <row r="34">
          <cell r="A34" t="str">
            <v>ARG</v>
          </cell>
          <cell r="B34" t="str">
            <v>100% to Ameren Resources Generating Co.</v>
          </cell>
        </row>
        <row r="35">
          <cell r="A35" t="str">
            <v>IPC</v>
          </cell>
          <cell r="B35" t="str">
            <v>100% to AmerenIP</v>
          </cell>
        </row>
        <row r="36">
          <cell r="A36" t="str">
            <v>001a</v>
          </cell>
          <cell r="B36" t="str">
            <v>Electric/Gas Composite (T&amp;D &amp; Interchange MO/IL) *</v>
          </cell>
        </row>
        <row r="37">
          <cell r="A37" t="str">
            <v>001b</v>
          </cell>
          <cell r="B37" t="str">
            <v>Electric/Gas Composite w % to CIC &amp; UDC (T&amp;D &amp; Interchg MO/IL )*</v>
          </cell>
        </row>
        <row r="38">
          <cell r="A38" t="str">
            <v>001c</v>
          </cell>
          <cell r="B38" t="str">
            <v>Electric/Gas Composite w % toUDC (T&amp;D &amp; Interchg MO/IL )*---RETIRED</v>
          </cell>
        </row>
        <row r="39">
          <cell r="A39" t="str">
            <v>001d</v>
          </cell>
          <cell r="B39" t="str">
            <v>Illinois Gas Composite (T&amp;D &amp; Interchange Sales &amp; T&amp;D customers)**</v>
          </cell>
        </row>
        <row r="40">
          <cell r="A40" t="str">
            <v>001e</v>
          </cell>
          <cell r="B40" t="str">
            <v>Gas Composite (T&amp;D &amp; Interchange Sales &amp; T&amp;D customers-- MO/IL)**</v>
          </cell>
        </row>
        <row r="41">
          <cell r="A41" t="str">
            <v>001f</v>
          </cell>
          <cell r="B41" t="str">
            <v>Illinois Electric Composite (Sales &amp; Customer--T&amp;D &amp; Interchange)**</v>
          </cell>
        </row>
        <row r="42">
          <cell r="A42" t="str">
            <v>001g</v>
          </cell>
          <cell r="B42" t="str">
            <v>UEC/CIP Composite (Electric/Gas T&amp;D MO/IL)*</v>
          </cell>
        </row>
        <row r="43">
          <cell r="A43" t="str">
            <v>001h</v>
          </cell>
          <cell r="B43" t="str">
            <v>UEC/CIP Composite w % to UDC and CIC (Electric/Gas T&amp;D MO/IL)*--RETIRED</v>
          </cell>
        </row>
        <row r="44">
          <cell r="A44" t="str">
            <v>001i</v>
          </cell>
          <cell r="B44" t="str">
            <v>UEC/CIP Composite w % to UDC (Electric/Gas T&amp;D MO/IL)*--RETIRED</v>
          </cell>
        </row>
        <row r="45">
          <cell r="A45" t="str">
            <v>001J</v>
          </cell>
          <cell r="B45" t="str">
            <v>Ameren Energy Resources Composite (Employees, Net Plant Assets)***</v>
          </cell>
        </row>
        <row r="46">
          <cell r="A46" t="str">
            <v>002a</v>
          </cell>
          <cell r="B46" t="str">
            <v># of Customers(T&amp;D &amp; Interchange Electric/Gas in MO/IL)^^^</v>
          </cell>
        </row>
        <row r="47">
          <cell r="A47" t="str">
            <v>002b</v>
          </cell>
          <cell r="B47" t="str">
            <v># of Gas Transportation Customers (MO/IL)</v>
          </cell>
        </row>
        <row r="48">
          <cell r="A48" t="str">
            <v>002c</v>
          </cell>
          <cell r="B48" t="str">
            <v># of Customers (T&amp;D &amp; Interchange electric in MO/IL)^^^</v>
          </cell>
        </row>
        <row r="49">
          <cell r="A49" t="str">
            <v>002d</v>
          </cell>
          <cell r="B49" t="str">
            <v># of Gas Customers (T&amp;D in MO/IL)</v>
          </cell>
        </row>
        <row r="50">
          <cell r="A50" t="str">
            <v>002e</v>
          </cell>
          <cell r="B50" t="str">
            <v># of Customers w % to UDC (T&amp;D &amp; Interchange Electric/Gas in MO/IL)--RETIRED</v>
          </cell>
        </row>
        <row r="51">
          <cell r="A51" t="str">
            <v>002f</v>
          </cell>
          <cell r="B51" t="str">
            <v># of Customers (T&amp;D Illinois non-residential electric)</v>
          </cell>
        </row>
        <row r="52">
          <cell r="A52" t="str">
            <v>002g</v>
          </cell>
          <cell r="B52" t="str">
            <v># of Customers ( Illinois non-residential gas)</v>
          </cell>
        </row>
        <row r="53">
          <cell r="A53" t="str">
            <v>002h</v>
          </cell>
          <cell r="B53" t="str">
            <v># of Customers (T&amp;D Illinois non-residential Electric/Gas)</v>
          </cell>
        </row>
        <row r="54">
          <cell r="A54" t="str">
            <v>002i</v>
          </cell>
          <cell r="B54" t="str">
            <v># of Customers (T&amp;D Electric/Gas Illinois)^^^</v>
          </cell>
        </row>
        <row r="55">
          <cell r="A55" t="str">
            <v>002j</v>
          </cell>
          <cell r="B55" t="str">
            <v># Electric Customers Non-Residential (MO/IL) % to GMC</v>
          </cell>
        </row>
        <row r="56">
          <cell r="A56" t="str">
            <v>002k</v>
          </cell>
          <cell r="B56" t="str">
            <v># Electric Distribution Customers (MO/IL)</v>
          </cell>
        </row>
        <row r="57">
          <cell r="A57" t="str">
            <v>002l</v>
          </cell>
          <cell r="B57" t="str">
            <v># Electric/Gas Distribution Customers (MO/IL)</v>
          </cell>
        </row>
        <row r="58">
          <cell r="A58" t="str">
            <v>002m</v>
          </cell>
          <cell r="B58" t="str">
            <v># Electric/Gas Distribution Customers (IL)</v>
          </cell>
        </row>
        <row r="59">
          <cell r="A59" t="str">
            <v>002n</v>
          </cell>
          <cell r="B59" t="str">
            <v># Electric/Gas Distribution Customers (MO/IL) except IPC</v>
          </cell>
        </row>
        <row r="60">
          <cell r="A60" t="str">
            <v>003a</v>
          </cell>
          <cell r="B60" t="str">
            <v>Electric/Gas Sales (T&amp;D and Interchange in MO/IL)</v>
          </cell>
        </row>
        <row r="61">
          <cell r="A61" t="str">
            <v>003b</v>
          </cell>
          <cell r="B61" t="str">
            <v>Electric Sales (T&amp;D and Interchange in MO/IL)</v>
          </cell>
        </row>
        <row r="62">
          <cell r="A62" t="str">
            <v>003c</v>
          </cell>
          <cell r="B62" t="str">
            <v>Gas Sales (T&amp;D and Interchange in MO/IL)</v>
          </cell>
        </row>
        <row r="63">
          <cell r="A63" t="str">
            <v>004a</v>
          </cell>
          <cell r="B63" t="str">
            <v># of Employees (Mgmt &amp; Contract)</v>
          </cell>
        </row>
        <row r="64">
          <cell r="A64" t="str">
            <v>004b</v>
          </cell>
          <cell r="B64" t="str">
            <v># of Contract Employees</v>
          </cell>
        </row>
        <row r="65">
          <cell r="A65" t="str">
            <v>004c</v>
          </cell>
          <cell r="B65" t="str">
            <v># of Non-Contract Employees</v>
          </cell>
        </row>
        <row r="66">
          <cell r="A66" t="str">
            <v>004d</v>
          </cell>
          <cell r="B66" t="str">
            <v># AMS/UEC Employees (Mgmt &amp; Contract)</v>
          </cell>
        </row>
        <row r="67">
          <cell r="A67" t="str">
            <v>004e</v>
          </cell>
          <cell r="B67" t="str">
            <v># AMS/CIP Employees (Mgmt &amp; Contract)</v>
          </cell>
        </row>
        <row r="68">
          <cell r="A68" t="str">
            <v>004f</v>
          </cell>
          <cell r="B68" t="str">
            <v># UEC/CIP Employees (Mgmt &amp; Contract)</v>
          </cell>
        </row>
        <row r="69">
          <cell r="A69" t="str">
            <v>004g</v>
          </cell>
          <cell r="B69" t="str">
            <v># UEC/CIP Employees (Non-Contract)</v>
          </cell>
        </row>
        <row r="70">
          <cell r="A70" t="str">
            <v>004h</v>
          </cell>
          <cell r="B70" t="str">
            <v>HR Use Only # AFS,AME,GEN,GMC,UEC Employees</v>
          </cell>
        </row>
        <row r="71">
          <cell r="A71" t="str">
            <v>004i</v>
          </cell>
          <cell r="B71" t="str">
            <v>HR Use Only # AFS,CIP,GEN,UEC Management &amp; Contract Employees</v>
          </cell>
        </row>
        <row r="72">
          <cell r="A72" t="str">
            <v>004j</v>
          </cell>
          <cell r="B72" t="str">
            <v>HR Use Only # AFS,CIP,GEN,UEC Management Employees</v>
          </cell>
        </row>
        <row r="73">
          <cell r="A73" t="str">
            <v>004k</v>
          </cell>
          <cell r="B73" t="str">
            <v>HR Use Only # AFS,AME,CIP,GEN,GMC,UEC Management and AmerenUE Contract Employees</v>
          </cell>
        </row>
        <row r="74">
          <cell r="A74" t="str">
            <v>004l</v>
          </cell>
          <cell r="B74" t="str">
            <v>HR Use Only # CIP,GEN Contract Employees</v>
          </cell>
        </row>
        <row r="75">
          <cell r="A75" t="str">
            <v>004m</v>
          </cell>
          <cell r="B75" t="str">
            <v>HR Use Only #AFS, UEC Local 1455 Employees</v>
          </cell>
        </row>
        <row r="76">
          <cell r="A76" t="str">
            <v>004n</v>
          </cell>
          <cell r="B76" t="str">
            <v>HR Use Only # AFS,AME,CIP, GEN,GMC,UEC Employees</v>
          </cell>
        </row>
        <row r="77">
          <cell r="A77" t="str">
            <v>004o</v>
          </cell>
          <cell r="B77" t="str">
            <v>Number of Employees (Management &amp; Contract (Excluding AME &amp; GMC)</v>
          </cell>
        </row>
        <row r="78">
          <cell r="A78" t="str">
            <v>004p</v>
          </cell>
          <cell r="B78" t="str">
            <v>Number of Energy Delivery Employees</v>
          </cell>
        </row>
        <row r="79">
          <cell r="A79" t="str">
            <v>005a</v>
          </cell>
          <cell r="B79" t="str">
            <v>Electric/Gas O&amp;M Non-Capital Labor (MO/IL)</v>
          </cell>
        </row>
        <row r="80">
          <cell r="A80" t="str">
            <v>005b</v>
          </cell>
          <cell r="B80" t="str">
            <v>Electric O&amp;M Non-Capital Labor (MO/IL)</v>
          </cell>
        </row>
        <row r="81">
          <cell r="A81" t="str">
            <v>005c</v>
          </cell>
          <cell r="B81" t="str">
            <v>Gas O&amp;M Non-Capital Labor (MO/IL)</v>
          </cell>
        </row>
        <row r="82">
          <cell r="A82" t="str">
            <v>006a</v>
          </cell>
          <cell r="B82" t="str">
            <v>Operating Revenue (Total)--RETIRED</v>
          </cell>
        </row>
        <row r="83">
          <cell r="A83" t="str">
            <v>006b</v>
          </cell>
          <cell r="B83" t="str">
            <v>Revenue (Electric)--RETIRED</v>
          </cell>
        </row>
        <row r="84">
          <cell r="A84" t="str">
            <v>006c</v>
          </cell>
          <cell r="B84" t="str">
            <v>Revenue (Gas)--RETIRED</v>
          </cell>
        </row>
        <row r="85">
          <cell r="A85" t="str">
            <v>007a</v>
          </cell>
          <cell r="B85" t="str">
            <v>Total Capitalization</v>
          </cell>
        </row>
        <row r="86">
          <cell r="A86" t="str">
            <v>007b</v>
          </cell>
          <cell r="B86" t="str">
            <v>Total Capitalization (% to AMC)--RETIRED</v>
          </cell>
        </row>
        <row r="87">
          <cell r="A87" t="str">
            <v>008a</v>
          </cell>
          <cell r="B87" t="str">
            <v>Total Assets</v>
          </cell>
        </row>
        <row r="88">
          <cell r="A88" t="str">
            <v>008b</v>
          </cell>
          <cell r="B88" t="str">
            <v>Total Assets (UEC &amp; CIP)</v>
          </cell>
        </row>
        <row r="89">
          <cell r="A89" t="str">
            <v>008c</v>
          </cell>
          <cell r="B89" t="str">
            <v>Net Plant Assets</v>
          </cell>
        </row>
        <row r="90">
          <cell r="A90" t="str">
            <v>008d</v>
          </cell>
          <cell r="B90" t="str">
            <v>Gross Transmission Plant Investment</v>
          </cell>
        </row>
        <row r="91">
          <cell r="A91" t="str">
            <v>008c</v>
          </cell>
          <cell r="B91" t="str">
            <v>Gross Plant-in-Service plus CWIP (Absolute Value)</v>
          </cell>
        </row>
        <row r="92">
          <cell r="A92" t="str">
            <v>009a</v>
          </cell>
          <cell r="B92" t="str">
            <v>Construction Expenditures</v>
          </cell>
        </row>
        <row r="93">
          <cell r="A93" t="str">
            <v>010a</v>
          </cell>
          <cell r="B93" t="str">
            <v>Peak Load (Electric)</v>
          </cell>
        </row>
        <row r="94">
          <cell r="A94" t="str">
            <v>010b</v>
          </cell>
          <cell r="B94" t="str">
            <v>Peak Load (Gas)</v>
          </cell>
        </row>
        <row r="95">
          <cell r="A95" t="str">
            <v>011a</v>
          </cell>
          <cell r="B95" t="str">
            <v>Generating Capacity (All Plants)</v>
          </cell>
        </row>
        <row r="96">
          <cell r="A96" t="str">
            <v>011b</v>
          </cell>
          <cell r="B96" t="str">
            <v>Generating Capacity (Fossil)</v>
          </cell>
        </row>
        <row r="97">
          <cell r="A97" t="str">
            <v>011c</v>
          </cell>
          <cell r="B97" t="str">
            <v>Generating Capacity Nameplate (Including Not in Service)</v>
          </cell>
        </row>
        <row r="98">
          <cell r="A98" t="str">
            <v>011c</v>
          </cell>
          <cell r="B98" t="str">
            <v>Generating Capacity excluding CTGS (Except Grand Tower)</v>
          </cell>
        </row>
        <row r="99">
          <cell r="A99" t="str">
            <v>012a</v>
          </cell>
          <cell r="B99" t="str">
            <v>Gas Throughput (Incl. Transp.)</v>
          </cell>
        </row>
        <row r="100">
          <cell r="A100" t="str">
            <v>012b</v>
          </cell>
          <cell r="B100" t="str">
            <v>Total Electric Net Output</v>
          </cell>
        </row>
        <row r="101">
          <cell r="A101" t="str">
            <v>012c</v>
          </cell>
          <cell r="B101" t="str">
            <v>Gas Throughput with % to GEN</v>
          </cell>
        </row>
        <row r="102">
          <cell r="A102" t="str">
            <v>012d</v>
          </cell>
          <cell r="B102" t="str">
            <v>Electric Net Generation</v>
          </cell>
        </row>
        <row r="103">
          <cell r="A103" t="str">
            <v>013a</v>
          </cell>
          <cell r="B103" t="str">
            <v>CPU Cycles - Mainframe--RETIRED</v>
          </cell>
        </row>
        <row r="104">
          <cell r="A104" t="str">
            <v>013b</v>
          </cell>
          <cell r="B104" t="str">
            <v>CPU Cycles - Unix--RETIRED</v>
          </cell>
        </row>
        <row r="105">
          <cell r="A105" t="str">
            <v>014a</v>
          </cell>
          <cell r="B105" t="str">
            <v># of Network Accounts</v>
          </cell>
        </row>
        <row r="106">
          <cell r="A106" t="str">
            <v>015a</v>
          </cell>
          <cell r="B106" t="str">
            <v>Current Tax Expense</v>
          </cell>
        </row>
        <row r="107">
          <cell r="A107" t="str">
            <v>016a</v>
          </cell>
          <cell r="B107" t="str">
            <v># of Vehicles</v>
          </cell>
        </row>
        <row r="108">
          <cell r="A108" t="str">
            <v>017a</v>
          </cell>
          <cell r="B108" t="str">
            <v># of General Ledger Transactions</v>
          </cell>
        </row>
        <row r="109">
          <cell r="A109" t="str">
            <v>017b</v>
          </cell>
          <cell r="B109" t="str">
            <v># of Accounts Payable Vouchers</v>
          </cell>
        </row>
        <row r="110">
          <cell r="A110" t="str">
            <v>018a</v>
          </cell>
          <cell r="B110" t="str">
            <v>$ Purchases</v>
          </cell>
        </row>
        <row r="111">
          <cell r="A111" t="str">
            <v>017c</v>
          </cell>
          <cell r="B111" t="str">
            <v># Projects (Active &amp; Closed) All Projects</v>
          </cell>
        </row>
        <row r="112">
          <cell r="A112" t="str">
            <v>018a</v>
          </cell>
          <cell r="B112" t="str">
            <v>Number of Managed PCs</v>
          </cell>
        </row>
      </sheetData>
      <sheetData sheetId="10"/>
      <sheetData sheetId="11"/>
      <sheetData sheetId="12">
        <row r="2">
          <cell r="B2" t="str">
            <v>02963</v>
          </cell>
        </row>
      </sheetData>
      <sheetData sheetId="13">
        <row r="2">
          <cell r="B2" t="str">
            <v>02963</v>
          </cell>
          <cell r="C2" t="str">
            <v>Direct</v>
          </cell>
          <cell r="D2" t="str">
            <v>UEC</v>
          </cell>
        </row>
        <row r="3">
          <cell r="B3" t="str">
            <v>02990</v>
          </cell>
          <cell r="C3" t="str">
            <v>Direct</v>
          </cell>
          <cell r="D3" t="str">
            <v>CIL</v>
          </cell>
        </row>
        <row r="4">
          <cell r="B4" t="str">
            <v>03994</v>
          </cell>
          <cell r="C4" t="str">
            <v>Direct</v>
          </cell>
          <cell r="D4" t="str">
            <v>UEC</v>
          </cell>
        </row>
        <row r="5">
          <cell r="B5" t="str">
            <v>09432</v>
          </cell>
          <cell r="C5" t="str">
            <v>Direct</v>
          </cell>
          <cell r="D5" t="str">
            <v>UEC</v>
          </cell>
        </row>
        <row r="6">
          <cell r="B6" t="str">
            <v>09941</v>
          </cell>
          <cell r="C6" t="str">
            <v>Direct</v>
          </cell>
          <cell r="D6" t="str">
            <v>GEN</v>
          </cell>
        </row>
        <row r="7">
          <cell r="B7" t="str">
            <v>0A001</v>
          </cell>
          <cell r="C7" t="str">
            <v>Direct</v>
          </cell>
          <cell r="D7" t="str">
            <v>UEC</v>
          </cell>
        </row>
        <row r="8">
          <cell r="B8" t="str">
            <v>0A005</v>
          </cell>
          <cell r="C8" t="str">
            <v>Direct</v>
          </cell>
          <cell r="D8" t="str">
            <v>UEC</v>
          </cell>
        </row>
        <row r="9">
          <cell r="B9" t="str">
            <v>0A006</v>
          </cell>
          <cell r="C9" t="str">
            <v>Direct</v>
          </cell>
          <cell r="D9" t="str">
            <v>UEC</v>
          </cell>
        </row>
        <row r="10">
          <cell r="B10" t="str">
            <v>0A009</v>
          </cell>
          <cell r="C10" t="str">
            <v>Direct</v>
          </cell>
          <cell r="D10" t="str">
            <v>UEC</v>
          </cell>
        </row>
        <row r="11">
          <cell r="B11" t="str">
            <v>0A010</v>
          </cell>
          <cell r="C11" t="str">
            <v>Direct</v>
          </cell>
          <cell r="D11" t="str">
            <v>UEC</v>
          </cell>
        </row>
        <row r="12">
          <cell r="B12" t="str">
            <v>0A011</v>
          </cell>
          <cell r="C12" t="str">
            <v>Direct</v>
          </cell>
          <cell r="D12" t="str">
            <v>UEC</v>
          </cell>
        </row>
        <row r="13">
          <cell r="B13" t="str">
            <v>0A012</v>
          </cell>
          <cell r="C13" t="str">
            <v>Direct</v>
          </cell>
          <cell r="D13" t="str">
            <v>UEC</v>
          </cell>
        </row>
        <row r="14">
          <cell r="B14" t="str">
            <v>0A018</v>
          </cell>
          <cell r="C14" t="str">
            <v>Direct</v>
          </cell>
          <cell r="D14" t="str">
            <v>UEC</v>
          </cell>
        </row>
        <row r="15">
          <cell r="B15" t="str">
            <v>0A037</v>
          </cell>
          <cell r="C15" t="str">
            <v>Direct</v>
          </cell>
          <cell r="D15" t="str">
            <v>UEC</v>
          </cell>
        </row>
        <row r="16">
          <cell r="B16" t="str">
            <v>0A039</v>
          </cell>
          <cell r="C16" t="str">
            <v>Direct</v>
          </cell>
          <cell r="D16" t="str">
            <v>UEC</v>
          </cell>
        </row>
        <row r="17">
          <cell r="B17" t="str">
            <v>0A043</v>
          </cell>
          <cell r="C17" t="str">
            <v>Direct</v>
          </cell>
          <cell r="D17" t="str">
            <v>UEC</v>
          </cell>
        </row>
        <row r="18">
          <cell r="B18" t="str">
            <v>0A046</v>
          </cell>
          <cell r="C18" t="str">
            <v>Direct</v>
          </cell>
          <cell r="D18" t="str">
            <v>UEC</v>
          </cell>
        </row>
        <row r="19">
          <cell r="B19" t="str">
            <v>0A047</v>
          </cell>
          <cell r="C19" t="str">
            <v>Direct</v>
          </cell>
          <cell r="D19" t="str">
            <v>UEC</v>
          </cell>
        </row>
        <row r="20">
          <cell r="B20" t="str">
            <v>0A048</v>
          </cell>
          <cell r="C20" t="str">
            <v>Direct</v>
          </cell>
          <cell r="D20" t="str">
            <v>UEC</v>
          </cell>
        </row>
        <row r="21">
          <cell r="B21" t="str">
            <v>0A049</v>
          </cell>
          <cell r="C21" t="str">
            <v>Direct</v>
          </cell>
          <cell r="D21" t="str">
            <v>UEC</v>
          </cell>
        </row>
        <row r="22">
          <cell r="B22" t="str">
            <v>0A072</v>
          </cell>
          <cell r="C22" t="str">
            <v>Direct</v>
          </cell>
          <cell r="D22" t="str">
            <v>UEC</v>
          </cell>
        </row>
        <row r="23">
          <cell r="B23" t="str">
            <v>0A076</v>
          </cell>
          <cell r="C23" t="str">
            <v>Direct</v>
          </cell>
          <cell r="D23" t="str">
            <v>UEC</v>
          </cell>
        </row>
        <row r="24">
          <cell r="B24" t="str">
            <v>0A090</v>
          </cell>
          <cell r="C24" t="str">
            <v>Direct</v>
          </cell>
          <cell r="D24" t="str">
            <v>UEC</v>
          </cell>
        </row>
        <row r="25">
          <cell r="B25" t="str">
            <v>0A094</v>
          </cell>
          <cell r="C25" t="str">
            <v>Direct</v>
          </cell>
          <cell r="D25" t="str">
            <v>UEC</v>
          </cell>
        </row>
        <row r="26">
          <cell r="B26" t="str">
            <v>0A095</v>
          </cell>
          <cell r="C26" t="str">
            <v>Direct</v>
          </cell>
          <cell r="D26" t="str">
            <v>UEC</v>
          </cell>
        </row>
        <row r="27">
          <cell r="B27" t="str">
            <v>0A100</v>
          </cell>
          <cell r="C27" t="str">
            <v>Direct</v>
          </cell>
          <cell r="D27" t="str">
            <v>UEC</v>
          </cell>
        </row>
        <row r="28">
          <cell r="B28" t="str">
            <v>0A101</v>
          </cell>
          <cell r="C28" t="str">
            <v>Direct</v>
          </cell>
          <cell r="D28" t="str">
            <v>UEC</v>
          </cell>
        </row>
        <row r="29">
          <cell r="B29" t="str">
            <v>0A107</v>
          </cell>
          <cell r="C29" t="str">
            <v>Direct</v>
          </cell>
          <cell r="D29" t="str">
            <v>GEN</v>
          </cell>
        </row>
        <row r="30">
          <cell r="B30" t="str">
            <v>0A121</v>
          </cell>
          <cell r="C30" t="str">
            <v>Direct</v>
          </cell>
          <cell r="D30" t="str">
            <v>UEC</v>
          </cell>
        </row>
        <row r="31">
          <cell r="B31" t="str">
            <v>0A125</v>
          </cell>
          <cell r="C31" t="str">
            <v>Direct</v>
          </cell>
          <cell r="D31" t="str">
            <v>UEC</v>
          </cell>
        </row>
        <row r="32">
          <cell r="B32" t="str">
            <v>0A127</v>
          </cell>
          <cell r="C32" t="str">
            <v>Direct</v>
          </cell>
          <cell r="D32" t="str">
            <v>UEC</v>
          </cell>
        </row>
        <row r="33">
          <cell r="B33" t="str">
            <v>0A128</v>
          </cell>
          <cell r="C33" t="str">
            <v>Direct</v>
          </cell>
          <cell r="D33" t="str">
            <v>UEC</v>
          </cell>
        </row>
        <row r="34">
          <cell r="B34" t="str">
            <v>0A197</v>
          </cell>
          <cell r="C34" t="str">
            <v>Direct</v>
          </cell>
          <cell r="D34" t="str">
            <v>UEC</v>
          </cell>
        </row>
        <row r="35">
          <cell r="B35" t="str">
            <v>0A202</v>
          </cell>
          <cell r="C35" t="str">
            <v>Direct</v>
          </cell>
          <cell r="D35" t="str">
            <v>CIP</v>
          </cell>
        </row>
        <row r="36">
          <cell r="B36" t="str">
            <v>0A203</v>
          </cell>
          <cell r="C36" t="str">
            <v>Direct</v>
          </cell>
          <cell r="D36" t="str">
            <v>CIP</v>
          </cell>
        </row>
        <row r="37">
          <cell r="B37" t="str">
            <v>0A204</v>
          </cell>
          <cell r="C37" t="str">
            <v>Direct</v>
          </cell>
          <cell r="D37" t="str">
            <v>CIP</v>
          </cell>
        </row>
        <row r="38">
          <cell r="B38" t="str">
            <v>0A207</v>
          </cell>
          <cell r="C38" t="str">
            <v>Direct</v>
          </cell>
          <cell r="D38" t="str">
            <v>CIP</v>
          </cell>
        </row>
        <row r="39">
          <cell r="B39" t="str">
            <v>0A208</v>
          </cell>
          <cell r="C39" t="str">
            <v>Direct</v>
          </cell>
          <cell r="D39" t="str">
            <v>CIP</v>
          </cell>
        </row>
        <row r="40">
          <cell r="B40" t="str">
            <v>0A209</v>
          </cell>
          <cell r="C40" t="str">
            <v>Direct</v>
          </cell>
          <cell r="D40" t="str">
            <v>CIP</v>
          </cell>
        </row>
        <row r="41">
          <cell r="B41" t="str">
            <v>0A401</v>
          </cell>
          <cell r="C41" t="str">
            <v>Direct</v>
          </cell>
          <cell r="D41" t="str">
            <v>UEC</v>
          </cell>
        </row>
        <row r="42">
          <cell r="B42" t="str">
            <v>0A490</v>
          </cell>
          <cell r="C42" t="str">
            <v>Direct</v>
          </cell>
          <cell r="D42" t="str">
            <v>UEC</v>
          </cell>
        </row>
        <row r="43">
          <cell r="B43" t="str">
            <v>0A491</v>
          </cell>
          <cell r="C43" t="str">
            <v>Direct</v>
          </cell>
          <cell r="D43" t="str">
            <v>UEC</v>
          </cell>
        </row>
        <row r="44">
          <cell r="B44" t="str">
            <v>0A592</v>
          </cell>
          <cell r="C44" t="str">
            <v>Direct</v>
          </cell>
          <cell r="D44" t="str">
            <v>UEC</v>
          </cell>
        </row>
        <row r="45">
          <cell r="B45" t="str">
            <v>0A596</v>
          </cell>
          <cell r="C45" t="str">
            <v>Direct</v>
          </cell>
          <cell r="D45" t="str">
            <v>UEC</v>
          </cell>
        </row>
        <row r="46">
          <cell r="B46" t="str">
            <v>0A597</v>
          </cell>
          <cell r="C46" t="str">
            <v>Direct</v>
          </cell>
          <cell r="D46" t="str">
            <v>UEC</v>
          </cell>
        </row>
        <row r="47">
          <cell r="B47" t="str">
            <v>0A694</v>
          </cell>
          <cell r="C47" t="str">
            <v>Direct</v>
          </cell>
          <cell r="D47" t="str">
            <v>UEC</v>
          </cell>
        </row>
        <row r="48">
          <cell r="B48" t="str">
            <v>0A999</v>
          </cell>
          <cell r="C48" t="str">
            <v>Direct</v>
          </cell>
          <cell r="D48" t="str">
            <v>UEC</v>
          </cell>
        </row>
        <row r="49">
          <cell r="B49" t="str">
            <v>0B590</v>
          </cell>
          <cell r="C49" t="str">
            <v>Direct</v>
          </cell>
          <cell r="D49" t="str">
            <v>UEC</v>
          </cell>
        </row>
        <row r="50">
          <cell r="B50" t="str">
            <v>0B591</v>
          </cell>
          <cell r="C50" t="str">
            <v>Direct</v>
          </cell>
          <cell r="D50" t="str">
            <v>UEC</v>
          </cell>
        </row>
        <row r="51">
          <cell r="B51" t="str">
            <v>0B592</v>
          </cell>
          <cell r="C51" t="str">
            <v>Direct</v>
          </cell>
          <cell r="D51" t="str">
            <v>UEC</v>
          </cell>
        </row>
        <row r="52">
          <cell r="B52" t="str">
            <v>0B593</v>
          </cell>
          <cell r="C52" t="str">
            <v>Direct</v>
          </cell>
          <cell r="D52" t="str">
            <v>UEC</v>
          </cell>
        </row>
        <row r="53">
          <cell r="B53" t="str">
            <v>0B594</v>
          </cell>
          <cell r="C53" t="str">
            <v>Direct</v>
          </cell>
          <cell r="D53" t="str">
            <v>UEC</v>
          </cell>
        </row>
        <row r="54">
          <cell r="B54" t="str">
            <v>0B595</v>
          </cell>
          <cell r="C54" t="str">
            <v>Direct</v>
          </cell>
          <cell r="D54" t="str">
            <v>UEC</v>
          </cell>
        </row>
        <row r="55">
          <cell r="B55" t="str">
            <v>0B596</v>
          </cell>
          <cell r="C55" t="str">
            <v>Direct</v>
          </cell>
          <cell r="D55" t="str">
            <v>UEC</v>
          </cell>
        </row>
        <row r="56">
          <cell r="B56" t="str">
            <v>0B597</v>
          </cell>
          <cell r="C56" t="str">
            <v>Direct</v>
          </cell>
          <cell r="D56" t="str">
            <v>UEC</v>
          </cell>
        </row>
        <row r="57">
          <cell r="B57" t="str">
            <v>0B598</v>
          </cell>
          <cell r="C57" t="str">
            <v>Direct</v>
          </cell>
          <cell r="D57" t="str">
            <v>UEC</v>
          </cell>
        </row>
        <row r="58">
          <cell r="B58" t="str">
            <v>0K009</v>
          </cell>
          <cell r="C58" t="str">
            <v>Direct</v>
          </cell>
          <cell r="D58" t="str">
            <v>UEC</v>
          </cell>
        </row>
        <row r="59">
          <cell r="B59" t="str">
            <v>0K028</v>
          </cell>
          <cell r="C59" t="str">
            <v>Direct</v>
          </cell>
          <cell r="D59" t="str">
            <v>UEC</v>
          </cell>
        </row>
        <row r="60">
          <cell r="B60" t="str">
            <v>0K091</v>
          </cell>
          <cell r="C60" t="str">
            <v>Direct</v>
          </cell>
          <cell r="D60" t="str">
            <v>UEC</v>
          </cell>
        </row>
        <row r="61">
          <cell r="B61" t="str">
            <v>0K116</v>
          </cell>
          <cell r="C61" t="str">
            <v>Direct</v>
          </cell>
          <cell r="D61" t="str">
            <v>CIP</v>
          </cell>
        </row>
        <row r="62">
          <cell r="B62" t="str">
            <v>0K236</v>
          </cell>
          <cell r="C62" t="str">
            <v>Direct</v>
          </cell>
          <cell r="D62" t="str">
            <v>UEC</v>
          </cell>
        </row>
        <row r="63">
          <cell r="B63" t="str">
            <v>0K237</v>
          </cell>
          <cell r="C63" t="str">
            <v>Direct</v>
          </cell>
          <cell r="D63" t="str">
            <v>CIL</v>
          </cell>
        </row>
        <row r="64">
          <cell r="B64" t="str">
            <v>0K334</v>
          </cell>
          <cell r="C64" t="str">
            <v>Direct</v>
          </cell>
          <cell r="D64" t="str">
            <v>AFS</v>
          </cell>
        </row>
        <row r="65">
          <cell r="B65" t="str">
            <v>0K389</v>
          </cell>
          <cell r="C65" t="str">
            <v>Direct</v>
          </cell>
          <cell r="D65" t="str">
            <v>GEN</v>
          </cell>
        </row>
        <row r="66">
          <cell r="B66" t="str">
            <v>0K390</v>
          </cell>
          <cell r="C66" t="str">
            <v>Direct</v>
          </cell>
          <cell r="D66" t="str">
            <v>ARG</v>
          </cell>
        </row>
        <row r="67">
          <cell r="B67" t="str">
            <v>0K396</v>
          </cell>
          <cell r="C67" t="str">
            <v>Direct</v>
          </cell>
          <cell r="D67" t="str">
            <v>CIP</v>
          </cell>
        </row>
        <row r="68">
          <cell r="B68" t="str">
            <v>0K398</v>
          </cell>
          <cell r="C68" t="str">
            <v>Direct</v>
          </cell>
          <cell r="D68" t="str">
            <v>CIL</v>
          </cell>
        </row>
        <row r="69">
          <cell r="B69" t="str">
            <v>0K399</v>
          </cell>
          <cell r="C69" t="str">
            <v>Direct</v>
          </cell>
          <cell r="D69" t="str">
            <v>IPC</v>
          </cell>
        </row>
        <row r="70">
          <cell r="B70" t="str">
            <v>0K405</v>
          </cell>
          <cell r="C70" t="str">
            <v>Direct</v>
          </cell>
          <cell r="D70" t="str">
            <v>IPC</v>
          </cell>
        </row>
        <row r="71">
          <cell r="B71" t="str">
            <v>0K460</v>
          </cell>
          <cell r="C71" t="str">
            <v>Direct</v>
          </cell>
          <cell r="D71" t="str">
            <v>UEC</v>
          </cell>
        </row>
        <row r="72">
          <cell r="B72" t="str">
            <v>0K466</v>
          </cell>
          <cell r="C72" t="str">
            <v>Direct</v>
          </cell>
          <cell r="D72" t="str">
            <v>UEC</v>
          </cell>
        </row>
        <row r="73">
          <cell r="B73" t="str">
            <v>0K471</v>
          </cell>
          <cell r="C73" t="str">
            <v>Direct</v>
          </cell>
          <cell r="D73" t="str">
            <v>UEC</v>
          </cell>
        </row>
        <row r="74">
          <cell r="B74" t="str">
            <v>0K476</v>
          </cell>
          <cell r="C74" t="str">
            <v>Direct</v>
          </cell>
          <cell r="D74" t="str">
            <v>IPC</v>
          </cell>
        </row>
        <row r="75">
          <cell r="B75" t="str">
            <v>0K481</v>
          </cell>
          <cell r="C75" t="str">
            <v>Direct</v>
          </cell>
          <cell r="D75" t="str">
            <v>UEC</v>
          </cell>
        </row>
        <row r="76">
          <cell r="B76" t="str">
            <v>0K487</v>
          </cell>
          <cell r="C76" t="str">
            <v>Direct</v>
          </cell>
          <cell r="D76" t="str">
            <v>CIL</v>
          </cell>
        </row>
        <row r="77">
          <cell r="B77" t="str">
            <v>0K937</v>
          </cell>
          <cell r="C77" t="str">
            <v>Direct</v>
          </cell>
          <cell r="D77" t="str">
            <v>CIP</v>
          </cell>
        </row>
        <row r="78">
          <cell r="B78" t="str">
            <v>0M234</v>
          </cell>
          <cell r="C78" t="str">
            <v>Direct</v>
          </cell>
          <cell r="D78" t="str">
            <v>UEC</v>
          </cell>
        </row>
        <row r="79">
          <cell r="B79" t="str">
            <v>0M414</v>
          </cell>
          <cell r="C79" t="str">
            <v>Direct</v>
          </cell>
          <cell r="D79" t="str">
            <v>UEC</v>
          </cell>
        </row>
        <row r="80">
          <cell r="B80" t="str">
            <v>0M453</v>
          </cell>
          <cell r="C80" t="str">
            <v>Direct</v>
          </cell>
          <cell r="D80" t="str">
            <v>UEC</v>
          </cell>
        </row>
        <row r="81">
          <cell r="B81" t="str">
            <v>0M463</v>
          </cell>
          <cell r="C81" t="str">
            <v>Direct</v>
          </cell>
          <cell r="D81" t="str">
            <v>UEC</v>
          </cell>
        </row>
        <row r="82">
          <cell r="B82" t="str">
            <v>0P012</v>
          </cell>
          <cell r="C82" t="str">
            <v>Direct</v>
          </cell>
          <cell r="D82" t="str">
            <v>UEC</v>
          </cell>
        </row>
        <row r="83">
          <cell r="B83" t="str">
            <v>0P015</v>
          </cell>
          <cell r="C83" t="str">
            <v>Direct</v>
          </cell>
          <cell r="D83" t="str">
            <v>011B</v>
          </cell>
        </row>
        <row r="84">
          <cell r="B84" t="str">
            <v>0P135</v>
          </cell>
          <cell r="C84" t="str">
            <v>Direct</v>
          </cell>
          <cell r="D84" t="str">
            <v>UEC</v>
          </cell>
        </row>
        <row r="85">
          <cell r="B85" t="str">
            <v>0P237</v>
          </cell>
          <cell r="C85" t="str">
            <v>Direct</v>
          </cell>
          <cell r="D85" t="str">
            <v>UEC</v>
          </cell>
        </row>
        <row r="86">
          <cell r="B86" t="str">
            <v>0P238</v>
          </cell>
          <cell r="C86" t="str">
            <v>Direct</v>
          </cell>
          <cell r="D86" t="str">
            <v>UEC</v>
          </cell>
        </row>
        <row r="87">
          <cell r="B87" t="str">
            <v>0P274</v>
          </cell>
          <cell r="C87" t="str">
            <v>Direct</v>
          </cell>
          <cell r="D87" t="str">
            <v>UEC</v>
          </cell>
        </row>
        <row r="88">
          <cell r="B88" t="str">
            <v>0P287</v>
          </cell>
          <cell r="C88" t="str">
            <v>Direct</v>
          </cell>
          <cell r="D88" t="str">
            <v>UEC</v>
          </cell>
        </row>
        <row r="89">
          <cell r="B89" t="str">
            <v>0P309</v>
          </cell>
          <cell r="C89" t="str">
            <v>Direct</v>
          </cell>
          <cell r="D89" t="str">
            <v>UEC</v>
          </cell>
        </row>
        <row r="90">
          <cell r="B90" t="str">
            <v>0P409</v>
          </cell>
          <cell r="C90" t="str">
            <v>Direct</v>
          </cell>
          <cell r="D90" t="str">
            <v>UEC</v>
          </cell>
        </row>
        <row r="91">
          <cell r="B91" t="str">
            <v>0P410</v>
          </cell>
          <cell r="C91" t="str">
            <v>Direct</v>
          </cell>
          <cell r="D91" t="str">
            <v>011B</v>
          </cell>
        </row>
        <row r="92">
          <cell r="B92" t="str">
            <v>0P432</v>
          </cell>
          <cell r="C92" t="str">
            <v>Direct</v>
          </cell>
          <cell r="D92" t="str">
            <v>UEC</v>
          </cell>
        </row>
        <row r="93">
          <cell r="B93" t="str">
            <v>0P526</v>
          </cell>
          <cell r="C93" t="str">
            <v>Direct</v>
          </cell>
          <cell r="D93" t="str">
            <v>011B</v>
          </cell>
        </row>
        <row r="94">
          <cell r="B94" t="str">
            <v>0P527</v>
          </cell>
          <cell r="C94" t="str">
            <v>Direct</v>
          </cell>
          <cell r="D94" t="str">
            <v>011B</v>
          </cell>
        </row>
        <row r="95">
          <cell r="B95" t="str">
            <v>0P568</v>
          </cell>
          <cell r="C95" t="str">
            <v>Direct</v>
          </cell>
          <cell r="D95" t="str">
            <v>UEC</v>
          </cell>
        </row>
        <row r="96">
          <cell r="B96" t="str">
            <v>0P581</v>
          </cell>
          <cell r="C96" t="str">
            <v>Direct</v>
          </cell>
          <cell r="D96" t="str">
            <v>UEC</v>
          </cell>
        </row>
        <row r="97">
          <cell r="B97" t="str">
            <v>0P606</v>
          </cell>
          <cell r="C97" t="str">
            <v>Direct</v>
          </cell>
          <cell r="D97" t="str">
            <v>UEC</v>
          </cell>
        </row>
        <row r="98">
          <cell r="B98" t="str">
            <v>0P661</v>
          </cell>
          <cell r="C98" t="str">
            <v>Direct</v>
          </cell>
          <cell r="D98" t="str">
            <v>UEC</v>
          </cell>
        </row>
        <row r="99">
          <cell r="B99" t="str">
            <v>0P666</v>
          </cell>
          <cell r="C99" t="str">
            <v>Direct</v>
          </cell>
          <cell r="D99" t="str">
            <v>UEC</v>
          </cell>
        </row>
        <row r="100">
          <cell r="B100" t="str">
            <v>0P739</v>
          </cell>
          <cell r="C100" t="str">
            <v>Direct</v>
          </cell>
          <cell r="D100" t="str">
            <v>UEC</v>
          </cell>
        </row>
        <row r="101">
          <cell r="B101" t="str">
            <v>0P774</v>
          </cell>
          <cell r="C101" t="str">
            <v>Direct</v>
          </cell>
          <cell r="D101" t="str">
            <v>UEC</v>
          </cell>
        </row>
        <row r="102">
          <cell r="B102" t="str">
            <v>0P781</v>
          </cell>
          <cell r="C102" t="str">
            <v>Direct</v>
          </cell>
          <cell r="D102" t="str">
            <v>UEC</v>
          </cell>
        </row>
        <row r="103">
          <cell r="B103" t="str">
            <v>0P794</v>
          </cell>
          <cell r="C103" t="str">
            <v>Direct</v>
          </cell>
          <cell r="D103" t="str">
            <v>011B</v>
          </cell>
        </row>
        <row r="104">
          <cell r="B104" t="str">
            <v>0P839</v>
          </cell>
          <cell r="C104" t="str">
            <v>Direct</v>
          </cell>
          <cell r="D104" t="str">
            <v>UEC</v>
          </cell>
        </row>
        <row r="105">
          <cell r="B105" t="str">
            <v>0P841</v>
          </cell>
          <cell r="C105" t="str">
            <v>Direct</v>
          </cell>
          <cell r="D105" t="str">
            <v>UEC</v>
          </cell>
        </row>
        <row r="106">
          <cell r="B106" t="str">
            <v>0P871</v>
          </cell>
          <cell r="C106" t="str">
            <v>Direct</v>
          </cell>
          <cell r="D106" t="str">
            <v>UEC</v>
          </cell>
        </row>
        <row r="107">
          <cell r="B107" t="str">
            <v>0P873</v>
          </cell>
          <cell r="C107" t="str">
            <v>Direct</v>
          </cell>
          <cell r="D107" t="str">
            <v>UEC</v>
          </cell>
        </row>
        <row r="108">
          <cell r="B108" t="str">
            <v>0P879</v>
          </cell>
          <cell r="C108" t="str">
            <v>Direct</v>
          </cell>
          <cell r="D108" t="str">
            <v>UEC</v>
          </cell>
        </row>
        <row r="109">
          <cell r="B109" t="str">
            <v>0P881</v>
          </cell>
          <cell r="C109" t="str">
            <v>Direct</v>
          </cell>
          <cell r="D109" t="str">
            <v>UEC</v>
          </cell>
        </row>
        <row r="110">
          <cell r="B110" t="str">
            <v>0P882</v>
          </cell>
          <cell r="C110" t="str">
            <v>Direct</v>
          </cell>
          <cell r="D110" t="str">
            <v>UEC</v>
          </cell>
        </row>
        <row r="111">
          <cell r="B111" t="str">
            <v>0P883</v>
          </cell>
          <cell r="C111" t="str">
            <v>Direct</v>
          </cell>
          <cell r="D111" t="str">
            <v>UEC</v>
          </cell>
        </row>
        <row r="112">
          <cell r="B112" t="str">
            <v>0P975</v>
          </cell>
          <cell r="C112" t="str">
            <v>Direct</v>
          </cell>
          <cell r="D112" t="str">
            <v>UEC</v>
          </cell>
        </row>
        <row r="113">
          <cell r="B113" t="str">
            <v>0PM2T</v>
          </cell>
          <cell r="C113" t="str">
            <v>Direct</v>
          </cell>
          <cell r="D113" t="str">
            <v>UEC</v>
          </cell>
        </row>
        <row r="114">
          <cell r="B114" t="str">
            <v>0PM3B</v>
          </cell>
          <cell r="C114" t="str">
            <v>Direct</v>
          </cell>
          <cell r="D114" t="str">
            <v>UEC</v>
          </cell>
        </row>
        <row r="115">
          <cell r="B115" t="str">
            <v>0PM3T</v>
          </cell>
          <cell r="C115" t="str">
            <v>Direct</v>
          </cell>
          <cell r="D115" t="str">
            <v>UEC</v>
          </cell>
        </row>
        <row r="116">
          <cell r="B116" t="str">
            <v>0PM4B</v>
          </cell>
          <cell r="C116" t="str">
            <v>Direct</v>
          </cell>
          <cell r="D116" t="str">
            <v>UEC</v>
          </cell>
        </row>
        <row r="117">
          <cell r="B117" t="str">
            <v>0PM4T</v>
          </cell>
          <cell r="C117" t="str">
            <v>Direct</v>
          </cell>
          <cell r="D117" t="str">
            <v>UEC</v>
          </cell>
        </row>
        <row r="118">
          <cell r="B118" t="str">
            <v>0PR1B</v>
          </cell>
          <cell r="C118" t="str">
            <v>Direct</v>
          </cell>
          <cell r="D118" t="str">
            <v>UEC</v>
          </cell>
        </row>
        <row r="119">
          <cell r="B119" t="str">
            <v>0PR1T</v>
          </cell>
          <cell r="C119" t="str">
            <v>Direct</v>
          </cell>
          <cell r="D119" t="str">
            <v>UEC</v>
          </cell>
        </row>
        <row r="120">
          <cell r="B120" t="str">
            <v>0PR2B</v>
          </cell>
          <cell r="C120" t="str">
            <v>Direct</v>
          </cell>
          <cell r="D120" t="str">
            <v>UEC</v>
          </cell>
        </row>
        <row r="121">
          <cell r="B121" t="str">
            <v>0PR2T</v>
          </cell>
          <cell r="C121" t="str">
            <v>Direct</v>
          </cell>
          <cell r="D121" t="str">
            <v>UEC</v>
          </cell>
        </row>
        <row r="122">
          <cell r="B122" t="str">
            <v>0PS1B</v>
          </cell>
          <cell r="C122" t="str">
            <v>Direct</v>
          </cell>
          <cell r="D122" t="str">
            <v>UEC</v>
          </cell>
        </row>
        <row r="123">
          <cell r="B123" t="str">
            <v>0PS1T</v>
          </cell>
          <cell r="C123" t="str">
            <v>Direct</v>
          </cell>
          <cell r="D123" t="str">
            <v>UEC</v>
          </cell>
        </row>
        <row r="124">
          <cell r="B124" t="str">
            <v>0PS2B</v>
          </cell>
          <cell r="C124" t="str">
            <v>Direct</v>
          </cell>
          <cell r="D124" t="str">
            <v>UEC</v>
          </cell>
        </row>
        <row r="125">
          <cell r="B125" t="str">
            <v>0PS2T</v>
          </cell>
          <cell r="C125" t="str">
            <v>Direct</v>
          </cell>
          <cell r="D125" t="str">
            <v>UEC</v>
          </cell>
        </row>
        <row r="126">
          <cell r="B126" t="str">
            <v>10467</v>
          </cell>
          <cell r="C126" t="str">
            <v>Direct</v>
          </cell>
          <cell r="D126" t="str">
            <v>UEC</v>
          </cell>
        </row>
        <row r="127">
          <cell r="B127" t="str">
            <v>10695</v>
          </cell>
          <cell r="C127" t="str">
            <v>Direct</v>
          </cell>
          <cell r="D127" t="str">
            <v>AED</v>
          </cell>
        </row>
        <row r="128">
          <cell r="B128" t="str">
            <v>10715</v>
          </cell>
          <cell r="C128" t="str">
            <v>Direct</v>
          </cell>
          <cell r="D128" t="str">
            <v>UEC</v>
          </cell>
        </row>
        <row r="129">
          <cell r="B129" t="str">
            <v>10811</v>
          </cell>
          <cell r="C129" t="str">
            <v>Direct</v>
          </cell>
          <cell r="D129" t="str">
            <v>UEC</v>
          </cell>
        </row>
        <row r="130">
          <cell r="B130" t="str">
            <v>10847</v>
          </cell>
          <cell r="C130" t="str">
            <v>Direct</v>
          </cell>
          <cell r="D130" t="str">
            <v>UEC</v>
          </cell>
        </row>
        <row r="131">
          <cell r="B131" t="str">
            <v>10854</v>
          </cell>
          <cell r="C131" t="str">
            <v>Direct</v>
          </cell>
          <cell r="D131" t="str">
            <v>UEC</v>
          </cell>
        </row>
        <row r="132">
          <cell r="B132" t="str">
            <v>10887</v>
          </cell>
          <cell r="C132" t="str">
            <v>Direct</v>
          </cell>
          <cell r="D132" t="str">
            <v>UEC</v>
          </cell>
        </row>
        <row r="133">
          <cell r="B133" t="str">
            <v>10888</v>
          </cell>
          <cell r="C133" t="str">
            <v>Direct</v>
          </cell>
          <cell r="D133" t="str">
            <v>UEC</v>
          </cell>
        </row>
        <row r="134">
          <cell r="B134" t="str">
            <v>10895</v>
          </cell>
          <cell r="C134" t="str">
            <v>Direct</v>
          </cell>
          <cell r="D134" t="str">
            <v>UEC</v>
          </cell>
        </row>
        <row r="135">
          <cell r="B135" t="str">
            <v>10997</v>
          </cell>
          <cell r="C135" t="str">
            <v>Direct</v>
          </cell>
          <cell r="D135" t="str">
            <v>UEC</v>
          </cell>
        </row>
        <row r="136">
          <cell r="B136" t="str">
            <v>11042</v>
          </cell>
          <cell r="C136" t="str">
            <v>Direct</v>
          </cell>
          <cell r="D136" t="str">
            <v>UEC</v>
          </cell>
        </row>
        <row r="137">
          <cell r="B137" t="str">
            <v>11057</v>
          </cell>
          <cell r="C137" t="str">
            <v>Direct</v>
          </cell>
          <cell r="D137" t="str">
            <v>UEC</v>
          </cell>
        </row>
        <row r="138">
          <cell r="B138" t="str">
            <v>11146</v>
          </cell>
          <cell r="C138" t="str">
            <v>Direct</v>
          </cell>
          <cell r="D138" t="str">
            <v>UEC</v>
          </cell>
        </row>
        <row r="139">
          <cell r="B139" t="str">
            <v>11180</v>
          </cell>
          <cell r="C139" t="str">
            <v>Direct</v>
          </cell>
          <cell r="D139" t="str">
            <v>UEC</v>
          </cell>
        </row>
        <row r="140">
          <cell r="B140" t="str">
            <v>11234</v>
          </cell>
          <cell r="C140" t="str">
            <v>Direct</v>
          </cell>
          <cell r="D140" t="str">
            <v>UEC</v>
          </cell>
        </row>
        <row r="141">
          <cell r="B141" t="str">
            <v>11290</v>
          </cell>
          <cell r="C141" t="str">
            <v>Direct</v>
          </cell>
          <cell r="D141" t="str">
            <v>UEC</v>
          </cell>
        </row>
        <row r="142">
          <cell r="B142" t="str">
            <v>11306</v>
          </cell>
          <cell r="C142" t="str">
            <v>Direct</v>
          </cell>
          <cell r="D142" t="str">
            <v>UEC</v>
          </cell>
        </row>
        <row r="143">
          <cell r="B143" t="str">
            <v>11354</v>
          </cell>
          <cell r="C143" t="str">
            <v>Direct</v>
          </cell>
          <cell r="D143" t="str">
            <v>UEC</v>
          </cell>
        </row>
        <row r="144">
          <cell r="B144" t="str">
            <v>11363</v>
          </cell>
          <cell r="C144" t="str">
            <v>Direct</v>
          </cell>
          <cell r="D144" t="str">
            <v>UEC</v>
          </cell>
        </row>
        <row r="145">
          <cell r="B145" t="str">
            <v>11366</v>
          </cell>
          <cell r="C145" t="str">
            <v>Direct</v>
          </cell>
          <cell r="D145" t="str">
            <v>CIP</v>
          </cell>
        </row>
        <row r="146">
          <cell r="B146" t="str">
            <v>11370</v>
          </cell>
          <cell r="C146" t="str">
            <v>Direct</v>
          </cell>
          <cell r="D146" t="str">
            <v>CIP</v>
          </cell>
        </row>
        <row r="147">
          <cell r="B147" t="str">
            <v>11378</v>
          </cell>
          <cell r="C147" t="str">
            <v>Direct</v>
          </cell>
          <cell r="D147" t="str">
            <v>UEC</v>
          </cell>
        </row>
        <row r="148">
          <cell r="B148" t="str">
            <v>11427</v>
          </cell>
          <cell r="C148" t="str">
            <v>Direct</v>
          </cell>
          <cell r="D148" t="str">
            <v>UEC</v>
          </cell>
        </row>
        <row r="149">
          <cell r="B149" t="str">
            <v>11488</v>
          </cell>
          <cell r="C149" t="str">
            <v>Direct</v>
          </cell>
          <cell r="D149" t="str">
            <v>UEC</v>
          </cell>
        </row>
        <row r="150">
          <cell r="B150" t="str">
            <v>11506</v>
          </cell>
          <cell r="C150" t="str">
            <v>Direct</v>
          </cell>
          <cell r="D150" t="str">
            <v>UEC</v>
          </cell>
        </row>
        <row r="151">
          <cell r="B151" t="str">
            <v>11507</v>
          </cell>
          <cell r="C151" t="str">
            <v>Direct</v>
          </cell>
          <cell r="D151" t="str">
            <v>UEC</v>
          </cell>
        </row>
        <row r="152">
          <cell r="B152" t="str">
            <v>11508</v>
          </cell>
          <cell r="C152" t="str">
            <v>Direct</v>
          </cell>
          <cell r="D152" t="str">
            <v>UEC</v>
          </cell>
        </row>
        <row r="153">
          <cell r="B153" t="str">
            <v>11515</v>
          </cell>
          <cell r="C153" t="str">
            <v>Direct</v>
          </cell>
          <cell r="D153" t="str">
            <v>UEC</v>
          </cell>
        </row>
        <row r="154">
          <cell r="B154" t="str">
            <v>11560</v>
          </cell>
          <cell r="C154" t="str">
            <v>Direct</v>
          </cell>
          <cell r="D154" t="str">
            <v>UEC</v>
          </cell>
        </row>
        <row r="155">
          <cell r="B155" t="str">
            <v>11601</v>
          </cell>
          <cell r="C155" t="str">
            <v>Direct</v>
          </cell>
          <cell r="D155" t="str">
            <v>UEC</v>
          </cell>
        </row>
        <row r="156">
          <cell r="B156" t="str">
            <v>11619</v>
          </cell>
          <cell r="C156" t="str">
            <v>Direct</v>
          </cell>
          <cell r="D156" t="str">
            <v>UEC</v>
          </cell>
        </row>
        <row r="157">
          <cell r="B157" t="str">
            <v>11645</v>
          </cell>
          <cell r="C157" t="str">
            <v>Direct</v>
          </cell>
          <cell r="D157" t="str">
            <v>UEC</v>
          </cell>
        </row>
        <row r="158">
          <cell r="B158" t="str">
            <v>11647</v>
          </cell>
          <cell r="C158" t="str">
            <v>Direct</v>
          </cell>
          <cell r="D158" t="str">
            <v>UEC</v>
          </cell>
        </row>
        <row r="159">
          <cell r="B159" t="str">
            <v>11650</v>
          </cell>
          <cell r="C159" t="str">
            <v>Direct</v>
          </cell>
          <cell r="D159" t="str">
            <v>UEC</v>
          </cell>
        </row>
        <row r="160">
          <cell r="B160" t="str">
            <v>11747</v>
          </cell>
          <cell r="C160" t="str">
            <v>Direct</v>
          </cell>
          <cell r="D160" t="str">
            <v>UEC</v>
          </cell>
        </row>
        <row r="161">
          <cell r="B161" t="str">
            <v>11753</v>
          </cell>
          <cell r="C161" t="str">
            <v>Direct</v>
          </cell>
          <cell r="D161" t="str">
            <v>UEC</v>
          </cell>
        </row>
        <row r="162">
          <cell r="B162" t="str">
            <v>11757</v>
          </cell>
          <cell r="C162" t="str">
            <v>Direct</v>
          </cell>
          <cell r="D162" t="str">
            <v>UEC</v>
          </cell>
        </row>
        <row r="163">
          <cell r="B163" t="str">
            <v>11758</v>
          </cell>
          <cell r="C163" t="str">
            <v>Direct</v>
          </cell>
          <cell r="D163" t="str">
            <v>UEC</v>
          </cell>
        </row>
        <row r="164">
          <cell r="B164" t="str">
            <v>11789</v>
          </cell>
          <cell r="C164" t="str">
            <v>Direct</v>
          </cell>
          <cell r="D164" t="str">
            <v>UEC</v>
          </cell>
        </row>
        <row r="165">
          <cell r="B165" t="str">
            <v>11800</v>
          </cell>
          <cell r="C165" t="str">
            <v>Direct</v>
          </cell>
          <cell r="D165" t="str">
            <v>UEC</v>
          </cell>
        </row>
        <row r="166">
          <cell r="B166" t="str">
            <v>11801</v>
          </cell>
          <cell r="C166" t="str">
            <v>Direct</v>
          </cell>
          <cell r="D166" t="str">
            <v>UEC</v>
          </cell>
        </row>
        <row r="167">
          <cell r="B167" t="str">
            <v>11819</v>
          </cell>
          <cell r="C167" t="str">
            <v>Direct</v>
          </cell>
          <cell r="D167" t="str">
            <v>UEC</v>
          </cell>
        </row>
        <row r="168">
          <cell r="B168" t="str">
            <v>11847</v>
          </cell>
          <cell r="C168" t="str">
            <v>Direct</v>
          </cell>
          <cell r="D168" t="str">
            <v>UEC</v>
          </cell>
        </row>
        <row r="169">
          <cell r="B169" t="str">
            <v>11907</v>
          </cell>
          <cell r="C169" t="str">
            <v>Direct</v>
          </cell>
          <cell r="D169" t="str">
            <v>UEC</v>
          </cell>
        </row>
        <row r="170">
          <cell r="B170" t="str">
            <v>11920</v>
          </cell>
          <cell r="C170" t="str">
            <v>Direct</v>
          </cell>
          <cell r="D170" t="str">
            <v>UEC</v>
          </cell>
        </row>
        <row r="171">
          <cell r="B171" t="str">
            <v>11940</v>
          </cell>
          <cell r="C171" t="str">
            <v>Direct</v>
          </cell>
          <cell r="D171" t="str">
            <v>UEC</v>
          </cell>
        </row>
        <row r="172">
          <cell r="B172" t="str">
            <v>11941</v>
          </cell>
          <cell r="C172" t="str">
            <v>Direct</v>
          </cell>
          <cell r="D172" t="str">
            <v>UEC</v>
          </cell>
        </row>
        <row r="173">
          <cell r="B173" t="str">
            <v>11995</v>
          </cell>
          <cell r="C173" t="str">
            <v>Direct</v>
          </cell>
          <cell r="D173" t="str">
            <v>UEC</v>
          </cell>
        </row>
        <row r="174">
          <cell r="B174" t="str">
            <v>12001</v>
          </cell>
          <cell r="C174" t="str">
            <v>Direct</v>
          </cell>
          <cell r="D174" t="str">
            <v>UEC</v>
          </cell>
        </row>
        <row r="175">
          <cell r="B175" t="str">
            <v>12275</v>
          </cell>
          <cell r="C175" t="str">
            <v>Direct</v>
          </cell>
          <cell r="D175" t="str">
            <v>GEN</v>
          </cell>
        </row>
        <row r="176">
          <cell r="B176" t="str">
            <v>12397</v>
          </cell>
          <cell r="C176" t="str">
            <v>Direct</v>
          </cell>
          <cell r="D176" t="str">
            <v>UEC</v>
          </cell>
        </row>
        <row r="177">
          <cell r="B177" t="str">
            <v>12444</v>
          </cell>
          <cell r="C177" t="str">
            <v>Direct</v>
          </cell>
          <cell r="D177" t="str">
            <v>UEC</v>
          </cell>
        </row>
        <row r="178">
          <cell r="B178" t="str">
            <v>12449</v>
          </cell>
          <cell r="C178" t="str">
            <v>Direct</v>
          </cell>
          <cell r="D178" t="str">
            <v>UEC</v>
          </cell>
        </row>
        <row r="179">
          <cell r="B179" t="str">
            <v>12474</v>
          </cell>
          <cell r="C179" t="str">
            <v>Direct</v>
          </cell>
          <cell r="D179" t="str">
            <v>UEC</v>
          </cell>
        </row>
        <row r="180">
          <cell r="B180" t="str">
            <v>12491</v>
          </cell>
          <cell r="C180" t="str">
            <v>Direct</v>
          </cell>
          <cell r="D180" t="str">
            <v>UEC</v>
          </cell>
        </row>
        <row r="181">
          <cell r="B181" t="str">
            <v>12636</v>
          </cell>
          <cell r="C181" t="str">
            <v>Direct</v>
          </cell>
          <cell r="D181" t="str">
            <v>UEC</v>
          </cell>
        </row>
        <row r="182">
          <cell r="B182" t="str">
            <v>12644</v>
          </cell>
          <cell r="C182" t="str">
            <v>Direct</v>
          </cell>
          <cell r="D182" t="str">
            <v>UEC</v>
          </cell>
        </row>
        <row r="183">
          <cell r="B183" t="str">
            <v>12676</v>
          </cell>
          <cell r="C183" t="str">
            <v>Direct</v>
          </cell>
          <cell r="D183" t="str">
            <v>CIP</v>
          </cell>
        </row>
        <row r="184">
          <cell r="B184" t="str">
            <v>12684</v>
          </cell>
          <cell r="C184" t="str">
            <v>Direct</v>
          </cell>
          <cell r="D184" t="str">
            <v>UEC</v>
          </cell>
        </row>
        <row r="185">
          <cell r="B185" t="str">
            <v>12705</v>
          </cell>
          <cell r="C185" t="str">
            <v>Direct</v>
          </cell>
          <cell r="D185" t="str">
            <v>UEC</v>
          </cell>
        </row>
        <row r="186">
          <cell r="B186" t="str">
            <v>12711</v>
          </cell>
          <cell r="C186" t="str">
            <v>Direct</v>
          </cell>
          <cell r="D186" t="str">
            <v>UEC</v>
          </cell>
        </row>
        <row r="187">
          <cell r="B187" t="str">
            <v>12732</v>
          </cell>
          <cell r="C187" t="str">
            <v>Direct</v>
          </cell>
          <cell r="D187" t="str">
            <v>CIP</v>
          </cell>
        </row>
        <row r="188">
          <cell r="B188" t="str">
            <v>12737</v>
          </cell>
          <cell r="C188" t="str">
            <v>Direct</v>
          </cell>
          <cell r="D188" t="str">
            <v>CIP</v>
          </cell>
        </row>
        <row r="189">
          <cell r="B189" t="str">
            <v>12744</v>
          </cell>
          <cell r="C189" t="str">
            <v>Direct</v>
          </cell>
          <cell r="D189" t="str">
            <v>UEC</v>
          </cell>
        </row>
        <row r="190">
          <cell r="B190" t="str">
            <v>12749</v>
          </cell>
          <cell r="C190" t="str">
            <v>Direct</v>
          </cell>
          <cell r="D190" t="str">
            <v>UEC</v>
          </cell>
        </row>
        <row r="191">
          <cell r="B191" t="str">
            <v>12756</v>
          </cell>
          <cell r="C191" t="str">
            <v>Direct</v>
          </cell>
          <cell r="D191" t="str">
            <v>CIP</v>
          </cell>
        </row>
        <row r="192">
          <cell r="B192" t="str">
            <v>12768</v>
          </cell>
          <cell r="C192" t="str">
            <v>Direct</v>
          </cell>
          <cell r="D192" t="str">
            <v>UEC</v>
          </cell>
        </row>
        <row r="193">
          <cell r="B193" t="str">
            <v>12773</v>
          </cell>
          <cell r="C193" t="str">
            <v>Direct</v>
          </cell>
          <cell r="D193" t="str">
            <v>UEC</v>
          </cell>
        </row>
        <row r="194">
          <cell r="B194" t="str">
            <v>12775</v>
          </cell>
          <cell r="C194" t="str">
            <v>Direct</v>
          </cell>
          <cell r="D194" t="str">
            <v>UEC</v>
          </cell>
        </row>
        <row r="195">
          <cell r="B195" t="str">
            <v>12789</v>
          </cell>
          <cell r="C195" t="str">
            <v>Direct</v>
          </cell>
          <cell r="D195" t="str">
            <v>UEC</v>
          </cell>
        </row>
        <row r="196">
          <cell r="B196" t="str">
            <v>12794</v>
          </cell>
          <cell r="C196" t="str">
            <v>Direct</v>
          </cell>
          <cell r="D196" t="str">
            <v>UEC</v>
          </cell>
        </row>
        <row r="197">
          <cell r="B197" t="str">
            <v>12795</v>
          </cell>
          <cell r="C197" t="str">
            <v>Direct</v>
          </cell>
          <cell r="D197" t="str">
            <v>UEC</v>
          </cell>
        </row>
        <row r="198">
          <cell r="B198" t="str">
            <v>12810</v>
          </cell>
          <cell r="C198" t="str">
            <v>Direct</v>
          </cell>
          <cell r="D198" t="str">
            <v>UEC</v>
          </cell>
        </row>
        <row r="199">
          <cell r="B199" t="str">
            <v>12813</v>
          </cell>
          <cell r="C199" t="str">
            <v>Direct</v>
          </cell>
          <cell r="D199" t="str">
            <v>UEC</v>
          </cell>
        </row>
        <row r="200">
          <cell r="B200" t="str">
            <v>12814</v>
          </cell>
          <cell r="C200" t="str">
            <v>Direct</v>
          </cell>
          <cell r="D200" t="str">
            <v>UEC</v>
          </cell>
        </row>
        <row r="201">
          <cell r="B201" t="str">
            <v>12815</v>
          </cell>
          <cell r="C201" t="str">
            <v>Direct</v>
          </cell>
          <cell r="D201" t="str">
            <v>CIP</v>
          </cell>
        </row>
        <row r="202">
          <cell r="B202" t="str">
            <v>12819</v>
          </cell>
          <cell r="C202" t="str">
            <v>Direct</v>
          </cell>
          <cell r="D202" t="str">
            <v>CIP</v>
          </cell>
        </row>
        <row r="203">
          <cell r="B203" t="str">
            <v>12822</v>
          </cell>
          <cell r="C203" t="str">
            <v>Direct</v>
          </cell>
          <cell r="D203" t="str">
            <v>UEC</v>
          </cell>
        </row>
        <row r="204">
          <cell r="B204" t="str">
            <v>12826</v>
          </cell>
          <cell r="C204" t="str">
            <v>Direct</v>
          </cell>
          <cell r="D204" t="str">
            <v>UEC</v>
          </cell>
        </row>
        <row r="205">
          <cell r="B205" t="str">
            <v>12839</v>
          </cell>
          <cell r="C205" t="str">
            <v>Direct</v>
          </cell>
          <cell r="D205" t="str">
            <v>UEC</v>
          </cell>
        </row>
        <row r="206">
          <cell r="B206" t="str">
            <v>12848</v>
          </cell>
          <cell r="C206" t="str">
            <v>Direct</v>
          </cell>
          <cell r="D206" t="str">
            <v>UEC</v>
          </cell>
        </row>
        <row r="207">
          <cell r="B207" t="str">
            <v>12851</v>
          </cell>
          <cell r="C207" t="str">
            <v>Direct</v>
          </cell>
          <cell r="D207" t="str">
            <v>UEC</v>
          </cell>
        </row>
        <row r="208">
          <cell r="B208" t="str">
            <v>12861</v>
          </cell>
          <cell r="C208" t="str">
            <v>Direct</v>
          </cell>
          <cell r="D208" t="str">
            <v>UEC</v>
          </cell>
        </row>
        <row r="209">
          <cell r="B209" t="str">
            <v>12862</v>
          </cell>
          <cell r="C209" t="str">
            <v>Direct</v>
          </cell>
          <cell r="D209" t="str">
            <v>UEC</v>
          </cell>
        </row>
        <row r="210">
          <cell r="B210" t="str">
            <v>12864</v>
          </cell>
          <cell r="C210" t="str">
            <v>Direct</v>
          </cell>
          <cell r="D210" t="str">
            <v>UEC</v>
          </cell>
        </row>
        <row r="211">
          <cell r="B211" t="str">
            <v>12865</v>
          </cell>
          <cell r="C211" t="str">
            <v>Direct</v>
          </cell>
          <cell r="D211" t="str">
            <v>UEC</v>
          </cell>
        </row>
        <row r="212">
          <cell r="B212" t="str">
            <v>12891</v>
          </cell>
          <cell r="C212" t="str">
            <v>Direct</v>
          </cell>
          <cell r="D212" t="str">
            <v>UEC</v>
          </cell>
        </row>
        <row r="213">
          <cell r="B213" t="str">
            <v>12893</v>
          </cell>
          <cell r="C213" t="str">
            <v>Direct</v>
          </cell>
          <cell r="D213" t="str">
            <v>UEC</v>
          </cell>
        </row>
        <row r="214">
          <cell r="B214" t="str">
            <v>12895</v>
          </cell>
          <cell r="C214" t="str">
            <v>Direct</v>
          </cell>
          <cell r="D214" t="str">
            <v>UEC</v>
          </cell>
        </row>
        <row r="215">
          <cell r="B215" t="str">
            <v>12896</v>
          </cell>
          <cell r="C215" t="str">
            <v>Direct</v>
          </cell>
          <cell r="D215" t="str">
            <v>UEC</v>
          </cell>
        </row>
        <row r="216">
          <cell r="B216" t="str">
            <v>12899</v>
          </cell>
          <cell r="C216" t="str">
            <v>Direct</v>
          </cell>
          <cell r="D216" t="str">
            <v>CIP</v>
          </cell>
        </row>
        <row r="217">
          <cell r="B217" t="str">
            <v>12905</v>
          </cell>
          <cell r="C217" t="str">
            <v>Direct</v>
          </cell>
          <cell r="D217" t="str">
            <v>UEC</v>
          </cell>
        </row>
        <row r="218">
          <cell r="B218" t="str">
            <v>12906</v>
          </cell>
          <cell r="C218" t="str">
            <v>Direct</v>
          </cell>
          <cell r="D218" t="str">
            <v>UEC</v>
          </cell>
        </row>
        <row r="219">
          <cell r="B219" t="str">
            <v>12907</v>
          </cell>
          <cell r="C219" t="str">
            <v>Direct</v>
          </cell>
          <cell r="D219" t="str">
            <v>UEC</v>
          </cell>
        </row>
        <row r="220">
          <cell r="B220" t="str">
            <v>12921</v>
          </cell>
          <cell r="C220" t="str">
            <v>Direct</v>
          </cell>
          <cell r="D220" t="str">
            <v>UEC</v>
          </cell>
        </row>
        <row r="221">
          <cell r="B221" t="str">
            <v>12933</v>
          </cell>
          <cell r="C221" t="str">
            <v>Direct</v>
          </cell>
          <cell r="D221" t="str">
            <v>UEC</v>
          </cell>
        </row>
        <row r="222">
          <cell r="B222" t="str">
            <v>12937</v>
          </cell>
          <cell r="C222" t="str">
            <v>Direct</v>
          </cell>
          <cell r="D222" t="str">
            <v>UEC</v>
          </cell>
        </row>
        <row r="223">
          <cell r="B223" t="str">
            <v>12942</v>
          </cell>
          <cell r="C223" t="str">
            <v>Direct</v>
          </cell>
          <cell r="D223" t="str">
            <v>UEC</v>
          </cell>
        </row>
        <row r="224">
          <cell r="B224" t="str">
            <v>12950</v>
          </cell>
          <cell r="C224" t="str">
            <v>Direct</v>
          </cell>
          <cell r="D224" t="str">
            <v>UEC</v>
          </cell>
        </row>
        <row r="225">
          <cell r="B225" t="str">
            <v>12955</v>
          </cell>
          <cell r="C225" t="str">
            <v>Direct</v>
          </cell>
          <cell r="D225" t="str">
            <v>UEC</v>
          </cell>
        </row>
        <row r="226">
          <cell r="B226" t="str">
            <v>12973</v>
          </cell>
          <cell r="C226" t="str">
            <v>Direct</v>
          </cell>
          <cell r="D226" t="str">
            <v>UEC</v>
          </cell>
        </row>
        <row r="227">
          <cell r="B227" t="str">
            <v>12976</v>
          </cell>
          <cell r="C227" t="str">
            <v>Direct</v>
          </cell>
          <cell r="D227" t="str">
            <v>UEC</v>
          </cell>
        </row>
        <row r="228">
          <cell r="B228" t="str">
            <v>12977</v>
          </cell>
          <cell r="C228" t="str">
            <v>Direct</v>
          </cell>
          <cell r="D228" t="str">
            <v>UEC</v>
          </cell>
        </row>
        <row r="229">
          <cell r="B229" t="str">
            <v>12978</v>
          </cell>
          <cell r="C229" t="str">
            <v>Direct</v>
          </cell>
          <cell r="D229" t="str">
            <v>UEC</v>
          </cell>
        </row>
        <row r="230">
          <cell r="B230" t="str">
            <v>12989</v>
          </cell>
          <cell r="C230" t="str">
            <v>Direct</v>
          </cell>
          <cell r="D230" t="str">
            <v>UEC</v>
          </cell>
        </row>
        <row r="231">
          <cell r="B231" t="str">
            <v>12990</v>
          </cell>
          <cell r="C231" t="str">
            <v>Direct</v>
          </cell>
          <cell r="D231" t="str">
            <v>UEC</v>
          </cell>
        </row>
        <row r="232">
          <cell r="B232" t="str">
            <v>13014</v>
          </cell>
          <cell r="C232" t="str">
            <v>Direct</v>
          </cell>
          <cell r="D232" t="str">
            <v>GEN</v>
          </cell>
        </row>
        <row r="233">
          <cell r="B233" t="str">
            <v>13076</v>
          </cell>
          <cell r="C233" t="str">
            <v>Direct</v>
          </cell>
          <cell r="D233" t="str">
            <v>GEN</v>
          </cell>
        </row>
        <row r="234">
          <cell r="B234" t="str">
            <v>13101</v>
          </cell>
          <cell r="C234" t="str">
            <v>Direct</v>
          </cell>
          <cell r="D234" t="str">
            <v>UEC</v>
          </cell>
        </row>
        <row r="235">
          <cell r="B235" t="str">
            <v>13174</v>
          </cell>
          <cell r="C235" t="str">
            <v>Direct</v>
          </cell>
          <cell r="D235" t="str">
            <v>UEC</v>
          </cell>
        </row>
        <row r="236">
          <cell r="B236" t="str">
            <v>13270</v>
          </cell>
          <cell r="C236" t="str">
            <v>Direct</v>
          </cell>
          <cell r="D236" t="str">
            <v>UEC</v>
          </cell>
        </row>
        <row r="237">
          <cell r="B237" t="str">
            <v>13326</v>
          </cell>
          <cell r="C237" t="str">
            <v>Direct</v>
          </cell>
          <cell r="D237" t="str">
            <v>AMC</v>
          </cell>
        </row>
        <row r="238">
          <cell r="B238" t="str">
            <v>13328</v>
          </cell>
          <cell r="C238" t="str">
            <v>Direct</v>
          </cell>
          <cell r="D238" t="str">
            <v>UEC</v>
          </cell>
        </row>
        <row r="239">
          <cell r="B239" t="str">
            <v>13329</v>
          </cell>
          <cell r="C239" t="str">
            <v>Direct</v>
          </cell>
          <cell r="D239" t="str">
            <v>UEC</v>
          </cell>
        </row>
        <row r="240">
          <cell r="B240" t="str">
            <v>13354</v>
          </cell>
          <cell r="C240" t="str">
            <v>Direct</v>
          </cell>
          <cell r="D240" t="str">
            <v>UEC</v>
          </cell>
        </row>
        <row r="241">
          <cell r="B241" t="str">
            <v>13355</v>
          </cell>
          <cell r="C241" t="str">
            <v>Direct</v>
          </cell>
          <cell r="D241" t="str">
            <v>UEC</v>
          </cell>
        </row>
        <row r="242">
          <cell r="B242" t="str">
            <v>13358</v>
          </cell>
          <cell r="C242" t="str">
            <v>Direct</v>
          </cell>
          <cell r="D242" t="str">
            <v>UEC</v>
          </cell>
        </row>
        <row r="243">
          <cell r="B243" t="str">
            <v>13372</v>
          </cell>
          <cell r="C243" t="str">
            <v>Direct</v>
          </cell>
          <cell r="D243" t="str">
            <v>UEC</v>
          </cell>
        </row>
        <row r="244">
          <cell r="B244" t="str">
            <v>13376</v>
          </cell>
          <cell r="C244" t="str">
            <v>Direct</v>
          </cell>
          <cell r="D244" t="str">
            <v>UEC</v>
          </cell>
        </row>
        <row r="245">
          <cell r="B245" t="str">
            <v>13377</v>
          </cell>
          <cell r="C245" t="str">
            <v>Direct</v>
          </cell>
          <cell r="D245" t="str">
            <v>UEC</v>
          </cell>
        </row>
        <row r="246">
          <cell r="B246" t="str">
            <v>13391</v>
          </cell>
          <cell r="C246" t="str">
            <v>Direct</v>
          </cell>
          <cell r="D246" t="str">
            <v>UEC</v>
          </cell>
        </row>
        <row r="247">
          <cell r="B247" t="str">
            <v>13395</v>
          </cell>
          <cell r="C247" t="str">
            <v>Direct</v>
          </cell>
          <cell r="D247" t="str">
            <v>UEC</v>
          </cell>
        </row>
        <row r="248">
          <cell r="B248" t="str">
            <v>13396</v>
          </cell>
          <cell r="C248" t="str">
            <v>Direct</v>
          </cell>
          <cell r="D248" t="str">
            <v>UEC</v>
          </cell>
        </row>
        <row r="249">
          <cell r="B249" t="str">
            <v>13398</v>
          </cell>
          <cell r="C249" t="str">
            <v>Direct</v>
          </cell>
          <cell r="D249" t="str">
            <v>UEC</v>
          </cell>
        </row>
        <row r="250">
          <cell r="B250" t="str">
            <v>13403</v>
          </cell>
          <cell r="C250" t="str">
            <v>Direct</v>
          </cell>
          <cell r="D250" t="str">
            <v>CIP</v>
          </cell>
        </row>
        <row r="251">
          <cell r="B251" t="str">
            <v>13421</v>
          </cell>
          <cell r="C251" t="str">
            <v>Direct</v>
          </cell>
          <cell r="D251" t="str">
            <v>UEC</v>
          </cell>
        </row>
        <row r="252">
          <cell r="B252" t="str">
            <v>13428</v>
          </cell>
          <cell r="C252" t="str">
            <v>Direct</v>
          </cell>
          <cell r="D252" t="str">
            <v>UEC</v>
          </cell>
        </row>
        <row r="253">
          <cell r="B253" t="str">
            <v>13429</v>
          </cell>
          <cell r="C253" t="str">
            <v>Direct</v>
          </cell>
          <cell r="D253" t="str">
            <v>UEC</v>
          </cell>
        </row>
        <row r="254">
          <cell r="B254" t="str">
            <v>13434</v>
          </cell>
          <cell r="C254" t="str">
            <v>Direct</v>
          </cell>
          <cell r="D254" t="str">
            <v>UEC</v>
          </cell>
        </row>
        <row r="255">
          <cell r="B255" t="str">
            <v>13477</v>
          </cell>
          <cell r="C255" t="str">
            <v>Direct</v>
          </cell>
          <cell r="D255" t="str">
            <v>UEC</v>
          </cell>
        </row>
        <row r="256">
          <cell r="B256" t="str">
            <v>13479</v>
          </cell>
          <cell r="C256" t="str">
            <v>Direct</v>
          </cell>
          <cell r="D256" t="str">
            <v>UEC</v>
          </cell>
        </row>
        <row r="257">
          <cell r="B257" t="str">
            <v>13488</v>
          </cell>
          <cell r="C257" t="str">
            <v>Direct</v>
          </cell>
          <cell r="D257" t="str">
            <v>UEC</v>
          </cell>
        </row>
        <row r="258">
          <cell r="B258" t="str">
            <v>13497</v>
          </cell>
          <cell r="C258" t="str">
            <v>Direct</v>
          </cell>
          <cell r="D258" t="str">
            <v>UEC</v>
          </cell>
        </row>
        <row r="259">
          <cell r="B259" t="str">
            <v>13504</v>
          </cell>
          <cell r="C259" t="str">
            <v>Direct</v>
          </cell>
          <cell r="D259" t="str">
            <v>CIP</v>
          </cell>
        </row>
        <row r="260">
          <cell r="B260" t="str">
            <v>13552</v>
          </cell>
          <cell r="C260" t="str">
            <v>Direct</v>
          </cell>
          <cell r="D260" t="str">
            <v>UEC</v>
          </cell>
        </row>
        <row r="261">
          <cell r="B261" t="str">
            <v>13560</v>
          </cell>
          <cell r="C261" t="str">
            <v>Direct</v>
          </cell>
          <cell r="D261" t="str">
            <v>UEC</v>
          </cell>
        </row>
        <row r="262">
          <cell r="B262" t="str">
            <v>13563</v>
          </cell>
          <cell r="C262" t="str">
            <v>Direct</v>
          </cell>
          <cell r="D262" t="str">
            <v>UEC</v>
          </cell>
        </row>
        <row r="263">
          <cell r="B263" t="str">
            <v>13568</v>
          </cell>
          <cell r="C263" t="str">
            <v>Direct</v>
          </cell>
          <cell r="D263" t="str">
            <v>UEC</v>
          </cell>
        </row>
        <row r="264">
          <cell r="B264" t="str">
            <v>13573</v>
          </cell>
          <cell r="C264" t="str">
            <v>Direct</v>
          </cell>
          <cell r="D264" t="str">
            <v>UEC</v>
          </cell>
        </row>
        <row r="265">
          <cell r="B265" t="str">
            <v>13576</v>
          </cell>
          <cell r="C265" t="str">
            <v>Direct</v>
          </cell>
          <cell r="D265" t="str">
            <v>UEC</v>
          </cell>
        </row>
        <row r="266">
          <cell r="B266" t="str">
            <v>13607</v>
          </cell>
          <cell r="C266" t="str">
            <v>Direct</v>
          </cell>
          <cell r="D266" t="str">
            <v>UEC</v>
          </cell>
        </row>
        <row r="267">
          <cell r="B267" t="str">
            <v>13609</v>
          </cell>
          <cell r="C267" t="str">
            <v>Direct</v>
          </cell>
          <cell r="D267" t="str">
            <v>UEC</v>
          </cell>
        </row>
        <row r="268">
          <cell r="B268" t="str">
            <v>13622</v>
          </cell>
          <cell r="C268" t="str">
            <v>Direct</v>
          </cell>
          <cell r="D268" t="str">
            <v>UEC</v>
          </cell>
        </row>
        <row r="269">
          <cell r="B269" t="str">
            <v>13625</v>
          </cell>
          <cell r="C269" t="str">
            <v>Direct</v>
          </cell>
          <cell r="D269" t="str">
            <v>UEC</v>
          </cell>
        </row>
        <row r="270">
          <cell r="B270" t="str">
            <v>13631</v>
          </cell>
          <cell r="C270" t="str">
            <v>Direct</v>
          </cell>
          <cell r="D270" t="str">
            <v>UEC</v>
          </cell>
        </row>
        <row r="271">
          <cell r="B271" t="str">
            <v>13634</v>
          </cell>
          <cell r="C271" t="str">
            <v>Direct</v>
          </cell>
          <cell r="D271" t="str">
            <v>UEC</v>
          </cell>
        </row>
        <row r="272">
          <cell r="B272" t="str">
            <v>13636</v>
          </cell>
          <cell r="C272" t="str">
            <v>Direct</v>
          </cell>
          <cell r="D272" t="str">
            <v>UEC</v>
          </cell>
        </row>
        <row r="273">
          <cell r="B273" t="str">
            <v>13638</v>
          </cell>
          <cell r="C273" t="str">
            <v>Direct</v>
          </cell>
          <cell r="D273" t="str">
            <v>UEC</v>
          </cell>
        </row>
        <row r="274">
          <cell r="B274" t="str">
            <v>13646</v>
          </cell>
          <cell r="C274" t="str">
            <v>Direct</v>
          </cell>
          <cell r="D274" t="str">
            <v>UEC</v>
          </cell>
        </row>
        <row r="275">
          <cell r="B275" t="str">
            <v>13668</v>
          </cell>
          <cell r="C275" t="str">
            <v>Direct</v>
          </cell>
          <cell r="D275" t="str">
            <v>UEC</v>
          </cell>
        </row>
        <row r="276">
          <cell r="B276" t="str">
            <v>13700</v>
          </cell>
          <cell r="C276" t="str">
            <v>Direct</v>
          </cell>
          <cell r="D276" t="str">
            <v>UEC</v>
          </cell>
        </row>
        <row r="277">
          <cell r="B277" t="str">
            <v>13712</v>
          </cell>
          <cell r="C277" t="str">
            <v>Direct</v>
          </cell>
          <cell r="D277" t="str">
            <v>UEC</v>
          </cell>
        </row>
        <row r="278">
          <cell r="B278" t="str">
            <v>13714</v>
          </cell>
          <cell r="C278" t="str">
            <v>Direct</v>
          </cell>
          <cell r="D278" t="str">
            <v>UEC</v>
          </cell>
        </row>
        <row r="279">
          <cell r="B279" t="str">
            <v>13722</v>
          </cell>
          <cell r="C279" t="str">
            <v>Direct</v>
          </cell>
          <cell r="D279" t="str">
            <v>UEC</v>
          </cell>
        </row>
        <row r="280">
          <cell r="B280" t="str">
            <v>13730</v>
          </cell>
          <cell r="C280" t="str">
            <v>Direct</v>
          </cell>
          <cell r="D280" t="str">
            <v>UEC</v>
          </cell>
        </row>
        <row r="281">
          <cell r="B281" t="str">
            <v>13745</v>
          </cell>
          <cell r="C281" t="str">
            <v>Direct</v>
          </cell>
          <cell r="D281" t="str">
            <v>UEC</v>
          </cell>
        </row>
        <row r="282">
          <cell r="B282" t="str">
            <v>13767</v>
          </cell>
          <cell r="C282" t="str">
            <v>Direct</v>
          </cell>
          <cell r="D282" t="str">
            <v>GEN</v>
          </cell>
        </row>
        <row r="283">
          <cell r="B283" t="str">
            <v>13769</v>
          </cell>
          <cell r="C283" t="str">
            <v>Direct</v>
          </cell>
          <cell r="D283" t="str">
            <v>UEC</v>
          </cell>
        </row>
        <row r="284">
          <cell r="B284" t="str">
            <v>13772</v>
          </cell>
          <cell r="C284" t="str">
            <v>Direct</v>
          </cell>
          <cell r="D284" t="str">
            <v>UEC</v>
          </cell>
        </row>
        <row r="285">
          <cell r="B285" t="str">
            <v>13778</v>
          </cell>
          <cell r="C285" t="str">
            <v>Direct</v>
          </cell>
          <cell r="D285" t="str">
            <v>UEC</v>
          </cell>
        </row>
        <row r="286">
          <cell r="B286" t="str">
            <v>13781</v>
          </cell>
          <cell r="C286" t="str">
            <v>Direct</v>
          </cell>
          <cell r="D286" t="str">
            <v>UEC</v>
          </cell>
        </row>
        <row r="287">
          <cell r="B287" t="str">
            <v>13795</v>
          </cell>
          <cell r="C287" t="str">
            <v>Direct</v>
          </cell>
          <cell r="D287" t="str">
            <v>UEC</v>
          </cell>
        </row>
        <row r="288">
          <cell r="B288" t="str">
            <v>13807</v>
          </cell>
          <cell r="C288" t="str">
            <v>Direct</v>
          </cell>
          <cell r="D288" t="str">
            <v>UEC</v>
          </cell>
        </row>
        <row r="289">
          <cell r="B289" t="str">
            <v>13809</v>
          </cell>
          <cell r="C289" t="str">
            <v>Direct</v>
          </cell>
          <cell r="D289" t="str">
            <v>UEC</v>
          </cell>
        </row>
        <row r="290">
          <cell r="B290" t="str">
            <v>13830</v>
          </cell>
          <cell r="C290" t="str">
            <v>Direct</v>
          </cell>
          <cell r="D290" t="str">
            <v>UEC</v>
          </cell>
        </row>
        <row r="291">
          <cell r="B291" t="str">
            <v>13833</v>
          </cell>
          <cell r="C291" t="str">
            <v>Direct</v>
          </cell>
          <cell r="D291" t="str">
            <v>UEC</v>
          </cell>
        </row>
        <row r="292">
          <cell r="B292" t="str">
            <v>13834</v>
          </cell>
          <cell r="C292" t="str">
            <v>Direct</v>
          </cell>
          <cell r="D292" t="str">
            <v>UEC</v>
          </cell>
        </row>
        <row r="293">
          <cell r="B293" t="str">
            <v>13837</v>
          </cell>
          <cell r="C293" t="str">
            <v>Direct</v>
          </cell>
          <cell r="D293" t="str">
            <v>UEC</v>
          </cell>
        </row>
        <row r="294">
          <cell r="B294" t="str">
            <v>13838</v>
          </cell>
          <cell r="C294" t="str">
            <v>Direct</v>
          </cell>
          <cell r="D294" t="str">
            <v>UEC</v>
          </cell>
        </row>
        <row r="295">
          <cell r="B295" t="str">
            <v>13839</v>
          </cell>
          <cell r="C295" t="str">
            <v>Direct</v>
          </cell>
          <cell r="D295" t="str">
            <v>UEC</v>
          </cell>
        </row>
        <row r="296">
          <cell r="B296" t="str">
            <v>13843</v>
          </cell>
          <cell r="C296" t="str">
            <v>Direct</v>
          </cell>
          <cell r="D296" t="str">
            <v>UEC</v>
          </cell>
        </row>
        <row r="297">
          <cell r="B297" t="str">
            <v>13851</v>
          </cell>
          <cell r="C297" t="str">
            <v>Direct</v>
          </cell>
          <cell r="D297" t="str">
            <v>UEC</v>
          </cell>
        </row>
        <row r="298">
          <cell r="B298" t="str">
            <v>13856</v>
          </cell>
          <cell r="C298" t="str">
            <v>Direct</v>
          </cell>
          <cell r="D298" t="str">
            <v>UEC</v>
          </cell>
        </row>
        <row r="299">
          <cell r="B299" t="str">
            <v>13878</v>
          </cell>
          <cell r="C299" t="str">
            <v>Direct</v>
          </cell>
          <cell r="D299" t="str">
            <v>UEC</v>
          </cell>
        </row>
        <row r="300">
          <cell r="B300" t="str">
            <v>13879</v>
          </cell>
          <cell r="C300" t="str">
            <v>Direct</v>
          </cell>
          <cell r="D300" t="str">
            <v>UEC</v>
          </cell>
        </row>
        <row r="301">
          <cell r="B301" t="str">
            <v>13880</v>
          </cell>
          <cell r="C301" t="str">
            <v>Direct</v>
          </cell>
          <cell r="D301" t="str">
            <v>UEC</v>
          </cell>
        </row>
        <row r="302">
          <cell r="B302" t="str">
            <v>13888</v>
          </cell>
          <cell r="C302" t="str">
            <v>Direct</v>
          </cell>
          <cell r="D302" t="str">
            <v>UEC</v>
          </cell>
        </row>
        <row r="303">
          <cell r="B303" t="str">
            <v>13919</v>
          </cell>
          <cell r="C303" t="str">
            <v>Direct</v>
          </cell>
          <cell r="D303" t="str">
            <v>CIP</v>
          </cell>
        </row>
        <row r="304">
          <cell r="B304" t="str">
            <v>13920</v>
          </cell>
          <cell r="C304" t="str">
            <v>Direct</v>
          </cell>
          <cell r="D304" t="str">
            <v>UEC</v>
          </cell>
        </row>
        <row r="305">
          <cell r="B305" t="str">
            <v>13921</v>
          </cell>
          <cell r="C305" t="str">
            <v>Direct</v>
          </cell>
          <cell r="D305" t="str">
            <v>UEC</v>
          </cell>
        </row>
        <row r="306">
          <cell r="B306" t="str">
            <v>13922</v>
          </cell>
          <cell r="C306" t="str">
            <v>Direct</v>
          </cell>
          <cell r="D306" t="str">
            <v>UEC</v>
          </cell>
        </row>
        <row r="307">
          <cell r="B307" t="str">
            <v>13942</v>
          </cell>
          <cell r="C307" t="str">
            <v>Direct</v>
          </cell>
          <cell r="D307" t="str">
            <v>UEC</v>
          </cell>
        </row>
        <row r="308">
          <cell r="B308" t="str">
            <v>13946</v>
          </cell>
          <cell r="C308" t="str">
            <v>Direct</v>
          </cell>
          <cell r="D308" t="str">
            <v>UEC</v>
          </cell>
        </row>
        <row r="309">
          <cell r="B309" t="str">
            <v>13953</v>
          </cell>
          <cell r="C309" t="str">
            <v>Direct</v>
          </cell>
          <cell r="D309" t="str">
            <v>CIP</v>
          </cell>
        </row>
        <row r="310">
          <cell r="B310" t="str">
            <v>13955</v>
          </cell>
          <cell r="C310" t="str">
            <v>Direct</v>
          </cell>
          <cell r="D310" t="str">
            <v>UEC</v>
          </cell>
        </row>
        <row r="311">
          <cell r="B311" t="str">
            <v>13965</v>
          </cell>
          <cell r="C311" t="str">
            <v>Direct</v>
          </cell>
          <cell r="D311" t="str">
            <v>UEC</v>
          </cell>
        </row>
        <row r="312">
          <cell r="B312" t="str">
            <v>13987</v>
          </cell>
          <cell r="C312" t="str">
            <v>Direct</v>
          </cell>
          <cell r="D312" t="str">
            <v>CIL</v>
          </cell>
        </row>
        <row r="313">
          <cell r="B313" t="str">
            <v>14036</v>
          </cell>
          <cell r="C313" t="str">
            <v>Direct</v>
          </cell>
          <cell r="D313" t="str">
            <v>UEC</v>
          </cell>
        </row>
        <row r="314">
          <cell r="B314" t="str">
            <v>14041</v>
          </cell>
          <cell r="C314" t="str">
            <v>Direct</v>
          </cell>
          <cell r="D314" t="str">
            <v>UEC</v>
          </cell>
        </row>
        <row r="315">
          <cell r="B315" t="str">
            <v>14045</v>
          </cell>
          <cell r="C315" t="str">
            <v>Direct</v>
          </cell>
          <cell r="D315" t="str">
            <v>UEC</v>
          </cell>
        </row>
        <row r="316">
          <cell r="B316" t="str">
            <v>14057</v>
          </cell>
          <cell r="C316" t="str">
            <v>Direct</v>
          </cell>
          <cell r="D316" t="str">
            <v>UEC</v>
          </cell>
        </row>
        <row r="317">
          <cell r="B317" t="str">
            <v>14091</v>
          </cell>
          <cell r="C317" t="str">
            <v>Direct</v>
          </cell>
          <cell r="D317" t="str">
            <v>UEC</v>
          </cell>
        </row>
        <row r="318">
          <cell r="B318" t="str">
            <v>14114</v>
          </cell>
          <cell r="C318" t="str">
            <v>Direct</v>
          </cell>
          <cell r="D318" t="str">
            <v>UEC</v>
          </cell>
        </row>
        <row r="319">
          <cell r="B319" t="str">
            <v>14115</v>
          </cell>
          <cell r="C319" t="str">
            <v>Direct</v>
          </cell>
          <cell r="D319" t="str">
            <v>UEC</v>
          </cell>
        </row>
        <row r="320">
          <cell r="B320" t="str">
            <v>14117</v>
          </cell>
          <cell r="C320" t="str">
            <v>Direct</v>
          </cell>
          <cell r="D320" t="str">
            <v>UEC</v>
          </cell>
        </row>
        <row r="321">
          <cell r="B321" t="str">
            <v>14119</v>
          </cell>
          <cell r="C321" t="str">
            <v>Direct</v>
          </cell>
          <cell r="D321" t="str">
            <v>UEC</v>
          </cell>
        </row>
        <row r="322">
          <cell r="B322" t="str">
            <v>14130</v>
          </cell>
          <cell r="C322" t="str">
            <v>Direct</v>
          </cell>
          <cell r="D322" t="str">
            <v>CIL</v>
          </cell>
        </row>
        <row r="323">
          <cell r="B323" t="str">
            <v>14142</v>
          </cell>
          <cell r="C323" t="str">
            <v>Direct</v>
          </cell>
          <cell r="D323" t="str">
            <v>UEC</v>
          </cell>
        </row>
        <row r="324">
          <cell r="B324" t="str">
            <v>14181</v>
          </cell>
          <cell r="C324" t="str">
            <v>Direct</v>
          </cell>
          <cell r="D324" t="str">
            <v>UEC</v>
          </cell>
        </row>
        <row r="325">
          <cell r="B325" t="str">
            <v>14192</v>
          </cell>
          <cell r="C325" t="str">
            <v>Direct</v>
          </cell>
          <cell r="D325" t="str">
            <v>GEN</v>
          </cell>
        </row>
        <row r="326">
          <cell r="B326" t="str">
            <v>14202</v>
          </cell>
          <cell r="C326" t="str">
            <v>Direct</v>
          </cell>
          <cell r="D326" t="str">
            <v>UEC</v>
          </cell>
        </row>
        <row r="327">
          <cell r="B327" t="str">
            <v>14212</v>
          </cell>
          <cell r="C327" t="str">
            <v>Direct</v>
          </cell>
          <cell r="D327" t="str">
            <v>UEC</v>
          </cell>
        </row>
        <row r="328">
          <cell r="B328" t="str">
            <v>14216</v>
          </cell>
          <cell r="C328" t="str">
            <v>Direct</v>
          </cell>
          <cell r="D328" t="str">
            <v>UEC</v>
          </cell>
        </row>
        <row r="329">
          <cell r="B329" t="str">
            <v>14252</v>
          </cell>
          <cell r="C329" t="str">
            <v>Direct</v>
          </cell>
          <cell r="D329" t="str">
            <v>CIP</v>
          </cell>
        </row>
        <row r="330">
          <cell r="B330" t="str">
            <v>14295</v>
          </cell>
          <cell r="C330" t="str">
            <v>Direct</v>
          </cell>
          <cell r="D330" t="str">
            <v>UEC</v>
          </cell>
        </row>
        <row r="331">
          <cell r="B331" t="str">
            <v>14300</v>
          </cell>
          <cell r="C331" t="str">
            <v>Direct</v>
          </cell>
          <cell r="D331" t="str">
            <v>GEN</v>
          </cell>
        </row>
        <row r="332">
          <cell r="B332" t="str">
            <v>14303</v>
          </cell>
          <cell r="C332" t="str">
            <v>Direct</v>
          </cell>
          <cell r="D332" t="str">
            <v>GEN</v>
          </cell>
        </row>
        <row r="333">
          <cell r="B333" t="str">
            <v>14308</v>
          </cell>
          <cell r="C333" t="str">
            <v>Direct</v>
          </cell>
          <cell r="D333" t="str">
            <v>ARG</v>
          </cell>
        </row>
        <row r="334">
          <cell r="B334" t="str">
            <v>14309</v>
          </cell>
          <cell r="C334" t="str">
            <v>Direct</v>
          </cell>
          <cell r="D334" t="str">
            <v>ARG</v>
          </cell>
        </row>
        <row r="335">
          <cell r="B335" t="str">
            <v>14314</v>
          </cell>
          <cell r="C335" t="str">
            <v>Direct</v>
          </cell>
          <cell r="D335" t="str">
            <v>UEC</v>
          </cell>
        </row>
        <row r="336">
          <cell r="B336" t="str">
            <v>14318</v>
          </cell>
          <cell r="C336" t="str">
            <v>Direct</v>
          </cell>
          <cell r="D336" t="str">
            <v>UEC</v>
          </cell>
        </row>
        <row r="337">
          <cell r="B337" t="str">
            <v>14320</v>
          </cell>
          <cell r="C337" t="str">
            <v>Direct</v>
          </cell>
          <cell r="D337" t="str">
            <v>CIL</v>
          </cell>
        </row>
        <row r="338">
          <cell r="B338" t="str">
            <v>14328</v>
          </cell>
          <cell r="C338" t="str">
            <v>Direct</v>
          </cell>
          <cell r="D338" t="str">
            <v>UEC</v>
          </cell>
        </row>
        <row r="339">
          <cell r="B339" t="str">
            <v>14334</v>
          </cell>
          <cell r="C339" t="str">
            <v>Direct</v>
          </cell>
          <cell r="D339" t="str">
            <v>CIP</v>
          </cell>
        </row>
        <row r="340">
          <cell r="B340" t="str">
            <v>14336</v>
          </cell>
          <cell r="C340" t="str">
            <v>Direct</v>
          </cell>
          <cell r="D340" t="str">
            <v>UEC</v>
          </cell>
        </row>
        <row r="341">
          <cell r="B341" t="str">
            <v>14337</v>
          </cell>
          <cell r="C341" t="str">
            <v>Direct</v>
          </cell>
          <cell r="D341" t="str">
            <v>UEC</v>
          </cell>
        </row>
        <row r="342">
          <cell r="B342" t="str">
            <v>14377</v>
          </cell>
          <cell r="C342" t="str">
            <v>Direct</v>
          </cell>
          <cell r="D342" t="str">
            <v>UEC</v>
          </cell>
        </row>
        <row r="343">
          <cell r="B343" t="str">
            <v>14379</v>
          </cell>
          <cell r="C343" t="str">
            <v>Direct</v>
          </cell>
          <cell r="D343" t="str">
            <v>UEC</v>
          </cell>
        </row>
        <row r="344">
          <cell r="B344" t="str">
            <v>14385</v>
          </cell>
          <cell r="C344" t="str">
            <v>Direct</v>
          </cell>
          <cell r="D344" t="str">
            <v>UEC</v>
          </cell>
        </row>
        <row r="345">
          <cell r="B345" t="str">
            <v>14405</v>
          </cell>
          <cell r="C345" t="str">
            <v>Direct</v>
          </cell>
          <cell r="D345" t="str">
            <v>UEC</v>
          </cell>
        </row>
        <row r="346">
          <cell r="B346" t="str">
            <v>14413</v>
          </cell>
          <cell r="C346" t="str">
            <v>Direct</v>
          </cell>
          <cell r="D346" t="str">
            <v>UEC</v>
          </cell>
        </row>
        <row r="347">
          <cell r="B347" t="str">
            <v>14414</v>
          </cell>
          <cell r="C347" t="str">
            <v>Direct</v>
          </cell>
          <cell r="D347" t="str">
            <v>UEC</v>
          </cell>
        </row>
        <row r="348">
          <cell r="B348" t="str">
            <v>14416</v>
          </cell>
          <cell r="C348" t="str">
            <v>Direct</v>
          </cell>
          <cell r="D348" t="str">
            <v>UEC</v>
          </cell>
        </row>
        <row r="349">
          <cell r="B349" t="str">
            <v>14418</v>
          </cell>
          <cell r="C349" t="str">
            <v>Direct</v>
          </cell>
          <cell r="D349" t="str">
            <v>CIP</v>
          </cell>
        </row>
        <row r="350">
          <cell r="B350" t="str">
            <v>14429</v>
          </cell>
          <cell r="C350" t="str">
            <v>Direct</v>
          </cell>
          <cell r="D350" t="str">
            <v>UEC</v>
          </cell>
        </row>
        <row r="351">
          <cell r="B351" t="str">
            <v>14454</v>
          </cell>
          <cell r="C351" t="str">
            <v>Direct</v>
          </cell>
          <cell r="D351" t="str">
            <v>UEC</v>
          </cell>
        </row>
        <row r="352">
          <cell r="B352" t="str">
            <v>14464</v>
          </cell>
          <cell r="C352" t="str">
            <v>Direct</v>
          </cell>
          <cell r="D352" t="str">
            <v>UEC</v>
          </cell>
        </row>
        <row r="353">
          <cell r="B353" t="str">
            <v>14465</v>
          </cell>
          <cell r="C353" t="str">
            <v>Direct</v>
          </cell>
          <cell r="D353" t="str">
            <v>UEC</v>
          </cell>
        </row>
        <row r="354">
          <cell r="B354" t="str">
            <v>14478</v>
          </cell>
          <cell r="C354" t="str">
            <v>Direct</v>
          </cell>
          <cell r="D354" t="str">
            <v>UEC</v>
          </cell>
        </row>
        <row r="355">
          <cell r="B355" t="str">
            <v>14479</v>
          </cell>
          <cell r="C355" t="str">
            <v>Direct</v>
          </cell>
          <cell r="D355" t="str">
            <v>UEC</v>
          </cell>
        </row>
        <row r="356">
          <cell r="B356" t="str">
            <v>14483</v>
          </cell>
          <cell r="C356" t="str">
            <v>Direct</v>
          </cell>
          <cell r="D356" t="str">
            <v>UEC</v>
          </cell>
        </row>
        <row r="357">
          <cell r="B357" t="str">
            <v>14489</v>
          </cell>
          <cell r="C357" t="str">
            <v>Direct</v>
          </cell>
          <cell r="D357" t="str">
            <v>CIP</v>
          </cell>
        </row>
        <row r="358">
          <cell r="B358" t="str">
            <v>14490</v>
          </cell>
          <cell r="C358" t="str">
            <v>Direct</v>
          </cell>
          <cell r="D358" t="str">
            <v>UEC</v>
          </cell>
        </row>
        <row r="359">
          <cell r="B359" t="str">
            <v>14491</v>
          </cell>
          <cell r="C359" t="str">
            <v>Direct</v>
          </cell>
          <cell r="D359" t="str">
            <v>UEC</v>
          </cell>
        </row>
        <row r="360">
          <cell r="B360" t="str">
            <v>14503</v>
          </cell>
          <cell r="C360" t="str">
            <v>Direct</v>
          </cell>
          <cell r="D360" t="str">
            <v>CIP</v>
          </cell>
        </row>
        <row r="361">
          <cell r="B361" t="str">
            <v>14504</v>
          </cell>
          <cell r="C361" t="str">
            <v>Direct</v>
          </cell>
          <cell r="D361" t="str">
            <v>CIL</v>
          </cell>
        </row>
        <row r="362">
          <cell r="B362" t="str">
            <v>14506</v>
          </cell>
          <cell r="C362" t="str">
            <v>Direct</v>
          </cell>
          <cell r="D362" t="str">
            <v>CIL</v>
          </cell>
        </row>
        <row r="363">
          <cell r="B363" t="str">
            <v>14508</v>
          </cell>
          <cell r="C363" t="str">
            <v>Direct</v>
          </cell>
          <cell r="D363" t="str">
            <v>UEC</v>
          </cell>
        </row>
        <row r="364">
          <cell r="B364" t="str">
            <v>14509</v>
          </cell>
          <cell r="C364" t="str">
            <v>Direct</v>
          </cell>
          <cell r="D364" t="str">
            <v>UEC</v>
          </cell>
        </row>
        <row r="365">
          <cell r="B365" t="str">
            <v>14514</v>
          </cell>
          <cell r="C365" t="str">
            <v>Direct</v>
          </cell>
          <cell r="D365" t="str">
            <v>UEC</v>
          </cell>
        </row>
        <row r="366">
          <cell r="B366" t="str">
            <v>14519</v>
          </cell>
          <cell r="C366" t="str">
            <v>Direct</v>
          </cell>
          <cell r="D366" t="str">
            <v>UEC</v>
          </cell>
        </row>
        <row r="367">
          <cell r="B367" t="str">
            <v>14520</v>
          </cell>
          <cell r="C367" t="str">
            <v>Direct</v>
          </cell>
          <cell r="D367" t="str">
            <v>UEC</v>
          </cell>
        </row>
        <row r="368">
          <cell r="B368" t="str">
            <v>14525</v>
          </cell>
          <cell r="C368" t="str">
            <v>Direct</v>
          </cell>
          <cell r="D368" t="str">
            <v>UEC</v>
          </cell>
        </row>
        <row r="369">
          <cell r="B369" t="str">
            <v>14540</v>
          </cell>
          <cell r="C369" t="str">
            <v>Direct</v>
          </cell>
          <cell r="D369" t="str">
            <v>UEC</v>
          </cell>
        </row>
        <row r="370">
          <cell r="B370" t="str">
            <v>14541</v>
          </cell>
          <cell r="C370" t="str">
            <v>Direct</v>
          </cell>
          <cell r="D370" t="str">
            <v>UEC</v>
          </cell>
        </row>
        <row r="371">
          <cell r="B371" t="str">
            <v>14546</v>
          </cell>
          <cell r="C371" t="str">
            <v>Direct</v>
          </cell>
          <cell r="D371" t="str">
            <v>UEC</v>
          </cell>
        </row>
        <row r="372">
          <cell r="B372" t="str">
            <v>14548</v>
          </cell>
          <cell r="C372" t="str">
            <v>Direct</v>
          </cell>
          <cell r="D372" t="str">
            <v>UEC</v>
          </cell>
        </row>
        <row r="373">
          <cell r="B373" t="str">
            <v>14551</v>
          </cell>
          <cell r="C373" t="str">
            <v>Direct</v>
          </cell>
          <cell r="D373" t="str">
            <v>CIL</v>
          </cell>
        </row>
        <row r="374">
          <cell r="B374" t="str">
            <v>14552</v>
          </cell>
          <cell r="C374" t="str">
            <v>Direct</v>
          </cell>
          <cell r="D374" t="str">
            <v>CIL</v>
          </cell>
        </row>
        <row r="375">
          <cell r="B375" t="str">
            <v>14554</v>
          </cell>
          <cell r="C375" t="str">
            <v>Direct</v>
          </cell>
          <cell r="D375" t="str">
            <v>CIL</v>
          </cell>
        </row>
        <row r="376">
          <cell r="B376" t="str">
            <v>14555</v>
          </cell>
          <cell r="C376" t="str">
            <v>Direct</v>
          </cell>
          <cell r="D376" t="str">
            <v>CIL</v>
          </cell>
        </row>
        <row r="377">
          <cell r="B377" t="str">
            <v>14556</v>
          </cell>
          <cell r="C377" t="str">
            <v>Direct</v>
          </cell>
          <cell r="D377" t="str">
            <v>CIL</v>
          </cell>
        </row>
        <row r="378">
          <cell r="B378" t="str">
            <v>14557</v>
          </cell>
          <cell r="C378" t="str">
            <v>Direct</v>
          </cell>
          <cell r="D378" t="str">
            <v>CIL</v>
          </cell>
        </row>
        <row r="379">
          <cell r="B379" t="str">
            <v>14558</v>
          </cell>
          <cell r="C379" t="str">
            <v>Direct</v>
          </cell>
          <cell r="D379" t="str">
            <v>CIP</v>
          </cell>
        </row>
        <row r="380">
          <cell r="B380" t="str">
            <v>14559</v>
          </cell>
          <cell r="C380" t="str">
            <v>Direct</v>
          </cell>
          <cell r="D380" t="str">
            <v>CIP</v>
          </cell>
        </row>
        <row r="381">
          <cell r="B381" t="str">
            <v>14561</v>
          </cell>
          <cell r="C381" t="str">
            <v>Direct</v>
          </cell>
          <cell r="D381" t="str">
            <v>UEC</v>
          </cell>
        </row>
        <row r="382">
          <cell r="B382" t="str">
            <v>14566</v>
          </cell>
          <cell r="C382" t="str">
            <v>Direct</v>
          </cell>
          <cell r="D382" t="str">
            <v>UEC</v>
          </cell>
        </row>
        <row r="383">
          <cell r="B383" t="str">
            <v>14568</v>
          </cell>
          <cell r="C383" t="str">
            <v>Direct</v>
          </cell>
          <cell r="D383" t="str">
            <v>UEC</v>
          </cell>
        </row>
        <row r="384">
          <cell r="B384" t="str">
            <v>14569</v>
          </cell>
          <cell r="C384" t="str">
            <v>Direct</v>
          </cell>
          <cell r="D384" t="str">
            <v>AMC</v>
          </cell>
        </row>
        <row r="385">
          <cell r="B385" t="str">
            <v>14572</v>
          </cell>
          <cell r="C385" t="str">
            <v>Direct</v>
          </cell>
          <cell r="D385" t="str">
            <v>UEC</v>
          </cell>
        </row>
        <row r="386">
          <cell r="B386" t="str">
            <v>14574</v>
          </cell>
          <cell r="C386" t="str">
            <v>Direct</v>
          </cell>
          <cell r="D386" t="str">
            <v>UEC</v>
          </cell>
        </row>
        <row r="387">
          <cell r="B387" t="str">
            <v>14575</v>
          </cell>
          <cell r="C387" t="str">
            <v>Direct</v>
          </cell>
          <cell r="D387" t="str">
            <v>UEC</v>
          </cell>
        </row>
        <row r="388">
          <cell r="B388" t="str">
            <v>14578</v>
          </cell>
          <cell r="C388" t="str">
            <v>Direct</v>
          </cell>
          <cell r="D388" t="str">
            <v>UEC</v>
          </cell>
        </row>
        <row r="389">
          <cell r="B389" t="str">
            <v>14579</v>
          </cell>
          <cell r="C389" t="str">
            <v>Direct</v>
          </cell>
          <cell r="D389" t="str">
            <v>UEC</v>
          </cell>
        </row>
        <row r="390">
          <cell r="B390" t="str">
            <v>14580</v>
          </cell>
          <cell r="C390" t="str">
            <v>Direct</v>
          </cell>
          <cell r="D390" t="str">
            <v>UEC</v>
          </cell>
        </row>
        <row r="391">
          <cell r="B391" t="str">
            <v>14581</v>
          </cell>
          <cell r="C391" t="str">
            <v>Direct</v>
          </cell>
          <cell r="D391" t="str">
            <v>UEC</v>
          </cell>
        </row>
        <row r="392">
          <cell r="B392" t="str">
            <v>14589</v>
          </cell>
          <cell r="C392" t="str">
            <v>Direct</v>
          </cell>
          <cell r="D392" t="str">
            <v>UEC</v>
          </cell>
        </row>
        <row r="393">
          <cell r="B393" t="str">
            <v>14590</v>
          </cell>
          <cell r="C393" t="str">
            <v>Direct</v>
          </cell>
          <cell r="D393" t="str">
            <v>UEC</v>
          </cell>
        </row>
        <row r="394">
          <cell r="B394" t="str">
            <v>14594</v>
          </cell>
          <cell r="C394" t="str">
            <v>Direct</v>
          </cell>
          <cell r="D394" t="str">
            <v>UEC</v>
          </cell>
        </row>
        <row r="395">
          <cell r="B395" t="str">
            <v>14608</v>
          </cell>
          <cell r="C395" t="str">
            <v>Direct</v>
          </cell>
          <cell r="D395" t="str">
            <v>UEC</v>
          </cell>
        </row>
        <row r="396">
          <cell r="B396" t="str">
            <v>14611</v>
          </cell>
          <cell r="C396" t="str">
            <v>Direct</v>
          </cell>
          <cell r="D396" t="str">
            <v>UEC</v>
          </cell>
        </row>
        <row r="397">
          <cell r="B397" t="str">
            <v>14613</v>
          </cell>
          <cell r="C397" t="str">
            <v>Direct</v>
          </cell>
          <cell r="D397" t="str">
            <v>UEC</v>
          </cell>
        </row>
        <row r="398">
          <cell r="B398" t="str">
            <v>14614</v>
          </cell>
          <cell r="C398" t="str">
            <v>Direct</v>
          </cell>
          <cell r="D398" t="str">
            <v>UEC</v>
          </cell>
        </row>
        <row r="399">
          <cell r="B399" t="str">
            <v>14616</v>
          </cell>
          <cell r="C399" t="str">
            <v>Direct</v>
          </cell>
          <cell r="D399" t="str">
            <v>CIL</v>
          </cell>
        </row>
        <row r="400">
          <cell r="B400" t="str">
            <v>14617</v>
          </cell>
          <cell r="C400" t="str">
            <v>Direct</v>
          </cell>
          <cell r="D400" t="str">
            <v>CIL</v>
          </cell>
        </row>
        <row r="401">
          <cell r="B401" t="str">
            <v>14683</v>
          </cell>
          <cell r="C401" t="str">
            <v>Direct</v>
          </cell>
          <cell r="D401" t="str">
            <v>UEC</v>
          </cell>
        </row>
        <row r="402">
          <cell r="B402" t="str">
            <v>14686</v>
          </cell>
          <cell r="C402" t="str">
            <v>Direct</v>
          </cell>
          <cell r="D402" t="str">
            <v>UEC</v>
          </cell>
        </row>
        <row r="403">
          <cell r="B403" t="str">
            <v>14690</v>
          </cell>
          <cell r="C403" t="str">
            <v>Direct</v>
          </cell>
          <cell r="D403" t="str">
            <v>UEC</v>
          </cell>
        </row>
        <row r="404">
          <cell r="B404" t="str">
            <v>14722</v>
          </cell>
          <cell r="C404" t="str">
            <v>Direct</v>
          </cell>
          <cell r="D404" t="str">
            <v>UEC</v>
          </cell>
        </row>
        <row r="405">
          <cell r="B405" t="str">
            <v>14725</v>
          </cell>
          <cell r="C405" t="str">
            <v>Direct</v>
          </cell>
          <cell r="D405" t="str">
            <v>UEC</v>
          </cell>
        </row>
        <row r="406">
          <cell r="B406" t="str">
            <v>14742</v>
          </cell>
          <cell r="C406" t="str">
            <v>Direct</v>
          </cell>
          <cell r="D406" t="str">
            <v>UEC</v>
          </cell>
        </row>
        <row r="407">
          <cell r="B407" t="str">
            <v>14746</v>
          </cell>
          <cell r="C407" t="str">
            <v>Direct</v>
          </cell>
          <cell r="D407" t="str">
            <v>UEC</v>
          </cell>
        </row>
        <row r="408">
          <cell r="B408" t="str">
            <v>14762</v>
          </cell>
          <cell r="C408" t="str">
            <v>Direct</v>
          </cell>
          <cell r="D408" t="str">
            <v>UEC</v>
          </cell>
        </row>
        <row r="409">
          <cell r="B409" t="str">
            <v>14798</v>
          </cell>
          <cell r="C409" t="str">
            <v>Direct</v>
          </cell>
          <cell r="D409" t="str">
            <v>UEC</v>
          </cell>
        </row>
        <row r="410">
          <cell r="B410" t="str">
            <v>14804</v>
          </cell>
          <cell r="C410" t="str">
            <v>Direct</v>
          </cell>
          <cell r="D410" t="str">
            <v>ARG</v>
          </cell>
        </row>
        <row r="411">
          <cell r="B411" t="str">
            <v>14808</v>
          </cell>
          <cell r="C411" t="str">
            <v>Direct</v>
          </cell>
          <cell r="D411" t="str">
            <v>UEC</v>
          </cell>
        </row>
        <row r="412">
          <cell r="B412" t="str">
            <v>14809</v>
          </cell>
          <cell r="C412" t="str">
            <v>Direct</v>
          </cell>
          <cell r="D412" t="str">
            <v>UEC</v>
          </cell>
        </row>
        <row r="413">
          <cell r="B413" t="str">
            <v>14810</v>
          </cell>
          <cell r="C413" t="str">
            <v>Direct</v>
          </cell>
          <cell r="D413" t="str">
            <v>UEC</v>
          </cell>
        </row>
        <row r="414">
          <cell r="B414" t="str">
            <v>14832</v>
          </cell>
          <cell r="C414" t="str">
            <v>Direct</v>
          </cell>
          <cell r="D414" t="str">
            <v>UEC</v>
          </cell>
        </row>
        <row r="415">
          <cell r="B415" t="str">
            <v>14835</v>
          </cell>
          <cell r="C415" t="str">
            <v>Direct</v>
          </cell>
          <cell r="D415" t="str">
            <v>UEC</v>
          </cell>
        </row>
        <row r="416">
          <cell r="B416" t="str">
            <v>14884</v>
          </cell>
          <cell r="C416" t="str">
            <v>Direct</v>
          </cell>
          <cell r="D416" t="str">
            <v>UEC</v>
          </cell>
        </row>
        <row r="417">
          <cell r="B417" t="str">
            <v>14963</v>
          </cell>
          <cell r="C417" t="str">
            <v>Direct</v>
          </cell>
          <cell r="D417" t="str">
            <v>ARG</v>
          </cell>
        </row>
        <row r="418">
          <cell r="B418" t="str">
            <v>15021</v>
          </cell>
          <cell r="C418" t="str">
            <v>Direct</v>
          </cell>
          <cell r="D418" t="str">
            <v>UEC</v>
          </cell>
        </row>
        <row r="419">
          <cell r="B419" t="str">
            <v>15070</v>
          </cell>
          <cell r="C419" t="str">
            <v>Direct</v>
          </cell>
          <cell r="D419" t="str">
            <v>ARG</v>
          </cell>
        </row>
        <row r="420">
          <cell r="B420" t="str">
            <v>15071</v>
          </cell>
          <cell r="C420" t="str">
            <v>Direct</v>
          </cell>
          <cell r="D420" t="str">
            <v>ARG</v>
          </cell>
        </row>
        <row r="421">
          <cell r="B421" t="str">
            <v>15073</v>
          </cell>
          <cell r="C421" t="str">
            <v>Direct</v>
          </cell>
          <cell r="D421" t="str">
            <v>UEC</v>
          </cell>
        </row>
        <row r="422">
          <cell r="B422" t="str">
            <v>15089</v>
          </cell>
          <cell r="C422" t="str">
            <v>Direct</v>
          </cell>
          <cell r="D422" t="str">
            <v>UEC</v>
          </cell>
        </row>
        <row r="423">
          <cell r="B423" t="str">
            <v>15100</v>
          </cell>
          <cell r="C423" t="str">
            <v>Direct</v>
          </cell>
          <cell r="D423" t="str">
            <v>CIL</v>
          </cell>
        </row>
        <row r="424">
          <cell r="B424" t="str">
            <v>15105</v>
          </cell>
          <cell r="C424" t="str">
            <v>Direct</v>
          </cell>
          <cell r="D424" t="str">
            <v>CIL</v>
          </cell>
        </row>
        <row r="425">
          <cell r="B425" t="str">
            <v>15107</v>
          </cell>
          <cell r="C425" t="str">
            <v>Direct</v>
          </cell>
          <cell r="D425" t="str">
            <v>ARG</v>
          </cell>
        </row>
        <row r="426">
          <cell r="B426" t="str">
            <v>15140</v>
          </cell>
          <cell r="C426" t="str">
            <v>Direct</v>
          </cell>
          <cell r="D426" t="str">
            <v>UEC</v>
          </cell>
        </row>
        <row r="427">
          <cell r="B427" t="str">
            <v>15180</v>
          </cell>
          <cell r="C427" t="str">
            <v>Direct</v>
          </cell>
          <cell r="D427" t="str">
            <v>CIP</v>
          </cell>
        </row>
        <row r="428">
          <cell r="B428" t="str">
            <v>15199</v>
          </cell>
          <cell r="C428" t="str">
            <v>Direct</v>
          </cell>
          <cell r="D428" t="str">
            <v>UEC</v>
          </cell>
        </row>
        <row r="429">
          <cell r="B429" t="str">
            <v>15204</v>
          </cell>
          <cell r="C429" t="str">
            <v>Direct</v>
          </cell>
          <cell r="D429" t="str">
            <v>UEC</v>
          </cell>
        </row>
        <row r="430">
          <cell r="B430" t="str">
            <v>15219</v>
          </cell>
          <cell r="C430" t="str">
            <v>Direct</v>
          </cell>
          <cell r="D430" t="str">
            <v>UEC</v>
          </cell>
        </row>
        <row r="431">
          <cell r="B431" t="str">
            <v>15229</v>
          </cell>
          <cell r="C431" t="str">
            <v>Direct</v>
          </cell>
          <cell r="D431" t="str">
            <v>UEC</v>
          </cell>
        </row>
        <row r="432">
          <cell r="B432" t="str">
            <v>15250</v>
          </cell>
          <cell r="C432" t="str">
            <v>Direct</v>
          </cell>
          <cell r="D432" t="str">
            <v>CIP</v>
          </cell>
        </row>
        <row r="433">
          <cell r="B433" t="str">
            <v>15253</v>
          </cell>
          <cell r="C433" t="str">
            <v>Direct</v>
          </cell>
          <cell r="D433" t="str">
            <v>UEC</v>
          </cell>
        </row>
        <row r="434">
          <cell r="B434" t="str">
            <v>15261</v>
          </cell>
          <cell r="C434" t="str">
            <v>Direct</v>
          </cell>
          <cell r="D434" t="str">
            <v>UEC</v>
          </cell>
        </row>
        <row r="435">
          <cell r="B435" t="str">
            <v>15277</v>
          </cell>
          <cell r="C435" t="str">
            <v>Direct</v>
          </cell>
          <cell r="D435" t="str">
            <v>IPC</v>
          </cell>
        </row>
        <row r="436">
          <cell r="B436" t="str">
            <v>15291</v>
          </cell>
          <cell r="C436" t="str">
            <v>Direct</v>
          </cell>
          <cell r="D436" t="str">
            <v>UEC</v>
          </cell>
        </row>
        <row r="437">
          <cell r="B437" t="str">
            <v>15297</v>
          </cell>
          <cell r="C437" t="str">
            <v>Direct</v>
          </cell>
          <cell r="D437" t="str">
            <v>ARG</v>
          </cell>
        </row>
        <row r="438">
          <cell r="B438" t="str">
            <v>15299</v>
          </cell>
          <cell r="C438" t="str">
            <v>Direct</v>
          </cell>
          <cell r="D438" t="str">
            <v>ARG</v>
          </cell>
        </row>
        <row r="439">
          <cell r="B439" t="str">
            <v>15301</v>
          </cell>
          <cell r="C439" t="str">
            <v>Direct</v>
          </cell>
          <cell r="D439" t="str">
            <v>ARG</v>
          </cell>
        </row>
        <row r="440">
          <cell r="B440" t="str">
            <v>15321</v>
          </cell>
          <cell r="C440" t="str">
            <v>Direct</v>
          </cell>
          <cell r="D440" t="str">
            <v>ARG</v>
          </cell>
        </row>
        <row r="441">
          <cell r="B441" t="str">
            <v>15370</v>
          </cell>
          <cell r="C441" t="str">
            <v>Direct</v>
          </cell>
          <cell r="D441" t="str">
            <v>ARG</v>
          </cell>
        </row>
        <row r="442">
          <cell r="B442" t="str">
            <v>15375</v>
          </cell>
          <cell r="C442" t="str">
            <v>Direct</v>
          </cell>
          <cell r="D442" t="str">
            <v>GEN</v>
          </cell>
        </row>
        <row r="443">
          <cell r="B443" t="str">
            <v>15398</v>
          </cell>
          <cell r="C443" t="str">
            <v>Direct</v>
          </cell>
          <cell r="D443" t="str">
            <v>GEN</v>
          </cell>
        </row>
        <row r="444">
          <cell r="B444" t="str">
            <v>15428</v>
          </cell>
          <cell r="C444" t="str">
            <v>Direct</v>
          </cell>
          <cell r="D444" t="str">
            <v>UEC</v>
          </cell>
        </row>
        <row r="445">
          <cell r="B445" t="str">
            <v>15430</v>
          </cell>
          <cell r="C445" t="str">
            <v>Direct</v>
          </cell>
          <cell r="D445" t="str">
            <v>UEC</v>
          </cell>
        </row>
        <row r="446">
          <cell r="B446" t="str">
            <v>15436</v>
          </cell>
          <cell r="C446" t="str">
            <v>Direct</v>
          </cell>
          <cell r="D446" t="str">
            <v>GEN</v>
          </cell>
        </row>
        <row r="447">
          <cell r="B447" t="str">
            <v>15443</v>
          </cell>
          <cell r="C447" t="str">
            <v>Direct</v>
          </cell>
          <cell r="D447" t="str">
            <v>UEC</v>
          </cell>
        </row>
        <row r="448">
          <cell r="B448" t="str">
            <v>15449</v>
          </cell>
          <cell r="C448" t="str">
            <v>Direct</v>
          </cell>
          <cell r="D448" t="str">
            <v>UEC</v>
          </cell>
        </row>
        <row r="449">
          <cell r="B449" t="str">
            <v>15452</v>
          </cell>
          <cell r="C449" t="str">
            <v>Direct</v>
          </cell>
          <cell r="D449" t="str">
            <v>CIP</v>
          </cell>
        </row>
        <row r="450">
          <cell r="B450" t="str">
            <v>15475</v>
          </cell>
          <cell r="C450" t="str">
            <v>Direct</v>
          </cell>
          <cell r="D450" t="str">
            <v>UEC</v>
          </cell>
        </row>
        <row r="451">
          <cell r="B451" t="str">
            <v>15477</v>
          </cell>
          <cell r="C451" t="str">
            <v>Direct</v>
          </cell>
          <cell r="D451" t="str">
            <v>UEC</v>
          </cell>
        </row>
        <row r="452">
          <cell r="B452" t="str">
            <v>15478</v>
          </cell>
          <cell r="C452" t="str">
            <v>Direct</v>
          </cell>
          <cell r="D452" t="str">
            <v>UEC</v>
          </cell>
        </row>
        <row r="453">
          <cell r="B453" t="str">
            <v>15481</v>
          </cell>
          <cell r="C453" t="str">
            <v>Direct</v>
          </cell>
          <cell r="D453" t="str">
            <v>GEN</v>
          </cell>
        </row>
        <row r="454">
          <cell r="B454" t="str">
            <v>15496</v>
          </cell>
          <cell r="C454" t="str">
            <v>Direct</v>
          </cell>
          <cell r="D454" t="str">
            <v>UEC</v>
          </cell>
        </row>
        <row r="455">
          <cell r="B455" t="str">
            <v>15519</v>
          </cell>
          <cell r="C455" t="str">
            <v>Direct</v>
          </cell>
          <cell r="D455" t="str">
            <v>UEC</v>
          </cell>
        </row>
        <row r="456">
          <cell r="B456" t="str">
            <v>15520</v>
          </cell>
          <cell r="C456" t="str">
            <v>Direct</v>
          </cell>
          <cell r="D456" t="str">
            <v>UEC</v>
          </cell>
        </row>
        <row r="457">
          <cell r="B457" t="str">
            <v>15522</v>
          </cell>
          <cell r="C457" t="str">
            <v>Direct</v>
          </cell>
          <cell r="D457" t="str">
            <v>UEC</v>
          </cell>
        </row>
        <row r="458">
          <cell r="B458" t="str">
            <v>15526</v>
          </cell>
          <cell r="C458" t="str">
            <v>Direct</v>
          </cell>
          <cell r="D458" t="str">
            <v>UEC</v>
          </cell>
        </row>
        <row r="459">
          <cell r="B459" t="str">
            <v>15527</v>
          </cell>
          <cell r="C459" t="str">
            <v>Direct</v>
          </cell>
          <cell r="D459" t="str">
            <v>UEC</v>
          </cell>
        </row>
        <row r="460">
          <cell r="B460" t="str">
            <v>15528</v>
          </cell>
          <cell r="C460" t="str">
            <v>Direct</v>
          </cell>
          <cell r="D460" t="str">
            <v>UEC</v>
          </cell>
        </row>
        <row r="461">
          <cell r="B461" t="str">
            <v>15529</v>
          </cell>
          <cell r="C461" t="str">
            <v>Direct</v>
          </cell>
          <cell r="D461" t="str">
            <v>UEC</v>
          </cell>
        </row>
        <row r="462">
          <cell r="B462" t="str">
            <v>15531</v>
          </cell>
          <cell r="C462" t="str">
            <v>Direct</v>
          </cell>
          <cell r="D462" t="str">
            <v>UEC</v>
          </cell>
        </row>
        <row r="463">
          <cell r="B463" t="str">
            <v>15548</v>
          </cell>
          <cell r="C463" t="str">
            <v>Direct</v>
          </cell>
          <cell r="D463" t="str">
            <v>UEC</v>
          </cell>
        </row>
        <row r="464">
          <cell r="B464" t="str">
            <v>15567</v>
          </cell>
          <cell r="C464" t="str">
            <v>Direct</v>
          </cell>
          <cell r="D464" t="str">
            <v>UEC</v>
          </cell>
        </row>
        <row r="465">
          <cell r="B465" t="str">
            <v>15568</v>
          </cell>
          <cell r="C465" t="str">
            <v>Direct</v>
          </cell>
          <cell r="D465" t="str">
            <v>UEC</v>
          </cell>
        </row>
        <row r="466">
          <cell r="B466" t="str">
            <v>15569</v>
          </cell>
          <cell r="C466" t="str">
            <v>Direct</v>
          </cell>
          <cell r="D466" t="str">
            <v>UEC</v>
          </cell>
        </row>
        <row r="467">
          <cell r="B467" t="str">
            <v>15578</v>
          </cell>
          <cell r="C467" t="str">
            <v>Direct</v>
          </cell>
          <cell r="D467" t="str">
            <v>UEC</v>
          </cell>
        </row>
        <row r="468">
          <cell r="B468" t="str">
            <v>15579</v>
          </cell>
          <cell r="C468" t="str">
            <v>Direct</v>
          </cell>
          <cell r="D468" t="str">
            <v>UEC</v>
          </cell>
        </row>
        <row r="469">
          <cell r="B469" t="str">
            <v>15580</v>
          </cell>
          <cell r="C469" t="str">
            <v>Direct</v>
          </cell>
          <cell r="D469" t="str">
            <v>UEC</v>
          </cell>
        </row>
        <row r="470">
          <cell r="B470" t="str">
            <v>15588</v>
          </cell>
          <cell r="C470" t="str">
            <v>Direct</v>
          </cell>
          <cell r="D470" t="str">
            <v>UEC</v>
          </cell>
        </row>
        <row r="471">
          <cell r="B471" t="str">
            <v>15590</v>
          </cell>
          <cell r="C471" t="str">
            <v>Direct</v>
          </cell>
          <cell r="D471" t="str">
            <v>UEC</v>
          </cell>
        </row>
        <row r="472">
          <cell r="B472" t="str">
            <v>15604</v>
          </cell>
          <cell r="C472" t="str">
            <v>Direct</v>
          </cell>
          <cell r="D472" t="str">
            <v>UEC</v>
          </cell>
        </row>
        <row r="473">
          <cell r="B473" t="str">
            <v>15605</v>
          </cell>
          <cell r="C473" t="str">
            <v>Direct</v>
          </cell>
          <cell r="D473" t="str">
            <v>UEC</v>
          </cell>
        </row>
        <row r="474">
          <cell r="B474" t="str">
            <v>15665</v>
          </cell>
          <cell r="C474" t="str">
            <v>Direct</v>
          </cell>
          <cell r="D474" t="str">
            <v>UEC</v>
          </cell>
        </row>
        <row r="475">
          <cell r="B475" t="str">
            <v>15673</v>
          </cell>
          <cell r="C475" t="str">
            <v>Direct</v>
          </cell>
          <cell r="D475" t="str">
            <v>UEC</v>
          </cell>
        </row>
        <row r="476">
          <cell r="B476" t="str">
            <v>15680</v>
          </cell>
          <cell r="C476" t="str">
            <v>Direct</v>
          </cell>
          <cell r="D476" t="str">
            <v>UEC</v>
          </cell>
        </row>
        <row r="477">
          <cell r="B477" t="str">
            <v>15682</v>
          </cell>
          <cell r="C477" t="str">
            <v>Direct</v>
          </cell>
          <cell r="D477" t="str">
            <v>UEC</v>
          </cell>
        </row>
        <row r="478">
          <cell r="B478" t="str">
            <v>15686</v>
          </cell>
          <cell r="C478" t="str">
            <v>Direct</v>
          </cell>
          <cell r="D478" t="str">
            <v>UEC</v>
          </cell>
        </row>
        <row r="479">
          <cell r="B479" t="str">
            <v>15700</v>
          </cell>
          <cell r="C479" t="str">
            <v>Direct</v>
          </cell>
          <cell r="D479" t="str">
            <v>UEC</v>
          </cell>
        </row>
        <row r="480">
          <cell r="B480" t="str">
            <v>15718</v>
          </cell>
          <cell r="C480" t="str">
            <v>Direct</v>
          </cell>
          <cell r="D480" t="str">
            <v>UEC</v>
          </cell>
        </row>
        <row r="481">
          <cell r="B481" t="str">
            <v>15723</v>
          </cell>
          <cell r="C481" t="str">
            <v>Direct</v>
          </cell>
          <cell r="D481" t="str">
            <v>UEC</v>
          </cell>
        </row>
        <row r="482">
          <cell r="B482" t="str">
            <v>15736</v>
          </cell>
          <cell r="C482" t="str">
            <v>Direct</v>
          </cell>
          <cell r="D482" t="str">
            <v>UEC</v>
          </cell>
        </row>
        <row r="483">
          <cell r="B483" t="str">
            <v>15739</v>
          </cell>
          <cell r="C483" t="str">
            <v>Direct</v>
          </cell>
          <cell r="D483" t="str">
            <v>UEC</v>
          </cell>
        </row>
        <row r="484">
          <cell r="B484" t="str">
            <v>15782</v>
          </cell>
          <cell r="C484" t="str">
            <v>Direct</v>
          </cell>
          <cell r="D484" t="str">
            <v>IPC</v>
          </cell>
        </row>
        <row r="485">
          <cell r="B485" t="str">
            <v>15790</v>
          </cell>
          <cell r="C485" t="str">
            <v>Direct</v>
          </cell>
          <cell r="D485" t="str">
            <v>UEC</v>
          </cell>
        </row>
        <row r="486">
          <cell r="B486" t="str">
            <v>15792</v>
          </cell>
          <cell r="C486" t="str">
            <v>Direct</v>
          </cell>
          <cell r="D486" t="str">
            <v>CIP</v>
          </cell>
        </row>
        <row r="487">
          <cell r="B487" t="str">
            <v>15804</v>
          </cell>
          <cell r="C487" t="str">
            <v>Direct</v>
          </cell>
          <cell r="D487" t="str">
            <v>GEN</v>
          </cell>
        </row>
        <row r="488">
          <cell r="B488" t="str">
            <v>15805</v>
          </cell>
          <cell r="C488" t="str">
            <v>Direct</v>
          </cell>
          <cell r="D488" t="str">
            <v>ARG</v>
          </cell>
        </row>
        <row r="489">
          <cell r="B489" t="str">
            <v>15806</v>
          </cell>
          <cell r="C489" t="str">
            <v>Direct</v>
          </cell>
          <cell r="D489" t="str">
            <v>GEN</v>
          </cell>
        </row>
        <row r="490">
          <cell r="B490" t="str">
            <v>15807</v>
          </cell>
          <cell r="C490" t="str">
            <v>Direct</v>
          </cell>
          <cell r="D490" t="str">
            <v>GEN</v>
          </cell>
        </row>
        <row r="491">
          <cell r="B491" t="str">
            <v>15808</v>
          </cell>
          <cell r="C491" t="str">
            <v>Direct</v>
          </cell>
          <cell r="D491" t="str">
            <v>GEN</v>
          </cell>
        </row>
        <row r="492">
          <cell r="B492" t="str">
            <v>15809</v>
          </cell>
          <cell r="C492" t="str">
            <v>Direct</v>
          </cell>
          <cell r="D492" t="str">
            <v>GEN</v>
          </cell>
        </row>
        <row r="493">
          <cell r="B493" t="str">
            <v>15850</v>
          </cell>
          <cell r="C493" t="str">
            <v>Direct</v>
          </cell>
          <cell r="D493" t="str">
            <v>UEC</v>
          </cell>
        </row>
        <row r="494">
          <cell r="B494" t="str">
            <v>15871</v>
          </cell>
          <cell r="C494" t="str">
            <v>Direct</v>
          </cell>
          <cell r="D494" t="str">
            <v>UEC</v>
          </cell>
        </row>
        <row r="495">
          <cell r="B495" t="str">
            <v>15909</v>
          </cell>
          <cell r="C495" t="str">
            <v>Direct</v>
          </cell>
          <cell r="D495" t="str">
            <v>UEC</v>
          </cell>
        </row>
        <row r="496">
          <cell r="B496" t="str">
            <v>15931</v>
          </cell>
          <cell r="C496" t="str">
            <v>Direct</v>
          </cell>
          <cell r="D496" t="str">
            <v>CIP</v>
          </cell>
        </row>
        <row r="497">
          <cell r="B497" t="str">
            <v>15932</v>
          </cell>
          <cell r="C497" t="str">
            <v>Direct</v>
          </cell>
          <cell r="D497" t="str">
            <v>UEC</v>
          </cell>
        </row>
        <row r="498">
          <cell r="B498" t="str">
            <v>15933</v>
          </cell>
          <cell r="C498" t="str">
            <v>Direct</v>
          </cell>
          <cell r="D498" t="str">
            <v>UEC</v>
          </cell>
        </row>
        <row r="499">
          <cell r="B499" t="str">
            <v>15936</v>
          </cell>
          <cell r="C499" t="str">
            <v>Direct</v>
          </cell>
          <cell r="D499" t="str">
            <v>CIP</v>
          </cell>
        </row>
        <row r="500">
          <cell r="B500" t="str">
            <v>15938</v>
          </cell>
          <cell r="C500" t="str">
            <v>Direct</v>
          </cell>
          <cell r="D500" t="str">
            <v>UEC</v>
          </cell>
        </row>
        <row r="501">
          <cell r="B501" t="str">
            <v>15964</v>
          </cell>
          <cell r="C501" t="str">
            <v>Direct</v>
          </cell>
          <cell r="D501" t="str">
            <v>ARG</v>
          </cell>
        </row>
        <row r="502">
          <cell r="B502" t="str">
            <v>15966</v>
          </cell>
          <cell r="C502" t="str">
            <v>Direct</v>
          </cell>
          <cell r="D502" t="str">
            <v>UEC</v>
          </cell>
        </row>
        <row r="503">
          <cell r="B503" t="str">
            <v>15971</v>
          </cell>
          <cell r="C503" t="str">
            <v>Direct</v>
          </cell>
          <cell r="D503" t="str">
            <v>UEC</v>
          </cell>
        </row>
        <row r="504">
          <cell r="B504" t="str">
            <v>15973</v>
          </cell>
          <cell r="C504" t="str">
            <v>Direct</v>
          </cell>
          <cell r="D504" t="str">
            <v>UEC</v>
          </cell>
        </row>
        <row r="505">
          <cell r="B505" t="str">
            <v>15974</v>
          </cell>
          <cell r="C505" t="str">
            <v>Direct</v>
          </cell>
          <cell r="D505" t="str">
            <v>UEC</v>
          </cell>
        </row>
        <row r="506">
          <cell r="B506" t="str">
            <v>15975</v>
          </cell>
          <cell r="C506" t="str">
            <v>Direct</v>
          </cell>
          <cell r="D506" t="str">
            <v>UEC</v>
          </cell>
        </row>
        <row r="507">
          <cell r="B507" t="str">
            <v>15978</v>
          </cell>
          <cell r="C507" t="str">
            <v>Direct</v>
          </cell>
          <cell r="D507" t="str">
            <v>UEC</v>
          </cell>
        </row>
        <row r="508">
          <cell r="B508" t="str">
            <v>15979</v>
          </cell>
          <cell r="C508" t="str">
            <v>Direct</v>
          </cell>
          <cell r="D508" t="str">
            <v>UEC</v>
          </cell>
        </row>
        <row r="509">
          <cell r="B509" t="str">
            <v>15983</v>
          </cell>
          <cell r="C509" t="str">
            <v>Direct</v>
          </cell>
          <cell r="D509" t="str">
            <v>GEN</v>
          </cell>
        </row>
        <row r="510">
          <cell r="B510" t="str">
            <v>15984</v>
          </cell>
          <cell r="C510" t="str">
            <v>Direct</v>
          </cell>
          <cell r="D510" t="str">
            <v>CIP</v>
          </cell>
        </row>
        <row r="511">
          <cell r="B511" t="str">
            <v>15989</v>
          </cell>
          <cell r="C511" t="str">
            <v>Direct</v>
          </cell>
          <cell r="D511" t="str">
            <v>CIP</v>
          </cell>
        </row>
        <row r="512">
          <cell r="B512" t="str">
            <v>15993</v>
          </cell>
          <cell r="C512" t="str">
            <v>Direct</v>
          </cell>
          <cell r="D512" t="str">
            <v>CIP</v>
          </cell>
        </row>
        <row r="513">
          <cell r="B513" t="str">
            <v>15996</v>
          </cell>
          <cell r="C513" t="str">
            <v>Direct</v>
          </cell>
          <cell r="D513" t="str">
            <v>CIP</v>
          </cell>
        </row>
        <row r="514">
          <cell r="B514" t="str">
            <v>15997</v>
          </cell>
          <cell r="C514" t="str">
            <v>Direct</v>
          </cell>
          <cell r="D514" t="str">
            <v>UEC</v>
          </cell>
        </row>
        <row r="515">
          <cell r="B515" t="str">
            <v>15998</v>
          </cell>
          <cell r="C515" t="str">
            <v>Direct</v>
          </cell>
          <cell r="D515" t="str">
            <v>UEC</v>
          </cell>
        </row>
        <row r="516">
          <cell r="B516" t="str">
            <v>16001</v>
          </cell>
          <cell r="C516" t="str">
            <v>Direct</v>
          </cell>
          <cell r="D516" t="str">
            <v>UEC</v>
          </cell>
        </row>
        <row r="517">
          <cell r="B517" t="str">
            <v>16002</v>
          </cell>
          <cell r="C517" t="str">
            <v>Direct</v>
          </cell>
          <cell r="D517" t="str">
            <v>UEC</v>
          </cell>
        </row>
        <row r="518">
          <cell r="B518" t="str">
            <v>16003</v>
          </cell>
          <cell r="C518" t="str">
            <v>Direct</v>
          </cell>
          <cell r="D518" t="str">
            <v>CIL</v>
          </cell>
        </row>
        <row r="519">
          <cell r="B519" t="str">
            <v>16030</v>
          </cell>
          <cell r="C519" t="str">
            <v>Direct</v>
          </cell>
          <cell r="D519" t="str">
            <v>UEC</v>
          </cell>
        </row>
        <row r="520">
          <cell r="B520" t="str">
            <v>16053</v>
          </cell>
          <cell r="C520" t="str">
            <v>Direct</v>
          </cell>
          <cell r="D520" t="str">
            <v>UEC</v>
          </cell>
        </row>
        <row r="521">
          <cell r="B521" t="str">
            <v>16088</v>
          </cell>
          <cell r="C521" t="str">
            <v>Direct</v>
          </cell>
          <cell r="D521" t="str">
            <v>UEC</v>
          </cell>
        </row>
        <row r="522">
          <cell r="B522" t="str">
            <v>16090</v>
          </cell>
          <cell r="C522" t="str">
            <v>Direct</v>
          </cell>
          <cell r="D522" t="str">
            <v>UEC</v>
          </cell>
        </row>
        <row r="523">
          <cell r="B523" t="str">
            <v>16095</v>
          </cell>
          <cell r="C523" t="str">
            <v>Direct</v>
          </cell>
          <cell r="D523" t="str">
            <v>CIP</v>
          </cell>
        </row>
        <row r="524">
          <cell r="B524" t="str">
            <v>16106</v>
          </cell>
          <cell r="C524" t="str">
            <v>Direct</v>
          </cell>
          <cell r="D524" t="str">
            <v>CIP</v>
          </cell>
        </row>
        <row r="525">
          <cell r="B525" t="str">
            <v>16107</v>
          </cell>
          <cell r="C525" t="str">
            <v>Direct</v>
          </cell>
          <cell r="D525" t="str">
            <v>CIP</v>
          </cell>
        </row>
        <row r="526">
          <cell r="B526" t="str">
            <v>16108</v>
          </cell>
          <cell r="C526" t="str">
            <v>Direct</v>
          </cell>
          <cell r="D526" t="str">
            <v>CIP</v>
          </cell>
        </row>
        <row r="527">
          <cell r="B527" t="str">
            <v>16109</v>
          </cell>
          <cell r="C527" t="str">
            <v>Direct</v>
          </cell>
          <cell r="D527" t="str">
            <v>CIP</v>
          </cell>
        </row>
        <row r="528">
          <cell r="B528" t="str">
            <v>16114</v>
          </cell>
          <cell r="C528" t="str">
            <v>Direct</v>
          </cell>
          <cell r="D528" t="str">
            <v>CIP</v>
          </cell>
        </row>
        <row r="529">
          <cell r="B529" t="str">
            <v>16116</v>
          </cell>
          <cell r="C529" t="str">
            <v>Direct</v>
          </cell>
          <cell r="D529" t="str">
            <v>IPC</v>
          </cell>
        </row>
        <row r="530">
          <cell r="B530" t="str">
            <v>16117</v>
          </cell>
          <cell r="C530" t="str">
            <v>Direct</v>
          </cell>
          <cell r="D530" t="str">
            <v>UEC</v>
          </cell>
        </row>
        <row r="531">
          <cell r="B531" t="str">
            <v>16129</v>
          </cell>
          <cell r="C531" t="str">
            <v>Direct</v>
          </cell>
          <cell r="D531" t="str">
            <v>UEC</v>
          </cell>
        </row>
        <row r="532">
          <cell r="B532" t="str">
            <v>16130</v>
          </cell>
          <cell r="C532" t="str">
            <v>Direct</v>
          </cell>
          <cell r="D532" t="str">
            <v>GEN</v>
          </cell>
        </row>
        <row r="533">
          <cell r="B533" t="str">
            <v>16143</v>
          </cell>
          <cell r="C533" t="str">
            <v>Direct</v>
          </cell>
          <cell r="D533" t="str">
            <v>CIP</v>
          </cell>
        </row>
        <row r="534">
          <cell r="B534" t="str">
            <v>16145</v>
          </cell>
          <cell r="C534" t="str">
            <v>Direct</v>
          </cell>
          <cell r="D534" t="str">
            <v>GEN</v>
          </cell>
        </row>
        <row r="535">
          <cell r="B535" t="str">
            <v>16147</v>
          </cell>
          <cell r="C535" t="str">
            <v>Direct</v>
          </cell>
          <cell r="D535" t="str">
            <v>UEC</v>
          </cell>
        </row>
        <row r="536">
          <cell r="B536" t="str">
            <v>16162</v>
          </cell>
          <cell r="C536" t="str">
            <v>Direct</v>
          </cell>
          <cell r="D536" t="str">
            <v>CIP</v>
          </cell>
        </row>
        <row r="537">
          <cell r="B537" t="str">
            <v>16179</v>
          </cell>
          <cell r="C537" t="str">
            <v>Direct</v>
          </cell>
          <cell r="D537" t="str">
            <v>GEN</v>
          </cell>
        </row>
        <row r="538">
          <cell r="B538" t="str">
            <v>16185</v>
          </cell>
          <cell r="C538" t="str">
            <v>Direct</v>
          </cell>
          <cell r="D538" t="str">
            <v>CIP</v>
          </cell>
        </row>
        <row r="539">
          <cell r="B539" t="str">
            <v>16190</v>
          </cell>
          <cell r="C539" t="str">
            <v>Direct</v>
          </cell>
          <cell r="D539" t="str">
            <v>CIP</v>
          </cell>
        </row>
        <row r="540">
          <cell r="B540" t="str">
            <v>16217</v>
          </cell>
          <cell r="C540" t="str">
            <v>Direct</v>
          </cell>
          <cell r="D540" t="str">
            <v>GEN</v>
          </cell>
        </row>
        <row r="541">
          <cell r="B541" t="str">
            <v>16218</v>
          </cell>
          <cell r="C541" t="str">
            <v>Direct</v>
          </cell>
          <cell r="D541" t="str">
            <v>GEN</v>
          </cell>
        </row>
        <row r="542">
          <cell r="B542" t="str">
            <v>16219</v>
          </cell>
          <cell r="C542" t="str">
            <v>Direct</v>
          </cell>
          <cell r="D542" t="str">
            <v>GEN</v>
          </cell>
        </row>
        <row r="543">
          <cell r="B543" t="str">
            <v>16220</v>
          </cell>
          <cell r="C543" t="str">
            <v>Direct</v>
          </cell>
          <cell r="D543" t="str">
            <v>GEN</v>
          </cell>
        </row>
        <row r="544">
          <cell r="B544" t="str">
            <v>16221</v>
          </cell>
          <cell r="C544" t="str">
            <v>Direct</v>
          </cell>
          <cell r="D544" t="str">
            <v>GEN</v>
          </cell>
        </row>
        <row r="545">
          <cell r="B545" t="str">
            <v>16222</v>
          </cell>
          <cell r="C545" t="str">
            <v>Direct</v>
          </cell>
          <cell r="D545" t="str">
            <v>ARG</v>
          </cell>
        </row>
        <row r="546">
          <cell r="B546" t="str">
            <v>16223</v>
          </cell>
          <cell r="C546" t="str">
            <v>Direct</v>
          </cell>
          <cell r="D546" t="str">
            <v>ARG</v>
          </cell>
        </row>
        <row r="547">
          <cell r="B547" t="str">
            <v>16229</v>
          </cell>
          <cell r="C547" t="str">
            <v>Direct</v>
          </cell>
          <cell r="D547" t="str">
            <v>UEC</v>
          </cell>
        </row>
        <row r="548">
          <cell r="B548" t="str">
            <v>16231</v>
          </cell>
          <cell r="C548" t="str">
            <v>Direct</v>
          </cell>
          <cell r="D548" t="str">
            <v>UEC</v>
          </cell>
        </row>
        <row r="549">
          <cell r="B549" t="str">
            <v>16246</v>
          </cell>
          <cell r="C549" t="str">
            <v>Direct</v>
          </cell>
          <cell r="D549" t="str">
            <v>UEC</v>
          </cell>
        </row>
        <row r="550">
          <cell r="B550" t="str">
            <v>16268</v>
          </cell>
          <cell r="C550" t="str">
            <v>Direct</v>
          </cell>
          <cell r="D550" t="str">
            <v>GEN</v>
          </cell>
        </row>
        <row r="551">
          <cell r="B551" t="str">
            <v>16282</v>
          </cell>
          <cell r="C551" t="str">
            <v>Direct</v>
          </cell>
          <cell r="D551" t="str">
            <v>IPC</v>
          </cell>
        </row>
        <row r="552">
          <cell r="B552" t="str">
            <v>16283</v>
          </cell>
          <cell r="C552" t="str">
            <v>Direct</v>
          </cell>
          <cell r="D552" t="str">
            <v>IPC</v>
          </cell>
        </row>
        <row r="553">
          <cell r="B553" t="str">
            <v>16284</v>
          </cell>
          <cell r="C553" t="str">
            <v>Direct</v>
          </cell>
          <cell r="D553" t="str">
            <v>IPC</v>
          </cell>
        </row>
        <row r="554">
          <cell r="B554" t="str">
            <v>16292</v>
          </cell>
          <cell r="C554" t="str">
            <v>Direct</v>
          </cell>
          <cell r="D554" t="str">
            <v>AFS</v>
          </cell>
        </row>
        <row r="555">
          <cell r="B555" t="str">
            <v>16295</v>
          </cell>
          <cell r="C555" t="str">
            <v>Direct</v>
          </cell>
          <cell r="D555" t="str">
            <v>UEC</v>
          </cell>
        </row>
        <row r="556">
          <cell r="B556" t="str">
            <v>16303</v>
          </cell>
          <cell r="C556" t="str">
            <v>Direct</v>
          </cell>
          <cell r="D556" t="str">
            <v>IPC</v>
          </cell>
        </row>
        <row r="557">
          <cell r="B557" t="str">
            <v>16304</v>
          </cell>
          <cell r="C557" t="str">
            <v>Direct</v>
          </cell>
          <cell r="D557" t="str">
            <v>IPC</v>
          </cell>
        </row>
        <row r="558">
          <cell r="B558" t="str">
            <v>16305</v>
          </cell>
          <cell r="C558" t="str">
            <v>Direct</v>
          </cell>
          <cell r="D558" t="str">
            <v>UEC</v>
          </cell>
        </row>
        <row r="559">
          <cell r="B559" t="str">
            <v>16306</v>
          </cell>
          <cell r="C559" t="str">
            <v>Direct</v>
          </cell>
          <cell r="D559" t="str">
            <v>IPC</v>
          </cell>
        </row>
        <row r="560">
          <cell r="B560" t="str">
            <v>16310</v>
          </cell>
          <cell r="C560" t="str">
            <v>Direct</v>
          </cell>
          <cell r="D560" t="str">
            <v>IPC</v>
          </cell>
        </row>
        <row r="561">
          <cell r="B561" t="str">
            <v>16321</v>
          </cell>
          <cell r="C561" t="str">
            <v>Direct</v>
          </cell>
          <cell r="D561" t="str">
            <v>IPC</v>
          </cell>
        </row>
        <row r="562">
          <cell r="B562" t="str">
            <v>16322</v>
          </cell>
          <cell r="C562" t="str">
            <v>Direct</v>
          </cell>
          <cell r="D562" t="str">
            <v>IPC</v>
          </cell>
        </row>
        <row r="563">
          <cell r="B563" t="str">
            <v>16331</v>
          </cell>
          <cell r="C563" t="str">
            <v>Direct</v>
          </cell>
          <cell r="D563" t="str">
            <v>IPC</v>
          </cell>
        </row>
        <row r="564">
          <cell r="B564" t="str">
            <v>16336</v>
          </cell>
          <cell r="C564" t="str">
            <v>Direct</v>
          </cell>
          <cell r="D564" t="str">
            <v>IPC</v>
          </cell>
        </row>
        <row r="565">
          <cell r="B565" t="str">
            <v>16337</v>
          </cell>
          <cell r="C565" t="str">
            <v>Direct</v>
          </cell>
          <cell r="D565" t="str">
            <v>IPC</v>
          </cell>
        </row>
        <row r="566">
          <cell r="B566" t="str">
            <v>16338</v>
          </cell>
          <cell r="C566" t="str">
            <v>Direct</v>
          </cell>
          <cell r="D566" t="str">
            <v>IPC</v>
          </cell>
        </row>
        <row r="567">
          <cell r="B567" t="str">
            <v>16339</v>
          </cell>
          <cell r="C567" t="str">
            <v>Direct</v>
          </cell>
          <cell r="D567" t="str">
            <v>IPC</v>
          </cell>
        </row>
        <row r="568">
          <cell r="B568" t="str">
            <v>16340</v>
          </cell>
          <cell r="C568" t="str">
            <v>Direct</v>
          </cell>
          <cell r="D568" t="str">
            <v>IPC</v>
          </cell>
        </row>
        <row r="569">
          <cell r="B569" t="str">
            <v>16342</v>
          </cell>
          <cell r="C569" t="str">
            <v>Direct</v>
          </cell>
          <cell r="D569" t="str">
            <v>IPC</v>
          </cell>
        </row>
        <row r="570">
          <cell r="B570" t="str">
            <v>16344</v>
          </cell>
          <cell r="C570" t="str">
            <v>Direct</v>
          </cell>
          <cell r="D570" t="str">
            <v>IPC</v>
          </cell>
        </row>
        <row r="571">
          <cell r="B571" t="str">
            <v>16347</v>
          </cell>
          <cell r="C571" t="str">
            <v>Direct</v>
          </cell>
          <cell r="D571" t="str">
            <v>IPC</v>
          </cell>
        </row>
        <row r="572">
          <cell r="B572" t="str">
            <v>16348</v>
          </cell>
          <cell r="C572" t="str">
            <v>Direct</v>
          </cell>
          <cell r="D572" t="str">
            <v>IPC</v>
          </cell>
        </row>
        <row r="573">
          <cell r="B573" t="str">
            <v>16349</v>
          </cell>
          <cell r="C573" t="str">
            <v>Direct</v>
          </cell>
          <cell r="D573" t="str">
            <v>IPC</v>
          </cell>
        </row>
        <row r="574">
          <cell r="B574" t="str">
            <v>16350</v>
          </cell>
          <cell r="C574" t="str">
            <v>Direct</v>
          </cell>
          <cell r="D574" t="str">
            <v>IPC</v>
          </cell>
        </row>
        <row r="575">
          <cell r="B575" t="str">
            <v>16354</v>
          </cell>
          <cell r="C575" t="str">
            <v>Direct</v>
          </cell>
          <cell r="D575" t="str">
            <v>IPC</v>
          </cell>
        </row>
        <row r="576">
          <cell r="B576" t="str">
            <v>16355</v>
          </cell>
          <cell r="C576" t="str">
            <v>Direct</v>
          </cell>
          <cell r="D576" t="str">
            <v>IPC</v>
          </cell>
        </row>
        <row r="577">
          <cell r="B577" t="str">
            <v>16356</v>
          </cell>
          <cell r="C577" t="str">
            <v>Direct</v>
          </cell>
          <cell r="D577" t="str">
            <v>IPC</v>
          </cell>
        </row>
        <row r="578">
          <cell r="B578" t="str">
            <v>16357</v>
          </cell>
          <cell r="C578" t="str">
            <v>Direct</v>
          </cell>
          <cell r="D578" t="str">
            <v>IPC</v>
          </cell>
        </row>
        <row r="579">
          <cell r="B579" t="str">
            <v>16360</v>
          </cell>
          <cell r="C579" t="str">
            <v>Direct</v>
          </cell>
          <cell r="D579" t="str">
            <v>IPC</v>
          </cell>
        </row>
        <row r="580">
          <cell r="B580" t="str">
            <v>16361</v>
          </cell>
          <cell r="C580" t="str">
            <v>Direct</v>
          </cell>
          <cell r="D580" t="str">
            <v>IPC</v>
          </cell>
        </row>
        <row r="581">
          <cell r="B581" t="str">
            <v>16362</v>
          </cell>
          <cell r="C581" t="str">
            <v>Direct</v>
          </cell>
          <cell r="D581" t="str">
            <v>IPC</v>
          </cell>
        </row>
        <row r="582">
          <cell r="B582" t="str">
            <v>16363</v>
          </cell>
          <cell r="C582" t="str">
            <v>Direct</v>
          </cell>
          <cell r="D582" t="str">
            <v>IPC</v>
          </cell>
        </row>
        <row r="583">
          <cell r="B583" t="str">
            <v>16364</v>
          </cell>
          <cell r="C583" t="str">
            <v>Direct</v>
          </cell>
          <cell r="D583" t="str">
            <v>IPC</v>
          </cell>
        </row>
        <row r="584">
          <cell r="B584" t="str">
            <v>16365</v>
          </cell>
          <cell r="C584" t="str">
            <v>Direct</v>
          </cell>
          <cell r="D584" t="str">
            <v>IPC</v>
          </cell>
        </row>
        <row r="585">
          <cell r="B585" t="str">
            <v>16366</v>
          </cell>
          <cell r="C585" t="str">
            <v>Direct</v>
          </cell>
          <cell r="D585" t="str">
            <v>IPC</v>
          </cell>
        </row>
        <row r="586">
          <cell r="B586" t="str">
            <v>16367</v>
          </cell>
          <cell r="C586" t="str">
            <v>Direct</v>
          </cell>
          <cell r="D586" t="str">
            <v>IPC</v>
          </cell>
        </row>
        <row r="587">
          <cell r="B587" t="str">
            <v>16371</v>
          </cell>
          <cell r="C587" t="str">
            <v>Direct</v>
          </cell>
          <cell r="D587" t="str">
            <v>IPC</v>
          </cell>
        </row>
        <row r="588">
          <cell r="B588" t="str">
            <v>16373</v>
          </cell>
          <cell r="C588" t="str">
            <v>Direct</v>
          </cell>
          <cell r="D588" t="str">
            <v>IPC</v>
          </cell>
        </row>
        <row r="589">
          <cell r="B589" t="str">
            <v>16374</v>
          </cell>
          <cell r="C589" t="str">
            <v>Direct</v>
          </cell>
          <cell r="D589" t="str">
            <v>IPC</v>
          </cell>
        </row>
        <row r="590">
          <cell r="B590" t="str">
            <v>16375</v>
          </cell>
          <cell r="C590" t="str">
            <v>Direct</v>
          </cell>
          <cell r="D590" t="str">
            <v>IPC</v>
          </cell>
        </row>
        <row r="591">
          <cell r="B591" t="str">
            <v>16377</v>
          </cell>
          <cell r="C591" t="str">
            <v>Direct</v>
          </cell>
          <cell r="D591" t="str">
            <v>IPC</v>
          </cell>
        </row>
        <row r="592">
          <cell r="B592" t="str">
            <v>16378</v>
          </cell>
          <cell r="C592" t="str">
            <v>Direct</v>
          </cell>
          <cell r="D592" t="str">
            <v>IPC</v>
          </cell>
        </row>
        <row r="593">
          <cell r="B593" t="str">
            <v>16379</v>
          </cell>
          <cell r="C593" t="str">
            <v>Direct</v>
          </cell>
          <cell r="D593" t="str">
            <v>IPC</v>
          </cell>
        </row>
        <row r="594">
          <cell r="B594" t="str">
            <v>16380</v>
          </cell>
          <cell r="C594" t="str">
            <v>Direct</v>
          </cell>
          <cell r="D594" t="str">
            <v>IPC</v>
          </cell>
        </row>
        <row r="595">
          <cell r="B595" t="str">
            <v>16381</v>
          </cell>
          <cell r="C595" t="str">
            <v>Direct</v>
          </cell>
          <cell r="D595" t="str">
            <v>IPC</v>
          </cell>
        </row>
        <row r="596">
          <cell r="B596" t="str">
            <v>16384</v>
          </cell>
          <cell r="C596" t="str">
            <v>Direct</v>
          </cell>
          <cell r="D596" t="str">
            <v>IPC</v>
          </cell>
        </row>
        <row r="597">
          <cell r="B597" t="str">
            <v>16419</v>
          </cell>
          <cell r="C597" t="str">
            <v>Direct</v>
          </cell>
          <cell r="D597" t="str">
            <v>UEC</v>
          </cell>
        </row>
        <row r="598">
          <cell r="B598" t="str">
            <v>16420</v>
          </cell>
          <cell r="C598" t="str">
            <v>Direct</v>
          </cell>
          <cell r="D598" t="str">
            <v>ARG</v>
          </cell>
        </row>
        <row r="599">
          <cell r="B599" t="str">
            <v>16422</v>
          </cell>
          <cell r="C599" t="str">
            <v>Direct</v>
          </cell>
          <cell r="D599" t="str">
            <v>UEC</v>
          </cell>
        </row>
        <row r="600">
          <cell r="B600" t="str">
            <v>16424</v>
          </cell>
          <cell r="C600" t="str">
            <v>Direct</v>
          </cell>
          <cell r="D600" t="str">
            <v>UEC</v>
          </cell>
        </row>
        <row r="601">
          <cell r="B601" t="str">
            <v>16428</v>
          </cell>
          <cell r="C601" t="str">
            <v>Direct</v>
          </cell>
          <cell r="D601" t="str">
            <v>UEC</v>
          </cell>
        </row>
        <row r="602">
          <cell r="B602" t="str">
            <v>16432</v>
          </cell>
          <cell r="C602" t="str">
            <v>Direct</v>
          </cell>
          <cell r="D602" t="str">
            <v>UEC</v>
          </cell>
        </row>
        <row r="603">
          <cell r="B603" t="str">
            <v>16434</v>
          </cell>
          <cell r="C603" t="str">
            <v>Direct</v>
          </cell>
          <cell r="D603" t="str">
            <v>CIP</v>
          </cell>
        </row>
        <row r="604">
          <cell r="B604" t="str">
            <v>16435</v>
          </cell>
          <cell r="C604" t="str">
            <v>Direct</v>
          </cell>
          <cell r="D604" t="str">
            <v>CIP</v>
          </cell>
        </row>
        <row r="605">
          <cell r="B605" t="str">
            <v>16448</v>
          </cell>
          <cell r="C605" t="str">
            <v>Direct</v>
          </cell>
          <cell r="D605" t="str">
            <v>CIL</v>
          </cell>
        </row>
        <row r="606">
          <cell r="B606" t="str">
            <v>16453</v>
          </cell>
          <cell r="C606" t="str">
            <v>Direct</v>
          </cell>
          <cell r="D606" t="str">
            <v>UEC</v>
          </cell>
        </row>
        <row r="607">
          <cell r="B607" t="str">
            <v>16455</v>
          </cell>
          <cell r="C607" t="str">
            <v>Direct</v>
          </cell>
          <cell r="D607" t="str">
            <v>CIP</v>
          </cell>
        </row>
        <row r="608">
          <cell r="B608" t="str">
            <v>16456</v>
          </cell>
          <cell r="C608" t="str">
            <v>Direct</v>
          </cell>
          <cell r="D608" t="str">
            <v>UEC</v>
          </cell>
        </row>
        <row r="609">
          <cell r="B609" t="str">
            <v>16459</v>
          </cell>
          <cell r="C609" t="str">
            <v>Direct</v>
          </cell>
          <cell r="D609" t="str">
            <v>ARG</v>
          </cell>
        </row>
        <row r="610">
          <cell r="B610" t="str">
            <v>16462</v>
          </cell>
          <cell r="C610" t="str">
            <v>Direct</v>
          </cell>
          <cell r="D610" t="str">
            <v>GEN</v>
          </cell>
        </row>
        <row r="611">
          <cell r="B611" t="str">
            <v>16470</v>
          </cell>
          <cell r="C611" t="str">
            <v>Direct</v>
          </cell>
          <cell r="D611" t="str">
            <v>CIP</v>
          </cell>
        </row>
        <row r="612">
          <cell r="B612" t="str">
            <v>16472</v>
          </cell>
          <cell r="C612" t="str">
            <v>Direct</v>
          </cell>
          <cell r="D612" t="str">
            <v>ARG</v>
          </cell>
        </row>
        <row r="613">
          <cell r="B613" t="str">
            <v>16473</v>
          </cell>
          <cell r="C613" t="str">
            <v>Direct</v>
          </cell>
          <cell r="D613" t="str">
            <v>UEC</v>
          </cell>
        </row>
        <row r="614">
          <cell r="B614" t="str">
            <v>16478</v>
          </cell>
          <cell r="C614" t="str">
            <v>Direct</v>
          </cell>
          <cell r="D614" t="str">
            <v>ARG</v>
          </cell>
        </row>
        <row r="615">
          <cell r="B615" t="str">
            <v>16479</v>
          </cell>
          <cell r="C615" t="str">
            <v>Direct</v>
          </cell>
          <cell r="D615" t="str">
            <v>GEN</v>
          </cell>
        </row>
        <row r="616">
          <cell r="B616" t="str">
            <v>16480</v>
          </cell>
          <cell r="C616" t="str">
            <v>Direct</v>
          </cell>
          <cell r="D616" t="str">
            <v>UEC</v>
          </cell>
        </row>
        <row r="617">
          <cell r="B617" t="str">
            <v>16481</v>
          </cell>
          <cell r="C617" t="str">
            <v>Direct</v>
          </cell>
          <cell r="D617" t="str">
            <v>GEN</v>
          </cell>
        </row>
        <row r="618">
          <cell r="B618" t="str">
            <v>16492</v>
          </cell>
          <cell r="C618" t="str">
            <v>Direct</v>
          </cell>
          <cell r="D618" t="str">
            <v>GEN</v>
          </cell>
        </row>
        <row r="619">
          <cell r="B619" t="str">
            <v>16503</v>
          </cell>
          <cell r="C619" t="str">
            <v>Direct</v>
          </cell>
          <cell r="D619" t="str">
            <v>UEC</v>
          </cell>
        </row>
        <row r="620">
          <cell r="B620" t="str">
            <v>16507</v>
          </cell>
          <cell r="C620" t="str">
            <v>Direct</v>
          </cell>
          <cell r="D620" t="str">
            <v>UEC</v>
          </cell>
        </row>
        <row r="621">
          <cell r="B621" t="str">
            <v>16508</v>
          </cell>
          <cell r="C621" t="str">
            <v>Direct</v>
          </cell>
          <cell r="D621" t="str">
            <v>CIL</v>
          </cell>
        </row>
        <row r="622">
          <cell r="B622" t="str">
            <v>16516</v>
          </cell>
          <cell r="C622" t="str">
            <v>Direct</v>
          </cell>
          <cell r="D622" t="str">
            <v>UEC</v>
          </cell>
        </row>
        <row r="623">
          <cell r="B623" t="str">
            <v>16521</v>
          </cell>
          <cell r="C623" t="str">
            <v>Direct</v>
          </cell>
          <cell r="D623" t="str">
            <v>IPC</v>
          </cell>
        </row>
        <row r="624">
          <cell r="B624" t="str">
            <v>16522</v>
          </cell>
          <cell r="C624" t="str">
            <v>Direct</v>
          </cell>
          <cell r="D624" t="str">
            <v>IPC</v>
          </cell>
        </row>
        <row r="625">
          <cell r="B625" t="str">
            <v>16527</v>
          </cell>
          <cell r="C625" t="str">
            <v>Direct</v>
          </cell>
          <cell r="D625" t="str">
            <v>UEC</v>
          </cell>
        </row>
        <row r="626">
          <cell r="B626" t="str">
            <v>16533</v>
          </cell>
          <cell r="C626" t="str">
            <v>Direct</v>
          </cell>
          <cell r="D626" t="str">
            <v>ARG</v>
          </cell>
        </row>
        <row r="627">
          <cell r="B627" t="str">
            <v>16534</v>
          </cell>
          <cell r="C627" t="str">
            <v>Direct</v>
          </cell>
          <cell r="D627" t="str">
            <v>ARG</v>
          </cell>
        </row>
        <row r="628">
          <cell r="B628" t="str">
            <v>16535</v>
          </cell>
          <cell r="C628" t="str">
            <v>Direct</v>
          </cell>
          <cell r="D628" t="str">
            <v>ARG</v>
          </cell>
        </row>
        <row r="629">
          <cell r="B629" t="str">
            <v>16536</v>
          </cell>
          <cell r="C629" t="str">
            <v>Direct</v>
          </cell>
          <cell r="D629" t="str">
            <v>ARG</v>
          </cell>
        </row>
        <row r="630">
          <cell r="B630" t="str">
            <v>16543</v>
          </cell>
          <cell r="C630" t="str">
            <v>Direct</v>
          </cell>
          <cell r="D630" t="str">
            <v>IPC</v>
          </cell>
        </row>
        <row r="631">
          <cell r="B631" t="str">
            <v>16544</v>
          </cell>
          <cell r="C631" t="str">
            <v>Direct</v>
          </cell>
          <cell r="D631" t="str">
            <v>IPC</v>
          </cell>
        </row>
        <row r="632">
          <cell r="B632" t="str">
            <v>16547</v>
          </cell>
          <cell r="C632" t="str">
            <v>Direct</v>
          </cell>
          <cell r="D632" t="str">
            <v>IPC</v>
          </cell>
        </row>
        <row r="633">
          <cell r="B633" t="str">
            <v>16548</v>
          </cell>
          <cell r="C633" t="str">
            <v>Direct</v>
          </cell>
          <cell r="D633" t="str">
            <v>IPC</v>
          </cell>
        </row>
        <row r="634">
          <cell r="B634" t="str">
            <v>16557</v>
          </cell>
          <cell r="C634" t="str">
            <v>Direct</v>
          </cell>
          <cell r="D634" t="str">
            <v>AMC</v>
          </cell>
        </row>
        <row r="635">
          <cell r="B635" t="str">
            <v>16558</v>
          </cell>
          <cell r="C635" t="str">
            <v>Direct</v>
          </cell>
          <cell r="D635" t="str">
            <v>CIL</v>
          </cell>
        </row>
        <row r="636">
          <cell r="B636" t="str">
            <v>16561</v>
          </cell>
          <cell r="C636" t="str">
            <v>Direct</v>
          </cell>
          <cell r="D636" t="str">
            <v>IPC</v>
          </cell>
        </row>
        <row r="637">
          <cell r="B637" t="str">
            <v>16562</v>
          </cell>
          <cell r="C637" t="str">
            <v>Direct</v>
          </cell>
          <cell r="D637" t="str">
            <v>IPC</v>
          </cell>
        </row>
        <row r="638">
          <cell r="B638" t="str">
            <v>16564</v>
          </cell>
          <cell r="C638" t="str">
            <v>Direct</v>
          </cell>
          <cell r="D638" t="str">
            <v>IPC</v>
          </cell>
        </row>
        <row r="639">
          <cell r="B639" t="str">
            <v>16565</v>
          </cell>
          <cell r="C639" t="str">
            <v>Direct</v>
          </cell>
          <cell r="D639" t="str">
            <v>UEC</v>
          </cell>
        </row>
        <row r="640">
          <cell r="B640" t="str">
            <v>16566</v>
          </cell>
          <cell r="C640" t="str">
            <v>Direct</v>
          </cell>
          <cell r="D640" t="str">
            <v>UEC</v>
          </cell>
        </row>
        <row r="641">
          <cell r="B641" t="str">
            <v>16567</v>
          </cell>
          <cell r="C641" t="str">
            <v>Direct</v>
          </cell>
          <cell r="D641" t="str">
            <v>IPC</v>
          </cell>
        </row>
        <row r="642">
          <cell r="B642" t="str">
            <v>16574</v>
          </cell>
          <cell r="C642" t="str">
            <v>Direct</v>
          </cell>
          <cell r="D642" t="str">
            <v>UEC</v>
          </cell>
        </row>
        <row r="643">
          <cell r="B643" t="str">
            <v>16575</v>
          </cell>
          <cell r="C643" t="str">
            <v>Direct</v>
          </cell>
          <cell r="D643" t="str">
            <v>CIP</v>
          </cell>
        </row>
        <row r="644">
          <cell r="B644" t="str">
            <v>16577</v>
          </cell>
          <cell r="C644" t="str">
            <v>Direct</v>
          </cell>
          <cell r="D644" t="str">
            <v>AMC</v>
          </cell>
        </row>
        <row r="645">
          <cell r="B645" t="str">
            <v>16582</v>
          </cell>
          <cell r="C645" t="str">
            <v>Direct</v>
          </cell>
          <cell r="D645" t="str">
            <v>UEC</v>
          </cell>
        </row>
        <row r="646">
          <cell r="B646" t="str">
            <v>16583</v>
          </cell>
          <cell r="C646" t="str">
            <v>Direct</v>
          </cell>
          <cell r="D646" t="str">
            <v>UEC</v>
          </cell>
        </row>
        <row r="647">
          <cell r="B647" t="str">
            <v>16584</v>
          </cell>
          <cell r="C647" t="str">
            <v>Direct</v>
          </cell>
          <cell r="D647" t="str">
            <v>UEC</v>
          </cell>
        </row>
        <row r="648">
          <cell r="B648" t="str">
            <v>16585</v>
          </cell>
          <cell r="C648" t="str">
            <v>Direct</v>
          </cell>
          <cell r="D648" t="str">
            <v>GEN</v>
          </cell>
        </row>
        <row r="649">
          <cell r="B649" t="str">
            <v>16587</v>
          </cell>
          <cell r="C649" t="str">
            <v>Direct</v>
          </cell>
          <cell r="D649" t="str">
            <v>GEN</v>
          </cell>
        </row>
        <row r="650">
          <cell r="B650" t="str">
            <v>16588</v>
          </cell>
          <cell r="C650" t="str">
            <v>Direct</v>
          </cell>
          <cell r="D650" t="str">
            <v>GEN</v>
          </cell>
        </row>
        <row r="651">
          <cell r="B651" t="str">
            <v>16589</v>
          </cell>
          <cell r="C651" t="str">
            <v>Direct</v>
          </cell>
          <cell r="D651" t="str">
            <v>UEC</v>
          </cell>
        </row>
        <row r="652">
          <cell r="B652" t="str">
            <v>16590</v>
          </cell>
          <cell r="C652" t="str">
            <v>Direct</v>
          </cell>
          <cell r="D652" t="str">
            <v>CIP</v>
          </cell>
        </row>
        <row r="653">
          <cell r="B653" t="str">
            <v>16609</v>
          </cell>
          <cell r="C653" t="str">
            <v>Direct</v>
          </cell>
          <cell r="D653" t="str">
            <v>IPC</v>
          </cell>
        </row>
        <row r="654">
          <cell r="B654" t="str">
            <v>16610</v>
          </cell>
          <cell r="C654" t="str">
            <v>Direct</v>
          </cell>
          <cell r="D654" t="str">
            <v>CIP</v>
          </cell>
        </row>
        <row r="655">
          <cell r="B655" t="str">
            <v>16626</v>
          </cell>
          <cell r="C655" t="str">
            <v>Direct</v>
          </cell>
          <cell r="D655" t="str">
            <v>UEC</v>
          </cell>
        </row>
        <row r="656">
          <cell r="B656" t="str">
            <v>16628</v>
          </cell>
          <cell r="C656" t="str">
            <v>Direct</v>
          </cell>
          <cell r="D656" t="str">
            <v>GEN</v>
          </cell>
        </row>
        <row r="657">
          <cell r="B657" t="str">
            <v>16639</v>
          </cell>
          <cell r="C657" t="str">
            <v>Direct</v>
          </cell>
          <cell r="D657" t="str">
            <v>ARG</v>
          </cell>
        </row>
        <row r="658">
          <cell r="B658" t="str">
            <v>16650</v>
          </cell>
          <cell r="C658" t="str">
            <v>Direct</v>
          </cell>
          <cell r="D658" t="str">
            <v>UEC</v>
          </cell>
        </row>
        <row r="659">
          <cell r="B659" t="str">
            <v>16653</v>
          </cell>
          <cell r="C659" t="str">
            <v>Direct</v>
          </cell>
          <cell r="D659" t="str">
            <v>IPC</v>
          </cell>
        </row>
        <row r="660">
          <cell r="B660" t="str">
            <v>16654</v>
          </cell>
          <cell r="C660" t="str">
            <v>Direct</v>
          </cell>
          <cell r="D660" t="str">
            <v>IPC</v>
          </cell>
        </row>
        <row r="661">
          <cell r="B661" t="str">
            <v>16655</v>
          </cell>
          <cell r="C661" t="str">
            <v>Direct</v>
          </cell>
          <cell r="D661" t="str">
            <v>IPC</v>
          </cell>
        </row>
        <row r="662">
          <cell r="B662" t="str">
            <v>16656</v>
          </cell>
          <cell r="C662" t="str">
            <v>Direct</v>
          </cell>
          <cell r="D662" t="str">
            <v>IPC</v>
          </cell>
        </row>
        <row r="663">
          <cell r="B663" t="str">
            <v>16657</v>
          </cell>
          <cell r="C663" t="str">
            <v>Direct</v>
          </cell>
          <cell r="D663" t="str">
            <v>UEC</v>
          </cell>
        </row>
        <row r="664">
          <cell r="B664" t="str">
            <v>16684</v>
          </cell>
          <cell r="C664" t="str">
            <v>Direct</v>
          </cell>
          <cell r="D664" t="str">
            <v>GEN</v>
          </cell>
        </row>
        <row r="665">
          <cell r="B665" t="str">
            <v>16690</v>
          </cell>
          <cell r="C665" t="str">
            <v>Direct</v>
          </cell>
          <cell r="D665" t="str">
            <v>UEC</v>
          </cell>
        </row>
        <row r="666">
          <cell r="B666" t="str">
            <v>16699</v>
          </cell>
          <cell r="C666" t="str">
            <v>Direct</v>
          </cell>
          <cell r="D666" t="str">
            <v>ARG</v>
          </cell>
        </row>
        <row r="667">
          <cell r="B667" t="str">
            <v>16724</v>
          </cell>
          <cell r="C667" t="str">
            <v>Direct</v>
          </cell>
          <cell r="D667" t="str">
            <v>GEN</v>
          </cell>
        </row>
        <row r="668">
          <cell r="B668" t="str">
            <v>16725</v>
          </cell>
          <cell r="C668" t="str">
            <v>Direct</v>
          </cell>
          <cell r="D668" t="str">
            <v>GEN</v>
          </cell>
        </row>
        <row r="669">
          <cell r="B669" t="str">
            <v>16733</v>
          </cell>
          <cell r="C669" t="str">
            <v>Direct</v>
          </cell>
          <cell r="D669" t="str">
            <v>GEN</v>
          </cell>
        </row>
        <row r="670">
          <cell r="B670" t="str">
            <v>16736</v>
          </cell>
          <cell r="C670" t="str">
            <v>Direct</v>
          </cell>
          <cell r="D670" t="str">
            <v>GEN</v>
          </cell>
        </row>
        <row r="671">
          <cell r="B671" t="str">
            <v>16744</v>
          </cell>
          <cell r="C671" t="str">
            <v>Direct</v>
          </cell>
          <cell r="D671" t="str">
            <v>UEC</v>
          </cell>
        </row>
        <row r="672">
          <cell r="B672" t="str">
            <v>16749</v>
          </cell>
          <cell r="C672" t="str">
            <v>Direct</v>
          </cell>
          <cell r="D672" t="str">
            <v>GEN</v>
          </cell>
        </row>
        <row r="673">
          <cell r="B673" t="str">
            <v>16757</v>
          </cell>
          <cell r="C673" t="str">
            <v>Direct</v>
          </cell>
          <cell r="D673" t="str">
            <v>UEC</v>
          </cell>
        </row>
        <row r="674">
          <cell r="B674" t="str">
            <v>16759</v>
          </cell>
          <cell r="C674" t="str">
            <v>Direct</v>
          </cell>
          <cell r="D674" t="str">
            <v>CIP</v>
          </cell>
        </row>
        <row r="675">
          <cell r="B675" t="str">
            <v>16761</v>
          </cell>
          <cell r="C675" t="str">
            <v>Direct</v>
          </cell>
          <cell r="D675" t="str">
            <v>ARG</v>
          </cell>
        </row>
        <row r="676">
          <cell r="B676" t="str">
            <v>16763</v>
          </cell>
          <cell r="C676" t="str">
            <v>Direct</v>
          </cell>
          <cell r="D676" t="str">
            <v>GEN</v>
          </cell>
        </row>
        <row r="677">
          <cell r="B677" t="str">
            <v>16775</v>
          </cell>
          <cell r="C677" t="str">
            <v>Direct</v>
          </cell>
          <cell r="D677" t="str">
            <v>UEC</v>
          </cell>
        </row>
        <row r="678">
          <cell r="B678" t="str">
            <v>16788</v>
          </cell>
          <cell r="C678" t="str">
            <v>Direct</v>
          </cell>
          <cell r="D678" t="str">
            <v>GEN</v>
          </cell>
        </row>
        <row r="679">
          <cell r="B679" t="str">
            <v>16789</v>
          </cell>
          <cell r="C679" t="str">
            <v>Direct</v>
          </cell>
          <cell r="D679" t="str">
            <v>UEC</v>
          </cell>
        </row>
        <row r="680">
          <cell r="B680" t="str">
            <v>16797</v>
          </cell>
          <cell r="C680" t="str">
            <v>Direct</v>
          </cell>
          <cell r="D680" t="str">
            <v>UEC</v>
          </cell>
        </row>
        <row r="681">
          <cell r="B681" t="str">
            <v>16802</v>
          </cell>
          <cell r="C681" t="str">
            <v>Direct</v>
          </cell>
          <cell r="D681" t="str">
            <v>IPC</v>
          </cell>
        </row>
        <row r="682">
          <cell r="B682" t="str">
            <v>16822</v>
          </cell>
          <cell r="C682" t="str">
            <v>Direct</v>
          </cell>
          <cell r="D682" t="str">
            <v>UEC</v>
          </cell>
        </row>
        <row r="683">
          <cell r="B683" t="str">
            <v>16828</v>
          </cell>
          <cell r="C683" t="str">
            <v>Direct</v>
          </cell>
          <cell r="D683" t="str">
            <v>IPC</v>
          </cell>
        </row>
        <row r="684">
          <cell r="B684" t="str">
            <v>16831</v>
          </cell>
          <cell r="C684" t="str">
            <v>Direct</v>
          </cell>
          <cell r="D684" t="str">
            <v>IPC</v>
          </cell>
        </row>
        <row r="685">
          <cell r="B685" t="str">
            <v>16832</v>
          </cell>
          <cell r="C685" t="str">
            <v>Direct</v>
          </cell>
          <cell r="D685" t="str">
            <v>UEC</v>
          </cell>
        </row>
        <row r="686">
          <cell r="B686" t="str">
            <v>16835</v>
          </cell>
          <cell r="C686" t="str">
            <v>Direct</v>
          </cell>
          <cell r="D686" t="str">
            <v>GEN</v>
          </cell>
        </row>
        <row r="687">
          <cell r="B687" t="str">
            <v>16840</v>
          </cell>
          <cell r="C687" t="str">
            <v>Direct</v>
          </cell>
          <cell r="D687" t="str">
            <v>UEC</v>
          </cell>
        </row>
        <row r="688">
          <cell r="B688" t="str">
            <v>16841</v>
          </cell>
          <cell r="C688" t="str">
            <v>Direct</v>
          </cell>
          <cell r="D688" t="str">
            <v>UEC</v>
          </cell>
        </row>
        <row r="689">
          <cell r="B689" t="str">
            <v>16843</v>
          </cell>
          <cell r="C689" t="str">
            <v>Direct</v>
          </cell>
          <cell r="D689" t="str">
            <v>UEC</v>
          </cell>
        </row>
        <row r="690">
          <cell r="B690" t="str">
            <v>16845</v>
          </cell>
          <cell r="C690" t="str">
            <v>Direct</v>
          </cell>
          <cell r="D690" t="str">
            <v>GEN</v>
          </cell>
        </row>
        <row r="691">
          <cell r="B691" t="str">
            <v>16846</v>
          </cell>
          <cell r="C691" t="str">
            <v>Direct</v>
          </cell>
          <cell r="D691" t="str">
            <v>UEC</v>
          </cell>
        </row>
        <row r="692">
          <cell r="B692" t="str">
            <v>16847</v>
          </cell>
          <cell r="C692" t="str">
            <v>Direct</v>
          </cell>
          <cell r="D692" t="str">
            <v>GEN</v>
          </cell>
        </row>
        <row r="693">
          <cell r="B693" t="str">
            <v>16848</v>
          </cell>
          <cell r="C693" t="str">
            <v>Direct</v>
          </cell>
          <cell r="D693" t="str">
            <v>CIL</v>
          </cell>
        </row>
        <row r="694">
          <cell r="B694" t="str">
            <v>16852</v>
          </cell>
          <cell r="C694" t="str">
            <v>Direct</v>
          </cell>
          <cell r="D694" t="str">
            <v>CIL</v>
          </cell>
        </row>
        <row r="695">
          <cell r="B695" t="str">
            <v>16862</v>
          </cell>
          <cell r="C695" t="str">
            <v>Direct</v>
          </cell>
          <cell r="D695" t="str">
            <v>UEC</v>
          </cell>
        </row>
        <row r="696">
          <cell r="B696" t="str">
            <v>16863</v>
          </cell>
          <cell r="C696" t="str">
            <v>Direct</v>
          </cell>
          <cell r="D696" t="str">
            <v>UEC</v>
          </cell>
        </row>
        <row r="697">
          <cell r="B697" t="str">
            <v>16864</v>
          </cell>
          <cell r="C697" t="str">
            <v>Direct</v>
          </cell>
          <cell r="D697" t="str">
            <v>UEC</v>
          </cell>
        </row>
        <row r="698">
          <cell r="B698" t="str">
            <v>16866</v>
          </cell>
          <cell r="C698" t="str">
            <v>Direct</v>
          </cell>
          <cell r="D698" t="str">
            <v>UEC</v>
          </cell>
        </row>
        <row r="699">
          <cell r="B699" t="str">
            <v>16922</v>
          </cell>
          <cell r="C699" t="str">
            <v>Direct</v>
          </cell>
          <cell r="D699" t="str">
            <v>CIP</v>
          </cell>
        </row>
        <row r="700">
          <cell r="B700" t="str">
            <v>16934</v>
          </cell>
          <cell r="C700" t="str">
            <v>Direct</v>
          </cell>
          <cell r="D700" t="str">
            <v>IPC</v>
          </cell>
        </row>
        <row r="701">
          <cell r="B701" t="str">
            <v>16937</v>
          </cell>
          <cell r="C701" t="str">
            <v>Direct</v>
          </cell>
          <cell r="D701" t="str">
            <v>IPC</v>
          </cell>
        </row>
        <row r="702">
          <cell r="B702" t="str">
            <v>16938</v>
          </cell>
          <cell r="C702" t="str">
            <v>Direct</v>
          </cell>
          <cell r="D702" t="str">
            <v>IPC</v>
          </cell>
        </row>
        <row r="703">
          <cell r="B703" t="str">
            <v>16939</v>
          </cell>
          <cell r="C703" t="str">
            <v>Direct</v>
          </cell>
          <cell r="D703" t="str">
            <v>IPC</v>
          </cell>
        </row>
        <row r="704">
          <cell r="B704" t="str">
            <v>16940</v>
          </cell>
          <cell r="C704" t="str">
            <v>Direct</v>
          </cell>
          <cell r="D704" t="str">
            <v>UEC</v>
          </cell>
        </row>
        <row r="705">
          <cell r="B705" t="str">
            <v>16944</v>
          </cell>
          <cell r="C705" t="str">
            <v>Direct</v>
          </cell>
          <cell r="D705" t="str">
            <v>UEC</v>
          </cell>
        </row>
        <row r="706">
          <cell r="B706" t="str">
            <v>16952</v>
          </cell>
          <cell r="C706" t="str">
            <v>Direct</v>
          </cell>
          <cell r="D706" t="str">
            <v>UEC</v>
          </cell>
        </row>
        <row r="707">
          <cell r="B707" t="str">
            <v>16953</v>
          </cell>
          <cell r="C707" t="str">
            <v>Direct</v>
          </cell>
          <cell r="D707" t="str">
            <v>CIL</v>
          </cell>
        </row>
        <row r="708">
          <cell r="B708" t="str">
            <v>16956</v>
          </cell>
          <cell r="C708" t="str">
            <v>Direct</v>
          </cell>
          <cell r="D708" t="str">
            <v>IPC</v>
          </cell>
        </row>
        <row r="709">
          <cell r="B709" t="str">
            <v>16957</v>
          </cell>
          <cell r="C709" t="str">
            <v>Direct</v>
          </cell>
          <cell r="D709" t="str">
            <v>IPC</v>
          </cell>
        </row>
        <row r="710">
          <cell r="B710" t="str">
            <v>16959</v>
          </cell>
          <cell r="C710" t="str">
            <v>Direct</v>
          </cell>
          <cell r="D710" t="str">
            <v>IPC</v>
          </cell>
        </row>
        <row r="711">
          <cell r="B711" t="str">
            <v>16977</v>
          </cell>
          <cell r="C711" t="str">
            <v>Direct</v>
          </cell>
          <cell r="D711" t="str">
            <v>UEC</v>
          </cell>
        </row>
        <row r="712">
          <cell r="B712" t="str">
            <v>16983</v>
          </cell>
          <cell r="C712" t="str">
            <v>Direct</v>
          </cell>
          <cell r="D712" t="str">
            <v>CIL</v>
          </cell>
        </row>
        <row r="713">
          <cell r="B713" t="str">
            <v>16984</v>
          </cell>
          <cell r="C713" t="str">
            <v>Direct</v>
          </cell>
          <cell r="D713" t="str">
            <v>CIL</v>
          </cell>
        </row>
        <row r="714">
          <cell r="B714" t="str">
            <v>16996</v>
          </cell>
          <cell r="C714" t="str">
            <v>Direct</v>
          </cell>
          <cell r="D714" t="str">
            <v>CIL</v>
          </cell>
        </row>
        <row r="715">
          <cell r="B715" t="str">
            <v>17007</v>
          </cell>
          <cell r="C715" t="str">
            <v>Direct</v>
          </cell>
          <cell r="D715" t="str">
            <v>UEC</v>
          </cell>
        </row>
        <row r="716">
          <cell r="B716" t="str">
            <v>17017</v>
          </cell>
          <cell r="C716" t="str">
            <v>Direct</v>
          </cell>
          <cell r="D716" t="str">
            <v>UEC</v>
          </cell>
        </row>
        <row r="717">
          <cell r="B717" t="str">
            <v>17020</v>
          </cell>
          <cell r="C717" t="str">
            <v>Direct</v>
          </cell>
          <cell r="D717" t="str">
            <v>UEC</v>
          </cell>
        </row>
        <row r="718">
          <cell r="B718" t="str">
            <v>17022</v>
          </cell>
          <cell r="C718" t="str">
            <v>Direct</v>
          </cell>
          <cell r="D718" t="str">
            <v>GEN</v>
          </cell>
        </row>
        <row r="719">
          <cell r="B719" t="str">
            <v>17027</v>
          </cell>
          <cell r="C719" t="str">
            <v>Direct</v>
          </cell>
          <cell r="D719" t="str">
            <v>UEC</v>
          </cell>
        </row>
        <row r="720">
          <cell r="B720" t="str">
            <v>17030</v>
          </cell>
          <cell r="C720" t="str">
            <v>Direct</v>
          </cell>
          <cell r="D720" t="str">
            <v>IPC</v>
          </cell>
        </row>
        <row r="721">
          <cell r="B721" t="str">
            <v>17032</v>
          </cell>
          <cell r="C721" t="str">
            <v>Direct</v>
          </cell>
          <cell r="D721" t="str">
            <v>IPC</v>
          </cell>
        </row>
        <row r="722">
          <cell r="B722" t="str">
            <v>17038</v>
          </cell>
          <cell r="C722" t="str">
            <v>Direct</v>
          </cell>
          <cell r="D722" t="str">
            <v>UEC</v>
          </cell>
        </row>
        <row r="723">
          <cell r="B723" t="str">
            <v>17042</v>
          </cell>
          <cell r="C723" t="str">
            <v>Direct</v>
          </cell>
          <cell r="D723" t="str">
            <v>IPC</v>
          </cell>
        </row>
        <row r="724">
          <cell r="B724" t="str">
            <v>17044</v>
          </cell>
          <cell r="C724" t="str">
            <v>Direct</v>
          </cell>
          <cell r="D724" t="str">
            <v>IPC</v>
          </cell>
        </row>
        <row r="725">
          <cell r="B725" t="str">
            <v>17045</v>
          </cell>
          <cell r="C725" t="str">
            <v>Direct</v>
          </cell>
          <cell r="D725" t="str">
            <v>IPC</v>
          </cell>
        </row>
        <row r="726">
          <cell r="B726" t="str">
            <v>17049</v>
          </cell>
          <cell r="C726" t="str">
            <v>Direct</v>
          </cell>
          <cell r="D726" t="str">
            <v>CIL</v>
          </cell>
        </row>
        <row r="727">
          <cell r="B727" t="str">
            <v>17055</v>
          </cell>
          <cell r="C727" t="str">
            <v>Direct</v>
          </cell>
          <cell r="D727" t="str">
            <v>IPC</v>
          </cell>
        </row>
        <row r="728">
          <cell r="B728" t="str">
            <v>17059</v>
          </cell>
          <cell r="C728" t="str">
            <v>Direct</v>
          </cell>
          <cell r="D728" t="str">
            <v>CIL</v>
          </cell>
        </row>
        <row r="729">
          <cell r="B729" t="str">
            <v>17060</v>
          </cell>
          <cell r="C729" t="str">
            <v>Direct</v>
          </cell>
          <cell r="D729" t="str">
            <v>CIL</v>
          </cell>
        </row>
        <row r="730">
          <cell r="B730" t="str">
            <v>17221</v>
          </cell>
          <cell r="C730" t="str">
            <v>Direct</v>
          </cell>
          <cell r="D730" t="str">
            <v>IPC</v>
          </cell>
        </row>
        <row r="731">
          <cell r="B731" t="str">
            <v>17226</v>
          </cell>
          <cell r="C731" t="str">
            <v>Direct</v>
          </cell>
          <cell r="D731" t="str">
            <v>IPC</v>
          </cell>
        </row>
        <row r="732">
          <cell r="B732" t="str">
            <v>17232</v>
          </cell>
          <cell r="C732" t="str">
            <v>Direct</v>
          </cell>
          <cell r="D732" t="str">
            <v>IPC</v>
          </cell>
        </row>
        <row r="733">
          <cell r="B733" t="str">
            <v>17233</v>
          </cell>
          <cell r="C733" t="str">
            <v>Direct</v>
          </cell>
          <cell r="D733" t="str">
            <v>IPC</v>
          </cell>
        </row>
        <row r="734">
          <cell r="B734" t="str">
            <v>17287</v>
          </cell>
          <cell r="C734" t="str">
            <v>Direct</v>
          </cell>
          <cell r="D734" t="str">
            <v>IPC</v>
          </cell>
        </row>
        <row r="735">
          <cell r="B735" t="str">
            <v>17309</v>
          </cell>
          <cell r="C735" t="str">
            <v>Direct</v>
          </cell>
          <cell r="D735" t="str">
            <v>IPC</v>
          </cell>
        </row>
        <row r="736">
          <cell r="B736" t="str">
            <v>17310</v>
          </cell>
          <cell r="C736" t="str">
            <v>Direct</v>
          </cell>
          <cell r="D736" t="str">
            <v>IPC</v>
          </cell>
        </row>
        <row r="737">
          <cell r="B737" t="str">
            <v>17311</v>
          </cell>
          <cell r="C737" t="str">
            <v>Direct</v>
          </cell>
          <cell r="D737" t="str">
            <v>IPC</v>
          </cell>
        </row>
        <row r="738">
          <cell r="B738" t="str">
            <v>17328</v>
          </cell>
          <cell r="C738" t="str">
            <v>Direct</v>
          </cell>
          <cell r="D738" t="str">
            <v>IPC</v>
          </cell>
        </row>
        <row r="739">
          <cell r="B739" t="str">
            <v>17409</v>
          </cell>
          <cell r="C739" t="str">
            <v>Direct</v>
          </cell>
          <cell r="D739" t="str">
            <v>IPC</v>
          </cell>
        </row>
        <row r="740">
          <cell r="B740" t="str">
            <v>17415</v>
          </cell>
          <cell r="C740" t="str">
            <v>Direct</v>
          </cell>
          <cell r="D740" t="str">
            <v>IPC</v>
          </cell>
        </row>
        <row r="741">
          <cell r="B741" t="str">
            <v>17521</v>
          </cell>
          <cell r="C741" t="str">
            <v>Direct</v>
          </cell>
          <cell r="D741" t="str">
            <v>IPC</v>
          </cell>
        </row>
        <row r="742">
          <cell r="B742" t="str">
            <v>17532</v>
          </cell>
          <cell r="C742" t="str">
            <v>Direct</v>
          </cell>
          <cell r="D742" t="str">
            <v>UEC</v>
          </cell>
        </row>
        <row r="743">
          <cell r="B743" t="str">
            <v>17561</v>
          </cell>
          <cell r="C743" t="str">
            <v>Direct</v>
          </cell>
          <cell r="D743" t="str">
            <v>IPC</v>
          </cell>
        </row>
        <row r="744">
          <cell r="B744" t="str">
            <v>17565</v>
          </cell>
          <cell r="C744" t="str">
            <v>Direct</v>
          </cell>
          <cell r="D744" t="str">
            <v>IPC</v>
          </cell>
        </row>
        <row r="745">
          <cell r="B745" t="str">
            <v>17840</v>
          </cell>
          <cell r="C745" t="str">
            <v>Direct</v>
          </cell>
          <cell r="D745" t="str">
            <v>UEC</v>
          </cell>
        </row>
        <row r="746">
          <cell r="B746" t="str">
            <v>17947</v>
          </cell>
          <cell r="C746" t="str">
            <v>Direct</v>
          </cell>
          <cell r="D746" t="str">
            <v>UEC</v>
          </cell>
        </row>
        <row r="747">
          <cell r="B747" t="str">
            <v>18062</v>
          </cell>
          <cell r="C747" t="str">
            <v>Direct</v>
          </cell>
          <cell r="D747" t="str">
            <v>UEC</v>
          </cell>
        </row>
        <row r="748">
          <cell r="B748" t="str">
            <v>18063</v>
          </cell>
          <cell r="C748" t="str">
            <v>Direct</v>
          </cell>
          <cell r="D748" t="str">
            <v>CIP</v>
          </cell>
        </row>
        <row r="749">
          <cell r="B749" t="str">
            <v>18166</v>
          </cell>
          <cell r="C749" t="str">
            <v>Direct</v>
          </cell>
          <cell r="D749" t="str">
            <v>IPC</v>
          </cell>
        </row>
        <row r="750">
          <cell r="B750" t="str">
            <v>18261</v>
          </cell>
          <cell r="C750" t="str">
            <v>Direct</v>
          </cell>
          <cell r="D750" t="str">
            <v>IPC</v>
          </cell>
        </row>
        <row r="751">
          <cell r="B751" t="str">
            <v>18314</v>
          </cell>
          <cell r="C751" t="str">
            <v>Direct</v>
          </cell>
          <cell r="D751" t="str">
            <v>IPC</v>
          </cell>
        </row>
        <row r="752">
          <cell r="B752" t="str">
            <v>18315</v>
          </cell>
          <cell r="C752" t="str">
            <v>Direct</v>
          </cell>
          <cell r="D752" t="str">
            <v>IPC</v>
          </cell>
        </row>
        <row r="753">
          <cell r="B753" t="str">
            <v>18317</v>
          </cell>
          <cell r="C753" t="str">
            <v>Direct</v>
          </cell>
          <cell r="D753" t="str">
            <v>IPC</v>
          </cell>
        </row>
        <row r="754">
          <cell r="B754" t="str">
            <v>18385</v>
          </cell>
          <cell r="C754" t="str">
            <v>Direct</v>
          </cell>
          <cell r="D754" t="str">
            <v>UEC</v>
          </cell>
        </row>
        <row r="755">
          <cell r="B755" t="str">
            <v>18441</v>
          </cell>
          <cell r="C755" t="str">
            <v>Direct</v>
          </cell>
          <cell r="D755" t="str">
            <v>UEC</v>
          </cell>
        </row>
        <row r="756">
          <cell r="B756" t="str">
            <v>18447</v>
          </cell>
          <cell r="C756" t="str">
            <v>Direct</v>
          </cell>
          <cell r="D756" t="str">
            <v>IPC</v>
          </cell>
        </row>
        <row r="757">
          <cell r="B757" t="str">
            <v>18450</v>
          </cell>
          <cell r="C757" t="str">
            <v>Direct</v>
          </cell>
          <cell r="D757" t="str">
            <v>IPC</v>
          </cell>
        </row>
        <row r="758">
          <cell r="B758" t="str">
            <v>18458</v>
          </cell>
          <cell r="C758" t="str">
            <v>Direct</v>
          </cell>
          <cell r="D758" t="str">
            <v>IPC</v>
          </cell>
        </row>
        <row r="759">
          <cell r="B759" t="str">
            <v>18461</v>
          </cell>
          <cell r="C759" t="str">
            <v>Direct</v>
          </cell>
          <cell r="D759" t="str">
            <v>IPC</v>
          </cell>
        </row>
        <row r="760">
          <cell r="B760" t="str">
            <v>18462</v>
          </cell>
          <cell r="C760" t="str">
            <v>Direct</v>
          </cell>
          <cell r="D760" t="str">
            <v>IPC</v>
          </cell>
        </row>
        <row r="761">
          <cell r="B761" t="str">
            <v>18501</v>
          </cell>
          <cell r="C761" t="str">
            <v>Direct</v>
          </cell>
          <cell r="D761" t="str">
            <v>IPC</v>
          </cell>
        </row>
        <row r="762">
          <cell r="B762" t="str">
            <v>18502</v>
          </cell>
          <cell r="C762" t="str">
            <v>Direct</v>
          </cell>
          <cell r="D762" t="str">
            <v>IPC</v>
          </cell>
        </row>
        <row r="763">
          <cell r="B763" t="str">
            <v>18503</v>
          </cell>
          <cell r="C763" t="str">
            <v>Direct</v>
          </cell>
          <cell r="D763" t="str">
            <v>IPC</v>
          </cell>
        </row>
        <row r="764">
          <cell r="B764" t="str">
            <v>18629</v>
          </cell>
          <cell r="C764" t="str">
            <v>Direct</v>
          </cell>
          <cell r="D764" t="str">
            <v>IPC</v>
          </cell>
        </row>
        <row r="765">
          <cell r="B765" t="str">
            <v>18634</v>
          </cell>
          <cell r="C765" t="str">
            <v>Direct</v>
          </cell>
          <cell r="D765" t="str">
            <v>IPC</v>
          </cell>
        </row>
        <row r="766">
          <cell r="B766" t="str">
            <v>18650</v>
          </cell>
          <cell r="C766" t="str">
            <v>Direct</v>
          </cell>
          <cell r="D766" t="str">
            <v>IPC</v>
          </cell>
        </row>
        <row r="767">
          <cell r="B767" t="str">
            <v>18679</v>
          </cell>
          <cell r="C767" t="str">
            <v>Direct</v>
          </cell>
          <cell r="D767" t="str">
            <v>IPC</v>
          </cell>
        </row>
        <row r="768">
          <cell r="B768" t="str">
            <v>18684</v>
          </cell>
          <cell r="C768" t="str">
            <v>Direct</v>
          </cell>
          <cell r="D768" t="str">
            <v>IPC</v>
          </cell>
        </row>
        <row r="769">
          <cell r="B769" t="str">
            <v>18688</v>
          </cell>
          <cell r="C769" t="str">
            <v>Direct</v>
          </cell>
          <cell r="D769" t="str">
            <v>IPC</v>
          </cell>
        </row>
        <row r="770">
          <cell r="B770" t="str">
            <v>18692</v>
          </cell>
          <cell r="C770" t="str">
            <v>Direct</v>
          </cell>
          <cell r="D770" t="str">
            <v>IPC</v>
          </cell>
        </row>
        <row r="771">
          <cell r="B771" t="str">
            <v>18698</v>
          </cell>
          <cell r="C771" t="str">
            <v>Direct</v>
          </cell>
          <cell r="D771" t="str">
            <v>IPC</v>
          </cell>
        </row>
        <row r="772">
          <cell r="B772" t="str">
            <v>18708</v>
          </cell>
          <cell r="C772" t="str">
            <v>Direct</v>
          </cell>
          <cell r="D772" t="str">
            <v>IPC</v>
          </cell>
        </row>
        <row r="773">
          <cell r="B773" t="str">
            <v>18710</v>
          </cell>
          <cell r="C773" t="str">
            <v>Direct</v>
          </cell>
          <cell r="D773" t="str">
            <v>IPC</v>
          </cell>
        </row>
        <row r="774">
          <cell r="B774" t="str">
            <v>18732</v>
          </cell>
          <cell r="C774" t="str">
            <v>Direct</v>
          </cell>
          <cell r="D774" t="str">
            <v>IPC</v>
          </cell>
        </row>
        <row r="775">
          <cell r="B775" t="str">
            <v>18734</v>
          </cell>
          <cell r="C775" t="str">
            <v>Direct</v>
          </cell>
          <cell r="D775" t="str">
            <v>IPC</v>
          </cell>
        </row>
        <row r="776">
          <cell r="B776" t="str">
            <v>18736</v>
          </cell>
          <cell r="C776" t="str">
            <v>Direct</v>
          </cell>
          <cell r="D776" t="str">
            <v>IPC</v>
          </cell>
        </row>
        <row r="777">
          <cell r="B777" t="str">
            <v>18737</v>
          </cell>
          <cell r="C777" t="str">
            <v>Direct</v>
          </cell>
          <cell r="D777" t="str">
            <v>IPC</v>
          </cell>
        </row>
        <row r="778">
          <cell r="B778" t="str">
            <v>18738</v>
          </cell>
          <cell r="C778" t="str">
            <v>Direct</v>
          </cell>
          <cell r="D778" t="str">
            <v>IPC</v>
          </cell>
        </row>
        <row r="779">
          <cell r="B779" t="str">
            <v>18740</v>
          </cell>
          <cell r="C779" t="str">
            <v>Direct</v>
          </cell>
          <cell r="D779" t="str">
            <v>IPC</v>
          </cell>
        </row>
        <row r="780">
          <cell r="B780" t="str">
            <v>18741</v>
          </cell>
          <cell r="C780" t="str">
            <v>Direct</v>
          </cell>
          <cell r="D780" t="str">
            <v>IPC</v>
          </cell>
        </row>
        <row r="781">
          <cell r="B781" t="str">
            <v>18742</v>
          </cell>
          <cell r="C781" t="str">
            <v>Direct</v>
          </cell>
          <cell r="D781" t="str">
            <v>IPC</v>
          </cell>
        </row>
        <row r="782">
          <cell r="B782" t="str">
            <v>18758</v>
          </cell>
          <cell r="C782" t="str">
            <v>Direct</v>
          </cell>
          <cell r="D782" t="str">
            <v>IPC</v>
          </cell>
        </row>
        <row r="783">
          <cell r="B783" t="str">
            <v>18946</v>
          </cell>
          <cell r="C783" t="str">
            <v>Direct</v>
          </cell>
          <cell r="D783" t="str">
            <v>CIP</v>
          </cell>
        </row>
        <row r="784">
          <cell r="B784" t="str">
            <v>18947</v>
          </cell>
          <cell r="C784" t="str">
            <v>Direct</v>
          </cell>
          <cell r="D784" t="str">
            <v>IPC</v>
          </cell>
        </row>
        <row r="785">
          <cell r="B785" t="str">
            <v>19085</v>
          </cell>
          <cell r="C785" t="str">
            <v>Direct</v>
          </cell>
          <cell r="D785" t="str">
            <v>IPC</v>
          </cell>
        </row>
        <row r="786">
          <cell r="B786" t="str">
            <v>19089</v>
          </cell>
          <cell r="C786" t="str">
            <v>Direct</v>
          </cell>
          <cell r="D786" t="str">
            <v>UEC</v>
          </cell>
        </row>
        <row r="787">
          <cell r="B787" t="str">
            <v>19091</v>
          </cell>
          <cell r="C787" t="str">
            <v>Direct</v>
          </cell>
          <cell r="D787" t="str">
            <v>UEC</v>
          </cell>
        </row>
        <row r="788">
          <cell r="B788" t="str">
            <v>19092</v>
          </cell>
          <cell r="C788" t="str">
            <v>Direct</v>
          </cell>
          <cell r="D788" t="str">
            <v>UEC</v>
          </cell>
        </row>
        <row r="789">
          <cell r="B789" t="str">
            <v>19093</v>
          </cell>
          <cell r="C789" t="str">
            <v>Direct</v>
          </cell>
          <cell r="D789" t="str">
            <v>UEC</v>
          </cell>
        </row>
        <row r="790">
          <cell r="B790" t="str">
            <v>19097</v>
          </cell>
          <cell r="C790" t="str">
            <v>Direct</v>
          </cell>
          <cell r="D790" t="str">
            <v>CIL</v>
          </cell>
        </row>
        <row r="791">
          <cell r="B791" t="str">
            <v>19098</v>
          </cell>
          <cell r="C791" t="str">
            <v>Direct</v>
          </cell>
          <cell r="D791" t="str">
            <v>GEN</v>
          </cell>
        </row>
        <row r="792">
          <cell r="B792" t="str">
            <v>19099</v>
          </cell>
          <cell r="C792" t="str">
            <v>Direct</v>
          </cell>
          <cell r="D792" t="str">
            <v>IPC</v>
          </cell>
        </row>
        <row r="793">
          <cell r="B793" t="str">
            <v>19104</v>
          </cell>
          <cell r="C793" t="str">
            <v>Direct</v>
          </cell>
          <cell r="D793" t="str">
            <v>IPC</v>
          </cell>
        </row>
        <row r="794">
          <cell r="B794" t="str">
            <v>19106</v>
          </cell>
          <cell r="C794" t="str">
            <v>Direct</v>
          </cell>
          <cell r="D794" t="str">
            <v>IPC</v>
          </cell>
        </row>
        <row r="795">
          <cell r="B795" t="str">
            <v>19115</v>
          </cell>
          <cell r="C795" t="str">
            <v>Direct</v>
          </cell>
          <cell r="D795" t="str">
            <v>IPC</v>
          </cell>
        </row>
        <row r="796">
          <cell r="B796" t="str">
            <v>19116</v>
          </cell>
          <cell r="C796" t="str">
            <v>Direct</v>
          </cell>
          <cell r="D796" t="str">
            <v>IPC</v>
          </cell>
        </row>
        <row r="797">
          <cell r="B797" t="str">
            <v>19118</v>
          </cell>
          <cell r="C797" t="str">
            <v>Direct</v>
          </cell>
          <cell r="D797" t="str">
            <v>IPC</v>
          </cell>
        </row>
        <row r="798">
          <cell r="B798" t="str">
            <v>19126</v>
          </cell>
          <cell r="C798" t="str">
            <v>Direct</v>
          </cell>
          <cell r="D798" t="str">
            <v>IPC</v>
          </cell>
        </row>
        <row r="799">
          <cell r="B799" t="str">
            <v>19127</v>
          </cell>
          <cell r="C799" t="str">
            <v>Direct</v>
          </cell>
          <cell r="D799" t="str">
            <v>IPC</v>
          </cell>
        </row>
        <row r="800">
          <cell r="B800" t="str">
            <v>19130</v>
          </cell>
          <cell r="C800" t="str">
            <v>Direct</v>
          </cell>
          <cell r="D800" t="str">
            <v>CIP</v>
          </cell>
        </row>
        <row r="801">
          <cell r="B801" t="str">
            <v>19137</v>
          </cell>
          <cell r="C801" t="str">
            <v>Direct</v>
          </cell>
          <cell r="D801" t="str">
            <v>IPC</v>
          </cell>
        </row>
        <row r="802">
          <cell r="B802" t="str">
            <v>19156</v>
          </cell>
          <cell r="C802" t="str">
            <v>Direct</v>
          </cell>
          <cell r="D802" t="str">
            <v>UEC</v>
          </cell>
        </row>
        <row r="803">
          <cell r="B803" t="str">
            <v>19157</v>
          </cell>
          <cell r="C803" t="str">
            <v>Direct</v>
          </cell>
          <cell r="D803" t="str">
            <v>AMC</v>
          </cell>
        </row>
        <row r="804">
          <cell r="B804" t="str">
            <v>19205</v>
          </cell>
          <cell r="C804" t="str">
            <v>Direct</v>
          </cell>
          <cell r="D804" t="str">
            <v>UEC</v>
          </cell>
        </row>
        <row r="805">
          <cell r="B805" t="str">
            <v>19208</v>
          </cell>
          <cell r="C805" t="str">
            <v>Direct</v>
          </cell>
          <cell r="D805" t="str">
            <v>UEC</v>
          </cell>
        </row>
        <row r="806">
          <cell r="B806" t="str">
            <v>19214</v>
          </cell>
          <cell r="C806" t="str">
            <v>Direct</v>
          </cell>
          <cell r="D806" t="str">
            <v>IPC</v>
          </cell>
        </row>
        <row r="807">
          <cell r="B807" t="str">
            <v>19215</v>
          </cell>
          <cell r="C807" t="str">
            <v>Direct</v>
          </cell>
          <cell r="D807" t="str">
            <v>IPC</v>
          </cell>
        </row>
        <row r="808">
          <cell r="B808" t="str">
            <v>19216</v>
          </cell>
          <cell r="C808" t="str">
            <v>Direct</v>
          </cell>
          <cell r="D808" t="str">
            <v>IPC</v>
          </cell>
        </row>
        <row r="809">
          <cell r="B809" t="str">
            <v>19217</v>
          </cell>
          <cell r="C809" t="str">
            <v>Direct</v>
          </cell>
          <cell r="D809" t="str">
            <v>IPC</v>
          </cell>
        </row>
        <row r="810">
          <cell r="B810" t="str">
            <v>19218</v>
          </cell>
          <cell r="C810" t="str">
            <v>Direct</v>
          </cell>
          <cell r="D810" t="str">
            <v>IPC</v>
          </cell>
        </row>
        <row r="811">
          <cell r="B811" t="str">
            <v>19229</v>
          </cell>
          <cell r="C811" t="str">
            <v>Direct</v>
          </cell>
          <cell r="D811" t="str">
            <v>UEC</v>
          </cell>
        </row>
        <row r="812">
          <cell r="B812" t="str">
            <v>19234</v>
          </cell>
          <cell r="C812" t="str">
            <v>Direct</v>
          </cell>
          <cell r="D812" t="str">
            <v>IPC</v>
          </cell>
        </row>
        <row r="813">
          <cell r="B813" t="str">
            <v>19236</v>
          </cell>
          <cell r="C813" t="str">
            <v>Direct</v>
          </cell>
          <cell r="D813" t="str">
            <v>UEC</v>
          </cell>
        </row>
        <row r="814">
          <cell r="B814" t="str">
            <v>19238</v>
          </cell>
          <cell r="C814" t="str">
            <v>Direct</v>
          </cell>
          <cell r="D814" t="str">
            <v>UEC</v>
          </cell>
        </row>
        <row r="815">
          <cell r="B815" t="str">
            <v>19249</v>
          </cell>
          <cell r="C815" t="str">
            <v>Direct</v>
          </cell>
          <cell r="D815" t="str">
            <v>CIP</v>
          </cell>
        </row>
        <row r="816">
          <cell r="B816" t="str">
            <v>19254</v>
          </cell>
          <cell r="C816" t="str">
            <v>Direct</v>
          </cell>
          <cell r="D816" t="str">
            <v>GEN</v>
          </cell>
        </row>
        <row r="817">
          <cell r="B817" t="str">
            <v>19267</v>
          </cell>
          <cell r="C817" t="str">
            <v>Direct</v>
          </cell>
          <cell r="D817" t="str">
            <v>IPC</v>
          </cell>
        </row>
        <row r="818">
          <cell r="B818" t="str">
            <v>19272</v>
          </cell>
          <cell r="C818" t="str">
            <v>Direct</v>
          </cell>
          <cell r="D818" t="str">
            <v>CIP</v>
          </cell>
        </row>
        <row r="819">
          <cell r="B819" t="str">
            <v>19275</v>
          </cell>
          <cell r="C819" t="str">
            <v>Direct</v>
          </cell>
          <cell r="D819" t="str">
            <v>GEN</v>
          </cell>
        </row>
        <row r="820">
          <cell r="B820" t="str">
            <v>19294</v>
          </cell>
          <cell r="C820" t="str">
            <v>Direct</v>
          </cell>
          <cell r="D820" t="str">
            <v>UEC</v>
          </cell>
        </row>
        <row r="821">
          <cell r="B821" t="str">
            <v>19300</v>
          </cell>
          <cell r="C821" t="str">
            <v>Direct</v>
          </cell>
          <cell r="D821" t="str">
            <v>IPC</v>
          </cell>
        </row>
        <row r="822">
          <cell r="B822" t="str">
            <v>19310</v>
          </cell>
          <cell r="C822" t="str">
            <v>Direct</v>
          </cell>
          <cell r="D822" t="str">
            <v>GEN</v>
          </cell>
        </row>
        <row r="823">
          <cell r="B823" t="str">
            <v>19314</v>
          </cell>
          <cell r="C823" t="str">
            <v>Direct</v>
          </cell>
          <cell r="D823" t="str">
            <v>CIP</v>
          </cell>
        </row>
        <row r="824">
          <cell r="B824" t="str">
            <v>19315</v>
          </cell>
          <cell r="C824" t="str">
            <v>Direct</v>
          </cell>
          <cell r="D824" t="str">
            <v>CIP</v>
          </cell>
        </row>
        <row r="825">
          <cell r="B825" t="str">
            <v>19321</v>
          </cell>
          <cell r="C825" t="str">
            <v>Direct</v>
          </cell>
          <cell r="D825" t="str">
            <v>ARG</v>
          </cell>
        </row>
        <row r="826">
          <cell r="B826" t="str">
            <v>19341</v>
          </cell>
          <cell r="C826" t="str">
            <v>Direct</v>
          </cell>
          <cell r="D826" t="str">
            <v>GEN</v>
          </cell>
        </row>
        <row r="827">
          <cell r="B827" t="str">
            <v>19343</v>
          </cell>
          <cell r="C827" t="str">
            <v>Direct</v>
          </cell>
          <cell r="D827" t="str">
            <v>CIL</v>
          </cell>
        </row>
        <row r="828">
          <cell r="B828" t="str">
            <v>19350</v>
          </cell>
          <cell r="C828" t="str">
            <v>Direct</v>
          </cell>
          <cell r="D828" t="str">
            <v>IPC</v>
          </cell>
        </row>
        <row r="829">
          <cell r="B829" t="str">
            <v>19354</v>
          </cell>
          <cell r="C829" t="str">
            <v>Direct</v>
          </cell>
          <cell r="D829" t="str">
            <v>CIP</v>
          </cell>
        </row>
        <row r="830">
          <cell r="B830" t="str">
            <v>19355</v>
          </cell>
          <cell r="C830" t="str">
            <v>Direct</v>
          </cell>
          <cell r="D830" t="str">
            <v>UEC</v>
          </cell>
        </row>
        <row r="831">
          <cell r="B831" t="str">
            <v>19363</v>
          </cell>
          <cell r="C831" t="str">
            <v>Direct</v>
          </cell>
          <cell r="D831" t="str">
            <v>UEC</v>
          </cell>
        </row>
        <row r="832">
          <cell r="B832" t="str">
            <v>19364</v>
          </cell>
          <cell r="C832" t="str">
            <v>Direct</v>
          </cell>
          <cell r="D832" t="str">
            <v>UEC</v>
          </cell>
        </row>
        <row r="833">
          <cell r="B833" t="str">
            <v>19372</v>
          </cell>
          <cell r="C833" t="str">
            <v>Direct</v>
          </cell>
          <cell r="D833" t="str">
            <v>UEC</v>
          </cell>
        </row>
        <row r="834">
          <cell r="B834" t="str">
            <v>19390</v>
          </cell>
          <cell r="C834" t="str">
            <v>Direct</v>
          </cell>
          <cell r="D834" t="str">
            <v>UEC</v>
          </cell>
        </row>
        <row r="835">
          <cell r="B835" t="str">
            <v>19393</v>
          </cell>
          <cell r="C835" t="str">
            <v>Direct</v>
          </cell>
          <cell r="D835" t="str">
            <v>UEC</v>
          </cell>
        </row>
        <row r="836">
          <cell r="B836" t="str">
            <v>19394</v>
          </cell>
          <cell r="C836" t="str">
            <v>Direct</v>
          </cell>
          <cell r="D836" t="str">
            <v>UEC</v>
          </cell>
        </row>
        <row r="837">
          <cell r="B837" t="str">
            <v>19395</v>
          </cell>
          <cell r="C837" t="str">
            <v>Direct</v>
          </cell>
          <cell r="D837" t="str">
            <v>UEC</v>
          </cell>
        </row>
        <row r="838">
          <cell r="B838" t="str">
            <v>19396</v>
          </cell>
          <cell r="C838" t="str">
            <v>Direct</v>
          </cell>
          <cell r="D838" t="str">
            <v>UEC</v>
          </cell>
        </row>
        <row r="839">
          <cell r="B839" t="str">
            <v>19397</v>
          </cell>
          <cell r="C839" t="str">
            <v>Direct</v>
          </cell>
          <cell r="D839" t="str">
            <v>UEC</v>
          </cell>
        </row>
        <row r="840">
          <cell r="B840" t="str">
            <v>19399</v>
          </cell>
          <cell r="C840" t="str">
            <v>Direct</v>
          </cell>
          <cell r="D840" t="str">
            <v>UEC</v>
          </cell>
        </row>
        <row r="841">
          <cell r="B841" t="str">
            <v>19403</v>
          </cell>
          <cell r="C841" t="str">
            <v>Direct</v>
          </cell>
          <cell r="D841" t="str">
            <v>CIP</v>
          </cell>
        </row>
        <row r="842">
          <cell r="B842" t="str">
            <v>19405</v>
          </cell>
          <cell r="C842" t="str">
            <v>Direct</v>
          </cell>
          <cell r="D842" t="str">
            <v>GEN</v>
          </cell>
        </row>
        <row r="843">
          <cell r="B843" t="str">
            <v>19408</v>
          </cell>
          <cell r="C843" t="str">
            <v>Direct</v>
          </cell>
          <cell r="D843" t="str">
            <v>UEC</v>
          </cell>
        </row>
        <row r="844">
          <cell r="B844" t="str">
            <v>19438</v>
          </cell>
          <cell r="C844" t="str">
            <v>Direct</v>
          </cell>
          <cell r="D844" t="str">
            <v>UEC</v>
          </cell>
        </row>
        <row r="845">
          <cell r="B845" t="str">
            <v>19439</v>
          </cell>
          <cell r="C845" t="str">
            <v>Direct</v>
          </cell>
          <cell r="D845" t="str">
            <v>UEC</v>
          </cell>
        </row>
        <row r="846">
          <cell r="B846" t="str">
            <v>19454</v>
          </cell>
          <cell r="C846" t="str">
            <v>Direct</v>
          </cell>
          <cell r="D846" t="str">
            <v>UEC</v>
          </cell>
        </row>
        <row r="847">
          <cell r="B847" t="str">
            <v>19455</v>
          </cell>
          <cell r="C847" t="str">
            <v>Direct</v>
          </cell>
          <cell r="D847" t="str">
            <v>CIP</v>
          </cell>
        </row>
        <row r="848">
          <cell r="B848" t="str">
            <v>19456</v>
          </cell>
          <cell r="C848" t="str">
            <v>Direct</v>
          </cell>
          <cell r="D848" t="str">
            <v>UEC</v>
          </cell>
        </row>
        <row r="849">
          <cell r="B849" t="str">
            <v>19457</v>
          </cell>
          <cell r="C849" t="str">
            <v>Direct</v>
          </cell>
          <cell r="D849" t="str">
            <v>UEC</v>
          </cell>
        </row>
        <row r="850">
          <cell r="B850" t="str">
            <v>19458</v>
          </cell>
          <cell r="C850" t="str">
            <v>Direct</v>
          </cell>
          <cell r="D850" t="str">
            <v>CIL</v>
          </cell>
        </row>
        <row r="851">
          <cell r="B851" t="str">
            <v>19459</v>
          </cell>
          <cell r="C851" t="str">
            <v>Direct</v>
          </cell>
          <cell r="D851" t="str">
            <v>GEN</v>
          </cell>
        </row>
        <row r="852">
          <cell r="B852" t="str">
            <v>19481</v>
          </cell>
          <cell r="C852" t="str">
            <v>Direct</v>
          </cell>
          <cell r="D852" t="str">
            <v>UEC</v>
          </cell>
        </row>
        <row r="853">
          <cell r="B853" t="str">
            <v>19485</v>
          </cell>
          <cell r="C853" t="str">
            <v>Direct</v>
          </cell>
          <cell r="D853" t="str">
            <v>UEC</v>
          </cell>
        </row>
        <row r="854">
          <cell r="B854" t="str">
            <v>19511</v>
          </cell>
          <cell r="C854" t="str">
            <v>Direct</v>
          </cell>
          <cell r="D854" t="str">
            <v>IPC</v>
          </cell>
        </row>
        <row r="855">
          <cell r="B855" t="str">
            <v>19514</v>
          </cell>
          <cell r="C855" t="str">
            <v>Direct</v>
          </cell>
          <cell r="D855" t="str">
            <v>IPC</v>
          </cell>
        </row>
        <row r="856">
          <cell r="B856" t="str">
            <v>19520</v>
          </cell>
          <cell r="C856" t="str">
            <v>Direct</v>
          </cell>
          <cell r="D856" t="str">
            <v>IPC</v>
          </cell>
        </row>
        <row r="857">
          <cell r="B857" t="str">
            <v>19553</v>
          </cell>
          <cell r="C857" t="str">
            <v>Direct</v>
          </cell>
          <cell r="D857" t="str">
            <v>IPC</v>
          </cell>
        </row>
        <row r="858">
          <cell r="B858" t="str">
            <v>19586</v>
          </cell>
          <cell r="C858" t="str">
            <v>Direct</v>
          </cell>
          <cell r="D858" t="str">
            <v>IPC</v>
          </cell>
        </row>
        <row r="859">
          <cell r="B859" t="str">
            <v>19587</v>
          </cell>
          <cell r="C859" t="str">
            <v>Direct</v>
          </cell>
          <cell r="D859" t="str">
            <v>CIP</v>
          </cell>
        </row>
        <row r="860">
          <cell r="B860" t="str">
            <v>19588</v>
          </cell>
          <cell r="C860" t="str">
            <v>Direct</v>
          </cell>
          <cell r="D860" t="str">
            <v>UEC</v>
          </cell>
        </row>
        <row r="861">
          <cell r="B861" t="str">
            <v>19593</v>
          </cell>
          <cell r="C861" t="str">
            <v>Direct</v>
          </cell>
          <cell r="D861" t="str">
            <v>CIL</v>
          </cell>
        </row>
        <row r="862">
          <cell r="B862" t="str">
            <v>19599</v>
          </cell>
          <cell r="C862" t="str">
            <v>Direct</v>
          </cell>
          <cell r="D862" t="str">
            <v>UEC</v>
          </cell>
        </row>
        <row r="863">
          <cell r="B863" t="str">
            <v>19600</v>
          </cell>
          <cell r="C863" t="str">
            <v>Direct</v>
          </cell>
          <cell r="D863" t="str">
            <v>GEN</v>
          </cell>
        </row>
        <row r="864">
          <cell r="B864" t="str">
            <v>19618</v>
          </cell>
          <cell r="C864" t="str">
            <v>Direct</v>
          </cell>
          <cell r="D864" t="str">
            <v>UEC</v>
          </cell>
        </row>
        <row r="865">
          <cell r="B865" t="str">
            <v>19623</v>
          </cell>
          <cell r="C865" t="str">
            <v>Direct</v>
          </cell>
          <cell r="D865" t="str">
            <v>UEC</v>
          </cell>
        </row>
        <row r="866">
          <cell r="B866" t="str">
            <v>19626</v>
          </cell>
          <cell r="C866" t="str">
            <v>Direct</v>
          </cell>
          <cell r="D866" t="str">
            <v>IPC</v>
          </cell>
        </row>
        <row r="867">
          <cell r="B867" t="str">
            <v>19631</v>
          </cell>
          <cell r="C867" t="str">
            <v>Direct</v>
          </cell>
          <cell r="D867" t="str">
            <v>UEC</v>
          </cell>
        </row>
        <row r="868">
          <cell r="B868" t="str">
            <v>19639</v>
          </cell>
          <cell r="C868" t="str">
            <v>Direct</v>
          </cell>
          <cell r="D868" t="str">
            <v>UEC</v>
          </cell>
        </row>
        <row r="869">
          <cell r="B869" t="str">
            <v>19645</v>
          </cell>
          <cell r="C869" t="str">
            <v>Direct</v>
          </cell>
          <cell r="D869" t="str">
            <v>UEC</v>
          </cell>
        </row>
        <row r="870">
          <cell r="B870" t="str">
            <v>19646</v>
          </cell>
          <cell r="C870" t="str">
            <v>Direct</v>
          </cell>
          <cell r="D870" t="str">
            <v>UEC</v>
          </cell>
        </row>
        <row r="871">
          <cell r="B871" t="str">
            <v>19649</v>
          </cell>
          <cell r="C871" t="str">
            <v>Direct</v>
          </cell>
          <cell r="D871" t="str">
            <v>UEC</v>
          </cell>
        </row>
        <row r="872">
          <cell r="B872" t="str">
            <v>19650</v>
          </cell>
          <cell r="C872" t="str">
            <v>Direct</v>
          </cell>
          <cell r="D872" t="str">
            <v>UEC</v>
          </cell>
        </row>
        <row r="873">
          <cell r="B873" t="str">
            <v>19682</v>
          </cell>
          <cell r="C873" t="str">
            <v>Direct</v>
          </cell>
          <cell r="D873" t="str">
            <v>UEC</v>
          </cell>
        </row>
        <row r="874">
          <cell r="B874" t="str">
            <v>19700</v>
          </cell>
          <cell r="C874" t="str">
            <v>Direct</v>
          </cell>
          <cell r="D874" t="str">
            <v>UEC</v>
          </cell>
        </row>
        <row r="875">
          <cell r="B875" t="str">
            <v>19727</v>
          </cell>
          <cell r="C875" t="str">
            <v>Direct</v>
          </cell>
          <cell r="D875" t="str">
            <v>UEC</v>
          </cell>
        </row>
        <row r="876">
          <cell r="B876" t="str">
            <v>19743</v>
          </cell>
          <cell r="C876" t="str">
            <v>Direct</v>
          </cell>
          <cell r="D876" t="str">
            <v>CIP</v>
          </cell>
        </row>
        <row r="877">
          <cell r="B877" t="str">
            <v>19761</v>
          </cell>
          <cell r="C877" t="str">
            <v>Direct</v>
          </cell>
          <cell r="D877" t="str">
            <v>CIP</v>
          </cell>
        </row>
        <row r="878">
          <cell r="B878" t="str">
            <v>19773</v>
          </cell>
          <cell r="C878" t="str">
            <v>Direct</v>
          </cell>
          <cell r="D878" t="str">
            <v>UEC</v>
          </cell>
        </row>
        <row r="879">
          <cell r="B879" t="str">
            <v>19780</v>
          </cell>
          <cell r="C879" t="str">
            <v>Direct</v>
          </cell>
          <cell r="D879" t="str">
            <v>IPC</v>
          </cell>
        </row>
        <row r="880">
          <cell r="B880" t="str">
            <v>19867</v>
          </cell>
          <cell r="C880" t="str">
            <v>Direct</v>
          </cell>
          <cell r="D880" t="str">
            <v>IPC</v>
          </cell>
        </row>
        <row r="881">
          <cell r="B881" t="str">
            <v>19877</v>
          </cell>
          <cell r="C881" t="str">
            <v>Direct</v>
          </cell>
          <cell r="D881" t="str">
            <v>IPC</v>
          </cell>
        </row>
        <row r="882">
          <cell r="B882" t="str">
            <v>19878</v>
          </cell>
          <cell r="C882" t="str">
            <v>Direct</v>
          </cell>
          <cell r="D882" t="str">
            <v>IPC</v>
          </cell>
        </row>
        <row r="883">
          <cell r="B883" t="str">
            <v>19884</v>
          </cell>
          <cell r="C883" t="str">
            <v>Direct</v>
          </cell>
          <cell r="D883" t="str">
            <v>IPC</v>
          </cell>
        </row>
        <row r="884">
          <cell r="B884" t="str">
            <v>19902</v>
          </cell>
          <cell r="C884" t="str">
            <v>Direct</v>
          </cell>
          <cell r="D884" t="str">
            <v>IPC</v>
          </cell>
        </row>
        <row r="885">
          <cell r="B885" t="str">
            <v>19918</v>
          </cell>
          <cell r="C885" t="str">
            <v>Direct</v>
          </cell>
          <cell r="D885" t="str">
            <v>IPC</v>
          </cell>
        </row>
        <row r="886">
          <cell r="B886" t="str">
            <v>19921</v>
          </cell>
          <cell r="C886" t="str">
            <v>Direct</v>
          </cell>
          <cell r="D886" t="str">
            <v>IPC</v>
          </cell>
        </row>
        <row r="887">
          <cell r="B887" t="str">
            <v>19923</v>
          </cell>
          <cell r="C887" t="str">
            <v>Direct</v>
          </cell>
          <cell r="D887" t="str">
            <v>IPC</v>
          </cell>
        </row>
        <row r="888">
          <cell r="B888" t="str">
            <v>19924</v>
          </cell>
          <cell r="C888" t="str">
            <v>Direct</v>
          </cell>
          <cell r="D888" t="str">
            <v>IPC</v>
          </cell>
        </row>
        <row r="889">
          <cell r="B889" t="str">
            <v>19932</v>
          </cell>
          <cell r="C889" t="str">
            <v>Direct</v>
          </cell>
          <cell r="D889" t="str">
            <v>IPC</v>
          </cell>
        </row>
        <row r="890">
          <cell r="B890" t="str">
            <v>19934</v>
          </cell>
          <cell r="C890" t="str">
            <v>Direct</v>
          </cell>
          <cell r="D890" t="str">
            <v>IPC</v>
          </cell>
        </row>
        <row r="891">
          <cell r="B891" t="str">
            <v>19938</v>
          </cell>
          <cell r="C891" t="str">
            <v>Direct</v>
          </cell>
          <cell r="D891" t="str">
            <v>IPC</v>
          </cell>
        </row>
        <row r="892">
          <cell r="B892" t="str">
            <v>19939</v>
          </cell>
          <cell r="C892" t="str">
            <v>Direct</v>
          </cell>
          <cell r="D892" t="str">
            <v>IPC</v>
          </cell>
        </row>
        <row r="893">
          <cell r="B893" t="str">
            <v>19941</v>
          </cell>
          <cell r="C893" t="str">
            <v>Direct</v>
          </cell>
          <cell r="D893" t="str">
            <v>IPC</v>
          </cell>
        </row>
        <row r="894">
          <cell r="B894" t="str">
            <v>20007</v>
          </cell>
          <cell r="C894" t="str">
            <v>Direct</v>
          </cell>
          <cell r="D894" t="str">
            <v>IPC</v>
          </cell>
        </row>
        <row r="895">
          <cell r="B895" t="str">
            <v>20008</v>
          </cell>
          <cell r="C895" t="str">
            <v>Direct</v>
          </cell>
          <cell r="D895" t="str">
            <v>IPC</v>
          </cell>
        </row>
        <row r="896">
          <cell r="B896" t="str">
            <v>20009</v>
          </cell>
          <cell r="C896" t="str">
            <v>Direct</v>
          </cell>
          <cell r="D896" t="str">
            <v>IPC</v>
          </cell>
        </row>
        <row r="897">
          <cell r="B897" t="str">
            <v>20017</v>
          </cell>
          <cell r="C897" t="str">
            <v>Direct</v>
          </cell>
          <cell r="D897" t="str">
            <v>UEC</v>
          </cell>
        </row>
        <row r="898">
          <cell r="B898" t="str">
            <v>20021</v>
          </cell>
          <cell r="C898" t="str">
            <v>Direct</v>
          </cell>
          <cell r="D898" t="str">
            <v>IPC</v>
          </cell>
        </row>
        <row r="899">
          <cell r="B899" t="str">
            <v>20023</v>
          </cell>
          <cell r="C899" t="str">
            <v>Direct</v>
          </cell>
          <cell r="D899" t="str">
            <v>IPC</v>
          </cell>
        </row>
        <row r="900">
          <cell r="B900" t="str">
            <v>20031</v>
          </cell>
          <cell r="C900" t="str">
            <v>Direct</v>
          </cell>
          <cell r="D900" t="str">
            <v>GEN</v>
          </cell>
        </row>
        <row r="901">
          <cell r="B901" t="str">
            <v>20048</v>
          </cell>
          <cell r="C901" t="str">
            <v>Direct</v>
          </cell>
          <cell r="D901" t="str">
            <v>IPC</v>
          </cell>
        </row>
        <row r="902">
          <cell r="B902" t="str">
            <v>20051</v>
          </cell>
          <cell r="C902" t="str">
            <v>Direct</v>
          </cell>
          <cell r="D902" t="str">
            <v>IPC</v>
          </cell>
        </row>
        <row r="903">
          <cell r="B903" t="str">
            <v>20057</v>
          </cell>
          <cell r="C903" t="str">
            <v>Direct</v>
          </cell>
          <cell r="D903" t="str">
            <v>UEC</v>
          </cell>
        </row>
        <row r="904">
          <cell r="B904" t="str">
            <v>20059</v>
          </cell>
          <cell r="C904" t="str">
            <v>Direct</v>
          </cell>
          <cell r="D904" t="str">
            <v>UEC</v>
          </cell>
        </row>
        <row r="905">
          <cell r="B905" t="str">
            <v>20060</v>
          </cell>
          <cell r="C905" t="str">
            <v>Direct</v>
          </cell>
          <cell r="D905" t="str">
            <v>UEC</v>
          </cell>
        </row>
        <row r="906">
          <cell r="B906" t="str">
            <v>20061</v>
          </cell>
          <cell r="C906" t="str">
            <v>Direct</v>
          </cell>
          <cell r="D906" t="str">
            <v>UEC</v>
          </cell>
        </row>
        <row r="907">
          <cell r="B907" t="str">
            <v>20065</v>
          </cell>
          <cell r="C907" t="str">
            <v>Direct</v>
          </cell>
          <cell r="D907" t="str">
            <v>IPC</v>
          </cell>
        </row>
        <row r="908">
          <cell r="B908" t="str">
            <v>20080</v>
          </cell>
          <cell r="C908" t="str">
            <v>Direct</v>
          </cell>
          <cell r="D908" t="str">
            <v>UEC</v>
          </cell>
        </row>
        <row r="909">
          <cell r="B909" t="str">
            <v>20087</v>
          </cell>
          <cell r="C909" t="str">
            <v>Direct</v>
          </cell>
          <cell r="D909" t="str">
            <v>CIP</v>
          </cell>
        </row>
        <row r="910">
          <cell r="B910" t="str">
            <v>20091</v>
          </cell>
          <cell r="C910" t="str">
            <v>Direct</v>
          </cell>
          <cell r="D910" t="str">
            <v>ARG</v>
          </cell>
        </row>
        <row r="911">
          <cell r="B911" t="str">
            <v>20092</v>
          </cell>
          <cell r="C911" t="str">
            <v>Direct</v>
          </cell>
          <cell r="D911" t="str">
            <v>ARG</v>
          </cell>
        </row>
        <row r="912">
          <cell r="B912" t="str">
            <v>20095</v>
          </cell>
          <cell r="C912" t="str">
            <v>Direct</v>
          </cell>
          <cell r="D912" t="str">
            <v>ADC</v>
          </cell>
        </row>
        <row r="913">
          <cell r="B913" t="str">
            <v>20111</v>
          </cell>
          <cell r="C913" t="str">
            <v>Direct</v>
          </cell>
          <cell r="D913" t="str">
            <v>UEC</v>
          </cell>
        </row>
        <row r="914">
          <cell r="B914" t="str">
            <v>20116</v>
          </cell>
          <cell r="C914" t="str">
            <v>Direct</v>
          </cell>
          <cell r="D914" t="str">
            <v>CIP</v>
          </cell>
        </row>
        <row r="915">
          <cell r="B915" t="str">
            <v>20117</v>
          </cell>
          <cell r="C915" t="str">
            <v>Direct</v>
          </cell>
          <cell r="D915" t="str">
            <v>GEN</v>
          </cell>
        </row>
        <row r="916">
          <cell r="B916" t="str">
            <v>20118</v>
          </cell>
          <cell r="C916" t="str">
            <v>Direct</v>
          </cell>
          <cell r="D916" t="str">
            <v>GEN</v>
          </cell>
        </row>
        <row r="917">
          <cell r="B917" t="str">
            <v>20131</v>
          </cell>
          <cell r="C917" t="str">
            <v>Direct</v>
          </cell>
          <cell r="D917" t="str">
            <v>CIL</v>
          </cell>
        </row>
        <row r="918">
          <cell r="B918" t="str">
            <v>20132</v>
          </cell>
          <cell r="C918" t="str">
            <v>Direct</v>
          </cell>
          <cell r="D918" t="str">
            <v>CIL</v>
          </cell>
        </row>
        <row r="919">
          <cell r="B919" t="str">
            <v>20166</v>
          </cell>
          <cell r="C919" t="str">
            <v>Direct</v>
          </cell>
          <cell r="D919" t="str">
            <v>ARG</v>
          </cell>
        </row>
        <row r="920">
          <cell r="B920" t="str">
            <v>20175</v>
          </cell>
          <cell r="C920" t="str">
            <v>Direct</v>
          </cell>
          <cell r="D920" t="str">
            <v>UEC</v>
          </cell>
        </row>
        <row r="921">
          <cell r="B921" t="str">
            <v>20176</v>
          </cell>
          <cell r="C921" t="str">
            <v>Direct</v>
          </cell>
          <cell r="D921" t="str">
            <v>UEC</v>
          </cell>
        </row>
        <row r="922">
          <cell r="B922" t="str">
            <v>20187</v>
          </cell>
          <cell r="C922" t="str">
            <v>Direct</v>
          </cell>
          <cell r="D922" t="str">
            <v>UEC</v>
          </cell>
        </row>
        <row r="923">
          <cell r="B923" t="str">
            <v>20213</v>
          </cell>
          <cell r="C923" t="str">
            <v>Direct</v>
          </cell>
          <cell r="D923" t="str">
            <v>GEN</v>
          </cell>
        </row>
        <row r="924">
          <cell r="B924" t="str">
            <v>20223</v>
          </cell>
          <cell r="C924" t="str">
            <v>Direct</v>
          </cell>
          <cell r="D924" t="str">
            <v>UEC</v>
          </cell>
        </row>
        <row r="925">
          <cell r="B925" t="str">
            <v>20234</v>
          </cell>
          <cell r="C925" t="str">
            <v>Direct</v>
          </cell>
          <cell r="D925" t="str">
            <v>GEN</v>
          </cell>
        </row>
        <row r="926">
          <cell r="B926" t="str">
            <v>20235</v>
          </cell>
          <cell r="C926" t="str">
            <v>Direct</v>
          </cell>
          <cell r="D926" t="str">
            <v>GEN</v>
          </cell>
        </row>
        <row r="927">
          <cell r="B927" t="str">
            <v>20258</v>
          </cell>
          <cell r="C927" t="str">
            <v>Direct</v>
          </cell>
          <cell r="D927" t="str">
            <v>ARG</v>
          </cell>
        </row>
        <row r="928">
          <cell r="B928" t="str">
            <v>20274</v>
          </cell>
          <cell r="C928" t="str">
            <v>Direct</v>
          </cell>
          <cell r="D928" t="str">
            <v>IPC</v>
          </cell>
        </row>
        <row r="929">
          <cell r="B929" t="str">
            <v>20326</v>
          </cell>
          <cell r="C929" t="str">
            <v>Direct</v>
          </cell>
          <cell r="D929" t="str">
            <v>GEN</v>
          </cell>
        </row>
        <row r="930">
          <cell r="B930" t="str">
            <v>20352</v>
          </cell>
          <cell r="C930" t="str">
            <v>Direct</v>
          </cell>
          <cell r="D930" t="str">
            <v>CIP</v>
          </cell>
        </row>
        <row r="931">
          <cell r="B931" t="str">
            <v>20357</v>
          </cell>
          <cell r="C931" t="str">
            <v>Direct</v>
          </cell>
          <cell r="D931" t="str">
            <v>UEC</v>
          </cell>
        </row>
        <row r="932">
          <cell r="B932" t="str">
            <v>20360</v>
          </cell>
          <cell r="C932" t="str">
            <v>Direct</v>
          </cell>
          <cell r="D932" t="str">
            <v>UEC</v>
          </cell>
        </row>
        <row r="933">
          <cell r="B933" t="str">
            <v>20385</v>
          </cell>
          <cell r="C933" t="str">
            <v>Direct</v>
          </cell>
          <cell r="D933" t="str">
            <v>UEC</v>
          </cell>
        </row>
        <row r="934">
          <cell r="B934" t="str">
            <v>20393</v>
          </cell>
          <cell r="C934" t="str">
            <v>Direct</v>
          </cell>
          <cell r="D934" t="str">
            <v>GEN</v>
          </cell>
        </row>
        <row r="935">
          <cell r="B935" t="str">
            <v>20416</v>
          </cell>
          <cell r="C935" t="str">
            <v>Direct</v>
          </cell>
          <cell r="D935" t="str">
            <v>UEC</v>
          </cell>
        </row>
        <row r="936">
          <cell r="B936" t="str">
            <v>20419</v>
          </cell>
          <cell r="C936" t="str">
            <v>Direct</v>
          </cell>
          <cell r="D936" t="str">
            <v>CIL</v>
          </cell>
        </row>
        <row r="937">
          <cell r="B937" t="str">
            <v>20468</v>
          </cell>
          <cell r="C937" t="str">
            <v>Direct</v>
          </cell>
          <cell r="D937" t="str">
            <v>UEC</v>
          </cell>
        </row>
        <row r="938">
          <cell r="B938" t="str">
            <v>20471</v>
          </cell>
          <cell r="C938" t="str">
            <v>Direct</v>
          </cell>
          <cell r="D938" t="str">
            <v>UEC</v>
          </cell>
        </row>
        <row r="939">
          <cell r="B939" t="str">
            <v>20580</v>
          </cell>
          <cell r="C939" t="str">
            <v>Direct</v>
          </cell>
          <cell r="D939" t="str">
            <v>GEN</v>
          </cell>
        </row>
        <row r="940">
          <cell r="B940" t="str">
            <v>20769</v>
          </cell>
          <cell r="C940" t="str">
            <v>Direct</v>
          </cell>
          <cell r="D940" t="str">
            <v>CIP</v>
          </cell>
        </row>
        <row r="941">
          <cell r="B941" t="str">
            <v>20848</v>
          </cell>
          <cell r="C941" t="str">
            <v>Direct</v>
          </cell>
          <cell r="D941" t="str">
            <v>CIL</v>
          </cell>
        </row>
        <row r="942">
          <cell r="B942" t="str">
            <v>20898</v>
          </cell>
          <cell r="C942" t="str">
            <v>Direct</v>
          </cell>
          <cell r="D942" t="str">
            <v>IPC</v>
          </cell>
        </row>
        <row r="943">
          <cell r="B943" t="str">
            <v>20906</v>
          </cell>
          <cell r="C943" t="str">
            <v>Direct</v>
          </cell>
          <cell r="D943" t="str">
            <v>UEC</v>
          </cell>
        </row>
        <row r="944">
          <cell r="B944" t="str">
            <v>20939</v>
          </cell>
          <cell r="C944" t="str">
            <v>Direct</v>
          </cell>
          <cell r="D944" t="str">
            <v>IPC</v>
          </cell>
        </row>
        <row r="945">
          <cell r="B945" t="str">
            <v>20946</v>
          </cell>
          <cell r="C945" t="str">
            <v>Direct</v>
          </cell>
          <cell r="D945" t="str">
            <v>CIP</v>
          </cell>
        </row>
        <row r="946">
          <cell r="B946" t="str">
            <v>20963</v>
          </cell>
          <cell r="C946" t="str">
            <v>Direct</v>
          </cell>
          <cell r="D946" t="str">
            <v>UEC</v>
          </cell>
        </row>
        <row r="947">
          <cell r="B947" t="str">
            <v>20989</v>
          </cell>
          <cell r="C947" t="str">
            <v>Direct</v>
          </cell>
          <cell r="D947" t="str">
            <v>IPC</v>
          </cell>
        </row>
        <row r="948">
          <cell r="B948" t="str">
            <v>20995</v>
          </cell>
          <cell r="C948" t="str">
            <v>Direct</v>
          </cell>
          <cell r="D948" t="str">
            <v>CIP</v>
          </cell>
        </row>
        <row r="949">
          <cell r="B949" t="str">
            <v>21001</v>
          </cell>
          <cell r="C949" t="str">
            <v>Direct</v>
          </cell>
          <cell r="D949" t="str">
            <v>UEC</v>
          </cell>
        </row>
        <row r="950">
          <cell r="B950" t="str">
            <v>21034</v>
          </cell>
          <cell r="C950" t="str">
            <v>Direct</v>
          </cell>
          <cell r="D950" t="str">
            <v>CIP</v>
          </cell>
        </row>
        <row r="951">
          <cell r="B951" t="str">
            <v>21046</v>
          </cell>
          <cell r="C951" t="str">
            <v>Direct</v>
          </cell>
          <cell r="D951" t="str">
            <v>IPC</v>
          </cell>
        </row>
        <row r="952">
          <cell r="B952" t="str">
            <v>21058</v>
          </cell>
          <cell r="C952" t="str">
            <v>Direct</v>
          </cell>
          <cell r="D952" t="str">
            <v>IPC</v>
          </cell>
        </row>
        <row r="953">
          <cell r="B953" t="str">
            <v>21086</v>
          </cell>
          <cell r="C953" t="str">
            <v>Direct</v>
          </cell>
          <cell r="D953" t="str">
            <v>IPC</v>
          </cell>
        </row>
        <row r="954">
          <cell r="B954" t="str">
            <v>21114</v>
          </cell>
          <cell r="C954" t="str">
            <v>Direct</v>
          </cell>
          <cell r="D954" t="str">
            <v>CIL</v>
          </cell>
        </row>
        <row r="955">
          <cell r="B955" t="str">
            <v>21129</v>
          </cell>
          <cell r="C955" t="str">
            <v>Direct</v>
          </cell>
          <cell r="D955" t="str">
            <v>ARG</v>
          </cell>
        </row>
        <row r="956">
          <cell r="B956" t="str">
            <v>21248</v>
          </cell>
          <cell r="C956" t="str">
            <v>Direct</v>
          </cell>
          <cell r="D956" t="str">
            <v>IPC</v>
          </cell>
        </row>
        <row r="957">
          <cell r="B957" t="str">
            <v>21265</v>
          </cell>
          <cell r="C957" t="str">
            <v>Direct</v>
          </cell>
          <cell r="D957" t="str">
            <v>UEC</v>
          </cell>
        </row>
        <row r="958">
          <cell r="B958" t="str">
            <v>21293</v>
          </cell>
          <cell r="C958" t="str">
            <v>Direct</v>
          </cell>
          <cell r="D958" t="str">
            <v>UEC</v>
          </cell>
        </row>
        <row r="959">
          <cell r="B959" t="str">
            <v>21296</v>
          </cell>
          <cell r="C959" t="str">
            <v>Direct</v>
          </cell>
          <cell r="D959" t="str">
            <v>IPC</v>
          </cell>
        </row>
        <row r="960">
          <cell r="B960" t="str">
            <v>21308</v>
          </cell>
          <cell r="C960" t="str">
            <v>Direct</v>
          </cell>
          <cell r="D960" t="str">
            <v>CIP</v>
          </cell>
        </row>
        <row r="961">
          <cell r="B961" t="str">
            <v>21327</v>
          </cell>
          <cell r="C961" t="str">
            <v>Direct</v>
          </cell>
          <cell r="D961" t="str">
            <v>UEC</v>
          </cell>
        </row>
        <row r="962">
          <cell r="B962" t="str">
            <v>21346</v>
          </cell>
          <cell r="C962" t="str">
            <v>Direct</v>
          </cell>
          <cell r="D962" t="str">
            <v>CIP</v>
          </cell>
        </row>
        <row r="963">
          <cell r="B963" t="str">
            <v>A0001</v>
          </cell>
          <cell r="C963" t="str">
            <v>Allocated Direct</v>
          </cell>
          <cell r="D963" t="str">
            <v>017A</v>
          </cell>
        </row>
        <row r="964">
          <cell r="B964" t="str">
            <v>A0002</v>
          </cell>
          <cell r="C964" t="str">
            <v>Allocated Direct</v>
          </cell>
          <cell r="D964" t="str">
            <v>017B</v>
          </cell>
        </row>
        <row r="965">
          <cell r="B965" t="str">
            <v>A0004</v>
          </cell>
          <cell r="C965" t="str">
            <v>Indirect Functional</v>
          </cell>
          <cell r="D965" t="str">
            <v>Indirect</v>
          </cell>
        </row>
        <row r="966">
          <cell r="B966" t="str">
            <v>A0005</v>
          </cell>
          <cell r="C966" t="str">
            <v>Direct</v>
          </cell>
          <cell r="D966" t="str">
            <v>UEC</v>
          </cell>
        </row>
        <row r="967">
          <cell r="B967" t="str">
            <v>A0006</v>
          </cell>
          <cell r="C967" t="str">
            <v>Direct</v>
          </cell>
          <cell r="D967" t="str">
            <v>CIP</v>
          </cell>
        </row>
        <row r="968">
          <cell r="B968" t="str">
            <v>A0007</v>
          </cell>
          <cell r="C968" t="str">
            <v>Direct</v>
          </cell>
          <cell r="D968" t="str">
            <v>ADC</v>
          </cell>
        </row>
        <row r="969">
          <cell r="B969" t="str">
            <v>A0008</v>
          </cell>
          <cell r="C969" t="str">
            <v>Direct</v>
          </cell>
          <cell r="D969" t="str">
            <v>UDC</v>
          </cell>
        </row>
        <row r="970">
          <cell r="B970" t="str">
            <v>A0009</v>
          </cell>
          <cell r="C970" t="str">
            <v>Direct</v>
          </cell>
          <cell r="D970" t="str">
            <v>AMC</v>
          </cell>
        </row>
        <row r="971">
          <cell r="B971" t="str">
            <v>A0021</v>
          </cell>
          <cell r="C971" t="str">
            <v>Allocated Direct</v>
          </cell>
          <cell r="D971" t="str">
            <v>007A</v>
          </cell>
        </row>
        <row r="972">
          <cell r="B972" t="str">
            <v>A0022</v>
          </cell>
          <cell r="C972" t="str">
            <v>Allocated Direct</v>
          </cell>
          <cell r="D972" t="str">
            <v>004A</v>
          </cell>
        </row>
        <row r="973">
          <cell r="B973" t="str">
            <v>A0051</v>
          </cell>
          <cell r="C973" t="str">
            <v>Allocated Direct</v>
          </cell>
          <cell r="D973" t="str">
            <v>007A</v>
          </cell>
        </row>
        <row r="974">
          <cell r="B974" t="str">
            <v>A0075</v>
          </cell>
          <cell r="C974" t="str">
            <v>Allocated Direct</v>
          </cell>
          <cell r="D974" t="str">
            <v>017C</v>
          </cell>
        </row>
        <row r="975">
          <cell r="B975" t="str">
            <v>A0077</v>
          </cell>
          <cell r="C975" t="str">
            <v>Direct</v>
          </cell>
          <cell r="D975" t="str">
            <v>CIP</v>
          </cell>
        </row>
        <row r="976">
          <cell r="B976" t="str">
            <v>A0078</v>
          </cell>
          <cell r="C976" t="str">
            <v>Direct</v>
          </cell>
          <cell r="D976" t="str">
            <v>UEC</v>
          </cell>
        </row>
        <row r="977">
          <cell r="B977" t="str">
            <v>A0079</v>
          </cell>
          <cell r="C977" t="str">
            <v>Allocated Direct</v>
          </cell>
          <cell r="D977" t="str">
            <v>008C</v>
          </cell>
        </row>
        <row r="978">
          <cell r="B978" t="str">
            <v>A0080</v>
          </cell>
          <cell r="C978" t="str">
            <v>Direct</v>
          </cell>
          <cell r="D978" t="str">
            <v>CIP</v>
          </cell>
        </row>
        <row r="979">
          <cell r="B979" t="str">
            <v>A0081</v>
          </cell>
          <cell r="C979" t="str">
            <v>Direct</v>
          </cell>
          <cell r="D979" t="str">
            <v>UEC</v>
          </cell>
        </row>
        <row r="980">
          <cell r="B980" t="str">
            <v>A0083</v>
          </cell>
          <cell r="C980" t="str">
            <v>Allocated Direct</v>
          </cell>
          <cell r="D980" t="str">
            <v>017C</v>
          </cell>
        </row>
        <row r="981">
          <cell r="B981" t="str">
            <v>A0084</v>
          </cell>
          <cell r="C981" t="str">
            <v>Allocated Direct</v>
          </cell>
          <cell r="D981" t="str">
            <v>018A</v>
          </cell>
        </row>
        <row r="982">
          <cell r="B982" t="str">
            <v>A0102</v>
          </cell>
          <cell r="C982" t="str">
            <v>Direct</v>
          </cell>
          <cell r="D982" t="str">
            <v>UEC</v>
          </cell>
        </row>
        <row r="983">
          <cell r="B983" t="str">
            <v>A0103</v>
          </cell>
          <cell r="C983" t="str">
            <v>Allocated Direct</v>
          </cell>
          <cell r="D983" t="str">
            <v>002L</v>
          </cell>
        </row>
        <row r="984">
          <cell r="B984" t="str">
            <v>A0104</v>
          </cell>
          <cell r="C984" t="str">
            <v>Direct</v>
          </cell>
          <cell r="D984" t="str">
            <v>UEC</v>
          </cell>
        </row>
        <row r="985">
          <cell r="B985" t="str">
            <v>A0109</v>
          </cell>
          <cell r="C985" t="str">
            <v>Direct</v>
          </cell>
          <cell r="D985" t="str">
            <v>GEN</v>
          </cell>
        </row>
        <row r="986">
          <cell r="B986" t="str">
            <v>A0110</v>
          </cell>
          <cell r="C986" t="str">
            <v>Allocated Direct</v>
          </cell>
          <cell r="D986" t="str">
            <v>012D</v>
          </cell>
        </row>
        <row r="987">
          <cell r="B987" t="str">
            <v>A0112</v>
          </cell>
          <cell r="C987" t="str">
            <v>Direct</v>
          </cell>
          <cell r="D987" t="str">
            <v>UEC</v>
          </cell>
        </row>
        <row r="988">
          <cell r="B988" t="str">
            <v>A0113</v>
          </cell>
          <cell r="C988" t="str">
            <v>Direct</v>
          </cell>
          <cell r="D988" t="str">
            <v>UEC</v>
          </cell>
        </row>
        <row r="989">
          <cell r="B989" t="str">
            <v>A0115</v>
          </cell>
          <cell r="C989" t="str">
            <v>Direct</v>
          </cell>
          <cell r="D989" t="str">
            <v>UEC</v>
          </cell>
        </row>
        <row r="990">
          <cell r="B990" t="str">
            <v>A0124</v>
          </cell>
          <cell r="C990" t="str">
            <v>Direct</v>
          </cell>
          <cell r="D990" t="str">
            <v>UEC</v>
          </cell>
        </row>
        <row r="991">
          <cell r="B991" t="str">
            <v>A0125</v>
          </cell>
          <cell r="C991" t="str">
            <v>Indirect Functional</v>
          </cell>
          <cell r="D991" t="str">
            <v>Indirect</v>
          </cell>
        </row>
        <row r="992">
          <cell r="B992" t="str">
            <v>A0126</v>
          </cell>
          <cell r="C992" t="str">
            <v>Direct</v>
          </cell>
          <cell r="D992" t="str">
            <v>UEC</v>
          </cell>
        </row>
        <row r="993">
          <cell r="B993" t="str">
            <v>A0127</v>
          </cell>
          <cell r="C993" t="str">
            <v>Allocated Direct</v>
          </cell>
          <cell r="D993" t="str">
            <v>018A</v>
          </cell>
        </row>
        <row r="994">
          <cell r="B994" t="str">
            <v>A0128</v>
          </cell>
          <cell r="C994" t="str">
            <v>Allocated Direct</v>
          </cell>
          <cell r="D994" t="str">
            <v>001A</v>
          </cell>
        </row>
        <row r="995">
          <cell r="B995" t="str">
            <v>A0129</v>
          </cell>
          <cell r="C995" t="str">
            <v>Direct</v>
          </cell>
          <cell r="D995" t="str">
            <v>UEC</v>
          </cell>
        </row>
        <row r="996">
          <cell r="B996" t="str">
            <v>A0131</v>
          </cell>
          <cell r="C996" t="str">
            <v>Direct</v>
          </cell>
          <cell r="D996" t="str">
            <v>UEC</v>
          </cell>
        </row>
        <row r="997">
          <cell r="B997" t="str">
            <v>A0132</v>
          </cell>
          <cell r="C997" t="str">
            <v>Allocated Direct</v>
          </cell>
          <cell r="D997" t="str">
            <v>018A</v>
          </cell>
        </row>
        <row r="998">
          <cell r="B998" t="str">
            <v>A0134</v>
          </cell>
          <cell r="C998" t="str">
            <v>Allocated Direct</v>
          </cell>
          <cell r="D998" t="str">
            <v>003A</v>
          </cell>
        </row>
        <row r="999">
          <cell r="B999" t="str">
            <v>A0138</v>
          </cell>
          <cell r="C999" t="str">
            <v>Direct</v>
          </cell>
          <cell r="D999" t="str">
            <v>UEC</v>
          </cell>
        </row>
        <row r="1000">
          <cell r="B1000" t="str">
            <v>A0139</v>
          </cell>
          <cell r="C1000" t="str">
            <v>Direct</v>
          </cell>
          <cell r="D1000" t="str">
            <v>CIP</v>
          </cell>
        </row>
        <row r="1001">
          <cell r="B1001" t="str">
            <v>A0140</v>
          </cell>
          <cell r="C1001" t="str">
            <v>Allocated Direct</v>
          </cell>
          <cell r="D1001" t="str">
            <v>003A</v>
          </cell>
        </row>
        <row r="1002">
          <cell r="B1002" t="str">
            <v>A0141</v>
          </cell>
          <cell r="C1002" t="str">
            <v>Direct</v>
          </cell>
          <cell r="D1002" t="str">
            <v>AMC</v>
          </cell>
        </row>
        <row r="1003">
          <cell r="B1003" t="str">
            <v>A0142</v>
          </cell>
          <cell r="C1003" t="str">
            <v>Indirect Functional</v>
          </cell>
          <cell r="D1003" t="str">
            <v>Indirect</v>
          </cell>
        </row>
        <row r="1004">
          <cell r="B1004" t="str">
            <v>A0144</v>
          </cell>
          <cell r="C1004" t="str">
            <v>Direct</v>
          </cell>
          <cell r="D1004" t="str">
            <v>CIP</v>
          </cell>
        </row>
        <row r="1005">
          <cell r="B1005" t="str">
            <v>A0146</v>
          </cell>
          <cell r="C1005" t="str">
            <v>Allocated Direct</v>
          </cell>
          <cell r="D1005" t="str">
            <v>002L</v>
          </cell>
        </row>
        <row r="1006">
          <cell r="B1006" t="str">
            <v>A0149</v>
          </cell>
          <cell r="C1006" t="str">
            <v>Indirect Functional</v>
          </cell>
          <cell r="D1006" t="str">
            <v>Indirect</v>
          </cell>
        </row>
        <row r="1007">
          <cell r="B1007" t="str">
            <v>A0151</v>
          </cell>
          <cell r="C1007" t="str">
            <v>Indirect Functional</v>
          </cell>
          <cell r="D1007" t="str">
            <v>Indirect</v>
          </cell>
        </row>
        <row r="1008">
          <cell r="B1008" t="str">
            <v>A0152</v>
          </cell>
          <cell r="C1008" t="str">
            <v>Direct</v>
          </cell>
          <cell r="D1008" t="str">
            <v>UEC</v>
          </cell>
        </row>
        <row r="1009">
          <cell r="B1009" t="str">
            <v>A0153</v>
          </cell>
          <cell r="C1009" t="str">
            <v>Direct</v>
          </cell>
          <cell r="D1009" t="str">
            <v>UEC</v>
          </cell>
        </row>
        <row r="1010">
          <cell r="B1010" t="str">
            <v>A0154</v>
          </cell>
          <cell r="C1010" t="str">
            <v>Direct</v>
          </cell>
          <cell r="D1010" t="str">
            <v>UEC</v>
          </cell>
        </row>
        <row r="1011">
          <cell r="B1011" t="str">
            <v>A0155</v>
          </cell>
          <cell r="C1011" t="str">
            <v>Direct</v>
          </cell>
          <cell r="D1011" t="str">
            <v>CIP</v>
          </cell>
        </row>
        <row r="1012">
          <cell r="B1012" t="str">
            <v>A0156</v>
          </cell>
          <cell r="C1012" t="str">
            <v>Direct</v>
          </cell>
          <cell r="D1012" t="str">
            <v>UEC</v>
          </cell>
        </row>
        <row r="1013">
          <cell r="B1013" t="str">
            <v>A0157</v>
          </cell>
          <cell r="C1013" t="str">
            <v>Direct</v>
          </cell>
          <cell r="D1013" t="str">
            <v>CIP</v>
          </cell>
        </row>
        <row r="1014">
          <cell r="B1014" t="str">
            <v>A0158</v>
          </cell>
          <cell r="C1014" t="str">
            <v>Allocated Direct</v>
          </cell>
          <cell r="D1014" t="str">
            <v>004A</v>
          </cell>
        </row>
        <row r="1015">
          <cell r="B1015" t="str">
            <v>A0160</v>
          </cell>
          <cell r="C1015" t="str">
            <v>Direct</v>
          </cell>
          <cell r="D1015" t="str">
            <v>UEC</v>
          </cell>
        </row>
        <row r="1016">
          <cell r="B1016" t="str">
            <v>A0161</v>
          </cell>
          <cell r="C1016" t="str">
            <v>Allocated Direct</v>
          </cell>
          <cell r="D1016" t="str">
            <v>004A</v>
          </cell>
        </row>
        <row r="1017">
          <cell r="B1017" t="str">
            <v>A0162</v>
          </cell>
          <cell r="C1017" t="str">
            <v>Allocated Direct</v>
          </cell>
          <cell r="D1017" t="str">
            <v>004B</v>
          </cell>
        </row>
        <row r="1018">
          <cell r="B1018" t="str">
            <v>A0163</v>
          </cell>
          <cell r="C1018" t="str">
            <v>Indirect Functional</v>
          </cell>
          <cell r="D1018" t="str">
            <v>002L</v>
          </cell>
        </row>
        <row r="1019">
          <cell r="B1019" t="str">
            <v>A0166</v>
          </cell>
          <cell r="C1019" t="str">
            <v>Indirect Functional</v>
          </cell>
          <cell r="D1019" t="str">
            <v>004A</v>
          </cell>
        </row>
        <row r="1020">
          <cell r="B1020" t="str">
            <v>A0168</v>
          </cell>
          <cell r="C1020" t="str">
            <v>Allocated Direct</v>
          </cell>
          <cell r="D1020" t="str">
            <v>010B</v>
          </cell>
        </row>
        <row r="1021">
          <cell r="B1021" t="str">
            <v>A0169</v>
          </cell>
          <cell r="C1021" t="str">
            <v>Allocated Direct</v>
          </cell>
          <cell r="D1021" t="str">
            <v>011A</v>
          </cell>
        </row>
        <row r="1022">
          <cell r="B1022" t="str">
            <v>A0175</v>
          </cell>
          <cell r="C1022" t="str">
            <v>Allocated Direct</v>
          </cell>
          <cell r="D1022" t="str">
            <v>002K</v>
          </cell>
        </row>
        <row r="1023">
          <cell r="B1023" t="str">
            <v>A0176</v>
          </cell>
          <cell r="C1023" t="str">
            <v>Direct</v>
          </cell>
          <cell r="D1023" t="str">
            <v>UEC</v>
          </cell>
        </row>
        <row r="1024">
          <cell r="B1024" t="str">
            <v>A0177</v>
          </cell>
          <cell r="C1024" t="str">
            <v>Allocated Direct</v>
          </cell>
          <cell r="D1024" t="str">
            <v>004A</v>
          </cell>
        </row>
        <row r="1025">
          <cell r="B1025" t="str">
            <v>A0178</v>
          </cell>
          <cell r="C1025" t="str">
            <v>Direct</v>
          </cell>
          <cell r="D1025" t="str">
            <v>UEC</v>
          </cell>
        </row>
        <row r="1026">
          <cell r="B1026" t="str">
            <v>A0179</v>
          </cell>
          <cell r="C1026" t="str">
            <v>Direct</v>
          </cell>
          <cell r="D1026" t="str">
            <v>CIP</v>
          </cell>
        </row>
        <row r="1027">
          <cell r="B1027" t="str">
            <v>A0180</v>
          </cell>
          <cell r="C1027" t="str">
            <v>Allocated Direct</v>
          </cell>
          <cell r="D1027" t="str">
            <v>004P</v>
          </cell>
        </row>
        <row r="1028">
          <cell r="B1028" t="str">
            <v>A0181</v>
          </cell>
          <cell r="C1028" t="str">
            <v>Direct</v>
          </cell>
          <cell r="D1028" t="str">
            <v>CIP</v>
          </cell>
        </row>
        <row r="1029">
          <cell r="B1029" t="str">
            <v>A0182</v>
          </cell>
          <cell r="C1029" t="str">
            <v>Direct</v>
          </cell>
          <cell r="D1029" t="str">
            <v>UEC</v>
          </cell>
        </row>
        <row r="1030">
          <cell r="B1030" t="str">
            <v>A0183</v>
          </cell>
          <cell r="C1030" t="str">
            <v>Direct</v>
          </cell>
          <cell r="D1030" t="str">
            <v>CIP</v>
          </cell>
        </row>
        <row r="1031">
          <cell r="B1031" t="str">
            <v>A0184</v>
          </cell>
          <cell r="C1031" t="str">
            <v>Direct</v>
          </cell>
          <cell r="D1031" t="str">
            <v>ADC</v>
          </cell>
        </row>
        <row r="1032">
          <cell r="B1032" t="str">
            <v>A0185</v>
          </cell>
          <cell r="C1032" t="str">
            <v>Direct</v>
          </cell>
          <cell r="D1032" t="str">
            <v>UEC</v>
          </cell>
        </row>
        <row r="1033">
          <cell r="B1033" t="str">
            <v>A0189</v>
          </cell>
          <cell r="C1033" t="str">
            <v>Allocated Direct</v>
          </cell>
          <cell r="D1033" t="str">
            <v>003B</v>
          </cell>
        </row>
        <row r="1034">
          <cell r="B1034" t="str">
            <v>A0192</v>
          </cell>
          <cell r="C1034" t="str">
            <v>Indirect Functional</v>
          </cell>
          <cell r="D1034" t="str">
            <v>Indirect</v>
          </cell>
        </row>
        <row r="1035">
          <cell r="B1035" t="str">
            <v>A0193</v>
          </cell>
          <cell r="C1035" t="str">
            <v>Indirect Functional</v>
          </cell>
          <cell r="D1035" t="str">
            <v>Indirect</v>
          </cell>
        </row>
        <row r="1036">
          <cell r="B1036" t="str">
            <v>A0194</v>
          </cell>
          <cell r="C1036" t="str">
            <v>Direct</v>
          </cell>
          <cell r="D1036" t="str">
            <v>CIP</v>
          </cell>
        </row>
        <row r="1037">
          <cell r="B1037" t="str">
            <v>A0195</v>
          </cell>
          <cell r="C1037" t="str">
            <v>Direct</v>
          </cell>
          <cell r="D1037" t="str">
            <v>UEC</v>
          </cell>
        </row>
        <row r="1038">
          <cell r="B1038" t="str">
            <v>A0196</v>
          </cell>
          <cell r="C1038" t="str">
            <v>Direct</v>
          </cell>
          <cell r="D1038" t="str">
            <v>UEC</v>
          </cell>
        </row>
        <row r="1039">
          <cell r="B1039" t="str">
            <v>A0197</v>
          </cell>
          <cell r="C1039" t="str">
            <v>Direct</v>
          </cell>
          <cell r="D1039" t="str">
            <v>CIP</v>
          </cell>
        </row>
        <row r="1040">
          <cell r="B1040" t="str">
            <v>A0199</v>
          </cell>
          <cell r="C1040" t="str">
            <v>Allocated Direct</v>
          </cell>
          <cell r="D1040" t="str">
            <v>002L</v>
          </cell>
        </row>
        <row r="1041">
          <cell r="B1041" t="str">
            <v>A0200</v>
          </cell>
          <cell r="C1041" t="str">
            <v>Direct</v>
          </cell>
          <cell r="D1041" t="str">
            <v>UEC</v>
          </cell>
        </row>
        <row r="1042">
          <cell r="B1042" t="str">
            <v>A0202</v>
          </cell>
          <cell r="C1042" t="str">
            <v>Direct</v>
          </cell>
          <cell r="D1042" t="str">
            <v>CIP</v>
          </cell>
        </row>
        <row r="1043">
          <cell r="B1043" t="str">
            <v>A0203</v>
          </cell>
          <cell r="C1043" t="str">
            <v>Allocated Direct</v>
          </cell>
          <cell r="D1043" t="str">
            <v>002K</v>
          </cell>
        </row>
        <row r="1044">
          <cell r="B1044" t="str">
            <v>A0208</v>
          </cell>
          <cell r="C1044" t="str">
            <v>Allocated Direct</v>
          </cell>
          <cell r="D1044" t="str">
            <v>012A</v>
          </cell>
        </row>
        <row r="1045">
          <cell r="B1045" t="str">
            <v>A0209</v>
          </cell>
          <cell r="C1045" t="str">
            <v>Direct</v>
          </cell>
          <cell r="D1045" t="str">
            <v>UEC</v>
          </cell>
        </row>
        <row r="1046">
          <cell r="B1046" t="str">
            <v>A0210</v>
          </cell>
          <cell r="C1046" t="str">
            <v>Direct</v>
          </cell>
          <cell r="D1046" t="str">
            <v>CIP</v>
          </cell>
        </row>
        <row r="1047">
          <cell r="B1047" t="str">
            <v>A0212</v>
          </cell>
          <cell r="C1047" t="str">
            <v>Direct</v>
          </cell>
          <cell r="D1047" t="str">
            <v>UEC</v>
          </cell>
        </row>
        <row r="1048">
          <cell r="B1048" t="str">
            <v>A0214</v>
          </cell>
          <cell r="C1048" t="str">
            <v>Direct</v>
          </cell>
          <cell r="D1048" t="str">
            <v>CIP</v>
          </cell>
        </row>
        <row r="1049">
          <cell r="B1049" t="str">
            <v>A0215</v>
          </cell>
          <cell r="C1049" t="str">
            <v>Indirect Functional</v>
          </cell>
          <cell r="D1049" t="str">
            <v>Indirect</v>
          </cell>
        </row>
        <row r="1050">
          <cell r="B1050" t="str">
            <v>A0217</v>
          </cell>
          <cell r="C1050" t="str">
            <v>Direct</v>
          </cell>
          <cell r="D1050" t="str">
            <v>UEC</v>
          </cell>
        </row>
        <row r="1051">
          <cell r="B1051" t="str">
            <v>A0220</v>
          </cell>
          <cell r="C1051" t="str">
            <v>Direct</v>
          </cell>
          <cell r="D1051" t="str">
            <v>UEC</v>
          </cell>
        </row>
        <row r="1052">
          <cell r="B1052" t="str">
            <v>A0222</v>
          </cell>
          <cell r="C1052" t="str">
            <v>Allocated Direct</v>
          </cell>
          <cell r="D1052" t="str">
            <v>017A</v>
          </cell>
        </row>
        <row r="1053">
          <cell r="B1053" t="str">
            <v>A0223</v>
          </cell>
          <cell r="C1053" t="str">
            <v>Allocated Direct</v>
          </cell>
          <cell r="D1053" t="str">
            <v>002L</v>
          </cell>
        </row>
        <row r="1054">
          <cell r="B1054" t="str">
            <v>A0224</v>
          </cell>
          <cell r="C1054" t="str">
            <v>Allocated Direct</v>
          </cell>
          <cell r="D1054" t="str">
            <v>004A</v>
          </cell>
        </row>
        <row r="1055">
          <cell r="B1055" t="str">
            <v>A0228</v>
          </cell>
          <cell r="C1055" t="str">
            <v>Allocated Direct</v>
          </cell>
          <cell r="D1055" t="str">
            <v>011A</v>
          </cell>
        </row>
        <row r="1056">
          <cell r="B1056" t="str">
            <v>A0230</v>
          </cell>
          <cell r="C1056" t="str">
            <v>Direct</v>
          </cell>
          <cell r="D1056" t="str">
            <v>UEC</v>
          </cell>
        </row>
        <row r="1057">
          <cell r="B1057" t="str">
            <v>A0231</v>
          </cell>
          <cell r="C1057" t="str">
            <v>Direct</v>
          </cell>
          <cell r="D1057" t="str">
            <v>CIP</v>
          </cell>
        </row>
        <row r="1058">
          <cell r="B1058" t="str">
            <v>A0234</v>
          </cell>
          <cell r="C1058" t="str">
            <v>Allocated Direct</v>
          </cell>
          <cell r="D1058" t="str">
            <v>001A</v>
          </cell>
        </row>
        <row r="1059">
          <cell r="B1059" t="str">
            <v>A0235</v>
          </cell>
          <cell r="C1059" t="str">
            <v>Allocated Direct</v>
          </cell>
          <cell r="D1059" t="str">
            <v>004A</v>
          </cell>
        </row>
        <row r="1060">
          <cell r="B1060" t="str">
            <v>A0236</v>
          </cell>
          <cell r="C1060" t="str">
            <v>Direct</v>
          </cell>
          <cell r="D1060" t="str">
            <v>CIP</v>
          </cell>
        </row>
        <row r="1061">
          <cell r="B1061" t="str">
            <v>A0237</v>
          </cell>
          <cell r="C1061" t="str">
            <v>Indirect Functional</v>
          </cell>
          <cell r="D1061" t="str">
            <v>Indirect</v>
          </cell>
        </row>
        <row r="1062">
          <cell r="B1062" t="str">
            <v>A0238</v>
          </cell>
          <cell r="C1062" t="str">
            <v>Direct</v>
          </cell>
          <cell r="D1062" t="str">
            <v>UEC</v>
          </cell>
        </row>
        <row r="1063">
          <cell r="B1063" t="str">
            <v>A0239</v>
          </cell>
          <cell r="C1063" t="str">
            <v>Direct</v>
          </cell>
          <cell r="D1063" t="str">
            <v>CIP</v>
          </cell>
        </row>
        <row r="1064">
          <cell r="B1064" t="str">
            <v>A0240</v>
          </cell>
          <cell r="C1064" t="str">
            <v>Direct</v>
          </cell>
          <cell r="D1064" t="str">
            <v>UEC</v>
          </cell>
        </row>
        <row r="1065">
          <cell r="B1065" t="str">
            <v>A0241</v>
          </cell>
          <cell r="C1065" t="str">
            <v>Allocated Direct</v>
          </cell>
          <cell r="D1065" t="str">
            <v>002L</v>
          </cell>
        </row>
        <row r="1066">
          <cell r="B1066" t="str">
            <v>A0243</v>
          </cell>
          <cell r="C1066" t="str">
            <v>Indirect Functional</v>
          </cell>
          <cell r="D1066" t="str">
            <v>Indirect</v>
          </cell>
        </row>
        <row r="1067">
          <cell r="B1067" t="str">
            <v>A0245</v>
          </cell>
          <cell r="C1067" t="str">
            <v>Direct</v>
          </cell>
          <cell r="D1067" t="str">
            <v>CIP</v>
          </cell>
        </row>
        <row r="1068">
          <cell r="B1068" t="str">
            <v>A0247</v>
          </cell>
          <cell r="C1068" t="str">
            <v>Allocated Direct</v>
          </cell>
          <cell r="D1068" t="str">
            <v>004F</v>
          </cell>
        </row>
        <row r="1069">
          <cell r="B1069" t="str">
            <v>A0248</v>
          </cell>
          <cell r="C1069" t="str">
            <v>Allocated Direct</v>
          </cell>
          <cell r="D1069" t="str">
            <v>002K</v>
          </cell>
        </row>
        <row r="1070">
          <cell r="B1070" t="str">
            <v>A0249</v>
          </cell>
          <cell r="C1070" t="str">
            <v>Allocated Direct</v>
          </cell>
          <cell r="D1070" t="str">
            <v>002L</v>
          </cell>
        </row>
        <row r="1071">
          <cell r="B1071" t="str">
            <v>A0250</v>
          </cell>
          <cell r="C1071" t="str">
            <v>Allocated Direct</v>
          </cell>
          <cell r="D1071" t="str">
            <v>001A</v>
          </cell>
        </row>
        <row r="1072">
          <cell r="B1072" t="str">
            <v>A0251</v>
          </cell>
          <cell r="C1072" t="str">
            <v>Direct</v>
          </cell>
          <cell r="D1072" t="str">
            <v>CIP</v>
          </cell>
        </row>
        <row r="1073">
          <cell r="B1073" t="str">
            <v>A0252</v>
          </cell>
          <cell r="C1073" t="str">
            <v>Allocated Direct</v>
          </cell>
          <cell r="D1073" t="str">
            <v>004C</v>
          </cell>
        </row>
        <row r="1074">
          <cell r="B1074" t="str">
            <v>A0253</v>
          </cell>
          <cell r="C1074" t="str">
            <v>Allocated Direct</v>
          </cell>
          <cell r="D1074" t="str">
            <v>004A</v>
          </cell>
        </row>
        <row r="1075">
          <cell r="B1075" t="str">
            <v>A0254</v>
          </cell>
          <cell r="C1075" t="str">
            <v>Indirect Functional</v>
          </cell>
          <cell r="D1075" t="str">
            <v>Indirect</v>
          </cell>
        </row>
        <row r="1076">
          <cell r="B1076" t="str">
            <v>A0255</v>
          </cell>
          <cell r="C1076" t="str">
            <v>Indirect Functional</v>
          </cell>
          <cell r="D1076" t="str">
            <v>Indirect</v>
          </cell>
        </row>
        <row r="1077">
          <cell r="B1077" t="str">
            <v>A0256</v>
          </cell>
          <cell r="C1077" t="str">
            <v>Allocated Direct</v>
          </cell>
          <cell r="D1077" t="str">
            <v>004A</v>
          </cell>
        </row>
        <row r="1078">
          <cell r="B1078" t="str">
            <v>A0259</v>
          </cell>
          <cell r="C1078" t="str">
            <v>Indirect Corporate</v>
          </cell>
          <cell r="D1078" t="str">
            <v>Indirect</v>
          </cell>
        </row>
        <row r="1079">
          <cell r="B1079" t="str">
            <v>A0262</v>
          </cell>
          <cell r="C1079" t="str">
            <v>Allocated Direct</v>
          </cell>
          <cell r="D1079" t="str">
            <v>007A</v>
          </cell>
        </row>
        <row r="1080">
          <cell r="B1080" t="str">
            <v>A0266</v>
          </cell>
          <cell r="C1080" t="str">
            <v>Direct</v>
          </cell>
          <cell r="D1080" t="str">
            <v>UEC</v>
          </cell>
        </row>
        <row r="1081">
          <cell r="B1081" t="str">
            <v>A0273</v>
          </cell>
          <cell r="C1081" t="str">
            <v>Direct</v>
          </cell>
          <cell r="D1081" t="str">
            <v>UEC</v>
          </cell>
        </row>
        <row r="1082">
          <cell r="B1082" t="str">
            <v>A0274</v>
          </cell>
          <cell r="C1082" t="str">
            <v>Direct</v>
          </cell>
          <cell r="D1082" t="str">
            <v>CIP</v>
          </cell>
        </row>
        <row r="1083">
          <cell r="B1083" t="str">
            <v>A0275</v>
          </cell>
          <cell r="C1083" t="str">
            <v>Direct</v>
          </cell>
          <cell r="D1083" t="str">
            <v>AMC</v>
          </cell>
        </row>
        <row r="1084">
          <cell r="B1084" t="str">
            <v>A0279</v>
          </cell>
          <cell r="C1084" t="str">
            <v>Direct</v>
          </cell>
          <cell r="D1084" t="str">
            <v>UEC</v>
          </cell>
        </row>
        <row r="1085">
          <cell r="B1085" t="str">
            <v>A0280</v>
          </cell>
          <cell r="C1085" t="str">
            <v>Direct</v>
          </cell>
          <cell r="D1085" t="str">
            <v>CIP</v>
          </cell>
        </row>
        <row r="1086">
          <cell r="B1086" t="str">
            <v>A0281</v>
          </cell>
          <cell r="C1086" t="str">
            <v>Direct</v>
          </cell>
          <cell r="D1086" t="str">
            <v>UEC</v>
          </cell>
        </row>
        <row r="1087">
          <cell r="B1087" t="str">
            <v>A0282</v>
          </cell>
          <cell r="C1087" t="str">
            <v>Direct</v>
          </cell>
          <cell r="D1087" t="str">
            <v>CIP</v>
          </cell>
        </row>
        <row r="1088">
          <cell r="B1088" t="str">
            <v>A0283</v>
          </cell>
          <cell r="C1088" t="str">
            <v>Direct</v>
          </cell>
          <cell r="D1088" t="str">
            <v>UEC</v>
          </cell>
        </row>
        <row r="1089">
          <cell r="B1089" t="str">
            <v>A0284</v>
          </cell>
          <cell r="C1089" t="str">
            <v>Direct</v>
          </cell>
          <cell r="D1089" t="str">
            <v>CIP</v>
          </cell>
        </row>
        <row r="1090">
          <cell r="B1090" t="str">
            <v>A0285</v>
          </cell>
          <cell r="C1090" t="str">
            <v>Allocated Direct</v>
          </cell>
          <cell r="D1090" t="str">
            <v>008C</v>
          </cell>
        </row>
        <row r="1091">
          <cell r="B1091" t="str">
            <v>A0286</v>
          </cell>
          <cell r="C1091" t="str">
            <v>Allocated Direct</v>
          </cell>
          <cell r="D1091" t="str">
            <v>008C</v>
          </cell>
        </row>
        <row r="1092">
          <cell r="B1092" t="str">
            <v>A0287</v>
          </cell>
          <cell r="C1092" t="str">
            <v>Allocated Direct</v>
          </cell>
          <cell r="D1092" t="str">
            <v>008C</v>
          </cell>
        </row>
        <row r="1093">
          <cell r="B1093" t="str">
            <v>A0288</v>
          </cell>
          <cell r="C1093" t="str">
            <v>Allocated Direct</v>
          </cell>
          <cell r="D1093" t="str">
            <v>001A</v>
          </cell>
        </row>
        <row r="1094">
          <cell r="B1094" t="str">
            <v>A0290</v>
          </cell>
          <cell r="C1094" t="str">
            <v>Direct</v>
          </cell>
          <cell r="D1094" t="str">
            <v>UEC</v>
          </cell>
        </row>
        <row r="1095">
          <cell r="B1095" t="str">
            <v>A0291</v>
          </cell>
          <cell r="C1095" t="str">
            <v>Direct</v>
          </cell>
          <cell r="D1095" t="str">
            <v>UEC</v>
          </cell>
        </row>
        <row r="1096">
          <cell r="B1096" t="str">
            <v>A0292</v>
          </cell>
          <cell r="C1096" t="str">
            <v>Allocated Direct</v>
          </cell>
          <cell r="D1096" t="str">
            <v>002P</v>
          </cell>
        </row>
        <row r="1097">
          <cell r="B1097" t="str">
            <v>A0293</v>
          </cell>
          <cell r="C1097" t="str">
            <v>Allocated Direct</v>
          </cell>
          <cell r="D1097" t="str">
            <v>012A</v>
          </cell>
        </row>
        <row r="1098">
          <cell r="B1098" t="str">
            <v>A0294</v>
          </cell>
          <cell r="C1098" t="str">
            <v>Direct</v>
          </cell>
          <cell r="D1098" t="str">
            <v>CIP</v>
          </cell>
        </row>
        <row r="1099">
          <cell r="B1099" t="str">
            <v>A0296</v>
          </cell>
          <cell r="C1099" t="str">
            <v>Direct</v>
          </cell>
          <cell r="D1099" t="str">
            <v>CIP</v>
          </cell>
        </row>
        <row r="1100">
          <cell r="B1100" t="str">
            <v>A0299</v>
          </cell>
          <cell r="C1100" t="str">
            <v>Allocated Direct</v>
          </cell>
          <cell r="D1100" t="str">
            <v>002P</v>
          </cell>
        </row>
        <row r="1101">
          <cell r="B1101" t="str">
            <v>A0300</v>
          </cell>
          <cell r="C1101" t="str">
            <v>Direct</v>
          </cell>
          <cell r="D1101" t="str">
            <v>UEC</v>
          </cell>
        </row>
        <row r="1102">
          <cell r="B1102" t="str">
            <v>A0302</v>
          </cell>
          <cell r="C1102" t="str">
            <v>Direct</v>
          </cell>
          <cell r="D1102" t="str">
            <v>CIP</v>
          </cell>
        </row>
        <row r="1103">
          <cell r="B1103" t="str">
            <v>A0305</v>
          </cell>
          <cell r="C1103" t="str">
            <v>Direct</v>
          </cell>
          <cell r="D1103" t="str">
            <v>UEC</v>
          </cell>
        </row>
        <row r="1104">
          <cell r="B1104" t="str">
            <v>A0306</v>
          </cell>
          <cell r="C1104" t="str">
            <v>Direct</v>
          </cell>
          <cell r="D1104" t="str">
            <v>CIP</v>
          </cell>
        </row>
        <row r="1105">
          <cell r="B1105" t="str">
            <v>A0307</v>
          </cell>
          <cell r="C1105" t="str">
            <v>Allocated Direct</v>
          </cell>
          <cell r="D1105" t="str">
            <v>002A</v>
          </cell>
        </row>
        <row r="1106">
          <cell r="B1106" t="str">
            <v>A0308</v>
          </cell>
          <cell r="C1106" t="str">
            <v>Direct</v>
          </cell>
          <cell r="D1106" t="str">
            <v>UEC</v>
          </cell>
        </row>
        <row r="1107">
          <cell r="B1107" t="str">
            <v>A0309</v>
          </cell>
          <cell r="C1107" t="str">
            <v>Direct</v>
          </cell>
          <cell r="D1107" t="str">
            <v>CIP</v>
          </cell>
        </row>
        <row r="1108">
          <cell r="B1108" t="str">
            <v>A0310</v>
          </cell>
          <cell r="C1108" t="str">
            <v>Allocated Direct</v>
          </cell>
          <cell r="D1108" t="str">
            <v>002K</v>
          </cell>
        </row>
        <row r="1109">
          <cell r="B1109" t="str">
            <v>A0312</v>
          </cell>
          <cell r="C1109" t="str">
            <v>Direct</v>
          </cell>
          <cell r="D1109" t="str">
            <v>UEC</v>
          </cell>
        </row>
        <row r="1110">
          <cell r="B1110" t="str">
            <v>A0314</v>
          </cell>
          <cell r="C1110" t="str">
            <v>Direct</v>
          </cell>
          <cell r="D1110" t="str">
            <v>CIP</v>
          </cell>
        </row>
        <row r="1111">
          <cell r="B1111" t="str">
            <v>A0315</v>
          </cell>
          <cell r="C1111" t="str">
            <v>Allocated Direct</v>
          </cell>
          <cell r="D1111" t="str">
            <v>002L</v>
          </cell>
        </row>
        <row r="1112">
          <cell r="B1112" t="str">
            <v>A0318</v>
          </cell>
          <cell r="C1112" t="str">
            <v>Direct</v>
          </cell>
          <cell r="D1112" t="str">
            <v>UEC</v>
          </cell>
        </row>
        <row r="1113">
          <cell r="B1113" t="str">
            <v>A0319</v>
          </cell>
          <cell r="C1113" t="str">
            <v>Allocated Direct</v>
          </cell>
          <cell r="D1113" t="str">
            <v>017B</v>
          </cell>
        </row>
        <row r="1114">
          <cell r="B1114" t="str">
            <v>A0320</v>
          </cell>
          <cell r="C1114" t="str">
            <v>Direct</v>
          </cell>
          <cell r="D1114" t="str">
            <v>CIP</v>
          </cell>
        </row>
        <row r="1115">
          <cell r="B1115" t="str">
            <v>A0321</v>
          </cell>
          <cell r="C1115" t="str">
            <v>Allocated Direct</v>
          </cell>
          <cell r="D1115" t="str">
            <v>016A</v>
          </cell>
        </row>
        <row r="1116">
          <cell r="B1116" t="str">
            <v>A0322</v>
          </cell>
          <cell r="C1116" t="str">
            <v>Indirect Functional</v>
          </cell>
          <cell r="D1116" t="str">
            <v>Indirect</v>
          </cell>
        </row>
        <row r="1117">
          <cell r="B1117" t="str">
            <v>A0323</v>
          </cell>
          <cell r="C1117" t="str">
            <v>Direct</v>
          </cell>
          <cell r="D1117" t="str">
            <v>UEC</v>
          </cell>
        </row>
        <row r="1118">
          <cell r="B1118" t="str">
            <v>A0324</v>
          </cell>
          <cell r="C1118" t="str">
            <v>Direct</v>
          </cell>
          <cell r="D1118" t="str">
            <v>CIP</v>
          </cell>
        </row>
        <row r="1119">
          <cell r="B1119" t="str">
            <v>A0325</v>
          </cell>
          <cell r="C1119" t="str">
            <v>Allocated Direct</v>
          </cell>
          <cell r="D1119" t="str">
            <v>016A</v>
          </cell>
        </row>
        <row r="1120">
          <cell r="B1120" t="str">
            <v>A0326</v>
          </cell>
          <cell r="C1120" t="str">
            <v>Indirect Functional</v>
          </cell>
          <cell r="D1120" t="str">
            <v>Indirect</v>
          </cell>
        </row>
        <row r="1121">
          <cell r="B1121" t="str">
            <v>A0337</v>
          </cell>
          <cell r="C1121" t="str">
            <v>Allocated Direct</v>
          </cell>
          <cell r="D1121" t="str">
            <v>011A</v>
          </cell>
        </row>
        <row r="1122">
          <cell r="B1122" t="str">
            <v>A0340</v>
          </cell>
          <cell r="C1122" t="str">
            <v>Allocated Direct</v>
          </cell>
          <cell r="D1122" t="str">
            <v>001A</v>
          </cell>
        </row>
        <row r="1123">
          <cell r="B1123" t="str">
            <v>A0342</v>
          </cell>
          <cell r="C1123" t="str">
            <v>Allocated Direct</v>
          </cell>
          <cell r="D1123" t="str">
            <v>001A</v>
          </cell>
        </row>
        <row r="1124">
          <cell r="B1124" t="str">
            <v>A0343</v>
          </cell>
          <cell r="C1124" t="str">
            <v>Allocated Direct</v>
          </cell>
          <cell r="D1124" t="str">
            <v>002L</v>
          </cell>
        </row>
        <row r="1125">
          <cell r="B1125" t="str">
            <v>A0345</v>
          </cell>
          <cell r="C1125" t="str">
            <v>Allocated Direct</v>
          </cell>
          <cell r="D1125" t="str">
            <v>002L</v>
          </cell>
        </row>
        <row r="1126">
          <cell r="B1126" t="str">
            <v>A0346</v>
          </cell>
          <cell r="C1126" t="str">
            <v>Direct</v>
          </cell>
          <cell r="D1126" t="str">
            <v>UEC</v>
          </cell>
        </row>
        <row r="1127">
          <cell r="B1127" t="str">
            <v>A0348</v>
          </cell>
          <cell r="C1127" t="str">
            <v>Allocated Direct</v>
          </cell>
          <cell r="D1127" t="str">
            <v>004A</v>
          </cell>
        </row>
        <row r="1128">
          <cell r="B1128" t="str">
            <v>A0349</v>
          </cell>
          <cell r="C1128" t="str">
            <v>Allocated Direct</v>
          </cell>
          <cell r="D1128" t="str">
            <v>004A</v>
          </cell>
        </row>
        <row r="1129">
          <cell r="B1129" t="str">
            <v>A0350</v>
          </cell>
          <cell r="C1129" t="str">
            <v>Indirect Corporate</v>
          </cell>
          <cell r="D1129" t="str">
            <v>Indirect</v>
          </cell>
        </row>
        <row r="1130">
          <cell r="B1130" t="str">
            <v>A0351</v>
          </cell>
          <cell r="C1130" t="str">
            <v>Indirect Functional</v>
          </cell>
          <cell r="D1130" t="str">
            <v>Indirect</v>
          </cell>
        </row>
        <row r="1131">
          <cell r="B1131" t="str">
            <v>A0352</v>
          </cell>
          <cell r="C1131" t="str">
            <v>Direct</v>
          </cell>
          <cell r="D1131" t="str">
            <v>UEC</v>
          </cell>
        </row>
        <row r="1132">
          <cell r="B1132" t="str">
            <v>A0353</v>
          </cell>
          <cell r="C1132" t="str">
            <v>Allocated Direct</v>
          </cell>
          <cell r="D1132" t="str">
            <v>002A</v>
          </cell>
        </row>
        <row r="1133">
          <cell r="B1133" t="str">
            <v>A0354</v>
          </cell>
          <cell r="C1133" t="str">
            <v>Direct</v>
          </cell>
          <cell r="D1133" t="str">
            <v>CIP</v>
          </cell>
        </row>
        <row r="1134">
          <cell r="B1134" t="str">
            <v>A0355</v>
          </cell>
          <cell r="C1134" t="str">
            <v>Allocated Direct</v>
          </cell>
          <cell r="D1134" t="str">
            <v>002K</v>
          </cell>
        </row>
        <row r="1135">
          <cell r="B1135" t="str">
            <v>A0359</v>
          </cell>
          <cell r="C1135" t="str">
            <v>Allocated Direct</v>
          </cell>
          <cell r="D1135" t="str">
            <v>007A</v>
          </cell>
        </row>
        <row r="1136">
          <cell r="B1136" t="str">
            <v>A0361</v>
          </cell>
          <cell r="C1136" t="str">
            <v>Allocated Direct</v>
          </cell>
          <cell r="D1136" t="str">
            <v>002K</v>
          </cell>
        </row>
        <row r="1137">
          <cell r="B1137" t="str">
            <v>A0366</v>
          </cell>
          <cell r="C1137" t="str">
            <v>Allocated Direct</v>
          </cell>
          <cell r="D1137" t="str">
            <v>011A</v>
          </cell>
        </row>
        <row r="1138">
          <cell r="B1138" t="str">
            <v>A0367</v>
          </cell>
          <cell r="C1138" t="str">
            <v>Direct</v>
          </cell>
          <cell r="D1138" t="str">
            <v>UEC</v>
          </cell>
        </row>
        <row r="1139">
          <cell r="B1139" t="str">
            <v>A0368</v>
          </cell>
          <cell r="C1139" t="str">
            <v>Direct</v>
          </cell>
          <cell r="D1139" t="str">
            <v>GEN</v>
          </cell>
        </row>
        <row r="1140">
          <cell r="B1140" t="str">
            <v>A0370</v>
          </cell>
          <cell r="C1140" t="str">
            <v>Direct</v>
          </cell>
          <cell r="D1140" t="str">
            <v>CIP</v>
          </cell>
        </row>
        <row r="1141">
          <cell r="B1141" t="str">
            <v>A0371</v>
          </cell>
          <cell r="C1141" t="str">
            <v>Indirect Functional</v>
          </cell>
          <cell r="D1141" t="str">
            <v>Indirect</v>
          </cell>
        </row>
        <row r="1142">
          <cell r="B1142" t="str">
            <v>A0372</v>
          </cell>
          <cell r="C1142" t="str">
            <v>Allocated Direct</v>
          </cell>
          <cell r="D1142" t="str">
            <v>010A</v>
          </cell>
        </row>
        <row r="1143">
          <cell r="B1143" t="str">
            <v>A0373</v>
          </cell>
          <cell r="C1143" t="str">
            <v>Direct</v>
          </cell>
          <cell r="D1143" t="str">
            <v>CIP</v>
          </cell>
        </row>
        <row r="1144">
          <cell r="B1144" t="str">
            <v>A0374</v>
          </cell>
          <cell r="C1144" t="str">
            <v>Direct</v>
          </cell>
          <cell r="D1144" t="str">
            <v>UEC</v>
          </cell>
        </row>
        <row r="1145">
          <cell r="B1145" t="str">
            <v>A0378</v>
          </cell>
          <cell r="C1145" t="str">
            <v>Allocated Direct</v>
          </cell>
          <cell r="D1145" t="str">
            <v>002K</v>
          </cell>
        </row>
        <row r="1146">
          <cell r="B1146" t="str">
            <v>A0379</v>
          </cell>
          <cell r="C1146" t="str">
            <v>Indirect Functional</v>
          </cell>
          <cell r="D1146" t="str">
            <v>Indirect</v>
          </cell>
        </row>
        <row r="1147">
          <cell r="B1147" t="str">
            <v>A0382</v>
          </cell>
          <cell r="C1147" t="str">
            <v>Allocated Direct</v>
          </cell>
          <cell r="D1147" t="str">
            <v>004A</v>
          </cell>
        </row>
        <row r="1148">
          <cell r="B1148" t="str">
            <v>A0383</v>
          </cell>
          <cell r="C1148" t="str">
            <v>Allocated Direct</v>
          </cell>
          <cell r="D1148" t="str">
            <v>004A</v>
          </cell>
        </row>
        <row r="1149">
          <cell r="B1149" t="str">
            <v>A0384</v>
          </cell>
          <cell r="C1149" t="str">
            <v>Direct</v>
          </cell>
          <cell r="D1149" t="str">
            <v>CIP</v>
          </cell>
        </row>
        <row r="1150">
          <cell r="B1150" t="str">
            <v>A0386</v>
          </cell>
          <cell r="C1150" t="str">
            <v>Direct</v>
          </cell>
          <cell r="D1150" t="str">
            <v>UEC</v>
          </cell>
        </row>
        <row r="1151">
          <cell r="B1151" t="str">
            <v>A0387</v>
          </cell>
          <cell r="C1151" t="str">
            <v>Direct</v>
          </cell>
          <cell r="D1151" t="str">
            <v>UEC</v>
          </cell>
        </row>
        <row r="1152">
          <cell r="B1152" t="str">
            <v>A0389</v>
          </cell>
          <cell r="C1152" t="str">
            <v>Direct</v>
          </cell>
          <cell r="D1152" t="str">
            <v>ADC</v>
          </cell>
        </row>
        <row r="1153">
          <cell r="B1153" t="str">
            <v>A0390</v>
          </cell>
          <cell r="C1153" t="str">
            <v>Direct</v>
          </cell>
          <cell r="D1153" t="str">
            <v>ADC</v>
          </cell>
        </row>
        <row r="1154">
          <cell r="B1154" t="str">
            <v>A0391</v>
          </cell>
          <cell r="C1154" t="str">
            <v>Allocated Direct</v>
          </cell>
          <cell r="D1154" t="str">
            <v>001A</v>
          </cell>
        </row>
        <row r="1155">
          <cell r="B1155" t="str">
            <v>A0392</v>
          </cell>
          <cell r="C1155" t="str">
            <v>Allocated Direct</v>
          </cell>
          <cell r="D1155" t="str">
            <v>003A</v>
          </cell>
        </row>
        <row r="1156">
          <cell r="B1156" t="str">
            <v>A0393</v>
          </cell>
          <cell r="C1156" t="str">
            <v>Allocated Direct</v>
          </cell>
          <cell r="D1156" t="str">
            <v>001A</v>
          </cell>
        </row>
        <row r="1157">
          <cell r="B1157" t="str">
            <v>A0394</v>
          </cell>
          <cell r="C1157" t="str">
            <v>Direct</v>
          </cell>
          <cell r="D1157" t="str">
            <v>AMC</v>
          </cell>
        </row>
        <row r="1158">
          <cell r="B1158" t="str">
            <v>A0397</v>
          </cell>
          <cell r="C1158" t="str">
            <v>Direct</v>
          </cell>
          <cell r="D1158" t="str">
            <v>UEC</v>
          </cell>
        </row>
        <row r="1159">
          <cell r="B1159" t="str">
            <v>A0398</v>
          </cell>
          <cell r="C1159" t="str">
            <v>Direct</v>
          </cell>
          <cell r="D1159" t="str">
            <v>CIP</v>
          </cell>
        </row>
        <row r="1160">
          <cell r="B1160" t="str">
            <v>A0399</v>
          </cell>
          <cell r="C1160" t="str">
            <v>Indirect Corporate</v>
          </cell>
          <cell r="D1160" t="str">
            <v>Indirect</v>
          </cell>
        </row>
        <row r="1161">
          <cell r="B1161" t="str">
            <v>A0400</v>
          </cell>
          <cell r="C1161" t="str">
            <v>Direct</v>
          </cell>
          <cell r="D1161" t="str">
            <v>UEC</v>
          </cell>
        </row>
        <row r="1162">
          <cell r="B1162" t="str">
            <v>A0401</v>
          </cell>
          <cell r="C1162" t="str">
            <v>Indirect Functional</v>
          </cell>
          <cell r="D1162" t="str">
            <v>Indirect</v>
          </cell>
        </row>
        <row r="1163">
          <cell r="B1163" t="str">
            <v>A0402</v>
          </cell>
          <cell r="C1163" t="str">
            <v>Allocated Direct</v>
          </cell>
          <cell r="D1163" t="str">
            <v>002L</v>
          </cell>
        </row>
        <row r="1164">
          <cell r="B1164" t="str">
            <v>A0403</v>
          </cell>
          <cell r="C1164" t="str">
            <v>Allocated Direct</v>
          </cell>
          <cell r="D1164" t="str">
            <v>004A</v>
          </cell>
        </row>
        <row r="1165">
          <cell r="B1165" t="str">
            <v>A0406</v>
          </cell>
          <cell r="C1165" t="str">
            <v>Indirect Functional</v>
          </cell>
          <cell r="D1165" t="str">
            <v>Indirect</v>
          </cell>
        </row>
        <row r="1166">
          <cell r="B1166" t="str">
            <v>A0407</v>
          </cell>
          <cell r="C1166" t="str">
            <v>Direct</v>
          </cell>
          <cell r="D1166" t="str">
            <v>CIP</v>
          </cell>
        </row>
        <row r="1167">
          <cell r="B1167" t="str">
            <v>A0416</v>
          </cell>
          <cell r="C1167" t="str">
            <v>Allocated Direct</v>
          </cell>
          <cell r="D1167" t="str">
            <v>004A</v>
          </cell>
        </row>
        <row r="1168">
          <cell r="B1168" t="str">
            <v>A0417</v>
          </cell>
          <cell r="C1168" t="str">
            <v>Direct</v>
          </cell>
          <cell r="D1168" t="str">
            <v>AFS</v>
          </cell>
        </row>
        <row r="1169">
          <cell r="B1169" t="str">
            <v>A0419</v>
          </cell>
          <cell r="C1169" t="str">
            <v>Indirect Functional</v>
          </cell>
          <cell r="D1169" t="str">
            <v>Indirect</v>
          </cell>
        </row>
        <row r="1170">
          <cell r="B1170" t="str">
            <v>A0421</v>
          </cell>
          <cell r="C1170" t="str">
            <v>Direct</v>
          </cell>
          <cell r="D1170" t="str">
            <v>UEC</v>
          </cell>
        </row>
        <row r="1171">
          <cell r="B1171" t="str">
            <v>A0423</v>
          </cell>
          <cell r="C1171" t="str">
            <v>Direct</v>
          </cell>
          <cell r="D1171" t="str">
            <v>CIP</v>
          </cell>
        </row>
        <row r="1172">
          <cell r="B1172" t="str">
            <v>A0424</v>
          </cell>
          <cell r="C1172" t="str">
            <v>Direct</v>
          </cell>
          <cell r="D1172" t="str">
            <v>CIP</v>
          </cell>
        </row>
        <row r="1173">
          <cell r="B1173" t="str">
            <v>A0425</v>
          </cell>
          <cell r="C1173" t="str">
            <v>Indirect Functional</v>
          </cell>
          <cell r="D1173" t="str">
            <v>Indirect</v>
          </cell>
        </row>
        <row r="1174">
          <cell r="B1174" t="str">
            <v>A0427</v>
          </cell>
          <cell r="C1174" t="str">
            <v>Direct</v>
          </cell>
          <cell r="D1174" t="str">
            <v>UEC</v>
          </cell>
        </row>
        <row r="1175">
          <cell r="B1175" t="str">
            <v>A0428</v>
          </cell>
          <cell r="C1175" t="str">
            <v>Allocated Direct</v>
          </cell>
          <cell r="D1175" t="str">
            <v>004A</v>
          </cell>
        </row>
        <row r="1176">
          <cell r="B1176" t="str">
            <v>A0429</v>
          </cell>
          <cell r="C1176" t="str">
            <v>Direct</v>
          </cell>
          <cell r="D1176" t="str">
            <v>UEC</v>
          </cell>
        </row>
        <row r="1177">
          <cell r="B1177" t="str">
            <v>A0430</v>
          </cell>
          <cell r="C1177" t="str">
            <v>Allocated Direct</v>
          </cell>
          <cell r="D1177" t="str">
            <v>012B</v>
          </cell>
        </row>
        <row r="1178">
          <cell r="B1178" t="str">
            <v>A0431</v>
          </cell>
          <cell r="C1178" t="str">
            <v>Direct</v>
          </cell>
          <cell r="D1178" t="str">
            <v>UEC</v>
          </cell>
        </row>
        <row r="1179">
          <cell r="B1179" t="str">
            <v>A0432</v>
          </cell>
          <cell r="C1179" t="str">
            <v>Direct</v>
          </cell>
          <cell r="D1179" t="str">
            <v>GEN</v>
          </cell>
        </row>
        <row r="1180">
          <cell r="B1180" t="str">
            <v>A0433</v>
          </cell>
          <cell r="C1180" t="str">
            <v>Allocated Direct</v>
          </cell>
          <cell r="D1180" t="str">
            <v>012D</v>
          </cell>
        </row>
        <row r="1181">
          <cell r="B1181" t="str">
            <v>A0436</v>
          </cell>
          <cell r="C1181" t="str">
            <v>Allocated Direct</v>
          </cell>
          <cell r="D1181" t="str">
            <v>012D</v>
          </cell>
        </row>
        <row r="1182">
          <cell r="B1182" t="str">
            <v>A0439</v>
          </cell>
          <cell r="C1182" t="str">
            <v>Allocated Direct</v>
          </cell>
          <cell r="D1182" t="str">
            <v>010A</v>
          </cell>
        </row>
        <row r="1183">
          <cell r="B1183" t="str">
            <v>A0442</v>
          </cell>
          <cell r="C1183" t="str">
            <v>Allocated Direct</v>
          </cell>
          <cell r="D1183" t="str">
            <v>010A</v>
          </cell>
        </row>
        <row r="1184">
          <cell r="B1184" t="str">
            <v>A0448</v>
          </cell>
          <cell r="C1184" t="str">
            <v>Indirect Functional</v>
          </cell>
          <cell r="D1184" t="str">
            <v>Indirect</v>
          </cell>
        </row>
        <row r="1185">
          <cell r="B1185" t="str">
            <v>A0449</v>
          </cell>
          <cell r="C1185" t="str">
            <v>Direct</v>
          </cell>
          <cell r="D1185" t="str">
            <v>CIP</v>
          </cell>
        </row>
        <row r="1186">
          <cell r="B1186" t="str">
            <v>A0452</v>
          </cell>
          <cell r="C1186" t="str">
            <v>Direct</v>
          </cell>
          <cell r="D1186" t="str">
            <v>AFS</v>
          </cell>
        </row>
        <row r="1187">
          <cell r="B1187" t="str">
            <v>A0456</v>
          </cell>
          <cell r="C1187" t="str">
            <v>Allocated Direct</v>
          </cell>
          <cell r="D1187" t="str">
            <v>007A</v>
          </cell>
        </row>
        <row r="1188">
          <cell r="B1188" t="str">
            <v>A0459</v>
          </cell>
          <cell r="C1188" t="str">
            <v>Direct</v>
          </cell>
          <cell r="D1188" t="str">
            <v>UEC</v>
          </cell>
        </row>
        <row r="1189">
          <cell r="B1189" t="str">
            <v>A0463</v>
          </cell>
          <cell r="C1189" t="str">
            <v>Direct</v>
          </cell>
          <cell r="D1189" t="str">
            <v>UEC</v>
          </cell>
        </row>
        <row r="1190">
          <cell r="B1190" t="str">
            <v>A0467</v>
          </cell>
          <cell r="C1190" t="str">
            <v>Allocated Direct</v>
          </cell>
          <cell r="D1190" t="str">
            <v>007A</v>
          </cell>
        </row>
        <row r="1191">
          <cell r="B1191" t="str">
            <v>A0468</v>
          </cell>
          <cell r="C1191" t="str">
            <v>Indirect Functional</v>
          </cell>
          <cell r="D1191" t="str">
            <v>Indirect</v>
          </cell>
        </row>
        <row r="1192">
          <cell r="B1192" t="str">
            <v>A0471</v>
          </cell>
          <cell r="C1192" t="str">
            <v>Indirect Functional</v>
          </cell>
          <cell r="D1192" t="str">
            <v>Indirect</v>
          </cell>
        </row>
        <row r="1193">
          <cell r="B1193" t="str">
            <v>A0481</v>
          </cell>
          <cell r="C1193" t="str">
            <v>Direct</v>
          </cell>
          <cell r="D1193" t="str">
            <v>UEC</v>
          </cell>
        </row>
        <row r="1194">
          <cell r="B1194" t="str">
            <v>A0482</v>
          </cell>
          <cell r="C1194" t="str">
            <v>Allocated Direct</v>
          </cell>
          <cell r="D1194" t="str">
            <v>007A</v>
          </cell>
        </row>
        <row r="1195">
          <cell r="B1195" t="str">
            <v>A0483</v>
          </cell>
          <cell r="C1195" t="str">
            <v>Allocated Direct</v>
          </cell>
          <cell r="D1195" t="str">
            <v>004A</v>
          </cell>
        </row>
        <row r="1196">
          <cell r="B1196" t="str">
            <v>A0496</v>
          </cell>
          <cell r="C1196" t="str">
            <v>Indirect Functional</v>
          </cell>
          <cell r="D1196" t="str">
            <v>Indirect</v>
          </cell>
        </row>
        <row r="1197">
          <cell r="B1197" t="str">
            <v>A0499</v>
          </cell>
          <cell r="C1197" t="str">
            <v>Direct</v>
          </cell>
          <cell r="D1197" t="str">
            <v>UEC</v>
          </cell>
        </row>
        <row r="1198">
          <cell r="B1198" t="str">
            <v>A0502</v>
          </cell>
          <cell r="C1198" t="str">
            <v>Direct</v>
          </cell>
          <cell r="D1198" t="str">
            <v>CIP</v>
          </cell>
        </row>
        <row r="1199">
          <cell r="B1199" t="str">
            <v>A0503</v>
          </cell>
          <cell r="C1199" t="str">
            <v>Direct</v>
          </cell>
          <cell r="D1199" t="str">
            <v>UEC</v>
          </cell>
        </row>
        <row r="1200">
          <cell r="B1200" t="str">
            <v>A0504</v>
          </cell>
          <cell r="C1200" t="str">
            <v>Allocated Direct</v>
          </cell>
          <cell r="D1200" t="str">
            <v>002K</v>
          </cell>
        </row>
        <row r="1201">
          <cell r="B1201" t="str">
            <v>A0505</v>
          </cell>
          <cell r="C1201" t="str">
            <v>Direct</v>
          </cell>
          <cell r="D1201" t="str">
            <v>GEN</v>
          </cell>
        </row>
        <row r="1202">
          <cell r="B1202" t="str">
            <v>A0506</v>
          </cell>
          <cell r="C1202" t="str">
            <v>Direct</v>
          </cell>
          <cell r="D1202" t="str">
            <v>UEC</v>
          </cell>
        </row>
        <row r="1203">
          <cell r="B1203" t="str">
            <v>A0507</v>
          </cell>
          <cell r="C1203" t="str">
            <v>Direct</v>
          </cell>
          <cell r="D1203" t="str">
            <v>CIP</v>
          </cell>
        </row>
        <row r="1204">
          <cell r="B1204" t="str">
            <v>A0508</v>
          </cell>
          <cell r="C1204" t="str">
            <v>Direct</v>
          </cell>
          <cell r="D1204" t="str">
            <v>UEC</v>
          </cell>
        </row>
        <row r="1205">
          <cell r="B1205" t="str">
            <v>A0509</v>
          </cell>
          <cell r="C1205" t="str">
            <v>Allocated Direct</v>
          </cell>
          <cell r="D1205" t="str">
            <v>002L</v>
          </cell>
        </row>
        <row r="1206">
          <cell r="B1206" t="str">
            <v>A0511</v>
          </cell>
          <cell r="C1206" t="str">
            <v>Direct</v>
          </cell>
          <cell r="D1206" t="str">
            <v>CIP</v>
          </cell>
        </row>
        <row r="1207">
          <cell r="B1207" t="str">
            <v>A0513</v>
          </cell>
          <cell r="C1207" t="str">
            <v>Direct</v>
          </cell>
          <cell r="D1207" t="str">
            <v>ADC</v>
          </cell>
        </row>
        <row r="1208">
          <cell r="B1208" t="str">
            <v>A0515</v>
          </cell>
          <cell r="C1208" t="str">
            <v>Allocated Direct</v>
          </cell>
          <cell r="D1208" t="str">
            <v>010A</v>
          </cell>
        </row>
        <row r="1209">
          <cell r="B1209" t="str">
            <v>A0517</v>
          </cell>
          <cell r="C1209" t="str">
            <v>Direct</v>
          </cell>
          <cell r="D1209" t="str">
            <v>UEC</v>
          </cell>
        </row>
        <row r="1210">
          <cell r="B1210" t="str">
            <v>A0519</v>
          </cell>
          <cell r="C1210" t="str">
            <v>Allocated Direct</v>
          </cell>
          <cell r="D1210" t="str">
            <v>010A</v>
          </cell>
        </row>
        <row r="1211">
          <cell r="B1211" t="str">
            <v>A0520</v>
          </cell>
          <cell r="C1211" t="str">
            <v>Allocated Direct</v>
          </cell>
          <cell r="D1211" t="str">
            <v>010A</v>
          </cell>
        </row>
        <row r="1212">
          <cell r="B1212" t="str">
            <v>A0521</v>
          </cell>
          <cell r="C1212" t="str">
            <v>Direct</v>
          </cell>
          <cell r="D1212" t="str">
            <v>UEC</v>
          </cell>
        </row>
        <row r="1213">
          <cell r="B1213" t="str">
            <v>A0523</v>
          </cell>
          <cell r="C1213" t="str">
            <v>Allocated Direct</v>
          </cell>
          <cell r="D1213" t="str">
            <v>010A</v>
          </cell>
        </row>
        <row r="1214">
          <cell r="B1214" t="str">
            <v>A0524</v>
          </cell>
          <cell r="C1214" t="str">
            <v>Direct</v>
          </cell>
          <cell r="D1214" t="str">
            <v>UEC</v>
          </cell>
        </row>
        <row r="1215">
          <cell r="B1215" t="str">
            <v>A0525</v>
          </cell>
          <cell r="C1215" t="str">
            <v>Direct</v>
          </cell>
          <cell r="D1215" t="str">
            <v>CIP</v>
          </cell>
        </row>
        <row r="1216">
          <cell r="B1216" t="str">
            <v>A0526</v>
          </cell>
          <cell r="C1216" t="str">
            <v>Allocated Direct</v>
          </cell>
          <cell r="D1216" t="str">
            <v>010A</v>
          </cell>
        </row>
        <row r="1217">
          <cell r="B1217" t="str">
            <v>A0527</v>
          </cell>
          <cell r="C1217" t="str">
            <v>Allocated Direct</v>
          </cell>
          <cell r="D1217" t="str">
            <v>010A</v>
          </cell>
        </row>
        <row r="1218">
          <cell r="B1218" t="str">
            <v>A0528</v>
          </cell>
          <cell r="C1218" t="str">
            <v>Allocated Direct</v>
          </cell>
          <cell r="D1218" t="str">
            <v>010A</v>
          </cell>
        </row>
        <row r="1219">
          <cell r="B1219" t="str">
            <v>A0530</v>
          </cell>
          <cell r="C1219" t="str">
            <v>Allocated Direct</v>
          </cell>
          <cell r="D1219" t="str">
            <v>010A</v>
          </cell>
        </row>
        <row r="1220">
          <cell r="B1220" t="str">
            <v>A0531</v>
          </cell>
          <cell r="C1220" t="str">
            <v>Allocated Direct</v>
          </cell>
          <cell r="D1220" t="str">
            <v>004A</v>
          </cell>
        </row>
        <row r="1221">
          <cell r="B1221" t="str">
            <v>A0532</v>
          </cell>
          <cell r="C1221" t="str">
            <v>Direct</v>
          </cell>
          <cell r="D1221" t="str">
            <v>UEC</v>
          </cell>
        </row>
        <row r="1222">
          <cell r="B1222" t="str">
            <v>A0533</v>
          </cell>
          <cell r="C1222" t="str">
            <v>Direct</v>
          </cell>
          <cell r="D1222" t="str">
            <v>CIP</v>
          </cell>
        </row>
        <row r="1223">
          <cell r="B1223" t="str">
            <v>A0535</v>
          </cell>
          <cell r="C1223" t="str">
            <v>Direct</v>
          </cell>
          <cell r="D1223" t="str">
            <v>AMC</v>
          </cell>
        </row>
        <row r="1224">
          <cell r="B1224" t="str">
            <v>A0536</v>
          </cell>
          <cell r="C1224" t="str">
            <v>Indirect Corporate</v>
          </cell>
          <cell r="D1224" t="str">
            <v>Indirect</v>
          </cell>
        </row>
        <row r="1225">
          <cell r="B1225" t="str">
            <v>A0543</v>
          </cell>
          <cell r="C1225" t="str">
            <v>Allocated Direct</v>
          </cell>
          <cell r="D1225" t="str">
            <v>018D</v>
          </cell>
        </row>
        <row r="1226">
          <cell r="B1226" t="str">
            <v>A0544</v>
          </cell>
          <cell r="C1226" t="str">
            <v>Direct</v>
          </cell>
          <cell r="D1226" t="str">
            <v>CIP</v>
          </cell>
        </row>
        <row r="1227">
          <cell r="B1227" t="str">
            <v>A0545</v>
          </cell>
          <cell r="C1227" t="str">
            <v>Direct</v>
          </cell>
          <cell r="D1227" t="str">
            <v>UEC</v>
          </cell>
        </row>
        <row r="1228">
          <cell r="B1228" t="str">
            <v>A0547</v>
          </cell>
          <cell r="C1228" t="str">
            <v>Allocated Direct</v>
          </cell>
          <cell r="D1228" t="str">
            <v>003A</v>
          </cell>
        </row>
        <row r="1229">
          <cell r="B1229" t="str">
            <v>A0548</v>
          </cell>
          <cell r="C1229" t="str">
            <v>Indirect Functional</v>
          </cell>
          <cell r="D1229" t="str">
            <v>Indirect</v>
          </cell>
        </row>
        <row r="1230">
          <cell r="B1230" t="str">
            <v>A0551</v>
          </cell>
          <cell r="C1230" t="str">
            <v>Direct</v>
          </cell>
          <cell r="D1230" t="str">
            <v>UEC</v>
          </cell>
        </row>
        <row r="1231">
          <cell r="B1231" t="str">
            <v>A0552</v>
          </cell>
          <cell r="C1231" t="str">
            <v>Direct</v>
          </cell>
          <cell r="D1231" t="str">
            <v>CIP</v>
          </cell>
        </row>
        <row r="1232">
          <cell r="B1232" t="str">
            <v>A0556</v>
          </cell>
          <cell r="C1232" t="str">
            <v>Direct</v>
          </cell>
          <cell r="D1232" t="str">
            <v>UEC</v>
          </cell>
        </row>
        <row r="1233">
          <cell r="B1233" t="str">
            <v>A0558</v>
          </cell>
          <cell r="C1233" t="str">
            <v>Allocated Direct</v>
          </cell>
          <cell r="D1233" t="str">
            <v>004A</v>
          </cell>
        </row>
        <row r="1234">
          <cell r="B1234" t="str">
            <v>A0559</v>
          </cell>
          <cell r="C1234" t="str">
            <v>Indirect Functional</v>
          </cell>
          <cell r="D1234" t="str">
            <v>Indirect</v>
          </cell>
        </row>
        <row r="1235">
          <cell r="B1235" t="str">
            <v>A0560</v>
          </cell>
          <cell r="C1235" t="str">
            <v>Direct</v>
          </cell>
          <cell r="D1235" t="str">
            <v>ADC</v>
          </cell>
        </row>
        <row r="1236">
          <cell r="B1236" t="str">
            <v>A0561</v>
          </cell>
          <cell r="C1236" t="str">
            <v>Direct</v>
          </cell>
          <cell r="D1236" t="str">
            <v>AMC</v>
          </cell>
        </row>
        <row r="1237">
          <cell r="B1237" t="str">
            <v>A0567</v>
          </cell>
          <cell r="C1237" t="str">
            <v>Indirect Corporate</v>
          </cell>
          <cell r="D1237" t="str">
            <v>Indirect</v>
          </cell>
        </row>
        <row r="1238">
          <cell r="B1238" t="str">
            <v>A0570</v>
          </cell>
          <cell r="C1238" t="str">
            <v>Direct</v>
          </cell>
          <cell r="D1238" t="str">
            <v>UEC</v>
          </cell>
        </row>
        <row r="1239">
          <cell r="B1239" t="str">
            <v>A0571</v>
          </cell>
          <cell r="C1239" t="str">
            <v>Direct</v>
          </cell>
          <cell r="D1239" t="str">
            <v>CIP</v>
          </cell>
        </row>
        <row r="1240">
          <cell r="B1240" t="str">
            <v>A0573</v>
          </cell>
          <cell r="C1240" t="str">
            <v>Direct</v>
          </cell>
          <cell r="D1240" t="str">
            <v>UEC</v>
          </cell>
        </row>
        <row r="1241">
          <cell r="B1241" t="str">
            <v>A0574</v>
          </cell>
          <cell r="C1241" t="str">
            <v>Direct</v>
          </cell>
          <cell r="D1241" t="str">
            <v>CIP</v>
          </cell>
        </row>
        <row r="1242">
          <cell r="B1242" t="str">
            <v>A0580</v>
          </cell>
          <cell r="C1242" t="str">
            <v>Direct</v>
          </cell>
          <cell r="D1242" t="str">
            <v>CIP</v>
          </cell>
        </row>
        <row r="1243">
          <cell r="B1243" t="str">
            <v>A0593</v>
          </cell>
          <cell r="C1243" t="str">
            <v>Allocated Direct</v>
          </cell>
          <cell r="D1243" t="str">
            <v>018D</v>
          </cell>
        </row>
        <row r="1244">
          <cell r="B1244" t="str">
            <v>A0594</v>
          </cell>
          <cell r="C1244" t="str">
            <v>Allocated Direct</v>
          </cell>
          <cell r="D1244" t="str">
            <v>018D</v>
          </cell>
        </row>
        <row r="1245">
          <cell r="B1245" t="str">
            <v>A0596</v>
          </cell>
          <cell r="C1245" t="str">
            <v>Indirect Functional</v>
          </cell>
          <cell r="D1245" t="str">
            <v>Indirect</v>
          </cell>
        </row>
        <row r="1246">
          <cell r="B1246" t="str">
            <v>A0600</v>
          </cell>
          <cell r="C1246" t="str">
            <v>Indirect Functional</v>
          </cell>
          <cell r="D1246" t="str">
            <v>Indirect</v>
          </cell>
        </row>
        <row r="1247">
          <cell r="B1247" t="str">
            <v>A0613</v>
          </cell>
          <cell r="C1247" t="str">
            <v>Direct</v>
          </cell>
          <cell r="D1247" t="str">
            <v>UEC</v>
          </cell>
        </row>
        <row r="1248">
          <cell r="B1248" t="str">
            <v>A0622</v>
          </cell>
          <cell r="C1248" t="str">
            <v>Indirect Functional</v>
          </cell>
          <cell r="D1248" t="str">
            <v>Indirect</v>
          </cell>
        </row>
        <row r="1249">
          <cell r="B1249" t="str">
            <v>A0623</v>
          </cell>
          <cell r="C1249" t="str">
            <v>Indirect Functional</v>
          </cell>
          <cell r="D1249" t="str">
            <v>Indirect</v>
          </cell>
        </row>
        <row r="1250">
          <cell r="B1250" t="str">
            <v>A0624</v>
          </cell>
          <cell r="C1250" t="str">
            <v>Indirect Functional</v>
          </cell>
          <cell r="D1250" t="str">
            <v>Indirect</v>
          </cell>
        </row>
        <row r="1251">
          <cell r="B1251" t="str">
            <v>A0625</v>
          </cell>
          <cell r="C1251" t="str">
            <v>Allocated Direct</v>
          </cell>
          <cell r="D1251" t="str">
            <v>016A</v>
          </cell>
        </row>
        <row r="1252">
          <cell r="B1252" t="str">
            <v>A0629</v>
          </cell>
          <cell r="C1252" t="str">
            <v>Indirect Functional</v>
          </cell>
          <cell r="D1252" t="str">
            <v>Indirect</v>
          </cell>
        </row>
        <row r="1253">
          <cell r="B1253" t="str">
            <v>A0631</v>
          </cell>
          <cell r="C1253" t="str">
            <v>Indirect Functional</v>
          </cell>
          <cell r="D1253" t="str">
            <v>Indirect</v>
          </cell>
        </row>
        <row r="1254">
          <cell r="B1254" t="str">
            <v>A0647</v>
          </cell>
          <cell r="C1254" t="str">
            <v>Direct</v>
          </cell>
          <cell r="D1254" t="str">
            <v>CIP</v>
          </cell>
        </row>
        <row r="1255">
          <cell r="B1255" t="str">
            <v>A0648</v>
          </cell>
          <cell r="C1255" t="str">
            <v>Direct</v>
          </cell>
          <cell r="D1255" t="str">
            <v>UEC</v>
          </cell>
        </row>
        <row r="1256">
          <cell r="B1256" t="str">
            <v>A0654</v>
          </cell>
          <cell r="C1256" t="str">
            <v>Direct</v>
          </cell>
          <cell r="D1256" t="str">
            <v>UEC</v>
          </cell>
        </row>
        <row r="1257">
          <cell r="B1257" t="str">
            <v>A0657</v>
          </cell>
          <cell r="C1257" t="str">
            <v>Direct</v>
          </cell>
          <cell r="D1257" t="str">
            <v>CIP</v>
          </cell>
        </row>
        <row r="1258">
          <cell r="B1258" t="str">
            <v>A0669</v>
          </cell>
          <cell r="C1258" t="str">
            <v>Direct</v>
          </cell>
          <cell r="D1258" t="str">
            <v>UEC</v>
          </cell>
        </row>
        <row r="1259">
          <cell r="B1259" t="str">
            <v>A0671</v>
          </cell>
          <cell r="C1259" t="str">
            <v>Direct</v>
          </cell>
          <cell r="D1259" t="str">
            <v>CIP</v>
          </cell>
        </row>
        <row r="1260">
          <cell r="B1260" t="str">
            <v>A0676</v>
          </cell>
          <cell r="C1260" t="str">
            <v>Direct</v>
          </cell>
          <cell r="D1260" t="str">
            <v>UEC</v>
          </cell>
        </row>
        <row r="1261">
          <cell r="B1261" t="str">
            <v>A0677</v>
          </cell>
          <cell r="C1261" t="str">
            <v>Direct</v>
          </cell>
          <cell r="D1261" t="str">
            <v>CIP</v>
          </cell>
        </row>
        <row r="1262">
          <cell r="B1262" t="str">
            <v>A0678</v>
          </cell>
          <cell r="C1262" t="str">
            <v>Allocated Direct</v>
          </cell>
          <cell r="D1262" t="str">
            <v>002L</v>
          </cell>
        </row>
        <row r="1263">
          <cell r="B1263" t="str">
            <v>A0696</v>
          </cell>
          <cell r="C1263" t="str">
            <v>Direct</v>
          </cell>
          <cell r="D1263" t="str">
            <v>UEC</v>
          </cell>
        </row>
        <row r="1264">
          <cell r="B1264" t="str">
            <v>A0697</v>
          </cell>
          <cell r="C1264" t="str">
            <v>Direct</v>
          </cell>
          <cell r="D1264" t="str">
            <v>CIP</v>
          </cell>
        </row>
        <row r="1265">
          <cell r="B1265" t="str">
            <v>A0698</v>
          </cell>
          <cell r="C1265" t="str">
            <v>Allocated Direct</v>
          </cell>
          <cell r="D1265" t="str">
            <v>002I</v>
          </cell>
        </row>
        <row r="1266">
          <cell r="B1266" t="str">
            <v>A0699</v>
          </cell>
          <cell r="C1266" t="str">
            <v>Allocated Direct</v>
          </cell>
          <cell r="D1266" t="str">
            <v>017C</v>
          </cell>
        </row>
        <row r="1267">
          <cell r="B1267" t="str">
            <v>A0700</v>
          </cell>
          <cell r="C1267" t="str">
            <v>Direct</v>
          </cell>
          <cell r="D1267" t="str">
            <v>ADC</v>
          </cell>
        </row>
        <row r="1268">
          <cell r="B1268" t="str">
            <v>A0701</v>
          </cell>
          <cell r="C1268" t="str">
            <v>Direct</v>
          </cell>
          <cell r="D1268" t="str">
            <v>UEC</v>
          </cell>
        </row>
        <row r="1269">
          <cell r="B1269" t="str">
            <v>A0702</v>
          </cell>
          <cell r="C1269" t="str">
            <v>Direct</v>
          </cell>
          <cell r="D1269" t="str">
            <v>CIP</v>
          </cell>
        </row>
        <row r="1270">
          <cell r="B1270" t="str">
            <v>A0703</v>
          </cell>
          <cell r="C1270" t="str">
            <v>Direct</v>
          </cell>
          <cell r="D1270" t="str">
            <v>UDC</v>
          </cell>
        </row>
        <row r="1271">
          <cell r="B1271" t="str">
            <v>A0705</v>
          </cell>
          <cell r="C1271" t="str">
            <v>Allocated Direct</v>
          </cell>
          <cell r="D1271" t="str">
            <v>007A</v>
          </cell>
        </row>
        <row r="1272">
          <cell r="B1272" t="str">
            <v>A0706</v>
          </cell>
          <cell r="C1272" t="str">
            <v>Direct</v>
          </cell>
          <cell r="D1272" t="str">
            <v>UEC</v>
          </cell>
        </row>
        <row r="1273">
          <cell r="B1273" t="str">
            <v>A0710</v>
          </cell>
          <cell r="C1273" t="str">
            <v>Allocated Direct</v>
          </cell>
          <cell r="D1273" t="str">
            <v>004A</v>
          </cell>
        </row>
        <row r="1274">
          <cell r="B1274" t="str">
            <v>A0715</v>
          </cell>
          <cell r="C1274" t="str">
            <v>Direct</v>
          </cell>
          <cell r="D1274" t="str">
            <v>UEC</v>
          </cell>
        </row>
        <row r="1275">
          <cell r="B1275" t="str">
            <v>A0722</v>
          </cell>
          <cell r="C1275" t="str">
            <v>Allocated Direct</v>
          </cell>
          <cell r="D1275" t="str">
            <v>002P</v>
          </cell>
        </row>
        <row r="1276">
          <cell r="B1276" t="str">
            <v>A0726</v>
          </cell>
          <cell r="C1276" t="str">
            <v>Allocated Direct</v>
          </cell>
          <cell r="D1276" t="str">
            <v>011B</v>
          </cell>
        </row>
        <row r="1277">
          <cell r="B1277" t="str">
            <v>A0730</v>
          </cell>
          <cell r="C1277" t="str">
            <v>Direct</v>
          </cell>
          <cell r="D1277" t="str">
            <v>UEC</v>
          </cell>
        </row>
        <row r="1278">
          <cell r="B1278" t="str">
            <v>A0733</v>
          </cell>
          <cell r="C1278" t="str">
            <v>Indirect Functional</v>
          </cell>
          <cell r="D1278" t="str">
            <v>Indirect</v>
          </cell>
        </row>
        <row r="1279">
          <cell r="B1279" t="str">
            <v>A0740</v>
          </cell>
          <cell r="C1279" t="str">
            <v>Direct</v>
          </cell>
          <cell r="D1279" t="str">
            <v>AMC</v>
          </cell>
        </row>
        <row r="1280">
          <cell r="B1280" t="str">
            <v>A0741</v>
          </cell>
          <cell r="C1280" t="str">
            <v>Direct</v>
          </cell>
          <cell r="D1280" t="str">
            <v>UEC</v>
          </cell>
        </row>
        <row r="1281">
          <cell r="B1281" t="str">
            <v>A0742</v>
          </cell>
          <cell r="C1281" t="str">
            <v>Indirect Functional</v>
          </cell>
          <cell r="D1281" t="str">
            <v>Indirect</v>
          </cell>
        </row>
        <row r="1282">
          <cell r="B1282" t="str">
            <v>A0744</v>
          </cell>
          <cell r="C1282" t="str">
            <v>Allocated Direct</v>
          </cell>
          <cell r="D1282" t="str">
            <v>004A</v>
          </cell>
        </row>
        <row r="1283">
          <cell r="B1283" t="str">
            <v>A0745</v>
          </cell>
          <cell r="C1283" t="str">
            <v>Direct</v>
          </cell>
          <cell r="D1283" t="str">
            <v>GEN</v>
          </cell>
        </row>
        <row r="1284">
          <cell r="B1284" t="str">
            <v>A0750</v>
          </cell>
          <cell r="C1284" t="str">
            <v>Allocated Direct</v>
          </cell>
          <cell r="D1284" t="str">
            <v>002L</v>
          </cell>
        </row>
        <row r="1285">
          <cell r="B1285" t="str">
            <v>A0752</v>
          </cell>
          <cell r="C1285" t="str">
            <v>Direct</v>
          </cell>
          <cell r="D1285" t="str">
            <v>CIP</v>
          </cell>
        </row>
        <row r="1286">
          <cell r="B1286" t="str">
            <v>A0753</v>
          </cell>
          <cell r="C1286" t="str">
            <v>Direct</v>
          </cell>
          <cell r="D1286" t="str">
            <v>UEC</v>
          </cell>
        </row>
        <row r="1287">
          <cell r="B1287" t="str">
            <v>A0754</v>
          </cell>
          <cell r="C1287" t="str">
            <v>Allocated Direct</v>
          </cell>
          <cell r="D1287" t="str">
            <v>001A</v>
          </cell>
        </row>
        <row r="1288">
          <cell r="B1288" t="str">
            <v>A0755</v>
          </cell>
          <cell r="C1288" t="str">
            <v>Direct</v>
          </cell>
          <cell r="D1288" t="str">
            <v>UEC</v>
          </cell>
        </row>
        <row r="1289">
          <cell r="B1289" t="str">
            <v>A0756</v>
          </cell>
          <cell r="C1289" t="str">
            <v>Direct</v>
          </cell>
          <cell r="D1289" t="str">
            <v>UEC</v>
          </cell>
        </row>
        <row r="1290">
          <cell r="B1290" t="str">
            <v>A0763</v>
          </cell>
          <cell r="C1290" t="str">
            <v>Direct</v>
          </cell>
          <cell r="D1290" t="str">
            <v>CIP</v>
          </cell>
        </row>
        <row r="1291">
          <cell r="B1291" t="str">
            <v>A0764</v>
          </cell>
          <cell r="C1291" t="str">
            <v>Allocated Direct</v>
          </cell>
          <cell r="D1291" t="str">
            <v>002K</v>
          </cell>
        </row>
        <row r="1292">
          <cell r="B1292" t="str">
            <v>A0769</v>
          </cell>
          <cell r="C1292" t="str">
            <v>Allocated Direct</v>
          </cell>
          <cell r="D1292" t="str">
            <v>002L</v>
          </cell>
        </row>
        <row r="1293">
          <cell r="B1293" t="str">
            <v>A0772</v>
          </cell>
          <cell r="C1293" t="str">
            <v>Allocated Direct</v>
          </cell>
          <cell r="D1293" t="str">
            <v>002A</v>
          </cell>
        </row>
        <row r="1294">
          <cell r="B1294" t="str">
            <v>A0776</v>
          </cell>
          <cell r="C1294" t="str">
            <v>Direct</v>
          </cell>
          <cell r="D1294" t="str">
            <v>UEC</v>
          </cell>
        </row>
        <row r="1295">
          <cell r="B1295" t="str">
            <v>A0777</v>
          </cell>
          <cell r="C1295" t="str">
            <v>Direct</v>
          </cell>
          <cell r="D1295" t="str">
            <v>CIP</v>
          </cell>
        </row>
        <row r="1296">
          <cell r="B1296" t="str">
            <v>A0778</v>
          </cell>
          <cell r="C1296" t="str">
            <v>Allocated Direct</v>
          </cell>
          <cell r="D1296" t="str">
            <v>004P</v>
          </cell>
        </row>
        <row r="1297">
          <cell r="B1297" t="str">
            <v>A0782</v>
          </cell>
          <cell r="C1297" t="str">
            <v>Direct</v>
          </cell>
          <cell r="D1297" t="str">
            <v>UEC</v>
          </cell>
        </row>
        <row r="1298">
          <cell r="B1298" t="str">
            <v>A0788</v>
          </cell>
          <cell r="C1298" t="str">
            <v>Direct</v>
          </cell>
          <cell r="D1298" t="str">
            <v>UEC</v>
          </cell>
        </row>
        <row r="1299">
          <cell r="B1299" t="str">
            <v>A0790</v>
          </cell>
          <cell r="C1299" t="str">
            <v>Direct</v>
          </cell>
          <cell r="D1299" t="str">
            <v>ADC</v>
          </cell>
        </row>
        <row r="1300">
          <cell r="B1300" t="str">
            <v>A0791</v>
          </cell>
          <cell r="C1300" t="str">
            <v>Allocated Direct</v>
          </cell>
          <cell r="D1300" t="str">
            <v>001A</v>
          </cell>
        </row>
        <row r="1301">
          <cell r="B1301" t="str">
            <v>A0792</v>
          </cell>
          <cell r="C1301" t="str">
            <v>Allocated Direct</v>
          </cell>
          <cell r="D1301" t="str">
            <v>017A</v>
          </cell>
        </row>
        <row r="1302">
          <cell r="B1302" t="str">
            <v>A0794</v>
          </cell>
          <cell r="C1302" t="str">
            <v>Direct</v>
          </cell>
          <cell r="D1302" t="str">
            <v>UEC</v>
          </cell>
        </row>
        <row r="1303">
          <cell r="B1303" t="str">
            <v>A0803</v>
          </cell>
          <cell r="C1303" t="str">
            <v>Indirect Corporate</v>
          </cell>
          <cell r="D1303" t="str">
            <v>Indirect</v>
          </cell>
        </row>
        <row r="1304">
          <cell r="B1304" t="str">
            <v>A0805</v>
          </cell>
          <cell r="C1304" t="str">
            <v>Allocated Direct</v>
          </cell>
          <cell r="D1304" t="str">
            <v>004O</v>
          </cell>
        </row>
        <row r="1305">
          <cell r="B1305" t="str">
            <v>A0807</v>
          </cell>
          <cell r="C1305" t="str">
            <v>Allocated Direct</v>
          </cell>
          <cell r="D1305" t="str">
            <v>001A</v>
          </cell>
        </row>
        <row r="1306">
          <cell r="B1306" t="str">
            <v>A0815</v>
          </cell>
          <cell r="C1306" t="str">
            <v>Allocated Direct</v>
          </cell>
          <cell r="D1306" t="str">
            <v>002L</v>
          </cell>
        </row>
        <row r="1307">
          <cell r="B1307" t="str">
            <v>A0816</v>
          </cell>
          <cell r="C1307" t="str">
            <v>Direct</v>
          </cell>
          <cell r="D1307" t="str">
            <v>UEC</v>
          </cell>
        </row>
        <row r="1308">
          <cell r="B1308" t="str">
            <v>A0817</v>
          </cell>
          <cell r="C1308" t="str">
            <v>Allocated Direct</v>
          </cell>
          <cell r="D1308" t="str">
            <v>UEC</v>
          </cell>
        </row>
        <row r="1309">
          <cell r="B1309" t="str">
            <v>A0819</v>
          </cell>
          <cell r="C1309" t="str">
            <v>Indirect Corporate</v>
          </cell>
          <cell r="D1309" t="str">
            <v>Indirect</v>
          </cell>
        </row>
        <row r="1310">
          <cell r="B1310" t="str">
            <v>A0820</v>
          </cell>
          <cell r="C1310" t="str">
            <v>Direct</v>
          </cell>
          <cell r="D1310" t="str">
            <v>CIP</v>
          </cell>
        </row>
        <row r="1311">
          <cell r="B1311" t="str">
            <v>A0825</v>
          </cell>
          <cell r="C1311" t="str">
            <v>Allocated Direct</v>
          </cell>
          <cell r="D1311" t="str">
            <v>004A</v>
          </cell>
        </row>
        <row r="1312">
          <cell r="B1312" t="str">
            <v>A0833</v>
          </cell>
          <cell r="C1312" t="str">
            <v>Direct</v>
          </cell>
          <cell r="D1312" t="str">
            <v>CIP</v>
          </cell>
        </row>
        <row r="1313">
          <cell r="B1313" t="str">
            <v>A0835</v>
          </cell>
          <cell r="C1313" t="str">
            <v>Direct</v>
          </cell>
          <cell r="D1313" t="str">
            <v>UEC</v>
          </cell>
        </row>
        <row r="1314">
          <cell r="B1314" t="str">
            <v>A0837</v>
          </cell>
          <cell r="C1314" t="str">
            <v>Allocated Direct</v>
          </cell>
          <cell r="D1314" t="str">
            <v>001D</v>
          </cell>
        </row>
        <row r="1315">
          <cell r="B1315" t="str">
            <v>A0838</v>
          </cell>
          <cell r="C1315" t="str">
            <v>Allocated Direct</v>
          </cell>
          <cell r="D1315" t="str">
            <v>002D</v>
          </cell>
        </row>
        <row r="1316">
          <cell r="B1316" t="str">
            <v>A0839</v>
          </cell>
          <cell r="C1316" t="str">
            <v>Direct</v>
          </cell>
          <cell r="D1316" t="str">
            <v>UEC</v>
          </cell>
        </row>
        <row r="1317">
          <cell r="B1317" t="str">
            <v>A0841</v>
          </cell>
          <cell r="C1317" t="str">
            <v>Direct</v>
          </cell>
          <cell r="D1317" t="str">
            <v>CIP</v>
          </cell>
        </row>
        <row r="1318">
          <cell r="B1318" t="str">
            <v>A0850</v>
          </cell>
          <cell r="C1318" t="str">
            <v>Indirect Functional</v>
          </cell>
          <cell r="D1318" t="str">
            <v>Indirect</v>
          </cell>
        </row>
        <row r="1319">
          <cell r="B1319" t="str">
            <v>A0852</v>
          </cell>
          <cell r="C1319" t="str">
            <v>Allocated Direct</v>
          </cell>
          <cell r="D1319" t="str">
            <v>004A</v>
          </cell>
        </row>
        <row r="1320">
          <cell r="B1320" t="str">
            <v>A0861</v>
          </cell>
          <cell r="C1320" t="str">
            <v>Direct</v>
          </cell>
          <cell r="D1320" t="str">
            <v>UEC</v>
          </cell>
        </row>
        <row r="1321">
          <cell r="B1321" t="str">
            <v>A0862</v>
          </cell>
          <cell r="C1321" t="str">
            <v>Direct</v>
          </cell>
          <cell r="D1321" t="str">
            <v>CIP</v>
          </cell>
        </row>
        <row r="1322">
          <cell r="B1322" t="str">
            <v>A0865</v>
          </cell>
          <cell r="C1322" t="str">
            <v>Direct</v>
          </cell>
          <cell r="D1322" t="str">
            <v>UEC</v>
          </cell>
        </row>
        <row r="1323">
          <cell r="B1323" t="str">
            <v>A0866</v>
          </cell>
          <cell r="C1323" t="str">
            <v>Indirect Corporate</v>
          </cell>
          <cell r="D1323" t="str">
            <v>Indirect</v>
          </cell>
        </row>
        <row r="1324">
          <cell r="B1324" t="str">
            <v>A0869</v>
          </cell>
          <cell r="C1324" t="str">
            <v>Allocated Direct</v>
          </cell>
          <cell r="D1324" t="str">
            <v>004A</v>
          </cell>
        </row>
        <row r="1325">
          <cell r="B1325" t="str">
            <v>A0878</v>
          </cell>
          <cell r="C1325" t="str">
            <v>Allocated Direct</v>
          </cell>
          <cell r="D1325" t="str">
            <v>004B</v>
          </cell>
        </row>
        <row r="1326">
          <cell r="B1326" t="str">
            <v>A0880</v>
          </cell>
          <cell r="C1326" t="str">
            <v>Allocated Direct</v>
          </cell>
          <cell r="D1326" t="str">
            <v>010A</v>
          </cell>
        </row>
        <row r="1327">
          <cell r="B1327" t="str">
            <v>A0882</v>
          </cell>
          <cell r="C1327" t="str">
            <v>Direct</v>
          </cell>
          <cell r="D1327" t="str">
            <v>AMC</v>
          </cell>
        </row>
        <row r="1328">
          <cell r="B1328" t="str">
            <v>A0894</v>
          </cell>
          <cell r="C1328" t="str">
            <v>Indirect Corporate</v>
          </cell>
          <cell r="D1328" t="str">
            <v>Indirect</v>
          </cell>
        </row>
        <row r="1329">
          <cell r="B1329" t="str">
            <v>A0896</v>
          </cell>
          <cell r="C1329" t="str">
            <v>Direct</v>
          </cell>
          <cell r="D1329" t="str">
            <v>UEC</v>
          </cell>
        </row>
        <row r="1330">
          <cell r="B1330" t="str">
            <v>A0897</v>
          </cell>
          <cell r="C1330" t="str">
            <v>Direct</v>
          </cell>
          <cell r="D1330" t="str">
            <v>CIP</v>
          </cell>
        </row>
        <row r="1331">
          <cell r="B1331" t="str">
            <v>A0898</v>
          </cell>
          <cell r="C1331" t="str">
            <v>Allocated Direct</v>
          </cell>
          <cell r="D1331" t="str">
            <v>001A</v>
          </cell>
        </row>
        <row r="1332">
          <cell r="B1332" t="str">
            <v>A0904</v>
          </cell>
          <cell r="C1332" t="str">
            <v>Direct</v>
          </cell>
          <cell r="D1332" t="str">
            <v>AFS</v>
          </cell>
        </row>
        <row r="1333">
          <cell r="B1333" t="str">
            <v>A0926</v>
          </cell>
          <cell r="C1333" t="str">
            <v>Allocated Direct</v>
          </cell>
          <cell r="D1333" t="str">
            <v>010A</v>
          </cell>
        </row>
        <row r="1334">
          <cell r="B1334" t="str">
            <v>A0950</v>
          </cell>
          <cell r="C1334" t="str">
            <v>Direct</v>
          </cell>
          <cell r="D1334" t="str">
            <v>IHC</v>
          </cell>
        </row>
        <row r="1335">
          <cell r="B1335" t="str">
            <v>A0953</v>
          </cell>
          <cell r="C1335" t="str">
            <v>Allocated Direct</v>
          </cell>
          <cell r="D1335" t="str">
            <v>002F</v>
          </cell>
        </row>
        <row r="1336">
          <cell r="B1336" t="str">
            <v>A0954</v>
          </cell>
          <cell r="C1336" t="str">
            <v>Allocated Direct</v>
          </cell>
          <cell r="D1336" t="str">
            <v>017B</v>
          </cell>
        </row>
        <row r="1337">
          <cell r="B1337" t="str">
            <v>A0955</v>
          </cell>
          <cell r="C1337" t="str">
            <v>Allocated Direct</v>
          </cell>
          <cell r="D1337" t="str">
            <v>008C</v>
          </cell>
        </row>
        <row r="1338">
          <cell r="B1338" t="str">
            <v>A0957</v>
          </cell>
          <cell r="C1338" t="str">
            <v>Allocated Direct</v>
          </cell>
          <cell r="D1338" t="str">
            <v>007A</v>
          </cell>
        </row>
        <row r="1339">
          <cell r="B1339" t="str">
            <v>A0958</v>
          </cell>
          <cell r="C1339" t="str">
            <v>Allocated Direct</v>
          </cell>
          <cell r="D1339" t="str">
            <v>017A</v>
          </cell>
        </row>
        <row r="1340">
          <cell r="B1340" t="str">
            <v>A0959</v>
          </cell>
          <cell r="C1340" t="str">
            <v>Allocated Direct</v>
          </cell>
          <cell r="D1340" t="str">
            <v>001A</v>
          </cell>
        </row>
        <row r="1341">
          <cell r="B1341" t="str">
            <v>A0960</v>
          </cell>
          <cell r="C1341" t="str">
            <v>Allocated Direct</v>
          </cell>
          <cell r="D1341" t="str">
            <v>017C</v>
          </cell>
        </row>
        <row r="1342">
          <cell r="B1342" t="str">
            <v>A0961</v>
          </cell>
          <cell r="C1342" t="str">
            <v>Allocated Direct</v>
          </cell>
          <cell r="D1342" t="str">
            <v>007A</v>
          </cell>
        </row>
        <row r="1343">
          <cell r="B1343" t="str">
            <v>A0962</v>
          </cell>
          <cell r="C1343" t="str">
            <v>Allocated Direct</v>
          </cell>
          <cell r="D1343" t="str">
            <v>008C</v>
          </cell>
        </row>
        <row r="1344">
          <cell r="B1344" t="str">
            <v>A0963</v>
          </cell>
          <cell r="C1344" t="str">
            <v>Allocated Direct</v>
          </cell>
          <cell r="D1344" t="str">
            <v>015A</v>
          </cell>
        </row>
        <row r="1345">
          <cell r="B1345" t="str">
            <v>A0964</v>
          </cell>
          <cell r="C1345" t="str">
            <v>Allocated Direct</v>
          </cell>
          <cell r="D1345" t="str">
            <v>017C</v>
          </cell>
        </row>
        <row r="1346">
          <cell r="B1346" t="str">
            <v>A0966</v>
          </cell>
          <cell r="C1346" t="str">
            <v>Allocated Direct</v>
          </cell>
          <cell r="D1346" t="str">
            <v>011A</v>
          </cell>
        </row>
        <row r="1347">
          <cell r="B1347" t="str">
            <v>A0967</v>
          </cell>
          <cell r="C1347" t="str">
            <v>Allocated Direct</v>
          </cell>
          <cell r="D1347" t="str">
            <v>004A</v>
          </cell>
        </row>
        <row r="1348">
          <cell r="B1348" t="str">
            <v>A0968</v>
          </cell>
          <cell r="C1348" t="str">
            <v>Allocated Direct</v>
          </cell>
          <cell r="D1348" t="str">
            <v>002L</v>
          </cell>
        </row>
        <row r="1349">
          <cell r="B1349" t="str">
            <v>A0974</v>
          </cell>
          <cell r="C1349" t="str">
            <v>Indirect Functional</v>
          </cell>
          <cell r="D1349" t="str">
            <v>Indirect</v>
          </cell>
        </row>
        <row r="1350">
          <cell r="B1350" t="str">
            <v>A0980</v>
          </cell>
          <cell r="C1350" t="str">
            <v>Allocated Direct</v>
          </cell>
          <cell r="D1350" t="str">
            <v>001A</v>
          </cell>
        </row>
        <row r="1351">
          <cell r="B1351" t="str">
            <v>A0983</v>
          </cell>
          <cell r="C1351" t="str">
            <v>Allocated Direct</v>
          </cell>
          <cell r="D1351" t="str">
            <v>002L</v>
          </cell>
        </row>
        <row r="1352">
          <cell r="B1352" t="str">
            <v>A0985</v>
          </cell>
          <cell r="C1352" t="str">
            <v>Allocated Direct</v>
          </cell>
          <cell r="D1352" t="str">
            <v>007A</v>
          </cell>
        </row>
        <row r="1353">
          <cell r="B1353" t="str">
            <v>A0987</v>
          </cell>
          <cell r="C1353" t="str">
            <v>Allocated Direct</v>
          </cell>
          <cell r="D1353" t="str">
            <v>004A</v>
          </cell>
        </row>
        <row r="1354">
          <cell r="B1354" t="str">
            <v>A0988</v>
          </cell>
          <cell r="C1354" t="str">
            <v>Allocated Direct</v>
          </cell>
          <cell r="D1354" t="str">
            <v>018A</v>
          </cell>
        </row>
        <row r="1355">
          <cell r="B1355" t="str">
            <v>A0992</v>
          </cell>
          <cell r="C1355" t="str">
            <v>Allocated Direct</v>
          </cell>
          <cell r="D1355" t="str">
            <v>004A</v>
          </cell>
        </row>
        <row r="1356">
          <cell r="B1356" t="str">
            <v>A0993</v>
          </cell>
          <cell r="C1356" t="str">
            <v>Allocated Direct</v>
          </cell>
          <cell r="D1356" t="str">
            <v>004A</v>
          </cell>
        </row>
        <row r="1357">
          <cell r="B1357" t="str">
            <v>A0994</v>
          </cell>
          <cell r="C1357" t="str">
            <v>Allocated Direct</v>
          </cell>
          <cell r="D1357" t="str">
            <v>004A</v>
          </cell>
        </row>
        <row r="1358">
          <cell r="B1358" t="str">
            <v>A0999</v>
          </cell>
          <cell r="C1358" t="str">
            <v>Allocated Direct</v>
          </cell>
          <cell r="D1358" t="str">
            <v>004B</v>
          </cell>
        </row>
        <row r="1359">
          <cell r="B1359" t="str">
            <v>A1000</v>
          </cell>
          <cell r="C1359" t="str">
            <v>Allocated Direct</v>
          </cell>
          <cell r="D1359" t="str">
            <v>002L</v>
          </cell>
        </row>
        <row r="1360">
          <cell r="B1360" t="str">
            <v>A1002</v>
          </cell>
          <cell r="C1360" t="str">
            <v>Allocated Direct</v>
          </cell>
          <cell r="D1360" t="str">
            <v>002L</v>
          </cell>
        </row>
        <row r="1361">
          <cell r="B1361" t="str">
            <v>A1005</v>
          </cell>
          <cell r="C1361" t="str">
            <v>Direct</v>
          </cell>
          <cell r="D1361" t="str">
            <v>UEC</v>
          </cell>
        </row>
        <row r="1362">
          <cell r="B1362" t="str">
            <v>A1006</v>
          </cell>
          <cell r="C1362" t="str">
            <v>Direct</v>
          </cell>
          <cell r="D1362" t="str">
            <v>CIP</v>
          </cell>
        </row>
        <row r="1363">
          <cell r="B1363" t="str">
            <v>A1008</v>
          </cell>
          <cell r="C1363" t="str">
            <v>Allocated Direct</v>
          </cell>
          <cell r="D1363" t="str">
            <v>002K</v>
          </cell>
        </row>
        <row r="1364">
          <cell r="B1364" t="str">
            <v>A1009</v>
          </cell>
          <cell r="C1364" t="str">
            <v>Allocated Direct</v>
          </cell>
          <cell r="D1364" t="str">
            <v>002L</v>
          </cell>
        </row>
        <row r="1365">
          <cell r="B1365" t="str">
            <v>A1013</v>
          </cell>
          <cell r="C1365" t="str">
            <v>Allocated Direct</v>
          </cell>
          <cell r="D1365" t="str">
            <v>002M</v>
          </cell>
        </row>
        <row r="1366">
          <cell r="B1366" t="str">
            <v>A1014</v>
          </cell>
          <cell r="C1366" t="str">
            <v>Allocated Direct</v>
          </cell>
          <cell r="D1366" t="str">
            <v>002L</v>
          </cell>
        </row>
        <row r="1367">
          <cell r="B1367" t="str">
            <v>A1015</v>
          </cell>
          <cell r="C1367" t="str">
            <v>Allocated Direct</v>
          </cell>
          <cell r="D1367" t="str">
            <v>002F</v>
          </cell>
        </row>
        <row r="1368">
          <cell r="B1368" t="str">
            <v>A1017</v>
          </cell>
          <cell r="C1368" t="str">
            <v>Allocated Direct</v>
          </cell>
          <cell r="D1368" t="str">
            <v>002K</v>
          </cell>
        </row>
        <row r="1369">
          <cell r="B1369" t="str">
            <v>A1019</v>
          </cell>
          <cell r="C1369" t="str">
            <v>Allocated Direct</v>
          </cell>
          <cell r="D1369" t="str">
            <v>001A</v>
          </cell>
        </row>
        <row r="1370">
          <cell r="B1370" t="str">
            <v>A1023</v>
          </cell>
          <cell r="C1370" t="str">
            <v>Allocated Direct</v>
          </cell>
          <cell r="D1370" t="str">
            <v>001A</v>
          </cell>
        </row>
        <row r="1371">
          <cell r="B1371" t="str">
            <v>A1024</v>
          </cell>
          <cell r="C1371" t="str">
            <v>Allocated Direct</v>
          </cell>
          <cell r="D1371" t="str">
            <v>017B</v>
          </cell>
        </row>
        <row r="1372">
          <cell r="B1372" t="str">
            <v>A1025</v>
          </cell>
          <cell r="C1372" t="str">
            <v>Allocated Direct</v>
          </cell>
          <cell r="D1372" t="str">
            <v>018A</v>
          </cell>
        </row>
        <row r="1373">
          <cell r="B1373" t="str">
            <v>A1026</v>
          </cell>
          <cell r="C1373" t="str">
            <v>Direct</v>
          </cell>
          <cell r="D1373" t="str">
            <v>CIP</v>
          </cell>
        </row>
        <row r="1374">
          <cell r="B1374" t="str">
            <v>A1029</v>
          </cell>
          <cell r="C1374" t="str">
            <v>Allocated Direct</v>
          </cell>
          <cell r="D1374" t="str">
            <v>001A</v>
          </cell>
        </row>
        <row r="1375">
          <cell r="B1375" t="str">
            <v>A1030</v>
          </cell>
          <cell r="C1375" t="str">
            <v>Direct</v>
          </cell>
          <cell r="D1375" t="str">
            <v>CIP</v>
          </cell>
        </row>
        <row r="1376">
          <cell r="B1376" t="str">
            <v>A1031</v>
          </cell>
          <cell r="C1376" t="str">
            <v>Direct</v>
          </cell>
          <cell r="D1376" t="str">
            <v>UEC</v>
          </cell>
        </row>
        <row r="1377">
          <cell r="B1377" t="str">
            <v>A1032</v>
          </cell>
          <cell r="C1377" t="str">
            <v>Direct</v>
          </cell>
          <cell r="D1377" t="str">
            <v>GEN</v>
          </cell>
        </row>
        <row r="1378">
          <cell r="B1378" t="str">
            <v>A1033</v>
          </cell>
          <cell r="C1378" t="str">
            <v>Direct</v>
          </cell>
          <cell r="D1378" t="str">
            <v>UEC</v>
          </cell>
        </row>
        <row r="1379">
          <cell r="B1379" t="str">
            <v>A1034</v>
          </cell>
          <cell r="C1379" t="str">
            <v>Direct</v>
          </cell>
          <cell r="D1379" t="str">
            <v>CIP</v>
          </cell>
        </row>
        <row r="1380">
          <cell r="B1380" t="str">
            <v>A1035</v>
          </cell>
          <cell r="C1380" t="str">
            <v>Direct</v>
          </cell>
          <cell r="D1380" t="str">
            <v>UEC</v>
          </cell>
        </row>
        <row r="1381">
          <cell r="B1381" t="str">
            <v>A1036</v>
          </cell>
          <cell r="C1381" t="str">
            <v>Allocated Direct</v>
          </cell>
          <cell r="D1381" t="str">
            <v>001A</v>
          </cell>
        </row>
        <row r="1382">
          <cell r="B1382" t="str">
            <v>A1039</v>
          </cell>
          <cell r="C1382" t="str">
            <v>Allocated Direct</v>
          </cell>
          <cell r="D1382" t="str">
            <v>001A</v>
          </cell>
        </row>
        <row r="1383">
          <cell r="B1383" t="str">
            <v>A1040</v>
          </cell>
          <cell r="C1383" t="str">
            <v>Direct</v>
          </cell>
          <cell r="D1383" t="str">
            <v>CIP</v>
          </cell>
        </row>
        <row r="1384">
          <cell r="B1384" t="str">
            <v>A1041</v>
          </cell>
          <cell r="C1384" t="str">
            <v>Direct</v>
          </cell>
          <cell r="D1384" t="str">
            <v>UEC</v>
          </cell>
        </row>
        <row r="1385">
          <cell r="B1385" t="str">
            <v>A1042</v>
          </cell>
          <cell r="C1385" t="str">
            <v>Direct</v>
          </cell>
          <cell r="D1385" t="str">
            <v>CIP</v>
          </cell>
        </row>
        <row r="1386">
          <cell r="B1386" t="str">
            <v>A1043</v>
          </cell>
          <cell r="C1386" t="str">
            <v>Direct</v>
          </cell>
          <cell r="D1386" t="str">
            <v>UEC</v>
          </cell>
        </row>
        <row r="1387">
          <cell r="B1387" t="str">
            <v>A1044</v>
          </cell>
          <cell r="C1387" t="str">
            <v>Direct</v>
          </cell>
          <cell r="D1387" t="str">
            <v>UEC</v>
          </cell>
        </row>
        <row r="1388">
          <cell r="B1388" t="str">
            <v>A1045</v>
          </cell>
          <cell r="C1388" t="str">
            <v>Allocated Direct</v>
          </cell>
          <cell r="D1388" t="str">
            <v>012D</v>
          </cell>
        </row>
        <row r="1389">
          <cell r="B1389" t="str">
            <v>A1046</v>
          </cell>
          <cell r="C1389" t="str">
            <v>Allocated Direct</v>
          </cell>
          <cell r="D1389" t="str">
            <v>003A</v>
          </cell>
        </row>
        <row r="1390">
          <cell r="B1390" t="str">
            <v>A1047</v>
          </cell>
          <cell r="C1390" t="str">
            <v>Indirect Functional</v>
          </cell>
          <cell r="D1390" t="str">
            <v>Indirect</v>
          </cell>
        </row>
        <row r="1391">
          <cell r="B1391" t="str">
            <v>A1048</v>
          </cell>
          <cell r="C1391" t="str">
            <v>Allocated Direct</v>
          </cell>
          <cell r="D1391" t="str">
            <v>001A</v>
          </cell>
        </row>
        <row r="1392">
          <cell r="B1392" t="str">
            <v>A1049</v>
          </cell>
          <cell r="C1392" t="str">
            <v>Allocated Direct</v>
          </cell>
          <cell r="D1392" t="str">
            <v>001A</v>
          </cell>
        </row>
        <row r="1393">
          <cell r="B1393" t="str">
            <v>A1051</v>
          </cell>
          <cell r="C1393" t="str">
            <v>Direct</v>
          </cell>
          <cell r="D1393" t="str">
            <v>UEC</v>
          </cell>
        </row>
        <row r="1394">
          <cell r="B1394" t="str">
            <v>A1052</v>
          </cell>
          <cell r="C1394" t="str">
            <v>Allocated Direct</v>
          </cell>
          <cell r="D1394" t="str">
            <v>001A</v>
          </cell>
        </row>
        <row r="1395">
          <cell r="B1395" t="str">
            <v>A1054</v>
          </cell>
          <cell r="C1395" t="str">
            <v>Direct</v>
          </cell>
          <cell r="D1395" t="str">
            <v>IHC</v>
          </cell>
        </row>
        <row r="1396">
          <cell r="B1396" t="str">
            <v>A1055</v>
          </cell>
          <cell r="C1396" t="str">
            <v>Indirect Functional</v>
          </cell>
          <cell r="D1396" t="str">
            <v>Indirect</v>
          </cell>
        </row>
        <row r="1397">
          <cell r="B1397" t="str">
            <v>A1056</v>
          </cell>
          <cell r="C1397" t="str">
            <v>Indirect Functional</v>
          </cell>
          <cell r="D1397" t="str">
            <v>Indirect</v>
          </cell>
        </row>
        <row r="1398">
          <cell r="B1398" t="str">
            <v>A1057</v>
          </cell>
          <cell r="C1398" t="str">
            <v>Indirect Functional</v>
          </cell>
          <cell r="D1398" t="str">
            <v>Indirect</v>
          </cell>
        </row>
        <row r="1399">
          <cell r="B1399" t="str">
            <v>A1059</v>
          </cell>
          <cell r="C1399" t="str">
            <v>Indirect Functional</v>
          </cell>
          <cell r="D1399" t="str">
            <v>Indirect</v>
          </cell>
        </row>
        <row r="1400">
          <cell r="B1400" t="str">
            <v>A1063</v>
          </cell>
          <cell r="C1400" t="str">
            <v>Allocated Direct</v>
          </cell>
          <cell r="D1400" t="str">
            <v>002L</v>
          </cell>
        </row>
        <row r="1401">
          <cell r="B1401" t="str">
            <v>A1064</v>
          </cell>
          <cell r="C1401" t="str">
            <v>Direct</v>
          </cell>
          <cell r="D1401" t="str">
            <v>UEC</v>
          </cell>
        </row>
        <row r="1402">
          <cell r="B1402" t="str">
            <v>A1065</v>
          </cell>
          <cell r="C1402" t="str">
            <v>Direct</v>
          </cell>
          <cell r="D1402" t="str">
            <v>CIP</v>
          </cell>
        </row>
        <row r="1403">
          <cell r="B1403" t="str">
            <v>A1066</v>
          </cell>
          <cell r="C1403" t="str">
            <v>Allocated Direct</v>
          </cell>
          <cell r="D1403" t="str">
            <v>017A</v>
          </cell>
        </row>
        <row r="1404">
          <cell r="B1404" t="str">
            <v>A1067</v>
          </cell>
          <cell r="C1404" t="str">
            <v>Allocated Direct</v>
          </cell>
          <cell r="D1404" t="str">
            <v>011C</v>
          </cell>
        </row>
        <row r="1405">
          <cell r="B1405" t="str">
            <v>A1068</v>
          </cell>
          <cell r="C1405" t="str">
            <v>Allocated Direct</v>
          </cell>
          <cell r="D1405" t="str">
            <v>004A</v>
          </cell>
        </row>
        <row r="1406">
          <cell r="B1406" t="str">
            <v>A1069</v>
          </cell>
          <cell r="C1406" t="str">
            <v>Allocated Direct</v>
          </cell>
          <cell r="D1406" t="str">
            <v>002L</v>
          </cell>
        </row>
        <row r="1407">
          <cell r="B1407" t="str">
            <v>A1078</v>
          </cell>
          <cell r="C1407" t="str">
            <v>Allocated Direct</v>
          </cell>
          <cell r="D1407" t="str">
            <v>002O</v>
          </cell>
        </row>
        <row r="1408">
          <cell r="B1408" t="str">
            <v>A1080</v>
          </cell>
          <cell r="C1408" t="str">
            <v>Direct</v>
          </cell>
          <cell r="D1408" t="str">
            <v>AED</v>
          </cell>
        </row>
        <row r="1409">
          <cell r="B1409" t="str">
            <v>A1081</v>
          </cell>
          <cell r="C1409" t="str">
            <v>Direct</v>
          </cell>
          <cell r="D1409" t="str">
            <v>UEC</v>
          </cell>
        </row>
        <row r="1410">
          <cell r="B1410" t="str">
            <v>A1084</v>
          </cell>
          <cell r="C1410" t="str">
            <v>Direct</v>
          </cell>
          <cell r="D1410" t="str">
            <v>GEN</v>
          </cell>
        </row>
        <row r="1411">
          <cell r="B1411" t="str">
            <v>A1085</v>
          </cell>
          <cell r="C1411" t="str">
            <v>Allocated Direct</v>
          </cell>
          <cell r="D1411" t="str">
            <v>011A</v>
          </cell>
        </row>
        <row r="1412">
          <cell r="B1412" t="str">
            <v>A1086</v>
          </cell>
          <cell r="C1412" t="str">
            <v>Direct</v>
          </cell>
          <cell r="D1412" t="str">
            <v>UEC</v>
          </cell>
        </row>
        <row r="1413">
          <cell r="B1413" t="str">
            <v>A1087</v>
          </cell>
          <cell r="C1413" t="str">
            <v>Direct</v>
          </cell>
          <cell r="D1413" t="str">
            <v>UEC</v>
          </cell>
        </row>
        <row r="1414">
          <cell r="B1414" t="str">
            <v>A1088</v>
          </cell>
          <cell r="C1414" t="str">
            <v>Direct</v>
          </cell>
          <cell r="D1414" t="str">
            <v>CIP</v>
          </cell>
        </row>
        <row r="1415">
          <cell r="B1415" t="str">
            <v>A1089</v>
          </cell>
          <cell r="C1415" t="str">
            <v>Allocated Direct</v>
          </cell>
          <cell r="D1415" t="str">
            <v>002L</v>
          </cell>
        </row>
        <row r="1416">
          <cell r="B1416" t="str">
            <v>A1100</v>
          </cell>
          <cell r="C1416" t="str">
            <v>Direct</v>
          </cell>
          <cell r="D1416" t="str">
            <v>UEC</v>
          </cell>
        </row>
        <row r="1417">
          <cell r="B1417" t="str">
            <v>A1107</v>
          </cell>
          <cell r="C1417" t="str">
            <v>Direct</v>
          </cell>
          <cell r="D1417" t="str">
            <v>AED</v>
          </cell>
        </row>
        <row r="1418">
          <cell r="B1418" t="str">
            <v>A1112</v>
          </cell>
          <cell r="C1418" t="str">
            <v>Allocated Direct</v>
          </cell>
          <cell r="D1418" t="str">
            <v>011A</v>
          </cell>
        </row>
        <row r="1419">
          <cell r="B1419" t="str">
            <v>A1113</v>
          </cell>
          <cell r="C1419" t="str">
            <v>Allocated Direct</v>
          </cell>
          <cell r="D1419" t="str">
            <v>003A</v>
          </cell>
        </row>
        <row r="1420">
          <cell r="B1420" t="str">
            <v>A1114</v>
          </cell>
          <cell r="C1420" t="str">
            <v>Allocated Direct</v>
          </cell>
          <cell r="D1420" t="str">
            <v>003A</v>
          </cell>
        </row>
        <row r="1421">
          <cell r="B1421" t="str">
            <v>A1116</v>
          </cell>
          <cell r="C1421" t="str">
            <v>Direct</v>
          </cell>
          <cell r="D1421" t="str">
            <v>UEC</v>
          </cell>
        </row>
        <row r="1422">
          <cell r="B1422" t="str">
            <v>A1119</v>
          </cell>
          <cell r="C1422" t="str">
            <v>Direct</v>
          </cell>
          <cell r="D1422" t="str">
            <v>CIP</v>
          </cell>
        </row>
        <row r="1423">
          <cell r="B1423" t="str">
            <v>A1120</v>
          </cell>
          <cell r="C1423" t="str">
            <v>Direct</v>
          </cell>
          <cell r="D1423" t="str">
            <v>UEC</v>
          </cell>
        </row>
        <row r="1424">
          <cell r="B1424" t="str">
            <v>A1121</v>
          </cell>
          <cell r="C1424" t="str">
            <v>Direct</v>
          </cell>
          <cell r="D1424" t="str">
            <v>GEN</v>
          </cell>
        </row>
        <row r="1425">
          <cell r="B1425" t="str">
            <v>A1122</v>
          </cell>
          <cell r="C1425" t="str">
            <v>Direct</v>
          </cell>
          <cell r="D1425" t="str">
            <v>UEC</v>
          </cell>
        </row>
        <row r="1426">
          <cell r="B1426" t="str">
            <v>A1123</v>
          </cell>
          <cell r="C1426" t="str">
            <v>Direct</v>
          </cell>
          <cell r="D1426" t="str">
            <v>UEC</v>
          </cell>
        </row>
        <row r="1427">
          <cell r="B1427" t="str">
            <v>A1124</v>
          </cell>
          <cell r="C1427" t="str">
            <v>Direct</v>
          </cell>
          <cell r="D1427" t="str">
            <v>CIP</v>
          </cell>
        </row>
        <row r="1428">
          <cell r="B1428" t="str">
            <v>A1129</v>
          </cell>
          <cell r="C1428" t="str">
            <v>Direct</v>
          </cell>
          <cell r="D1428" t="str">
            <v>IPC</v>
          </cell>
        </row>
        <row r="1429">
          <cell r="B1429" t="str">
            <v>A1138</v>
          </cell>
          <cell r="C1429" t="str">
            <v>Direct</v>
          </cell>
          <cell r="D1429" t="str">
            <v>ADC</v>
          </cell>
        </row>
        <row r="1430">
          <cell r="B1430" t="str">
            <v>A1147</v>
          </cell>
          <cell r="C1430" t="str">
            <v>Direct</v>
          </cell>
          <cell r="D1430" t="str">
            <v>AED</v>
          </cell>
        </row>
        <row r="1431">
          <cell r="B1431" t="str">
            <v>A1155</v>
          </cell>
          <cell r="C1431" t="str">
            <v>Direct</v>
          </cell>
          <cell r="D1431" t="str">
            <v>GEN</v>
          </cell>
        </row>
        <row r="1432">
          <cell r="B1432" t="str">
            <v>A1163</v>
          </cell>
          <cell r="C1432" t="str">
            <v>Direct</v>
          </cell>
          <cell r="D1432" t="str">
            <v>GMC</v>
          </cell>
        </row>
        <row r="1433">
          <cell r="B1433" t="str">
            <v>A1175</v>
          </cell>
          <cell r="C1433" t="str">
            <v>Direct</v>
          </cell>
          <cell r="D1433" t="str">
            <v>GEN</v>
          </cell>
        </row>
        <row r="1434">
          <cell r="B1434" t="str">
            <v>A1176</v>
          </cell>
          <cell r="C1434" t="str">
            <v>Direct</v>
          </cell>
          <cell r="D1434" t="str">
            <v>GEN</v>
          </cell>
        </row>
        <row r="1435">
          <cell r="B1435" t="str">
            <v>A1181</v>
          </cell>
          <cell r="C1435" t="str">
            <v>Direct</v>
          </cell>
          <cell r="D1435" t="str">
            <v>GEN</v>
          </cell>
        </row>
        <row r="1436">
          <cell r="B1436" t="str">
            <v>A1182</v>
          </cell>
          <cell r="C1436" t="str">
            <v>Direct</v>
          </cell>
          <cell r="D1436" t="str">
            <v>GEN</v>
          </cell>
        </row>
        <row r="1437">
          <cell r="B1437" t="str">
            <v>A1188</v>
          </cell>
          <cell r="C1437" t="str">
            <v>Direct</v>
          </cell>
          <cell r="D1437" t="str">
            <v>GEN</v>
          </cell>
        </row>
        <row r="1438">
          <cell r="B1438" t="str">
            <v>A1206</v>
          </cell>
          <cell r="C1438" t="str">
            <v>Direct</v>
          </cell>
          <cell r="D1438" t="str">
            <v>GEN</v>
          </cell>
        </row>
        <row r="1439">
          <cell r="B1439" t="str">
            <v>A1207</v>
          </cell>
          <cell r="C1439" t="str">
            <v>Direct</v>
          </cell>
          <cell r="D1439" t="str">
            <v>AED</v>
          </cell>
        </row>
        <row r="1440">
          <cell r="B1440" t="str">
            <v>A1208</v>
          </cell>
          <cell r="C1440" t="str">
            <v>Direct</v>
          </cell>
          <cell r="D1440" t="str">
            <v>GMC</v>
          </cell>
        </row>
        <row r="1441">
          <cell r="B1441" t="str">
            <v>A1214</v>
          </cell>
          <cell r="C1441" t="str">
            <v>Direct</v>
          </cell>
          <cell r="D1441" t="str">
            <v>IHC</v>
          </cell>
        </row>
        <row r="1442">
          <cell r="B1442" t="str">
            <v>A1222</v>
          </cell>
          <cell r="C1442" t="str">
            <v>Direct</v>
          </cell>
          <cell r="D1442" t="str">
            <v>GEN</v>
          </cell>
        </row>
        <row r="1443">
          <cell r="B1443" t="str">
            <v>A1223</v>
          </cell>
          <cell r="C1443" t="str">
            <v>Direct</v>
          </cell>
          <cell r="D1443" t="str">
            <v>GMC</v>
          </cell>
        </row>
        <row r="1444">
          <cell r="B1444" t="str">
            <v>A1224</v>
          </cell>
          <cell r="C1444" t="str">
            <v>Direct</v>
          </cell>
          <cell r="D1444" t="str">
            <v>GEN</v>
          </cell>
        </row>
        <row r="1445">
          <cell r="B1445" t="str">
            <v>A1227</v>
          </cell>
          <cell r="C1445" t="str">
            <v>Direct</v>
          </cell>
          <cell r="D1445" t="str">
            <v>AED</v>
          </cell>
        </row>
        <row r="1446">
          <cell r="B1446" t="str">
            <v>A1231</v>
          </cell>
          <cell r="C1446" t="str">
            <v>Direct</v>
          </cell>
          <cell r="D1446" t="str">
            <v>GEN</v>
          </cell>
        </row>
        <row r="1447">
          <cell r="B1447" t="str">
            <v>A1233</v>
          </cell>
          <cell r="C1447" t="str">
            <v>Direct</v>
          </cell>
          <cell r="D1447" t="str">
            <v>GEN</v>
          </cell>
        </row>
        <row r="1448">
          <cell r="B1448" t="str">
            <v>A1237</v>
          </cell>
          <cell r="C1448" t="str">
            <v>Direct</v>
          </cell>
          <cell r="D1448" t="str">
            <v>GEN</v>
          </cell>
        </row>
        <row r="1449">
          <cell r="B1449" t="str">
            <v>A1239</v>
          </cell>
          <cell r="C1449" t="str">
            <v>Allocated Direct</v>
          </cell>
          <cell r="D1449" t="str">
            <v>004A</v>
          </cell>
        </row>
        <row r="1450">
          <cell r="B1450" t="str">
            <v>A1247</v>
          </cell>
          <cell r="C1450" t="str">
            <v>Allocated Direct</v>
          </cell>
          <cell r="D1450" t="str">
            <v>004A</v>
          </cell>
        </row>
        <row r="1451">
          <cell r="B1451" t="str">
            <v>A1251</v>
          </cell>
          <cell r="C1451" t="str">
            <v>Direct</v>
          </cell>
          <cell r="D1451" t="str">
            <v>CIP</v>
          </cell>
        </row>
        <row r="1452">
          <cell r="B1452" t="str">
            <v>A1252</v>
          </cell>
          <cell r="C1452" t="str">
            <v>Direct</v>
          </cell>
          <cell r="D1452" t="str">
            <v>CIP</v>
          </cell>
        </row>
        <row r="1453">
          <cell r="B1453" t="str">
            <v>A1253</v>
          </cell>
          <cell r="C1453" t="str">
            <v>Direct</v>
          </cell>
          <cell r="D1453" t="str">
            <v>CIP</v>
          </cell>
        </row>
        <row r="1454">
          <cell r="B1454" t="str">
            <v>A1257</v>
          </cell>
          <cell r="C1454" t="str">
            <v>Direct</v>
          </cell>
          <cell r="D1454" t="str">
            <v>GEN</v>
          </cell>
        </row>
        <row r="1455">
          <cell r="B1455" t="str">
            <v>A1258</v>
          </cell>
          <cell r="C1455" t="str">
            <v>Direct</v>
          </cell>
          <cell r="D1455" t="str">
            <v>IHC</v>
          </cell>
        </row>
        <row r="1456">
          <cell r="B1456" t="str">
            <v>A1262</v>
          </cell>
          <cell r="C1456" t="str">
            <v>Direct</v>
          </cell>
          <cell r="D1456" t="str">
            <v>IHC</v>
          </cell>
        </row>
        <row r="1457">
          <cell r="B1457" t="str">
            <v>A1263</v>
          </cell>
          <cell r="C1457" t="str">
            <v>Direct</v>
          </cell>
          <cell r="D1457" t="str">
            <v>CIP</v>
          </cell>
        </row>
        <row r="1458">
          <cell r="B1458" t="str">
            <v>A1269</v>
          </cell>
          <cell r="C1458" t="str">
            <v>Direct</v>
          </cell>
          <cell r="D1458" t="str">
            <v>CIP</v>
          </cell>
        </row>
        <row r="1459">
          <cell r="B1459" t="str">
            <v>A1272</v>
          </cell>
          <cell r="C1459" t="str">
            <v>Direct</v>
          </cell>
          <cell r="D1459" t="str">
            <v>ARG</v>
          </cell>
        </row>
        <row r="1460">
          <cell r="B1460" t="str">
            <v>A1276</v>
          </cell>
          <cell r="C1460" t="str">
            <v>Direct</v>
          </cell>
          <cell r="D1460" t="str">
            <v>GMC</v>
          </cell>
        </row>
        <row r="1461">
          <cell r="B1461" t="str">
            <v>A1278</v>
          </cell>
          <cell r="C1461" t="str">
            <v>Direct</v>
          </cell>
          <cell r="D1461" t="str">
            <v>GEN</v>
          </cell>
        </row>
        <row r="1462">
          <cell r="B1462" t="str">
            <v>A1282</v>
          </cell>
          <cell r="C1462" t="str">
            <v>Direct</v>
          </cell>
          <cell r="D1462" t="str">
            <v>UEC</v>
          </cell>
        </row>
        <row r="1463">
          <cell r="B1463" t="str">
            <v>A1284</v>
          </cell>
          <cell r="C1463" t="str">
            <v>Direct</v>
          </cell>
          <cell r="D1463" t="str">
            <v>GEN</v>
          </cell>
        </row>
        <row r="1464">
          <cell r="B1464" t="str">
            <v>A1297</v>
          </cell>
          <cell r="C1464" t="str">
            <v>Direct</v>
          </cell>
          <cell r="D1464" t="str">
            <v>UEC</v>
          </cell>
        </row>
        <row r="1465">
          <cell r="B1465" t="str">
            <v>A1298</v>
          </cell>
          <cell r="C1465" t="str">
            <v>Direct</v>
          </cell>
          <cell r="D1465" t="str">
            <v>GEN</v>
          </cell>
        </row>
        <row r="1466">
          <cell r="B1466" t="str">
            <v>A1299</v>
          </cell>
          <cell r="C1466" t="str">
            <v>Direct</v>
          </cell>
          <cell r="D1466" t="str">
            <v>GMC</v>
          </cell>
        </row>
        <row r="1467">
          <cell r="B1467" t="str">
            <v>A1316</v>
          </cell>
          <cell r="C1467" t="str">
            <v>Direct</v>
          </cell>
          <cell r="D1467" t="str">
            <v>UEC</v>
          </cell>
        </row>
        <row r="1468">
          <cell r="B1468" t="str">
            <v>A1317</v>
          </cell>
          <cell r="C1468" t="str">
            <v>Direct</v>
          </cell>
          <cell r="D1468" t="str">
            <v>CIP</v>
          </cell>
        </row>
        <row r="1469">
          <cell r="B1469" t="str">
            <v>A2005</v>
          </cell>
          <cell r="C1469" t="str">
            <v>Direct</v>
          </cell>
          <cell r="D1469" t="str">
            <v>CIP</v>
          </cell>
        </row>
        <row r="1470">
          <cell r="B1470" t="str">
            <v>A2006</v>
          </cell>
          <cell r="C1470" t="str">
            <v>Allocated Direct</v>
          </cell>
          <cell r="D1470" t="str">
            <v>004A</v>
          </cell>
        </row>
        <row r="1471">
          <cell r="B1471" t="str">
            <v>A2010</v>
          </cell>
          <cell r="C1471" t="str">
            <v>Allocated Direct</v>
          </cell>
          <cell r="D1471" t="str">
            <v>002L</v>
          </cell>
        </row>
        <row r="1472">
          <cell r="B1472" t="str">
            <v>A2011</v>
          </cell>
          <cell r="C1472" t="str">
            <v>Allocated Direct</v>
          </cell>
          <cell r="D1472" t="str">
            <v>001A</v>
          </cell>
        </row>
        <row r="1473">
          <cell r="B1473" t="str">
            <v>A2019</v>
          </cell>
          <cell r="C1473" t="str">
            <v>Allocated Direct</v>
          </cell>
          <cell r="D1473" t="str">
            <v>011A</v>
          </cell>
        </row>
        <row r="1474">
          <cell r="B1474" t="str">
            <v>A2022</v>
          </cell>
          <cell r="C1474" t="str">
            <v>Direct</v>
          </cell>
          <cell r="D1474" t="str">
            <v>CIP</v>
          </cell>
        </row>
        <row r="1475">
          <cell r="B1475" t="str">
            <v>A2023</v>
          </cell>
          <cell r="C1475" t="str">
            <v>Direct</v>
          </cell>
          <cell r="D1475" t="str">
            <v>UEC</v>
          </cell>
        </row>
        <row r="1476">
          <cell r="B1476" t="str">
            <v>A2024</v>
          </cell>
          <cell r="C1476" t="str">
            <v>Direct</v>
          </cell>
          <cell r="D1476" t="str">
            <v>UEC</v>
          </cell>
        </row>
        <row r="1477">
          <cell r="B1477" t="str">
            <v>A2025</v>
          </cell>
          <cell r="C1477" t="str">
            <v>Direct</v>
          </cell>
          <cell r="D1477" t="str">
            <v>GEN</v>
          </cell>
        </row>
        <row r="1478">
          <cell r="B1478" t="str">
            <v>A2026</v>
          </cell>
          <cell r="C1478" t="str">
            <v>Direct</v>
          </cell>
          <cell r="D1478" t="str">
            <v>UEC</v>
          </cell>
        </row>
        <row r="1479">
          <cell r="B1479" t="str">
            <v>A2027</v>
          </cell>
          <cell r="C1479" t="str">
            <v>Direct</v>
          </cell>
          <cell r="D1479" t="str">
            <v>GEN</v>
          </cell>
        </row>
        <row r="1480">
          <cell r="B1480" t="str">
            <v>A2029</v>
          </cell>
          <cell r="C1480" t="str">
            <v>Allocated Direct</v>
          </cell>
          <cell r="D1480" t="str">
            <v>002L</v>
          </cell>
        </row>
        <row r="1481">
          <cell r="B1481" t="str">
            <v>A2031</v>
          </cell>
          <cell r="C1481" t="str">
            <v>Direct</v>
          </cell>
          <cell r="D1481" t="str">
            <v>GEN</v>
          </cell>
        </row>
        <row r="1482">
          <cell r="B1482" t="str">
            <v>A2032</v>
          </cell>
          <cell r="C1482" t="str">
            <v>Allocated Direct</v>
          </cell>
          <cell r="D1482" t="str">
            <v>002L</v>
          </cell>
        </row>
        <row r="1483">
          <cell r="B1483" t="str">
            <v>A2033</v>
          </cell>
          <cell r="C1483" t="str">
            <v>Allocated Direct</v>
          </cell>
          <cell r="D1483" t="str">
            <v>011B</v>
          </cell>
        </row>
        <row r="1484">
          <cell r="B1484" t="str">
            <v>A2034</v>
          </cell>
          <cell r="C1484" t="str">
            <v>Direct</v>
          </cell>
          <cell r="D1484" t="str">
            <v>UEC</v>
          </cell>
        </row>
        <row r="1485">
          <cell r="B1485" t="str">
            <v>A2035</v>
          </cell>
          <cell r="C1485" t="str">
            <v>Direct</v>
          </cell>
          <cell r="D1485" t="str">
            <v>UEC</v>
          </cell>
        </row>
        <row r="1486">
          <cell r="B1486" t="str">
            <v>A2036</v>
          </cell>
          <cell r="C1486" t="str">
            <v>Direct</v>
          </cell>
          <cell r="D1486" t="str">
            <v>UEC</v>
          </cell>
        </row>
        <row r="1487">
          <cell r="B1487" t="str">
            <v>A2037</v>
          </cell>
          <cell r="C1487" t="str">
            <v>Direct</v>
          </cell>
          <cell r="D1487" t="str">
            <v>UEC</v>
          </cell>
        </row>
        <row r="1488">
          <cell r="B1488" t="str">
            <v>A2038</v>
          </cell>
          <cell r="C1488" t="str">
            <v>Direct</v>
          </cell>
          <cell r="D1488" t="str">
            <v>UEC</v>
          </cell>
        </row>
        <row r="1489">
          <cell r="B1489" t="str">
            <v>A2039</v>
          </cell>
          <cell r="C1489" t="str">
            <v>Direct</v>
          </cell>
          <cell r="D1489" t="str">
            <v>UEC</v>
          </cell>
        </row>
        <row r="1490">
          <cell r="B1490" t="str">
            <v>A2040</v>
          </cell>
          <cell r="C1490" t="str">
            <v>Direct</v>
          </cell>
          <cell r="D1490" t="str">
            <v>UEC</v>
          </cell>
        </row>
        <row r="1491">
          <cell r="B1491" t="str">
            <v>A2041</v>
          </cell>
          <cell r="C1491" t="str">
            <v>Direct</v>
          </cell>
          <cell r="D1491" t="str">
            <v>UEC</v>
          </cell>
        </row>
        <row r="1492">
          <cell r="B1492" t="str">
            <v>A2042</v>
          </cell>
          <cell r="C1492" t="str">
            <v>Direct</v>
          </cell>
          <cell r="D1492" t="str">
            <v>UEC</v>
          </cell>
        </row>
        <row r="1493">
          <cell r="B1493" t="str">
            <v>A2043</v>
          </cell>
          <cell r="C1493" t="str">
            <v>Direct</v>
          </cell>
          <cell r="D1493" t="str">
            <v>UEC</v>
          </cell>
        </row>
        <row r="1494">
          <cell r="B1494" t="str">
            <v>A2044</v>
          </cell>
          <cell r="C1494" t="str">
            <v>Direct</v>
          </cell>
          <cell r="D1494" t="str">
            <v>GEN</v>
          </cell>
        </row>
        <row r="1495">
          <cell r="B1495" t="str">
            <v>A2045</v>
          </cell>
          <cell r="C1495" t="str">
            <v>Direct</v>
          </cell>
          <cell r="D1495" t="str">
            <v>GEN</v>
          </cell>
        </row>
        <row r="1496">
          <cell r="B1496" t="str">
            <v>A2046</v>
          </cell>
          <cell r="C1496" t="str">
            <v>Direct</v>
          </cell>
          <cell r="D1496" t="str">
            <v>GEN</v>
          </cell>
        </row>
        <row r="1497">
          <cell r="B1497" t="str">
            <v>A2047</v>
          </cell>
          <cell r="C1497" t="str">
            <v>Direct</v>
          </cell>
          <cell r="D1497" t="str">
            <v>GEN</v>
          </cell>
        </row>
        <row r="1498">
          <cell r="B1498" t="str">
            <v>A2048</v>
          </cell>
          <cell r="C1498" t="str">
            <v>Direct</v>
          </cell>
          <cell r="D1498" t="str">
            <v>GEN</v>
          </cell>
        </row>
        <row r="1499">
          <cell r="B1499" t="str">
            <v>A2049</v>
          </cell>
          <cell r="C1499" t="str">
            <v>Direct</v>
          </cell>
          <cell r="D1499" t="str">
            <v>GEN</v>
          </cell>
        </row>
        <row r="1500">
          <cell r="B1500" t="str">
            <v>A2050</v>
          </cell>
          <cell r="C1500" t="str">
            <v>Direct</v>
          </cell>
          <cell r="D1500" t="str">
            <v>UEC</v>
          </cell>
        </row>
        <row r="1501">
          <cell r="B1501" t="str">
            <v>A2051</v>
          </cell>
          <cell r="C1501" t="str">
            <v>Direct</v>
          </cell>
          <cell r="D1501" t="str">
            <v>UEC</v>
          </cell>
        </row>
        <row r="1502">
          <cell r="B1502" t="str">
            <v>A2078</v>
          </cell>
          <cell r="C1502" t="str">
            <v>Indirect Functional</v>
          </cell>
          <cell r="D1502" t="str">
            <v>Indirect</v>
          </cell>
        </row>
        <row r="1503">
          <cell r="B1503" t="str">
            <v>A2079</v>
          </cell>
          <cell r="C1503" t="str">
            <v>Allocated Direct</v>
          </cell>
          <cell r="D1503" t="str">
            <v>002A</v>
          </cell>
        </row>
        <row r="1504">
          <cell r="B1504" t="str">
            <v>A2080</v>
          </cell>
          <cell r="C1504" t="str">
            <v>Allocated Direct</v>
          </cell>
          <cell r="D1504" t="str">
            <v>004A</v>
          </cell>
        </row>
        <row r="1505">
          <cell r="B1505" t="str">
            <v>A2084</v>
          </cell>
          <cell r="C1505" t="str">
            <v>Allocated Direct</v>
          </cell>
          <cell r="D1505" t="str">
            <v>018D</v>
          </cell>
        </row>
        <row r="1506">
          <cell r="B1506" t="str">
            <v>A2092</v>
          </cell>
          <cell r="C1506" t="str">
            <v>Allocated Direct</v>
          </cell>
          <cell r="D1506" t="str">
            <v>001A</v>
          </cell>
        </row>
        <row r="1507">
          <cell r="B1507" t="str">
            <v>A2096</v>
          </cell>
          <cell r="C1507" t="str">
            <v>Direct</v>
          </cell>
          <cell r="D1507" t="str">
            <v>AFS</v>
          </cell>
        </row>
        <row r="1508">
          <cell r="B1508" t="str">
            <v>A2104</v>
          </cell>
          <cell r="C1508" t="str">
            <v>Allocated Direct</v>
          </cell>
          <cell r="D1508" t="str">
            <v>004A</v>
          </cell>
        </row>
        <row r="1509">
          <cell r="B1509" t="str">
            <v>A2105</v>
          </cell>
          <cell r="C1509" t="str">
            <v>Direct</v>
          </cell>
          <cell r="D1509" t="str">
            <v>UEC</v>
          </cell>
        </row>
        <row r="1510">
          <cell r="B1510" t="str">
            <v>A2106</v>
          </cell>
          <cell r="C1510" t="str">
            <v>Allocated Direct</v>
          </cell>
          <cell r="D1510" t="str">
            <v>017C</v>
          </cell>
        </row>
        <row r="1511">
          <cell r="B1511" t="str">
            <v>A2107</v>
          </cell>
          <cell r="C1511" t="str">
            <v>Allocated Direct</v>
          </cell>
          <cell r="D1511" t="str">
            <v>001G</v>
          </cell>
        </row>
        <row r="1512">
          <cell r="B1512" t="str">
            <v>A2109</v>
          </cell>
          <cell r="C1512" t="str">
            <v>Direct</v>
          </cell>
          <cell r="D1512" t="str">
            <v>UEC</v>
          </cell>
        </row>
        <row r="1513">
          <cell r="B1513" t="str">
            <v>A2111</v>
          </cell>
          <cell r="C1513" t="str">
            <v>Allocated Direct</v>
          </cell>
          <cell r="D1513" t="str">
            <v>002L</v>
          </cell>
        </row>
        <row r="1514">
          <cell r="B1514" t="str">
            <v>A2112</v>
          </cell>
          <cell r="C1514" t="str">
            <v>Allocated Direct</v>
          </cell>
          <cell r="D1514" t="str">
            <v>004C</v>
          </cell>
        </row>
        <row r="1515">
          <cell r="B1515" t="str">
            <v>A2115</v>
          </cell>
          <cell r="C1515" t="str">
            <v>Direct</v>
          </cell>
          <cell r="D1515" t="str">
            <v>AFS</v>
          </cell>
        </row>
        <row r="1516">
          <cell r="B1516" t="str">
            <v>A2116</v>
          </cell>
          <cell r="C1516" t="str">
            <v>Allocated Direct</v>
          </cell>
          <cell r="D1516" t="str">
            <v>007A</v>
          </cell>
        </row>
        <row r="1517">
          <cell r="B1517" t="str">
            <v>A2122</v>
          </cell>
          <cell r="C1517" t="str">
            <v>Indirect Functional</v>
          </cell>
          <cell r="D1517" t="str">
            <v>Indirect</v>
          </cell>
        </row>
        <row r="1518">
          <cell r="B1518" t="str">
            <v>A2126</v>
          </cell>
          <cell r="C1518" t="str">
            <v>Allocated Direct</v>
          </cell>
          <cell r="D1518" t="str">
            <v>001G</v>
          </cell>
        </row>
        <row r="1519">
          <cell r="B1519" t="str">
            <v>A2127</v>
          </cell>
          <cell r="C1519" t="str">
            <v>Direct</v>
          </cell>
          <cell r="D1519" t="str">
            <v>UEC</v>
          </cell>
        </row>
        <row r="1520">
          <cell r="B1520" t="str">
            <v>A2128</v>
          </cell>
          <cell r="C1520" t="str">
            <v>Direct</v>
          </cell>
          <cell r="D1520" t="str">
            <v>UEC</v>
          </cell>
        </row>
        <row r="1521">
          <cell r="B1521" t="str">
            <v>A2132</v>
          </cell>
          <cell r="C1521" t="str">
            <v>Direct</v>
          </cell>
          <cell r="D1521" t="str">
            <v>AFS</v>
          </cell>
        </row>
        <row r="1522">
          <cell r="B1522" t="str">
            <v>A2133</v>
          </cell>
          <cell r="C1522" t="str">
            <v>Direct</v>
          </cell>
          <cell r="D1522" t="str">
            <v>GEN</v>
          </cell>
        </row>
        <row r="1523">
          <cell r="B1523" t="str">
            <v>A2135</v>
          </cell>
          <cell r="C1523" t="str">
            <v>Allocated Direct</v>
          </cell>
          <cell r="D1523" t="str">
            <v>001G</v>
          </cell>
        </row>
        <row r="1524">
          <cell r="B1524" t="str">
            <v>A2136</v>
          </cell>
          <cell r="C1524" t="str">
            <v>Direct</v>
          </cell>
          <cell r="D1524" t="str">
            <v>UEC</v>
          </cell>
        </row>
        <row r="1525">
          <cell r="B1525" t="str">
            <v>A2139</v>
          </cell>
          <cell r="C1525" t="str">
            <v>Allocated Direct</v>
          </cell>
          <cell r="D1525" t="str">
            <v>001A</v>
          </cell>
        </row>
        <row r="1526">
          <cell r="B1526" t="str">
            <v>A2140</v>
          </cell>
          <cell r="C1526" t="str">
            <v>Allocated Direct</v>
          </cell>
          <cell r="D1526" t="str">
            <v>004A</v>
          </cell>
        </row>
        <row r="1527">
          <cell r="B1527" t="str">
            <v>A2142</v>
          </cell>
          <cell r="C1527" t="str">
            <v>Direct</v>
          </cell>
          <cell r="D1527" t="str">
            <v>GEN</v>
          </cell>
        </row>
        <row r="1528">
          <cell r="B1528" t="str">
            <v>A2148</v>
          </cell>
          <cell r="C1528" t="str">
            <v>Allocated Direct</v>
          </cell>
          <cell r="D1528" t="str">
            <v>007A</v>
          </cell>
        </row>
        <row r="1529">
          <cell r="B1529" t="str">
            <v>A2149</v>
          </cell>
          <cell r="C1529" t="str">
            <v>Direct</v>
          </cell>
          <cell r="D1529" t="str">
            <v>GMC</v>
          </cell>
        </row>
        <row r="1530">
          <cell r="B1530" t="str">
            <v>A2150</v>
          </cell>
          <cell r="C1530" t="str">
            <v>Direct</v>
          </cell>
          <cell r="D1530" t="str">
            <v>GEN</v>
          </cell>
        </row>
        <row r="1531">
          <cell r="B1531" t="str">
            <v>A2151</v>
          </cell>
          <cell r="C1531" t="str">
            <v>Direct</v>
          </cell>
          <cell r="D1531" t="str">
            <v>UEC</v>
          </cell>
        </row>
        <row r="1532">
          <cell r="B1532" t="str">
            <v>A2152</v>
          </cell>
          <cell r="C1532" t="str">
            <v>Allocated Direct</v>
          </cell>
          <cell r="D1532" t="str">
            <v>002K</v>
          </cell>
        </row>
        <row r="1533">
          <cell r="B1533" t="str">
            <v>A2154</v>
          </cell>
          <cell r="C1533" t="str">
            <v>Direct</v>
          </cell>
          <cell r="D1533" t="str">
            <v>GEN</v>
          </cell>
        </row>
        <row r="1534">
          <cell r="B1534" t="str">
            <v>A2155</v>
          </cell>
          <cell r="C1534" t="str">
            <v>Direct</v>
          </cell>
          <cell r="D1534" t="str">
            <v>UEC</v>
          </cell>
        </row>
        <row r="1535">
          <cell r="B1535" t="str">
            <v>A2158</v>
          </cell>
          <cell r="C1535" t="str">
            <v>Allocated Direct</v>
          </cell>
          <cell r="D1535" t="str">
            <v>001A</v>
          </cell>
        </row>
        <row r="1536">
          <cell r="B1536" t="str">
            <v>A2161</v>
          </cell>
          <cell r="C1536" t="str">
            <v>Direct</v>
          </cell>
          <cell r="D1536" t="str">
            <v>UEC</v>
          </cell>
        </row>
        <row r="1537">
          <cell r="B1537" t="str">
            <v>A2162</v>
          </cell>
          <cell r="C1537" t="str">
            <v>Direct</v>
          </cell>
          <cell r="D1537" t="str">
            <v>CIP</v>
          </cell>
        </row>
        <row r="1538">
          <cell r="B1538" t="str">
            <v>A2163</v>
          </cell>
          <cell r="C1538" t="str">
            <v>Allocated Direct</v>
          </cell>
          <cell r="D1538" t="str">
            <v>002K</v>
          </cell>
        </row>
        <row r="1539">
          <cell r="B1539" t="str">
            <v>A2164</v>
          </cell>
          <cell r="C1539" t="str">
            <v>Direct</v>
          </cell>
          <cell r="D1539" t="str">
            <v>UEC</v>
          </cell>
        </row>
        <row r="1540">
          <cell r="B1540" t="str">
            <v>A2165</v>
          </cell>
          <cell r="C1540" t="str">
            <v>Direct</v>
          </cell>
          <cell r="D1540" t="str">
            <v>CIP</v>
          </cell>
        </row>
        <row r="1541">
          <cell r="B1541" t="str">
            <v>A2166</v>
          </cell>
          <cell r="C1541" t="str">
            <v>Allocated Direct</v>
          </cell>
          <cell r="D1541" t="str">
            <v>002K</v>
          </cell>
        </row>
        <row r="1542">
          <cell r="B1542" t="str">
            <v>A2167</v>
          </cell>
          <cell r="C1542" t="str">
            <v>Indirect Functional</v>
          </cell>
          <cell r="D1542" t="str">
            <v>Indirect</v>
          </cell>
        </row>
        <row r="1543">
          <cell r="B1543" t="str">
            <v>A2168</v>
          </cell>
          <cell r="C1543" t="str">
            <v>Allocated Direct</v>
          </cell>
          <cell r="D1543" t="str">
            <v>017B</v>
          </cell>
        </row>
        <row r="1544">
          <cell r="B1544" t="str">
            <v>A2179</v>
          </cell>
          <cell r="C1544" t="str">
            <v>Allocated Direct</v>
          </cell>
          <cell r="D1544" t="str">
            <v>002K</v>
          </cell>
        </row>
        <row r="1545">
          <cell r="B1545" t="str">
            <v>A2184</v>
          </cell>
          <cell r="C1545" t="str">
            <v>Allocated Direct</v>
          </cell>
          <cell r="D1545" t="str">
            <v>004A</v>
          </cell>
        </row>
        <row r="1546">
          <cell r="B1546" t="str">
            <v>A2186</v>
          </cell>
          <cell r="C1546" t="str">
            <v>Allocated Direct</v>
          </cell>
          <cell r="D1546" t="str">
            <v>004A</v>
          </cell>
        </row>
        <row r="1547">
          <cell r="B1547" t="str">
            <v>A2187</v>
          </cell>
          <cell r="C1547" t="str">
            <v>Allocated Direct</v>
          </cell>
          <cell r="D1547" t="str">
            <v>004A</v>
          </cell>
        </row>
        <row r="1548">
          <cell r="B1548" t="str">
            <v>A2188</v>
          </cell>
          <cell r="C1548" t="str">
            <v>Allocated Direct</v>
          </cell>
          <cell r="D1548" t="str">
            <v>004A</v>
          </cell>
        </row>
        <row r="1549">
          <cell r="B1549" t="str">
            <v>A2190</v>
          </cell>
          <cell r="C1549" t="str">
            <v>Allocated Direct</v>
          </cell>
          <cell r="D1549" t="str">
            <v>004A</v>
          </cell>
        </row>
        <row r="1550">
          <cell r="B1550" t="str">
            <v>A2191</v>
          </cell>
          <cell r="C1550" t="str">
            <v>Allocated Direct</v>
          </cell>
          <cell r="D1550" t="str">
            <v>004A</v>
          </cell>
        </row>
        <row r="1551">
          <cell r="B1551" t="str">
            <v>A2192</v>
          </cell>
          <cell r="C1551" t="str">
            <v>Allocated Direct</v>
          </cell>
          <cell r="D1551" t="str">
            <v>004A</v>
          </cell>
        </row>
        <row r="1552">
          <cell r="B1552" t="str">
            <v>A2201</v>
          </cell>
          <cell r="C1552" t="str">
            <v>Direct</v>
          </cell>
          <cell r="D1552" t="str">
            <v>UEC</v>
          </cell>
        </row>
        <row r="1553">
          <cell r="B1553" t="str">
            <v>A2202</v>
          </cell>
          <cell r="C1553" t="str">
            <v>Direct</v>
          </cell>
          <cell r="D1553" t="str">
            <v>CIP</v>
          </cell>
        </row>
        <row r="1554">
          <cell r="B1554" t="str">
            <v>A2203</v>
          </cell>
          <cell r="C1554" t="str">
            <v>Direct</v>
          </cell>
          <cell r="D1554" t="str">
            <v>UEC</v>
          </cell>
        </row>
        <row r="1555">
          <cell r="B1555" t="str">
            <v>A2206</v>
          </cell>
          <cell r="C1555" t="str">
            <v>Direct</v>
          </cell>
          <cell r="D1555" t="str">
            <v>GEN</v>
          </cell>
        </row>
        <row r="1556">
          <cell r="B1556" t="str">
            <v>A2209</v>
          </cell>
          <cell r="C1556" t="str">
            <v>Indirect Functional</v>
          </cell>
          <cell r="D1556" t="str">
            <v>Indirect</v>
          </cell>
        </row>
        <row r="1557">
          <cell r="B1557" t="str">
            <v>A2223</v>
          </cell>
          <cell r="C1557" t="str">
            <v>Direct</v>
          </cell>
          <cell r="D1557" t="str">
            <v>ADC</v>
          </cell>
        </row>
        <row r="1558">
          <cell r="B1558" t="str">
            <v>A2224</v>
          </cell>
          <cell r="C1558" t="str">
            <v>Allocated Direct</v>
          </cell>
          <cell r="D1558" t="str">
            <v>001A</v>
          </cell>
        </row>
        <row r="1559">
          <cell r="B1559" t="str">
            <v>A2227</v>
          </cell>
          <cell r="C1559" t="str">
            <v>Direct</v>
          </cell>
          <cell r="D1559" t="str">
            <v>AMC</v>
          </cell>
        </row>
        <row r="1560">
          <cell r="B1560" t="str">
            <v>A2257</v>
          </cell>
          <cell r="C1560" t="str">
            <v>Allocated Direct</v>
          </cell>
          <cell r="D1560" t="str">
            <v>004A</v>
          </cell>
        </row>
        <row r="1561">
          <cell r="B1561" t="str">
            <v>A2264</v>
          </cell>
          <cell r="C1561" t="str">
            <v>Direct</v>
          </cell>
          <cell r="D1561" t="str">
            <v>UEC</v>
          </cell>
        </row>
        <row r="1562">
          <cell r="B1562" t="str">
            <v>A2265</v>
          </cell>
          <cell r="C1562" t="str">
            <v>Allocated Direct</v>
          </cell>
          <cell r="D1562" t="str">
            <v>002L</v>
          </cell>
        </row>
        <row r="1563">
          <cell r="B1563" t="str">
            <v>A2266</v>
          </cell>
          <cell r="C1563" t="str">
            <v>Direct</v>
          </cell>
          <cell r="D1563" t="str">
            <v>GEN</v>
          </cell>
        </row>
        <row r="1564">
          <cell r="B1564" t="str">
            <v>A2268</v>
          </cell>
          <cell r="C1564" t="str">
            <v>Direct</v>
          </cell>
          <cell r="D1564" t="str">
            <v>GMC</v>
          </cell>
        </row>
        <row r="1565">
          <cell r="B1565" t="str">
            <v>A2269</v>
          </cell>
          <cell r="C1565" t="str">
            <v>Direct</v>
          </cell>
          <cell r="D1565" t="str">
            <v>AFS</v>
          </cell>
        </row>
        <row r="1566">
          <cell r="B1566" t="str">
            <v>A2275</v>
          </cell>
          <cell r="C1566" t="str">
            <v>Allocated Direct</v>
          </cell>
          <cell r="D1566" t="str">
            <v>002A</v>
          </cell>
        </row>
        <row r="1567">
          <cell r="B1567" t="str">
            <v>A2276</v>
          </cell>
          <cell r="C1567" t="str">
            <v>Allocated Direct</v>
          </cell>
          <cell r="D1567" t="str">
            <v>001A</v>
          </cell>
        </row>
        <row r="1568">
          <cell r="B1568" t="str">
            <v>A2278</v>
          </cell>
          <cell r="C1568" t="str">
            <v>Direct</v>
          </cell>
          <cell r="D1568" t="str">
            <v>AFS</v>
          </cell>
        </row>
        <row r="1569">
          <cell r="B1569" t="str">
            <v>A2280</v>
          </cell>
          <cell r="C1569" t="str">
            <v>Direct</v>
          </cell>
          <cell r="D1569" t="str">
            <v>AMC</v>
          </cell>
        </row>
        <row r="1570">
          <cell r="B1570" t="str">
            <v>A2284</v>
          </cell>
          <cell r="C1570" t="str">
            <v>Direct</v>
          </cell>
          <cell r="D1570" t="str">
            <v>GEN</v>
          </cell>
        </row>
        <row r="1571">
          <cell r="B1571" t="str">
            <v>A2285</v>
          </cell>
          <cell r="C1571" t="str">
            <v>Direct</v>
          </cell>
          <cell r="D1571" t="str">
            <v>GEN</v>
          </cell>
        </row>
        <row r="1572">
          <cell r="B1572" t="str">
            <v>A2286</v>
          </cell>
          <cell r="C1572" t="str">
            <v>Direct</v>
          </cell>
          <cell r="D1572" t="str">
            <v>AFS</v>
          </cell>
        </row>
        <row r="1573">
          <cell r="B1573" t="str">
            <v>A2287</v>
          </cell>
          <cell r="C1573" t="str">
            <v>Direct</v>
          </cell>
          <cell r="D1573" t="str">
            <v>GMC</v>
          </cell>
        </row>
        <row r="1574">
          <cell r="B1574" t="str">
            <v>A2288</v>
          </cell>
          <cell r="C1574" t="str">
            <v>Direct</v>
          </cell>
          <cell r="D1574" t="str">
            <v>GEN</v>
          </cell>
        </row>
        <row r="1575">
          <cell r="B1575" t="str">
            <v>A2295</v>
          </cell>
          <cell r="C1575" t="str">
            <v>Direct</v>
          </cell>
          <cell r="D1575" t="str">
            <v>AFS</v>
          </cell>
        </row>
        <row r="1576">
          <cell r="B1576" t="str">
            <v>A2296</v>
          </cell>
          <cell r="C1576" t="str">
            <v>Allocated Direct</v>
          </cell>
          <cell r="D1576" t="str">
            <v>002L</v>
          </cell>
        </row>
        <row r="1577">
          <cell r="B1577" t="str">
            <v>A2298</v>
          </cell>
          <cell r="C1577" t="str">
            <v>Direct</v>
          </cell>
          <cell r="D1577" t="str">
            <v>AFS</v>
          </cell>
        </row>
        <row r="1578">
          <cell r="B1578" t="str">
            <v>A2299</v>
          </cell>
          <cell r="C1578" t="str">
            <v>Direct</v>
          </cell>
          <cell r="D1578" t="str">
            <v>AMC</v>
          </cell>
        </row>
        <row r="1579">
          <cell r="B1579" t="str">
            <v>A2302</v>
          </cell>
          <cell r="C1579" t="str">
            <v>Indirect Corporate</v>
          </cell>
          <cell r="D1579" t="str">
            <v>Indirect</v>
          </cell>
        </row>
        <row r="1580">
          <cell r="B1580" t="str">
            <v>A2305</v>
          </cell>
          <cell r="C1580" t="str">
            <v>Direct</v>
          </cell>
          <cell r="D1580" t="str">
            <v>GEN</v>
          </cell>
        </row>
        <row r="1581">
          <cell r="B1581" t="str">
            <v>A2306</v>
          </cell>
          <cell r="C1581" t="str">
            <v>Direct</v>
          </cell>
          <cell r="D1581" t="str">
            <v>UEC</v>
          </cell>
        </row>
        <row r="1582">
          <cell r="B1582" t="str">
            <v>A2307</v>
          </cell>
          <cell r="C1582" t="str">
            <v>Allocated Direct</v>
          </cell>
          <cell r="D1582" t="str">
            <v>002L</v>
          </cell>
        </row>
        <row r="1583">
          <cell r="B1583" t="str">
            <v>A2309</v>
          </cell>
          <cell r="C1583" t="str">
            <v>Allocated Direct</v>
          </cell>
          <cell r="D1583" t="str">
            <v>004A</v>
          </cell>
        </row>
        <row r="1584">
          <cell r="B1584" t="str">
            <v>A2310</v>
          </cell>
          <cell r="C1584" t="str">
            <v>Direct</v>
          </cell>
          <cell r="D1584" t="str">
            <v>ADC</v>
          </cell>
        </row>
        <row r="1585">
          <cell r="B1585" t="str">
            <v>A2312</v>
          </cell>
          <cell r="C1585" t="str">
            <v>Allocated Direct</v>
          </cell>
          <cell r="D1585" t="str">
            <v>010A</v>
          </cell>
        </row>
        <row r="1586">
          <cell r="B1586" t="str">
            <v>A2316</v>
          </cell>
          <cell r="C1586" t="str">
            <v>Direct</v>
          </cell>
          <cell r="D1586" t="str">
            <v>IHC</v>
          </cell>
        </row>
        <row r="1587">
          <cell r="B1587" t="str">
            <v>A2317</v>
          </cell>
          <cell r="C1587" t="str">
            <v>Direct</v>
          </cell>
          <cell r="D1587" t="str">
            <v>011B</v>
          </cell>
        </row>
        <row r="1588">
          <cell r="B1588" t="str">
            <v>A2321</v>
          </cell>
          <cell r="C1588" t="str">
            <v>Indirect Functional</v>
          </cell>
          <cell r="D1588" t="str">
            <v>Indirect</v>
          </cell>
        </row>
        <row r="1589">
          <cell r="B1589" t="str">
            <v>A2323</v>
          </cell>
          <cell r="C1589" t="str">
            <v>Direct</v>
          </cell>
          <cell r="D1589" t="str">
            <v>IHC</v>
          </cell>
        </row>
        <row r="1590">
          <cell r="B1590" t="str">
            <v>A2324</v>
          </cell>
          <cell r="C1590" t="str">
            <v>Direct</v>
          </cell>
          <cell r="D1590" t="str">
            <v>GMC</v>
          </cell>
        </row>
        <row r="1591">
          <cell r="B1591" t="str">
            <v>A2326</v>
          </cell>
          <cell r="C1591" t="str">
            <v>Direct</v>
          </cell>
          <cell r="D1591" t="str">
            <v>AFS</v>
          </cell>
        </row>
        <row r="1592">
          <cell r="B1592" t="str">
            <v>A2327</v>
          </cell>
          <cell r="C1592" t="str">
            <v>Direct</v>
          </cell>
          <cell r="D1592" t="str">
            <v>GEN</v>
          </cell>
        </row>
        <row r="1593">
          <cell r="B1593" t="str">
            <v>A2330</v>
          </cell>
          <cell r="C1593" t="str">
            <v>Allocated Direct</v>
          </cell>
          <cell r="D1593" t="str">
            <v>015A</v>
          </cell>
        </row>
        <row r="1594">
          <cell r="B1594" t="str">
            <v>A2331</v>
          </cell>
          <cell r="C1594" t="str">
            <v>Direct</v>
          </cell>
          <cell r="D1594" t="str">
            <v>UEC</v>
          </cell>
        </row>
        <row r="1595">
          <cell r="B1595" t="str">
            <v>A2332</v>
          </cell>
          <cell r="C1595" t="str">
            <v>Direct</v>
          </cell>
          <cell r="D1595" t="str">
            <v>UEC</v>
          </cell>
        </row>
        <row r="1596">
          <cell r="B1596" t="str">
            <v>A2337</v>
          </cell>
          <cell r="C1596" t="str">
            <v>Allocated Direct</v>
          </cell>
          <cell r="D1596" t="str">
            <v>002M</v>
          </cell>
        </row>
        <row r="1597">
          <cell r="B1597" t="str">
            <v>A2338</v>
          </cell>
          <cell r="C1597" t="str">
            <v>Allocated Direct</v>
          </cell>
          <cell r="D1597" t="str">
            <v>002M</v>
          </cell>
        </row>
        <row r="1598">
          <cell r="B1598" t="str">
            <v>A2339</v>
          </cell>
          <cell r="C1598" t="str">
            <v>Allocated Direct</v>
          </cell>
          <cell r="D1598" t="str">
            <v>011A</v>
          </cell>
        </row>
        <row r="1599">
          <cell r="B1599" t="str">
            <v>A2340</v>
          </cell>
          <cell r="C1599" t="str">
            <v>Allocated Direct</v>
          </cell>
          <cell r="D1599" t="str">
            <v>010A</v>
          </cell>
        </row>
        <row r="1600">
          <cell r="B1600" t="str">
            <v>A2341</v>
          </cell>
          <cell r="C1600" t="str">
            <v>Allocated Direct</v>
          </cell>
          <cell r="D1600" t="str">
            <v>002D</v>
          </cell>
        </row>
        <row r="1601">
          <cell r="B1601" t="str">
            <v>A2345</v>
          </cell>
          <cell r="C1601" t="str">
            <v>Direct</v>
          </cell>
          <cell r="D1601" t="str">
            <v>CIL</v>
          </cell>
        </row>
        <row r="1602">
          <cell r="B1602" t="str">
            <v>A2347</v>
          </cell>
          <cell r="C1602" t="str">
            <v>Indirect Functional</v>
          </cell>
          <cell r="D1602" t="str">
            <v>Indirect</v>
          </cell>
        </row>
        <row r="1603">
          <cell r="B1603" t="str">
            <v>A2348</v>
          </cell>
          <cell r="C1603" t="str">
            <v>Direct</v>
          </cell>
          <cell r="D1603" t="str">
            <v>GMC</v>
          </cell>
        </row>
        <row r="1604">
          <cell r="B1604" t="str">
            <v>A2349</v>
          </cell>
          <cell r="C1604" t="str">
            <v>Direct</v>
          </cell>
          <cell r="D1604" t="str">
            <v>UEC</v>
          </cell>
        </row>
        <row r="1605">
          <cell r="B1605" t="str">
            <v>A2350</v>
          </cell>
          <cell r="C1605" t="str">
            <v>Allocated Direct</v>
          </cell>
          <cell r="D1605" t="str">
            <v>001G</v>
          </cell>
        </row>
        <row r="1606">
          <cell r="B1606" t="str">
            <v>A2351</v>
          </cell>
          <cell r="C1606" t="str">
            <v>Direct</v>
          </cell>
          <cell r="D1606" t="str">
            <v>CIL</v>
          </cell>
        </row>
        <row r="1607">
          <cell r="B1607" t="str">
            <v>A2353</v>
          </cell>
          <cell r="C1607" t="str">
            <v>Direct</v>
          </cell>
          <cell r="D1607" t="str">
            <v>CIL</v>
          </cell>
        </row>
        <row r="1608">
          <cell r="B1608" t="str">
            <v>A2354</v>
          </cell>
          <cell r="C1608" t="str">
            <v>Direct</v>
          </cell>
          <cell r="D1608" t="str">
            <v>CIL</v>
          </cell>
        </row>
        <row r="1609">
          <cell r="B1609" t="str">
            <v>A2355</v>
          </cell>
          <cell r="C1609" t="str">
            <v>Direct</v>
          </cell>
          <cell r="D1609" t="str">
            <v>ARG</v>
          </cell>
        </row>
        <row r="1610">
          <cell r="B1610" t="str">
            <v>A2356</v>
          </cell>
          <cell r="C1610" t="str">
            <v>Direct</v>
          </cell>
          <cell r="D1610" t="str">
            <v>ARG</v>
          </cell>
        </row>
        <row r="1611">
          <cell r="B1611" t="str">
            <v>A2357</v>
          </cell>
          <cell r="C1611" t="str">
            <v>Direct</v>
          </cell>
          <cell r="D1611" t="str">
            <v>CIL</v>
          </cell>
        </row>
        <row r="1612">
          <cell r="B1612" t="str">
            <v>A2358</v>
          </cell>
          <cell r="C1612" t="str">
            <v>Direct</v>
          </cell>
          <cell r="D1612" t="str">
            <v>CIL</v>
          </cell>
        </row>
        <row r="1613">
          <cell r="B1613" t="str">
            <v>A2359</v>
          </cell>
          <cell r="C1613" t="str">
            <v>Direct</v>
          </cell>
          <cell r="D1613" t="str">
            <v>CIL</v>
          </cell>
        </row>
        <row r="1614">
          <cell r="B1614" t="str">
            <v>A2366</v>
          </cell>
          <cell r="C1614" t="str">
            <v>Allocated Direct</v>
          </cell>
          <cell r="D1614" t="str">
            <v>002I</v>
          </cell>
        </row>
        <row r="1615">
          <cell r="B1615" t="str">
            <v>A2368</v>
          </cell>
          <cell r="C1615" t="str">
            <v>Direct</v>
          </cell>
          <cell r="D1615" t="str">
            <v>CIL</v>
          </cell>
        </row>
        <row r="1616">
          <cell r="B1616" t="str">
            <v>A2369</v>
          </cell>
          <cell r="C1616" t="str">
            <v>Direct</v>
          </cell>
          <cell r="D1616" t="str">
            <v>CIL</v>
          </cell>
        </row>
        <row r="1617">
          <cell r="B1617" t="str">
            <v>A2372</v>
          </cell>
          <cell r="C1617" t="str">
            <v>Direct</v>
          </cell>
          <cell r="D1617" t="str">
            <v>CIL</v>
          </cell>
        </row>
        <row r="1618">
          <cell r="B1618" t="str">
            <v>A2373</v>
          </cell>
          <cell r="C1618" t="str">
            <v>Direct</v>
          </cell>
          <cell r="D1618" t="str">
            <v>UEC</v>
          </cell>
        </row>
        <row r="1619">
          <cell r="B1619" t="str">
            <v>A2374</v>
          </cell>
          <cell r="C1619" t="str">
            <v>Direct</v>
          </cell>
          <cell r="D1619" t="str">
            <v>CIL</v>
          </cell>
        </row>
        <row r="1620">
          <cell r="B1620" t="str">
            <v>A2378</v>
          </cell>
          <cell r="C1620" t="str">
            <v>Direct</v>
          </cell>
          <cell r="D1620" t="str">
            <v>CIL</v>
          </cell>
        </row>
        <row r="1621">
          <cell r="B1621" t="str">
            <v>A2383</v>
          </cell>
          <cell r="C1621" t="str">
            <v>Direct</v>
          </cell>
          <cell r="D1621" t="str">
            <v>CIL</v>
          </cell>
        </row>
        <row r="1622">
          <cell r="B1622" t="str">
            <v>A2389</v>
          </cell>
          <cell r="C1622" t="str">
            <v>Direct</v>
          </cell>
          <cell r="D1622" t="str">
            <v>CIL</v>
          </cell>
        </row>
        <row r="1623">
          <cell r="B1623" t="str">
            <v>A2392</v>
          </cell>
          <cell r="C1623" t="str">
            <v>Direct</v>
          </cell>
          <cell r="D1623" t="str">
            <v>UEC</v>
          </cell>
        </row>
        <row r="1624">
          <cell r="B1624" t="str">
            <v>A2393</v>
          </cell>
          <cell r="C1624" t="str">
            <v>Direct</v>
          </cell>
          <cell r="D1624" t="str">
            <v>CIP</v>
          </cell>
        </row>
        <row r="1625">
          <cell r="B1625" t="str">
            <v>A2394</v>
          </cell>
          <cell r="C1625" t="str">
            <v>Allocated Direct</v>
          </cell>
          <cell r="D1625" t="str">
            <v>002L</v>
          </cell>
        </row>
        <row r="1626">
          <cell r="B1626" t="str">
            <v>A2395</v>
          </cell>
          <cell r="C1626" t="str">
            <v>Direct</v>
          </cell>
          <cell r="D1626" t="str">
            <v>CIP</v>
          </cell>
        </row>
        <row r="1627">
          <cell r="B1627" t="str">
            <v>A2396</v>
          </cell>
          <cell r="C1627" t="str">
            <v>Direct</v>
          </cell>
          <cell r="D1627" t="str">
            <v>CIP</v>
          </cell>
        </row>
        <row r="1628">
          <cell r="B1628" t="str">
            <v>A2398</v>
          </cell>
          <cell r="C1628" t="str">
            <v>Direct</v>
          </cell>
          <cell r="D1628" t="str">
            <v>CIL</v>
          </cell>
        </row>
        <row r="1629">
          <cell r="B1629" t="str">
            <v>A2399</v>
          </cell>
          <cell r="C1629" t="str">
            <v>Allocated Direct</v>
          </cell>
          <cell r="D1629" t="str">
            <v>004A</v>
          </cell>
        </row>
        <row r="1630">
          <cell r="B1630" t="str">
            <v>A2400</v>
          </cell>
          <cell r="C1630" t="str">
            <v>Allocated Direct</v>
          </cell>
          <cell r="D1630" t="str">
            <v>004A</v>
          </cell>
        </row>
        <row r="1631">
          <cell r="B1631" t="str">
            <v>A2401</v>
          </cell>
          <cell r="C1631" t="str">
            <v>Direct</v>
          </cell>
          <cell r="D1631" t="str">
            <v>CIL</v>
          </cell>
        </row>
        <row r="1632">
          <cell r="B1632" t="str">
            <v>A2403</v>
          </cell>
          <cell r="C1632" t="str">
            <v>Direct</v>
          </cell>
          <cell r="D1632" t="str">
            <v>CIP</v>
          </cell>
        </row>
        <row r="1633">
          <cell r="B1633" t="str">
            <v>A2404</v>
          </cell>
          <cell r="C1633" t="str">
            <v>Direct</v>
          </cell>
          <cell r="D1633" t="str">
            <v>CIP</v>
          </cell>
        </row>
        <row r="1634">
          <cell r="B1634" t="str">
            <v>A2405</v>
          </cell>
          <cell r="C1634" t="str">
            <v>Allocated Direct</v>
          </cell>
          <cell r="D1634" t="str">
            <v>002I</v>
          </cell>
        </row>
        <row r="1635">
          <cell r="B1635" t="str">
            <v>A2409</v>
          </cell>
          <cell r="C1635" t="str">
            <v>Direct</v>
          </cell>
          <cell r="D1635" t="str">
            <v>CIL</v>
          </cell>
        </row>
        <row r="1636">
          <cell r="B1636" t="str">
            <v>A2411</v>
          </cell>
          <cell r="C1636" t="str">
            <v>Direct</v>
          </cell>
          <cell r="D1636" t="str">
            <v>CIL</v>
          </cell>
        </row>
        <row r="1637">
          <cell r="B1637" t="str">
            <v>A2412</v>
          </cell>
          <cell r="C1637" t="str">
            <v>Direct</v>
          </cell>
          <cell r="D1637" t="str">
            <v>CIL</v>
          </cell>
        </row>
        <row r="1638">
          <cell r="B1638" t="str">
            <v>A2413</v>
          </cell>
          <cell r="C1638" t="str">
            <v>Direct</v>
          </cell>
          <cell r="D1638" t="str">
            <v>MV1</v>
          </cell>
        </row>
        <row r="1639">
          <cell r="B1639" t="str">
            <v>A2414</v>
          </cell>
          <cell r="C1639" t="str">
            <v>Direct</v>
          </cell>
          <cell r="D1639" t="str">
            <v>MV1</v>
          </cell>
        </row>
        <row r="1640">
          <cell r="B1640" t="str">
            <v>A2416</v>
          </cell>
          <cell r="C1640" t="str">
            <v>Direct</v>
          </cell>
          <cell r="D1640" t="str">
            <v>AMC</v>
          </cell>
        </row>
        <row r="1641">
          <cell r="B1641" t="str">
            <v>A2417</v>
          </cell>
          <cell r="C1641" t="str">
            <v>Direct</v>
          </cell>
          <cell r="D1641" t="str">
            <v>CIL</v>
          </cell>
        </row>
        <row r="1642">
          <cell r="B1642" t="str">
            <v>A2418</v>
          </cell>
          <cell r="C1642" t="str">
            <v>Direct</v>
          </cell>
          <cell r="D1642" t="str">
            <v>CIL</v>
          </cell>
        </row>
        <row r="1643">
          <cell r="B1643" t="str">
            <v>A2419</v>
          </cell>
          <cell r="C1643" t="str">
            <v>Direct</v>
          </cell>
          <cell r="D1643" t="str">
            <v>CIL</v>
          </cell>
        </row>
        <row r="1644">
          <cell r="B1644" t="str">
            <v>A2420</v>
          </cell>
          <cell r="C1644" t="str">
            <v>Direct</v>
          </cell>
          <cell r="D1644" t="str">
            <v>CIL</v>
          </cell>
        </row>
        <row r="1645">
          <cell r="B1645" t="str">
            <v>A2421</v>
          </cell>
          <cell r="C1645" t="str">
            <v>Direct</v>
          </cell>
          <cell r="D1645" t="str">
            <v>CIL</v>
          </cell>
        </row>
        <row r="1646">
          <cell r="B1646" t="str">
            <v>A2422</v>
          </cell>
          <cell r="C1646" t="str">
            <v>Direct</v>
          </cell>
          <cell r="D1646" t="str">
            <v>CIL</v>
          </cell>
        </row>
        <row r="1647">
          <cell r="B1647" t="str">
            <v>A2426</v>
          </cell>
          <cell r="C1647" t="str">
            <v>Allocated Direct</v>
          </cell>
          <cell r="D1647" t="str">
            <v>002D</v>
          </cell>
        </row>
        <row r="1648">
          <cell r="B1648" t="str">
            <v>A2427</v>
          </cell>
          <cell r="C1648" t="str">
            <v>Direct</v>
          </cell>
          <cell r="D1648" t="str">
            <v>UEC</v>
          </cell>
        </row>
        <row r="1649">
          <cell r="B1649" t="str">
            <v>A2430</v>
          </cell>
          <cell r="C1649" t="str">
            <v>Direct</v>
          </cell>
          <cell r="D1649" t="str">
            <v>CIL</v>
          </cell>
        </row>
        <row r="1650">
          <cell r="B1650" t="str">
            <v>A2431</v>
          </cell>
          <cell r="C1650" t="str">
            <v>Direct</v>
          </cell>
          <cell r="D1650" t="str">
            <v>CIL</v>
          </cell>
        </row>
        <row r="1651">
          <cell r="B1651" t="str">
            <v>A2432</v>
          </cell>
          <cell r="C1651" t="str">
            <v>Direct</v>
          </cell>
          <cell r="D1651" t="str">
            <v>CIL</v>
          </cell>
        </row>
        <row r="1652">
          <cell r="B1652" t="str">
            <v>A2433</v>
          </cell>
          <cell r="C1652" t="str">
            <v>Direct</v>
          </cell>
          <cell r="D1652" t="str">
            <v>CIL</v>
          </cell>
        </row>
        <row r="1653">
          <cell r="B1653" t="str">
            <v>A2434</v>
          </cell>
          <cell r="C1653" t="str">
            <v>Direct</v>
          </cell>
          <cell r="D1653" t="str">
            <v>CIL</v>
          </cell>
        </row>
        <row r="1654">
          <cell r="B1654" t="str">
            <v>A2436</v>
          </cell>
          <cell r="C1654" t="str">
            <v>Direct</v>
          </cell>
          <cell r="D1654" t="str">
            <v>CIL</v>
          </cell>
        </row>
        <row r="1655">
          <cell r="B1655" t="str">
            <v>A2437</v>
          </cell>
          <cell r="C1655" t="str">
            <v>Direct</v>
          </cell>
          <cell r="D1655" t="str">
            <v>CIL</v>
          </cell>
        </row>
        <row r="1656">
          <cell r="B1656" t="str">
            <v>A2440</v>
          </cell>
          <cell r="C1656" t="str">
            <v>Direct</v>
          </cell>
          <cell r="D1656" t="str">
            <v>CIL</v>
          </cell>
        </row>
        <row r="1657">
          <cell r="B1657" t="str">
            <v>A2443</v>
          </cell>
          <cell r="C1657" t="str">
            <v>Direct</v>
          </cell>
          <cell r="D1657" t="str">
            <v>CIL</v>
          </cell>
        </row>
        <row r="1658">
          <cell r="B1658" t="str">
            <v>A2444</v>
          </cell>
          <cell r="C1658" t="str">
            <v>Direct</v>
          </cell>
          <cell r="D1658" t="str">
            <v>CIP</v>
          </cell>
        </row>
        <row r="1659">
          <cell r="B1659" t="str">
            <v>A2445</v>
          </cell>
          <cell r="C1659" t="str">
            <v>Direct</v>
          </cell>
          <cell r="D1659" t="str">
            <v>CIL</v>
          </cell>
        </row>
        <row r="1660">
          <cell r="B1660" t="str">
            <v>A2447</v>
          </cell>
          <cell r="C1660" t="str">
            <v>Direct</v>
          </cell>
          <cell r="D1660" t="str">
            <v>CIL</v>
          </cell>
        </row>
        <row r="1661">
          <cell r="B1661" t="str">
            <v>A2448</v>
          </cell>
          <cell r="C1661" t="str">
            <v>Direct</v>
          </cell>
          <cell r="D1661" t="str">
            <v>CIL</v>
          </cell>
        </row>
        <row r="1662">
          <cell r="B1662" t="str">
            <v>A2449</v>
          </cell>
          <cell r="C1662" t="str">
            <v>Direct</v>
          </cell>
          <cell r="D1662" t="str">
            <v>CIL</v>
          </cell>
        </row>
        <row r="1663">
          <cell r="B1663" t="str">
            <v>A2450</v>
          </cell>
          <cell r="C1663" t="str">
            <v>Direct</v>
          </cell>
          <cell r="D1663" t="str">
            <v>CIL</v>
          </cell>
        </row>
        <row r="1664">
          <cell r="B1664" t="str">
            <v>A2456</v>
          </cell>
          <cell r="C1664" t="str">
            <v>Direct</v>
          </cell>
          <cell r="D1664" t="str">
            <v>CIL</v>
          </cell>
        </row>
        <row r="1665">
          <cell r="B1665" t="str">
            <v>A2459</v>
          </cell>
          <cell r="C1665" t="str">
            <v>Direct</v>
          </cell>
          <cell r="D1665" t="str">
            <v>CIL</v>
          </cell>
        </row>
        <row r="1666">
          <cell r="B1666" t="str">
            <v>A2460</v>
          </cell>
          <cell r="C1666" t="str">
            <v>Direct</v>
          </cell>
          <cell r="D1666" t="str">
            <v>CIL</v>
          </cell>
        </row>
        <row r="1667">
          <cell r="B1667" t="str">
            <v>A2462</v>
          </cell>
          <cell r="C1667" t="str">
            <v>Direct</v>
          </cell>
          <cell r="D1667" t="str">
            <v>CIL</v>
          </cell>
        </row>
        <row r="1668">
          <cell r="B1668" t="str">
            <v>A2465</v>
          </cell>
          <cell r="C1668" t="str">
            <v>Direct</v>
          </cell>
          <cell r="D1668" t="str">
            <v>CIL</v>
          </cell>
        </row>
        <row r="1669">
          <cell r="B1669" t="str">
            <v>A2468</v>
          </cell>
          <cell r="C1669" t="str">
            <v>Allocated Direct</v>
          </cell>
          <cell r="D1669" t="str">
            <v>004A</v>
          </cell>
        </row>
        <row r="1670">
          <cell r="B1670" t="str">
            <v>A2470</v>
          </cell>
          <cell r="C1670" t="str">
            <v>Allocated Direct</v>
          </cell>
          <cell r="D1670" t="str">
            <v>004A</v>
          </cell>
        </row>
        <row r="1671">
          <cell r="B1671" t="str">
            <v>A2477</v>
          </cell>
          <cell r="C1671" t="str">
            <v>Direct</v>
          </cell>
          <cell r="D1671" t="str">
            <v>UEC</v>
          </cell>
        </row>
        <row r="1672">
          <cell r="B1672" t="str">
            <v>A2478</v>
          </cell>
          <cell r="C1672" t="str">
            <v>Direct</v>
          </cell>
          <cell r="D1672" t="str">
            <v>CIP</v>
          </cell>
        </row>
        <row r="1673">
          <cell r="B1673" t="str">
            <v>A2479</v>
          </cell>
          <cell r="C1673" t="str">
            <v>Direct</v>
          </cell>
          <cell r="D1673" t="str">
            <v>CIL</v>
          </cell>
        </row>
        <row r="1674">
          <cell r="B1674" t="str">
            <v>A2481</v>
          </cell>
          <cell r="C1674" t="str">
            <v>Direct</v>
          </cell>
          <cell r="D1674" t="str">
            <v>CIL</v>
          </cell>
        </row>
        <row r="1675">
          <cell r="B1675" t="str">
            <v>A2482</v>
          </cell>
          <cell r="C1675" t="str">
            <v>Direct</v>
          </cell>
          <cell r="D1675" t="str">
            <v>CIL</v>
          </cell>
        </row>
        <row r="1676">
          <cell r="B1676" t="str">
            <v>A2483</v>
          </cell>
          <cell r="C1676" t="str">
            <v>Direct</v>
          </cell>
          <cell r="D1676" t="str">
            <v>CIL</v>
          </cell>
        </row>
        <row r="1677">
          <cell r="B1677" t="str">
            <v>A2484</v>
          </cell>
          <cell r="C1677" t="str">
            <v>Direct</v>
          </cell>
          <cell r="D1677" t="str">
            <v>CIL</v>
          </cell>
        </row>
        <row r="1678">
          <cell r="B1678" t="str">
            <v>A2485</v>
          </cell>
          <cell r="C1678" t="str">
            <v>Direct</v>
          </cell>
          <cell r="D1678" t="str">
            <v>CIL</v>
          </cell>
        </row>
        <row r="1679">
          <cell r="B1679" t="str">
            <v>A2486</v>
          </cell>
          <cell r="C1679" t="str">
            <v>Direct</v>
          </cell>
          <cell r="D1679" t="str">
            <v>CIL</v>
          </cell>
        </row>
        <row r="1680">
          <cell r="B1680" t="str">
            <v>A2487</v>
          </cell>
          <cell r="C1680" t="str">
            <v>Allocated Direct</v>
          </cell>
          <cell r="D1680" t="str">
            <v>004A</v>
          </cell>
        </row>
        <row r="1681">
          <cell r="B1681" t="str">
            <v>A2488</v>
          </cell>
          <cell r="C1681" t="str">
            <v>Direct</v>
          </cell>
          <cell r="D1681" t="str">
            <v>CIL</v>
          </cell>
        </row>
        <row r="1682">
          <cell r="B1682" t="str">
            <v>A2489</v>
          </cell>
          <cell r="C1682" t="str">
            <v>Direct</v>
          </cell>
          <cell r="D1682" t="str">
            <v>CCP</v>
          </cell>
        </row>
        <row r="1683">
          <cell r="B1683" t="str">
            <v>A2490</v>
          </cell>
          <cell r="C1683" t="str">
            <v>Direct</v>
          </cell>
          <cell r="D1683" t="str">
            <v>CIL</v>
          </cell>
        </row>
        <row r="1684">
          <cell r="B1684" t="str">
            <v>A2494</v>
          </cell>
          <cell r="C1684" t="str">
            <v>Direct</v>
          </cell>
          <cell r="D1684" t="str">
            <v>CIL</v>
          </cell>
        </row>
        <row r="1685">
          <cell r="B1685" t="str">
            <v>A2495</v>
          </cell>
          <cell r="C1685" t="str">
            <v>Allocated Direct</v>
          </cell>
          <cell r="D1685" t="str">
            <v>002M</v>
          </cell>
        </row>
        <row r="1686">
          <cell r="B1686" t="str">
            <v>A2504</v>
          </cell>
          <cell r="C1686" t="str">
            <v>Allocated Direct</v>
          </cell>
          <cell r="D1686" t="str">
            <v>004A</v>
          </cell>
        </row>
        <row r="1687">
          <cell r="B1687" t="str">
            <v>A2505</v>
          </cell>
          <cell r="C1687" t="str">
            <v>Allocated Direct</v>
          </cell>
          <cell r="D1687" t="str">
            <v>004A</v>
          </cell>
        </row>
        <row r="1688">
          <cell r="B1688" t="str">
            <v>A2509</v>
          </cell>
          <cell r="C1688" t="str">
            <v>Direct</v>
          </cell>
          <cell r="D1688" t="str">
            <v>MV1</v>
          </cell>
        </row>
        <row r="1689">
          <cell r="B1689" t="str">
            <v>A2510</v>
          </cell>
          <cell r="C1689" t="str">
            <v>Allocated Direct</v>
          </cell>
          <cell r="D1689" t="str">
            <v>012B</v>
          </cell>
        </row>
        <row r="1690">
          <cell r="B1690" t="str">
            <v>A2511</v>
          </cell>
          <cell r="C1690" t="str">
            <v>Direct</v>
          </cell>
          <cell r="D1690" t="str">
            <v>CCP</v>
          </cell>
        </row>
        <row r="1691">
          <cell r="B1691" t="str">
            <v>A2514</v>
          </cell>
          <cell r="C1691" t="str">
            <v>Direct</v>
          </cell>
          <cell r="D1691" t="str">
            <v>GEN</v>
          </cell>
        </row>
        <row r="1692">
          <cell r="B1692" t="str">
            <v>A2515</v>
          </cell>
          <cell r="C1692" t="str">
            <v>Direct</v>
          </cell>
          <cell r="D1692" t="str">
            <v>ARG</v>
          </cell>
        </row>
        <row r="1693">
          <cell r="B1693" t="str">
            <v>A2516</v>
          </cell>
          <cell r="C1693" t="str">
            <v>Direct</v>
          </cell>
          <cell r="D1693" t="str">
            <v>ARG</v>
          </cell>
        </row>
        <row r="1694">
          <cell r="B1694" t="str">
            <v>A2517</v>
          </cell>
          <cell r="C1694" t="str">
            <v>Direct</v>
          </cell>
          <cell r="D1694" t="str">
            <v>UEC</v>
          </cell>
        </row>
        <row r="1695">
          <cell r="B1695" t="str">
            <v>A2518</v>
          </cell>
          <cell r="C1695" t="str">
            <v>Direct</v>
          </cell>
          <cell r="D1695" t="str">
            <v>ARG</v>
          </cell>
        </row>
        <row r="1696">
          <cell r="B1696" t="str">
            <v>A2519</v>
          </cell>
          <cell r="C1696" t="str">
            <v>Direct</v>
          </cell>
          <cell r="D1696" t="str">
            <v>ARG</v>
          </cell>
        </row>
        <row r="1697">
          <cell r="B1697" t="str">
            <v>A2522</v>
          </cell>
          <cell r="C1697" t="str">
            <v>Allocated Direct</v>
          </cell>
          <cell r="D1697" t="str">
            <v>011B</v>
          </cell>
        </row>
        <row r="1698">
          <cell r="B1698" t="str">
            <v>A2523</v>
          </cell>
          <cell r="C1698" t="str">
            <v>Direct</v>
          </cell>
          <cell r="D1698" t="str">
            <v>ARG</v>
          </cell>
        </row>
        <row r="1699">
          <cell r="B1699" t="str">
            <v>A2532</v>
          </cell>
          <cell r="C1699" t="str">
            <v>Direct</v>
          </cell>
          <cell r="D1699" t="str">
            <v>ARG</v>
          </cell>
        </row>
        <row r="1700">
          <cell r="B1700" t="str">
            <v>A2533</v>
          </cell>
          <cell r="C1700" t="str">
            <v>Direct</v>
          </cell>
          <cell r="D1700" t="str">
            <v>ARG</v>
          </cell>
        </row>
        <row r="1701">
          <cell r="B1701" t="str">
            <v>A2534</v>
          </cell>
          <cell r="C1701" t="str">
            <v>Direct</v>
          </cell>
          <cell r="D1701" t="str">
            <v>ARG</v>
          </cell>
        </row>
        <row r="1702">
          <cell r="B1702" t="str">
            <v>A2535</v>
          </cell>
          <cell r="C1702" t="str">
            <v>Direct</v>
          </cell>
          <cell r="D1702" t="str">
            <v>ARG</v>
          </cell>
        </row>
        <row r="1703">
          <cell r="B1703" t="str">
            <v>A2537</v>
          </cell>
          <cell r="C1703" t="str">
            <v>Direct</v>
          </cell>
          <cell r="D1703" t="str">
            <v>UEC</v>
          </cell>
        </row>
        <row r="1704">
          <cell r="B1704" t="str">
            <v>A2539</v>
          </cell>
          <cell r="C1704" t="str">
            <v>Direct</v>
          </cell>
          <cell r="D1704" t="str">
            <v>CCP</v>
          </cell>
        </row>
        <row r="1705">
          <cell r="B1705" t="str">
            <v>A2540</v>
          </cell>
          <cell r="C1705" t="str">
            <v>Direct</v>
          </cell>
          <cell r="D1705" t="str">
            <v>UEC</v>
          </cell>
        </row>
        <row r="1706">
          <cell r="B1706" t="str">
            <v>A2543</v>
          </cell>
          <cell r="C1706" t="str">
            <v>Direct</v>
          </cell>
          <cell r="D1706" t="str">
            <v>ARG</v>
          </cell>
        </row>
        <row r="1707">
          <cell r="B1707" t="str">
            <v>A2544</v>
          </cell>
          <cell r="C1707" t="str">
            <v>Direct</v>
          </cell>
          <cell r="D1707" t="str">
            <v>CCP</v>
          </cell>
        </row>
        <row r="1708">
          <cell r="B1708" t="str">
            <v>A2545</v>
          </cell>
          <cell r="C1708" t="str">
            <v>Allocated Direct</v>
          </cell>
          <cell r="D1708" t="str">
            <v>017C</v>
          </cell>
        </row>
        <row r="1709">
          <cell r="B1709" t="str">
            <v>A2546</v>
          </cell>
          <cell r="C1709" t="str">
            <v>Allocated Direct</v>
          </cell>
          <cell r="D1709" t="str">
            <v>002O</v>
          </cell>
        </row>
        <row r="1710">
          <cell r="B1710" t="str">
            <v>A2548</v>
          </cell>
          <cell r="C1710" t="str">
            <v>Allocated Direct</v>
          </cell>
          <cell r="D1710" t="str">
            <v>004A</v>
          </cell>
        </row>
        <row r="1711">
          <cell r="B1711" t="str">
            <v>A2549</v>
          </cell>
          <cell r="C1711" t="str">
            <v>Allocated Direct</v>
          </cell>
          <cell r="D1711" t="str">
            <v>002M</v>
          </cell>
        </row>
        <row r="1712">
          <cell r="B1712" t="str">
            <v>A2552</v>
          </cell>
          <cell r="C1712" t="str">
            <v>Allocated Direct</v>
          </cell>
          <cell r="D1712" t="str">
            <v>001A</v>
          </cell>
        </row>
        <row r="1713">
          <cell r="B1713" t="str">
            <v>A2553</v>
          </cell>
          <cell r="C1713" t="str">
            <v>Allocated Direct</v>
          </cell>
          <cell r="D1713" t="str">
            <v>001A</v>
          </cell>
        </row>
        <row r="1714">
          <cell r="B1714" t="str">
            <v>A2554</v>
          </cell>
          <cell r="C1714" t="str">
            <v>Allocated Direct</v>
          </cell>
          <cell r="D1714" t="str">
            <v>010A</v>
          </cell>
        </row>
        <row r="1715">
          <cell r="B1715" t="str">
            <v>A2555</v>
          </cell>
          <cell r="C1715" t="str">
            <v>Allocated Direct</v>
          </cell>
          <cell r="D1715" t="str">
            <v>018D</v>
          </cell>
        </row>
        <row r="1716">
          <cell r="B1716" t="str">
            <v>A2556</v>
          </cell>
          <cell r="C1716" t="str">
            <v>Direct</v>
          </cell>
          <cell r="D1716" t="str">
            <v>UEC</v>
          </cell>
        </row>
        <row r="1717">
          <cell r="B1717" t="str">
            <v>A2557</v>
          </cell>
          <cell r="C1717" t="str">
            <v>Direct</v>
          </cell>
          <cell r="D1717" t="str">
            <v>CIP</v>
          </cell>
        </row>
        <row r="1718">
          <cell r="B1718" t="str">
            <v>A2558</v>
          </cell>
          <cell r="C1718" t="str">
            <v>Direct</v>
          </cell>
          <cell r="D1718" t="str">
            <v>CIL</v>
          </cell>
        </row>
        <row r="1719">
          <cell r="B1719" t="str">
            <v>A2560</v>
          </cell>
          <cell r="C1719" t="str">
            <v>Direct</v>
          </cell>
          <cell r="D1719" t="str">
            <v>GEN</v>
          </cell>
        </row>
        <row r="1720">
          <cell r="B1720" t="str">
            <v>A2564</v>
          </cell>
          <cell r="C1720" t="str">
            <v>Allocated Direct</v>
          </cell>
          <cell r="D1720" t="str">
            <v>011A</v>
          </cell>
        </row>
        <row r="1721">
          <cell r="B1721" t="str">
            <v>A2566</v>
          </cell>
          <cell r="C1721" t="str">
            <v>Allocated Direct</v>
          </cell>
          <cell r="D1721" t="str">
            <v>018A</v>
          </cell>
        </row>
        <row r="1722">
          <cell r="B1722" t="str">
            <v>A2567</v>
          </cell>
          <cell r="C1722" t="str">
            <v>Direct</v>
          </cell>
          <cell r="D1722" t="str">
            <v>002M</v>
          </cell>
        </row>
        <row r="1723">
          <cell r="B1723" t="str">
            <v>A2569</v>
          </cell>
          <cell r="C1723" t="str">
            <v>Allocated Direct</v>
          </cell>
          <cell r="D1723" t="str">
            <v>002L</v>
          </cell>
        </row>
        <row r="1724">
          <cell r="B1724" t="str">
            <v>A2570</v>
          </cell>
          <cell r="C1724" t="str">
            <v>Allocated Direct</v>
          </cell>
          <cell r="D1724" t="str">
            <v>002L</v>
          </cell>
        </row>
        <row r="1725">
          <cell r="B1725" t="str">
            <v>A2571</v>
          </cell>
          <cell r="C1725" t="str">
            <v>Direct</v>
          </cell>
          <cell r="D1725" t="str">
            <v>UEC</v>
          </cell>
        </row>
        <row r="1726">
          <cell r="B1726" t="str">
            <v>A2572</v>
          </cell>
          <cell r="C1726" t="str">
            <v>Direct</v>
          </cell>
          <cell r="D1726" t="str">
            <v>UEC</v>
          </cell>
        </row>
        <row r="1727">
          <cell r="B1727" t="str">
            <v>A2573</v>
          </cell>
          <cell r="C1727" t="str">
            <v>Allocated Direct</v>
          </cell>
          <cell r="D1727" t="str">
            <v>002K</v>
          </cell>
        </row>
        <row r="1728">
          <cell r="B1728" t="str">
            <v>A2577</v>
          </cell>
          <cell r="C1728" t="str">
            <v>Allocated Direct</v>
          </cell>
          <cell r="D1728" t="str">
            <v>002L</v>
          </cell>
        </row>
        <row r="1729">
          <cell r="B1729" t="str">
            <v>A2578</v>
          </cell>
          <cell r="C1729" t="str">
            <v>Direct</v>
          </cell>
          <cell r="D1729" t="str">
            <v>IPC</v>
          </cell>
        </row>
        <row r="1730">
          <cell r="B1730" t="str">
            <v>A2583</v>
          </cell>
          <cell r="C1730" t="str">
            <v>Direct</v>
          </cell>
          <cell r="D1730" t="str">
            <v>GEN</v>
          </cell>
        </row>
        <row r="1731">
          <cell r="B1731" t="str">
            <v>A2585</v>
          </cell>
          <cell r="C1731" t="str">
            <v>Direct</v>
          </cell>
          <cell r="D1731" t="str">
            <v>GMC</v>
          </cell>
        </row>
        <row r="1732">
          <cell r="B1732" t="str">
            <v>A2586</v>
          </cell>
          <cell r="C1732" t="str">
            <v>Direct</v>
          </cell>
          <cell r="D1732" t="str">
            <v>ARG</v>
          </cell>
        </row>
        <row r="1733">
          <cell r="B1733" t="str">
            <v>A2587</v>
          </cell>
          <cell r="C1733" t="str">
            <v>Allocated Direct</v>
          </cell>
          <cell r="D1733" t="str">
            <v>010A</v>
          </cell>
        </row>
        <row r="1734">
          <cell r="B1734" t="str">
            <v>A2588</v>
          </cell>
          <cell r="C1734" t="str">
            <v>Direct</v>
          </cell>
          <cell r="D1734" t="str">
            <v>CCP</v>
          </cell>
        </row>
        <row r="1735">
          <cell r="B1735" t="str">
            <v>A2590</v>
          </cell>
          <cell r="C1735" t="str">
            <v>Direct</v>
          </cell>
          <cell r="D1735" t="str">
            <v>IPC</v>
          </cell>
        </row>
        <row r="1736">
          <cell r="B1736" t="str">
            <v>A2591</v>
          </cell>
          <cell r="C1736" t="str">
            <v>Direct</v>
          </cell>
          <cell r="D1736" t="str">
            <v>IPC</v>
          </cell>
        </row>
        <row r="1737">
          <cell r="B1737" t="str">
            <v>A2593</v>
          </cell>
          <cell r="C1737" t="str">
            <v>Direct</v>
          </cell>
          <cell r="D1737" t="str">
            <v>IPC</v>
          </cell>
        </row>
        <row r="1738">
          <cell r="B1738" t="str">
            <v>A2594</v>
          </cell>
          <cell r="C1738" t="str">
            <v>Direct</v>
          </cell>
          <cell r="D1738" t="str">
            <v>IPC</v>
          </cell>
        </row>
        <row r="1739">
          <cell r="B1739" t="str">
            <v>A2596</v>
          </cell>
          <cell r="C1739" t="str">
            <v>Direct</v>
          </cell>
          <cell r="D1739" t="str">
            <v>IPC</v>
          </cell>
        </row>
        <row r="1740">
          <cell r="B1740" t="str">
            <v>A2597</v>
          </cell>
          <cell r="C1740" t="str">
            <v>Direct</v>
          </cell>
          <cell r="D1740" t="str">
            <v>IPC</v>
          </cell>
        </row>
        <row r="1741">
          <cell r="B1741" t="str">
            <v>A2599</v>
          </cell>
          <cell r="C1741" t="str">
            <v>Direct</v>
          </cell>
          <cell r="D1741" t="str">
            <v>IPC</v>
          </cell>
        </row>
        <row r="1742">
          <cell r="B1742" t="str">
            <v>A2600</v>
          </cell>
          <cell r="C1742" t="str">
            <v>Direct</v>
          </cell>
          <cell r="D1742" t="str">
            <v>IPC</v>
          </cell>
        </row>
        <row r="1743">
          <cell r="B1743" t="str">
            <v>A2602</v>
          </cell>
          <cell r="C1743" t="str">
            <v>Direct</v>
          </cell>
          <cell r="D1743" t="str">
            <v>IPC</v>
          </cell>
        </row>
        <row r="1744">
          <cell r="B1744" t="str">
            <v>A2603</v>
          </cell>
          <cell r="C1744" t="str">
            <v>Direct</v>
          </cell>
          <cell r="D1744" t="str">
            <v>IPC</v>
          </cell>
        </row>
        <row r="1745">
          <cell r="B1745" t="str">
            <v>A2604</v>
          </cell>
          <cell r="C1745" t="str">
            <v>Direct</v>
          </cell>
          <cell r="D1745" t="str">
            <v>IPC</v>
          </cell>
        </row>
        <row r="1746">
          <cell r="B1746" t="str">
            <v>A2605</v>
          </cell>
          <cell r="C1746" t="str">
            <v>Direct</v>
          </cell>
          <cell r="D1746" t="str">
            <v>IPC</v>
          </cell>
        </row>
        <row r="1747">
          <cell r="B1747" t="str">
            <v>A2606</v>
          </cell>
          <cell r="C1747" t="str">
            <v>Direct</v>
          </cell>
          <cell r="D1747" t="str">
            <v>IPC</v>
          </cell>
        </row>
        <row r="1748">
          <cell r="B1748" t="str">
            <v>A2607</v>
          </cell>
          <cell r="C1748" t="str">
            <v>Direct</v>
          </cell>
          <cell r="D1748" t="str">
            <v>IPC</v>
          </cell>
        </row>
        <row r="1749">
          <cell r="B1749" t="str">
            <v>A2609</v>
          </cell>
          <cell r="C1749" t="str">
            <v>Direct</v>
          </cell>
          <cell r="D1749" t="str">
            <v>IPC</v>
          </cell>
        </row>
        <row r="1750">
          <cell r="B1750" t="str">
            <v>A2610</v>
          </cell>
          <cell r="C1750" t="str">
            <v>Direct</v>
          </cell>
          <cell r="D1750" t="str">
            <v>IPC</v>
          </cell>
        </row>
        <row r="1751">
          <cell r="B1751" t="str">
            <v>A2611</v>
          </cell>
          <cell r="C1751" t="str">
            <v>Direct</v>
          </cell>
          <cell r="D1751" t="str">
            <v>IPC</v>
          </cell>
        </row>
        <row r="1752">
          <cell r="B1752" t="str">
            <v>A2612</v>
          </cell>
          <cell r="C1752" t="str">
            <v>Direct</v>
          </cell>
          <cell r="D1752" t="str">
            <v>IPC</v>
          </cell>
        </row>
        <row r="1753">
          <cell r="B1753" t="str">
            <v>A2613</v>
          </cell>
          <cell r="C1753" t="str">
            <v>Direct</v>
          </cell>
          <cell r="D1753" t="str">
            <v>IPC</v>
          </cell>
        </row>
        <row r="1754">
          <cell r="B1754" t="str">
            <v>A2614</v>
          </cell>
          <cell r="C1754" t="str">
            <v>Direct</v>
          </cell>
          <cell r="D1754" t="str">
            <v>IPC</v>
          </cell>
        </row>
        <row r="1755">
          <cell r="B1755" t="str">
            <v>A2615</v>
          </cell>
          <cell r="C1755" t="str">
            <v>Direct</v>
          </cell>
          <cell r="D1755" t="str">
            <v>IPC</v>
          </cell>
        </row>
        <row r="1756">
          <cell r="B1756" t="str">
            <v>A2617</v>
          </cell>
          <cell r="C1756" t="str">
            <v>Direct</v>
          </cell>
          <cell r="D1756" t="str">
            <v>IPC</v>
          </cell>
        </row>
        <row r="1757">
          <cell r="B1757" t="str">
            <v>A2620</v>
          </cell>
          <cell r="C1757" t="str">
            <v>Direct</v>
          </cell>
          <cell r="D1757" t="str">
            <v>ARG</v>
          </cell>
        </row>
        <row r="1758">
          <cell r="B1758" t="str">
            <v>A2621</v>
          </cell>
          <cell r="C1758" t="str">
            <v>Direct</v>
          </cell>
          <cell r="D1758" t="str">
            <v>IPC</v>
          </cell>
        </row>
        <row r="1759">
          <cell r="B1759" t="str">
            <v>A2622</v>
          </cell>
          <cell r="C1759" t="str">
            <v>Direct</v>
          </cell>
          <cell r="D1759" t="str">
            <v>IPC</v>
          </cell>
        </row>
        <row r="1760">
          <cell r="B1760" t="str">
            <v>A2623</v>
          </cell>
          <cell r="C1760" t="str">
            <v>Direct</v>
          </cell>
          <cell r="D1760" t="str">
            <v>IPC</v>
          </cell>
        </row>
        <row r="1761">
          <cell r="B1761" t="str">
            <v>A2627</v>
          </cell>
          <cell r="C1761" t="str">
            <v>Direct</v>
          </cell>
          <cell r="D1761" t="str">
            <v>IPC</v>
          </cell>
        </row>
        <row r="1762">
          <cell r="B1762" t="str">
            <v>A2628</v>
          </cell>
          <cell r="C1762" t="str">
            <v>Direct</v>
          </cell>
          <cell r="D1762" t="str">
            <v>IPC</v>
          </cell>
        </row>
        <row r="1763">
          <cell r="B1763" t="str">
            <v>A2631</v>
          </cell>
          <cell r="C1763" t="str">
            <v>Direct</v>
          </cell>
          <cell r="D1763" t="str">
            <v>IPC</v>
          </cell>
        </row>
        <row r="1764">
          <cell r="B1764" t="str">
            <v>A2632</v>
          </cell>
          <cell r="C1764" t="str">
            <v>Direct</v>
          </cell>
          <cell r="D1764" t="str">
            <v>IPC</v>
          </cell>
        </row>
        <row r="1765">
          <cell r="B1765" t="str">
            <v>A2633</v>
          </cell>
          <cell r="C1765" t="str">
            <v>Direct</v>
          </cell>
          <cell r="D1765" t="str">
            <v>IPC</v>
          </cell>
        </row>
        <row r="1766">
          <cell r="B1766" t="str">
            <v>A2634</v>
          </cell>
          <cell r="C1766" t="str">
            <v>Direct</v>
          </cell>
          <cell r="D1766" t="str">
            <v>CIP</v>
          </cell>
        </row>
        <row r="1767">
          <cell r="B1767" t="str">
            <v>A2635</v>
          </cell>
          <cell r="C1767" t="str">
            <v>Direct</v>
          </cell>
          <cell r="D1767" t="str">
            <v>CIL</v>
          </cell>
        </row>
        <row r="1768">
          <cell r="B1768" t="str">
            <v>A2636</v>
          </cell>
          <cell r="C1768" t="str">
            <v>Allocated Direct</v>
          </cell>
          <cell r="D1768" t="str">
            <v>002O</v>
          </cell>
        </row>
        <row r="1769">
          <cell r="B1769" t="str">
            <v>A2637</v>
          </cell>
          <cell r="C1769" t="str">
            <v>Direct</v>
          </cell>
          <cell r="D1769" t="str">
            <v>IPC</v>
          </cell>
        </row>
        <row r="1770">
          <cell r="B1770" t="str">
            <v>A2638</v>
          </cell>
          <cell r="C1770" t="str">
            <v>Direct</v>
          </cell>
          <cell r="D1770" t="str">
            <v>IPC</v>
          </cell>
        </row>
        <row r="1771">
          <cell r="B1771" t="str">
            <v>A2649</v>
          </cell>
          <cell r="C1771" t="str">
            <v>Direct</v>
          </cell>
          <cell r="D1771" t="str">
            <v>IPC</v>
          </cell>
        </row>
        <row r="1772">
          <cell r="B1772" t="str">
            <v>A2650</v>
          </cell>
          <cell r="C1772" t="str">
            <v>Allocated Direct</v>
          </cell>
          <cell r="D1772" t="str">
            <v>001A</v>
          </cell>
        </row>
        <row r="1773">
          <cell r="B1773" t="str">
            <v>A2652</v>
          </cell>
          <cell r="C1773" t="str">
            <v>Direct</v>
          </cell>
          <cell r="D1773" t="str">
            <v>CIL</v>
          </cell>
        </row>
        <row r="1774">
          <cell r="B1774" t="str">
            <v>A2653</v>
          </cell>
          <cell r="C1774" t="str">
            <v>Direct</v>
          </cell>
          <cell r="D1774" t="str">
            <v>CIL</v>
          </cell>
        </row>
        <row r="1775">
          <cell r="B1775" t="str">
            <v>A2654</v>
          </cell>
          <cell r="C1775" t="str">
            <v>Direct</v>
          </cell>
          <cell r="D1775" t="str">
            <v>CIP</v>
          </cell>
        </row>
        <row r="1776">
          <cell r="B1776" t="str">
            <v>A2655</v>
          </cell>
          <cell r="C1776" t="str">
            <v>Allocated Direct</v>
          </cell>
          <cell r="D1776" t="str">
            <v>002M</v>
          </cell>
        </row>
        <row r="1777">
          <cell r="B1777" t="str">
            <v>A2660</v>
          </cell>
          <cell r="C1777" t="str">
            <v>Allocated Direct</v>
          </cell>
          <cell r="D1777" t="str">
            <v>008A</v>
          </cell>
        </row>
        <row r="1778">
          <cell r="B1778" t="str">
            <v>A2661</v>
          </cell>
          <cell r="C1778" t="str">
            <v>Allocated Direct</v>
          </cell>
          <cell r="D1778" t="str">
            <v>007A</v>
          </cell>
        </row>
        <row r="1779">
          <cell r="B1779" t="str">
            <v>A2662</v>
          </cell>
          <cell r="C1779" t="str">
            <v>Allocated Direct</v>
          </cell>
          <cell r="D1779" t="str">
            <v>001A</v>
          </cell>
        </row>
        <row r="1780">
          <cell r="B1780" t="str">
            <v>A2663</v>
          </cell>
          <cell r="C1780" t="str">
            <v>Direct</v>
          </cell>
          <cell r="D1780" t="str">
            <v>UEC</v>
          </cell>
        </row>
        <row r="1781">
          <cell r="B1781" t="str">
            <v>A2664</v>
          </cell>
          <cell r="C1781" t="str">
            <v>Allocated Direct</v>
          </cell>
          <cell r="D1781" t="str">
            <v>002M</v>
          </cell>
        </row>
        <row r="1782">
          <cell r="B1782" t="str">
            <v>A2665</v>
          </cell>
          <cell r="C1782" t="str">
            <v>Allocated Direct</v>
          </cell>
          <cell r="D1782" t="str">
            <v>002M</v>
          </cell>
        </row>
        <row r="1783">
          <cell r="B1783" t="str">
            <v>A2666</v>
          </cell>
          <cell r="C1783" t="str">
            <v>Allocated Direct</v>
          </cell>
          <cell r="D1783" t="str">
            <v>012B</v>
          </cell>
        </row>
        <row r="1784">
          <cell r="B1784" t="str">
            <v>A2667</v>
          </cell>
          <cell r="C1784" t="str">
            <v>Direct</v>
          </cell>
          <cell r="D1784" t="str">
            <v>IPC</v>
          </cell>
        </row>
        <row r="1785">
          <cell r="B1785" t="str">
            <v>A2668</v>
          </cell>
          <cell r="C1785" t="str">
            <v>Direct</v>
          </cell>
          <cell r="D1785" t="str">
            <v>UEC</v>
          </cell>
        </row>
        <row r="1786">
          <cell r="B1786" t="str">
            <v>A2669</v>
          </cell>
          <cell r="C1786" t="str">
            <v>Allocated Direct</v>
          </cell>
          <cell r="D1786" t="str">
            <v>017A</v>
          </cell>
        </row>
        <row r="1787">
          <cell r="B1787" t="str">
            <v>A2670</v>
          </cell>
          <cell r="C1787" t="str">
            <v>Direct</v>
          </cell>
          <cell r="D1787" t="str">
            <v>IPC</v>
          </cell>
        </row>
        <row r="1788">
          <cell r="B1788" t="str">
            <v>A2672</v>
          </cell>
          <cell r="C1788" t="str">
            <v>Direct</v>
          </cell>
          <cell r="D1788" t="str">
            <v>IPC</v>
          </cell>
        </row>
        <row r="1789">
          <cell r="B1789" t="str">
            <v>A2679</v>
          </cell>
          <cell r="C1789" t="str">
            <v>Direct</v>
          </cell>
          <cell r="D1789" t="str">
            <v>IPC</v>
          </cell>
        </row>
        <row r="1790">
          <cell r="B1790" t="str">
            <v>A2680</v>
          </cell>
          <cell r="C1790" t="str">
            <v>Allocated Direct</v>
          </cell>
          <cell r="D1790" t="str">
            <v>002L</v>
          </cell>
        </row>
        <row r="1791">
          <cell r="B1791" t="str">
            <v>A2682</v>
          </cell>
          <cell r="C1791" t="str">
            <v>Allocated Direct</v>
          </cell>
          <cell r="D1791" t="str">
            <v>004A</v>
          </cell>
        </row>
        <row r="1792">
          <cell r="B1792" t="str">
            <v>A2683</v>
          </cell>
          <cell r="C1792" t="str">
            <v>Direct</v>
          </cell>
          <cell r="D1792" t="str">
            <v>GMC</v>
          </cell>
        </row>
        <row r="1793">
          <cell r="B1793" t="str">
            <v>A2686</v>
          </cell>
          <cell r="C1793" t="str">
            <v>Direct</v>
          </cell>
          <cell r="D1793" t="str">
            <v>CIP</v>
          </cell>
        </row>
        <row r="1794">
          <cell r="B1794" t="str">
            <v>A2694</v>
          </cell>
          <cell r="C1794" t="str">
            <v>Allocated Direct</v>
          </cell>
          <cell r="D1794" t="str">
            <v>008C</v>
          </cell>
        </row>
        <row r="1795">
          <cell r="B1795" t="str">
            <v>A2695</v>
          </cell>
          <cell r="C1795" t="str">
            <v>Allocated Direct</v>
          </cell>
          <cell r="D1795" t="str">
            <v>011A</v>
          </cell>
        </row>
        <row r="1796">
          <cell r="B1796" t="str">
            <v>A2696</v>
          </cell>
          <cell r="C1796" t="str">
            <v>Direct</v>
          </cell>
          <cell r="D1796" t="str">
            <v>IPC</v>
          </cell>
        </row>
        <row r="1797">
          <cell r="B1797" t="str">
            <v>A2700</v>
          </cell>
          <cell r="C1797" t="str">
            <v>Allocated Direct</v>
          </cell>
          <cell r="D1797" t="str">
            <v>011A</v>
          </cell>
        </row>
        <row r="1798">
          <cell r="B1798" t="str">
            <v>A2701</v>
          </cell>
          <cell r="C1798" t="str">
            <v>Allocated Direct</v>
          </cell>
          <cell r="D1798" t="str">
            <v>011A</v>
          </cell>
        </row>
        <row r="1799">
          <cell r="B1799" t="str">
            <v>A2702</v>
          </cell>
          <cell r="C1799" t="str">
            <v>Allocated Direct</v>
          </cell>
          <cell r="D1799" t="str">
            <v>011A</v>
          </cell>
        </row>
        <row r="1800">
          <cell r="B1800" t="str">
            <v>A2703</v>
          </cell>
          <cell r="C1800" t="str">
            <v>Direct</v>
          </cell>
          <cell r="D1800" t="str">
            <v>MV1</v>
          </cell>
        </row>
        <row r="1801">
          <cell r="B1801" t="str">
            <v>A2705</v>
          </cell>
          <cell r="C1801" t="str">
            <v>Direct</v>
          </cell>
          <cell r="D1801" t="str">
            <v>ARG</v>
          </cell>
        </row>
        <row r="1802">
          <cell r="B1802" t="str">
            <v>A2706</v>
          </cell>
          <cell r="C1802" t="str">
            <v>Direct</v>
          </cell>
          <cell r="D1802" t="str">
            <v>ARG</v>
          </cell>
        </row>
        <row r="1803">
          <cell r="B1803" t="str">
            <v>A2707</v>
          </cell>
          <cell r="C1803" t="str">
            <v>Allocated Direct</v>
          </cell>
          <cell r="D1803" t="str">
            <v>012B</v>
          </cell>
        </row>
        <row r="1804">
          <cell r="B1804" t="str">
            <v>A2708</v>
          </cell>
          <cell r="C1804" t="str">
            <v>Allocated Direct</v>
          </cell>
          <cell r="D1804" t="str">
            <v>012B</v>
          </cell>
        </row>
        <row r="1805">
          <cell r="B1805" t="str">
            <v>A2709</v>
          </cell>
          <cell r="C1805" t="str">
            <v>Allocated Direct</v>
          </cell>
          <cell r="D1805" t="str">
            <v>012B</v>
          </cell>
        </row>
        <row r="1806">
          <cell r="B1806" t="str">
            <v>A2710</v>
          </cell>
          <cell r="C1806" t="str">
            <v>Allocated Direct</v>
          </cell>
          <cell r="D1806" t="str">
            <v>012B</v>
          </cell>
        </row>
        <row r="1807">
          <cell r="B1807" t="str">
            <v>A2711</v>
          </cell>
          <cell r="C1807" t="str">
            <v>Direct</v>
          </cell>
          <cell r="D1807" t="str">
            <v>CCP</v>
          </cell>
        </row>
        <row r="1808">
          <cell r="B1808" t="str">
            <v>A2712</v>
          </cell>
          <cell r="C1808" t="str">
            <v>Direct</v>
          </cell>
          <cell r="D1808" t="str">
            <v>CIL</v>
          </cell>
        </row>
        <row r="1809">
          <cell r="B1809" t="str">
            <v>A2713</v>
          </cell>
          <cell r="C1809" t="str">
            <v>Direct</v>
          </cell>
          <cell r="D1809" t="str">
            <v>CIP</v>
          </cell>
        </row>
        <row r="1810">
          <cell r="B1810" t="str">
            <v>A2714</v>
          </cell>
          <cell r="C1810" t="str">
            <v>Direct</v>
          </cell>
          <cell r="D1810" t="str">
            <v>IPC</v>
          </cell>
        </row>
        <row r="1811">
          <cell r="B1811" t="str">
            <v>A2715</v>
          </cell>
          <cell r="C1811" t="str">
            <v>Direct</v>
          </cell>
          <cell r="D1811" t="str">
            <v>IPC</v>
          </cell>
        </row>
        <row r="1812">
          <cell r="B1812" t="str">
            <v>A2716</v>
          </cell>
          <cell r="C1812" t="str">
            <v>Allocated Direct</v>
          </cell>
          <cell r="D1812" t="str">
            <v>002M</v>
          </cell>
        </row>
        <row r="1813">
          <cell r="B1813" t="str">
            <v>A2717</v>
          </cell>
          <cell r="C1813" t="str">
            <v>Direct</v>
          </cell>
          <cell r="D1813" t="str">
            <v>IPC</v>
          </cell>
        </row>
        <row r="1814">
          <cell r="B1814" t="str">
            <v>A2718</v>
          </cell>
          <cell r="C1814" t="str">
            <v>Allocated Direct</v>
          </cell>
          <cell r="D1814" t="str">
            <v>002M</v>
          </cell>
        </row>
        <row r="1815">
          <cell r="B1815" t="str">
            <v>A2719</v>
          </cell>
          <cell r="C1815" t="str">
            <v>Direct</v>
          </cell>
          <cell r="D1815" t="str">
            <v>IPC</v>
          </cell>
        </row>
        <row r="1816">
          <cell r="B1816" t="str">
            <v>A2720</v>
          </cell>
          <cell r="C1816" t="str">
            <v>Direct</v>
          </cell>
          <cell r="D1816" t="str">
            <v>CIP</v>
          </cell>
        </row>
        <row r="1817">
          <cell r="B1817" t="str">
            <v>A2721</v>
          </cell>
          <cell r="C1817" t="str">
            <v>Allocated Direct</v>
          </cell>
          <cell r="D1817" t="str">
            <v>001A</v>
          </cell>
        </row>
        <row r="1818">
          <cell r="B1818" t="str">
            <v>A2722</v>
          </cell>
          <cell r="C1818" t="str">
            <v>Direct</v>
          </cell>
          <cell r="D1818" t="str">
            <v>CIL</v>
          </cell>
        </row>
        <row r="1819">
          <cell r="B1819" t="str">
            <v>A2723</v>
          </cell>
          <cell r="C1819" t="str">
            <v>Direct</v>
          </cell>
          <cell r="D1819" t="str">
            <v>IPC</v>
          </cell>
        </row>
        <row r="1820">
          <cell r="B1820" t="str">
            <v>A2728</v>
          </cell>
          <cell r="C1820" t="str">
            <v>Direct</v>
          </cell>
          <cell r="D1820" t="str">
            <v>UEC</v>
          </cell>
        </row>
        <row r="1821">
          <cell r="B1821" t="str">
            <v>A2729</v>
          </cell>
          <cell r="C1821" t="str">
            <v>Direct</v>
          </cell>
          <cell r="D1821" t="str">
            <v>GEN</v>
          </cell>
        </row>
        <row r="1822">
          <cell r="B1822" t="str">
            <v>A2730</v>
          </cell>
          <cell r="C1822" t="str">
            <v>Direct</v>
          </cell>
          <cell r="D1822" t="str">
            <v>ARG</v>
          </cell>
        </row>
        <row r="1823">
          <cell r="B1823" t="str">
            <v>A2731</v>
          </cell>
          <cell r="C1823" t="str">
            <v>Direct</v>
          </cell>
          <cell r="D1823" t="str">
            <v>CIL</v>
          </cell>
        </row>
        <row r="1824">
          <cell r="B1824" t="str">
            <v>A2732</v>
          </cell>
          <cell r="C1824" t="str">
            <v>Direct</v>
          </cell>
          <cell r="D1824" t="str">
            <v>MV1</v>
          </cell>
        </row>
        <row r="1825">
          <cell r="B1825" t="str">
            <v>A2733</v>
          </cell>
          <cell r="C1825" t="str">
            <v>Allocated Direct</v>
          </cell>
          <cell r="D1825" t="str">
            <v>002L</v>
          </cell>
        </row>
        <row r="1826">
          <cell r="B1826" t="str">
            <v>A2734</v>
          </cell>
          <cell r="C1826" t="str">
            <v>Allocated Direct</v>
          </cell>
          <cell r="D1826" t="str">
            <v>004A</v>
          </cell>
        </row>
        <row r="1827">
          <cell r="B1827" t="str">
            <v>A2735</v>
          </cell>
          <cell r="C1827" t="str">
            <v>Allocated Direct</v>
          </cell>
          <cell r="D1827" t="str">
            <v>010A</v>
          </cell>
        </row>
        <row r="1828">
          <cell r="B1828" t="str">
            <v>A2736</v>
          </cell>
          <cell r="C1828" t="str">
            <v>Direct</v>
          </cell>
          <cell r="D1828" t="str">
            <v>UEC</v>
          </cell>
        </row>
        <row r="1829">
          <cell r="B1829" t="str">
            <v>A2737</v>
          </cell>
          <cell r="C1829" t="str">
            <v>Direct</v>
          </cell>
          <cell r="D1829" t="str">
            <v>UEC</v>
          </cell>
        </row>
        <row r="1830">
          <cell r="B1830" t="str">
            <v>A2738</v>
          </cell>
          <cell r="C1830" t="str">
            <v>Direct</v>
          </cell>
          <cell r="D1830" t="str">
            <v>UEC</v>
          </cell>
        </row>
        <row r="1831">
          <cell r="B1831" t="str">
            <v>A2740</v>
          </cell>
          <cell r="C1831" t="str">
            <v>Allocated Direct</v>
          </cell>
          <cell r="D1831" t="str">
            <v>017B</v>
          </cell>
        </row>
        <row r="1832">
          <cell r="B1832" t="str">
            <v>A2741</v>
          </cell>
          <cell r="C1832" t="str">
            <v>Allocated Direct</v>
          </cell>
          <cell r="D1832" t="str">
            <v>011B</v>
          </cell>
        </row>
        <row r="1833">
          <cell r="B1833" t="str">
            <v>A2742</v>
          </cell>
          <cell r="C1833" t="str">
            <v>Allocated Direct</v>
          </cell>
          <cell r="D1833" t="str">
            <v>004A</v>
          </cell>
        </row>
        <row r="1834">
          <cell r="B1834" t="str">
            <v>A2743</v>
          </cell>
          <cell r="C1834" t="str">
            <v>Allocated Direct</v>
          </cell>
          <cell r="D1834" t="str">
            <v>002M</v>
          </cell>
        </row>
        <row r="1835">
          <cell r="B1835" t="str">
            <v>A2744</v>
          </cell>
          <cell r="C1835" t="str">
            <v>Allocated Direct</v>
          </cell>
          <cell r="D1835" t="str">
            <v>002L</v>
          </cell>
        </row>
        <row r="1836">
          <cell r="B1836" t="str">
            <v>A2745</v>
          </cell>
          <cell r="C1836" t="str">
            <v>Allocated Direct</v>
          </cell>
          <cell r="D1836" t="str">
            <v>010A</v>
          </cell>
        </row>
        <row r="1837">
          <cell r="B1837" t="str">
            <v>A2746</v>
          </cell>
          <cell r="C1837" t="str">
            <v>Allocated Direct</v>
          </cell>
          <cell r="D1837" t="str">
            <v>018A</v>
          </cell>
        </row>
        <row r="1838">
          <cell r="B1838" t="str">
            <v>A2747</v>
          </cell>
          <cell r="C1838" t="str">
            <v>Direct</v>
          </cell>
          <cell r="D1838" t="str">
            <v>GEN</v>
          </cell>
        </row>
        <row r="1839">
          <cell r="B1839" t="str">
            <v>A2750</v>
          </cell>
          <cell r="C1839" t="str">
            <v>Direct</v>
          </cell>
          <cell r="D1839" t="str">
            <v>GEN</v>
          </cell>
        </row>
        <row r="1840">
          <cell r="B1840" t="str">
            <v>A2751</v>
          </cell>
          <cell r="C1840" t="str">
            <v>Direct</v>
          </cell>
          <cell r="D1840" t="str">
            <v>GEN</v>
          </cell>
        </row>
        <row r="1841">
          <cell r="B1841" t="str">
            <v>A2752</v>
          </cell>
          <cell r="C1841" t="str">
            <v>Direct</v>
          </cell>
          <cell r="D1841" t="str">
            <v>GEN</v>
          </cell>
        </row>
        <row r="1842">
          <cell r="B1842" t="str">
            <v>A2753</v>
          </cell>
          <cell r="C1842" t="str">
            <v>Direct</v>
          </cell>
          <cell r="D1842" t="str">
            <v>GEN</v>
          </cell>
        </row>
        <row r="1843">
          <cell r="B1843" t="str">
            <v>A2757</v>
          </cell>
          <cell r="C1843" t="str">
            <v>Direct</v>
          </cell>
          <cell r="D1843" t="str">
            <v>GEN</v>
          </cell>
        </row>
        <row r="1844">
          <cell r="B1844" t="str">
            <v>A2758</v>
          </cell>
          <cell r="C1844" t="str">
            <v>Direct</v>
          </cell>
          <cell r="D1844" t="str">
            <v>GEN</v>
          </cell>
        </row>
        <row r="1845">
          <cell r="B1845" t="str">
            <v>A2759</v>
          </cell>
          <cell r="C1845" t="str">
            <v>Direct</v>
          </cell>
          <cell r="D1845" t="str">
            <v>GEN</v>
          </cell>
        </row>
        <row r="1846">
          <cell r="B1846" t="str">
            <v>A2760</v>
          </cell>
          <cell r="C1846" t="str">
            <v>Direct</v>
          </cell>
          <cell r="D1846" t="str">
            <v>GEN</v>
          </cell>
        </row>
        <row r="1847">
          <cell r="B1847" t="str">
            <v>A2761</v>
          </cell>
          <cell r="C1847" t="str">
            <v>Direct</v>
          </cell>
          <cell r="D1847" t="str">
            <v>GEN</v>
          </cell>
        </row>
        <row r="1848">
          <cell r="B1848" t="str">
            <v>A2762</v>
          </cell>
          <cell r="C1848" t="str">
            <v>Direct</v>
          </cell>
          <cell r="D1848" t="str">
            <v>GEN</v>
          </cell>
        </row>
        <row r="1849">
          <cell r="B1849" t="str">
            <v>A2763</v>
          </cell>
          <cell r="C1849" t="str">
            <v>Direct</v>
          </cell>
          <cell r="D1849" t="str">
            <v>GEN</v>
          </cell>
        </row>
        <row r="1850">
          <cell r="B1850" t="str">
            <v>A2764</v>
          </cell>
          <cell r="C1850" t="str">
            <v>Direct</v>
          </cell>
          <cell r="D1850" t="str">
            <v>GEN</v>
          </cell>
        </row>
        <row r="1851">
          <cell r="B1851" t="str">
            <v>A2765</v>
          </cell>
          <cell r="C1851" t="str">
            <v>Direct</v>
          </cell>
          <cell r="D1851" t="str">
            <v>GEN</v>
          </cell>
        </row>
        <row r="1852">
          <cell r="B1852" t="str">
            <v>A2766</v>
          </cell>
          <cell r="C1852" t="str">
            <v>Direct</v>
          </cell>
          <cell r="D1852" t="str">
            <v>GEN</v>
          </cell>
        </row>
        <row r="1853">
          <cell r="B1853" t="str">
            <v>A2767</v>
          </cell>
          <cell r="C1853" t="str">
            <v>Direct</v>
          </cell>
          <cell r="D1853" t="str">
            <v>GEN</v>
          </cell>
        </row>
        <row r="1854">
          <cell r="B1854" t="str">
            <v>A2768</v>
          </cell>
          <cell r="C1854" t="str">
            <v>Direct</v>
          </cell>
          <cell r="D1854" t="str">
            <v>GEN</v>
          </cell>
        </row>
        <row r="1855">
          <cell r="B1855" t="str">
            <v>A2769</v>
          </cell>
          <cell r="C1855" t="str">
            <v>Direct</v>
          </cell>
          <cell r="D1855" t="str">
            <v>ARG</v>
          </cell>
        </row>
        <row r="1856">
          <cell r="B1856" t="str">
            <v>A2770</v>
          </cell>
          <cell r="C1856" t="str">
            <v>Direct</v>
          </cell>
          <cell r="D1856" t="str">
            <v>ARG</v>
          </cell>
        </row>
        <row r="1857">
          <cell r="B1857" t="str">
            <v>A2771</v>
          </cell>
          <cell r="C1857" t="str">
            <v>Direct</v>
          </cell>
          <cell r="D1857" t="str">
            <v>ARG</v>
          </cell>
        </row>
        <row r="1858">
          <cell r="B1858" t="str">
            <v>A2772</v>
          </cell>
          <cell r="C1858" t="str">
            <v>Direct</v>
          </cell>
          <cell r="D1858" t="str">
            <v>ARG</v>
          </cell>
        </row>
        <row r="1859">
          <cell r="B1859" t="str">
            <v>A2773</v>
          </cell>
          <cell r="C1859" t="str">
            <v>Direct</v>
          </cell>
          <cell r="D1859" t="str">
            <v>ARG</v>
          </cell>
        </row>
        <row r="1860">
          <cell r="B1860" t="str">
            <v>A2774</v>
          </cell>
          <cell r="C1860" t="str">
            <v>Direct</v>
          </cell>
          <cell r="D1860" t="str">
            <v>ARG</v>
          </cell>
        </row>
        <row r="1861">
          <cell r="B1861" t="str">
            <v>A2775</v>
          </cell>
          <cell r="C1861" t="str">
            <v>Direct</v>
          </cell>
          <cell r="D1861" t="str">
            <v>ARG</v>
          </cell>
        </row>
        <row r="1862">
          <cell r="B1862" t="str">
            <v>A2776</v>
          </cell>
          <cell r="C1862" t="str">
            <v>Direct</v>
          </cell>
          <cell r="D1862" t="str">
            <v>ARG</v>
          </cell>
        </row>
        <row r="1863">
          <cell r="B1863" t="str">
            <v>A2777</v>
          </cell>
          <cell r="C1863" t="str">
            <v>Direct</v>
          </cell>
          <cell r="D1863" t="str">
            <v>GEN</v>
          </cell>
        </row>
        <row r="1864">
          <cell r="B1864" t="str">
            <v>A2779</v>
          </cell>
          <cell r="C1864" t="str">
            <v>Direct</v>
          </cell>
          <cell r="D1864" t="str">
            <v>GEN</v>
          </cell>
        </row>
        <row r="1865">
          <cell r="B1865" t="str">
            <v>A2780</v>
          </cell>
          <cell r="C1865" t="str">
            <v>Direct</v>
          </cell>
          <cell r="D1865" t="str">
            <v>UEC</v>
          </cell>
        </row>
        <row r="1866">
          <cell r="B1866" t="str">
            <v>A2781</v>
          </cell>
          <cell r="C1866" t="str">
            <v>Direct</v>
          </cell>
          <cell r="D1866" t="str">
            <v>UEC</v>
          </cell>
        </row>
        <row r="1867">
          <cell r="B1867" t="str">
            <v>A2783</v>
          </cell>
          <cell r="C1867" t="str">
            <v>Direct</v>
          </cell>
          <cell r="D1867" t="str">
            <v>UEC</v>
          </cell>
        </row>
        <row r="1868">
          <cell r="B1868" t="str">
            <v>A2784</v>
          </cell>
          <cell r="C1868" t="str">
            <v>Direct</v>
          </cell>
          <cell r="D1868" t="str">
            <v>UEC</v>
          </cell>
        </row>
        <row r="1869">
          <cell r="B1869" t="str">
            <v>A2785</v>
          </cell>
          <cell r="C1869" t="str">
            <v>Direct</v>
          </cell>
          <cell r="D1869" t="str">
            <v>UEC</v>
          </cell>
        </row>
        <row r="1870">
          <cell r="B1870" t="str">
            <v>A2786</v>
          </cell>
          <cell r="C1870" t="str">
            <v>Direct</v>
          </cell>
          <cell r="D1870" t="str">
            <v>UEC</v>
          </cell>
        </row>
        <row r="1871">
          <cell r="B1871" t="str">
            <v>A2787</v>
          </cell>
          <cell r="C1871" t="str">
            <v>Direct</v>
          </cell>
          <cell r="D1871" t="str">
            <v>UEC</v>
          </cell>
        </row>
        <row r="1872">
          <cell r="B1872" t="str">
            <v>A2788</v>
          </cell>
          <cell r="C1872" t="str">
            <v>Direct</v>
          </cell>
          <cell r="D1872" t="str">
            <v>UEC</v>
          </cell>
        </row>
        <row r="1873">
          <cell r="B1873" t="str">
            <v>A2789</v>
          </cell>
          <cell r="C1873" t="str">
            <v>Direct</v>
          </cell>
          <cell r="D1873" t="str">
            <v>UEC</v>
          </cell>
        </row>
        <row r="1874">
          <cell r="B1874" t="str">
            <v>A2790</v>
          </cell>
          <cell r="C1874" t="str">
            <v>Direct</v>
          </cell>
          <cell r="D1874" t="str">
            <v>UEC</v>
          </cell>
        </row>
        <row r="1875">
          <cell r="B1875" t="str">
            <v>A2791</v>
          </cell>
          <cell r="C1875" t="str">
            <v>Direct</v>
          </cell>
          <cell r="D1875" t="str">
            <v>UEC</v>
          </cell>
        </row>
        <row r="1876">
          <cell r="B1876" t="str">
            <v>A2792</v>
          </cell>
          <cell r="C1876" t="str">
            <v>Direct</v>
          </cell>
          <cell r="D1876" t="str">
            <v>UEC</v>
          </cell>
        </row>
        <row r="1877">
          <cell r="B1877" t="str">
            <v>A2793</v>
          </cell>
          <cell r="C1877" t="str">
            <v>Direct</v>
          </cell>
          <cell r="D1877" t="str">
            <v>UEC</v>
          </cell>
        </row>
        <row r="1878">
          <cell r="B1878" t="str">
            <v>A2794</v>
          </cell>
          <cell r="C1878" t="str">
            <v>Direct</v>
          </cell>
          <cell r="D1878" t="str">
            <v>UEC</v>
          </cell>
        </row>
        <row r="1879">
          <cell r="B1879" t="str">
            <v>A2795</v>
          </cell>
          <cell r="C1879" t="str">
            <v>Direct</v>
          </cell>
          <cell r="D1879" t="str">
            <v>UEC</v>
          </cell>
        </row>
        <row r="1880">
          <cell r="B1880" t="str">
            <v>A2797</v>
          </cell>
          <cell r="C1880" t="str">
            <v>Direct</v>
          </cell>
          <cell r="D1880" t="str">
            <v>UEC</v>
          </cell>
        </row>
        <row r="1881">
          <cell r="B1881" t="str">
            <v>A2798</v>
          </cell>
          <cell r="C1881" t="str">
            <v>Direct</v>
          </cell>
          <cell r="D1881" t="str">
            <v>GEN</v>
          </cell>
        </row>
        <row r="1882">
          <cell r="B1882" t="str">
            <v>A2799</v>
          </cell>
          <cell r="C1882" t="str">
            <v>Direct</v>
          </cell>
          <cell r="D1882" t="str">
            <v>ARG</v>
          </cell>
        </row>
        <row r="1883">
          <cell r="B1883" t="str">
            <v>A2800</v>
          </cell>
          <cell r="C1883" t="str">
            <v>Direct</v>
          </cell>
          <cell r="D1883" t="str">
            <v>UEC</v>
          </cell>
        </row>
        <row r="1884">
          <cell r="B1884" t="str">
            <v>A2801</v>
          </cell>
          <cell r="C1884" t="str">
            <v>Direct</v>
          </cell>
          <cell r="D1884" t="str">
            <v>GEN</v>
          </cell>
        </row>
        <row r="1885">
          <cell r="B1885" t="str">
            <v>A2802</v>
          </cell>
          <cell r="C1885" t="str">
            <v>Direct</v>
          </cell>
          <cell r="D1885" t="str">
            <v>ARG</v>
          </cell>
        </row>
        <row r="1886">
          <cell r="B1886" t="str">
            <v>A2803</v>
          </cell>
          <cell r="C1886" t="str">
            <v>Direct</v>
          </cell>
          <cell r="D1886" t="str">
            <v>UEC</v>
          </cell>
        </row>
        <row r="1887">
          <cell r="B1887" t="str">
            <v>A2804</v>
          </cell>
          <cell r="C1887" t="str">
            <v>Direct</v>
          </cell>
          <cell r="D1887" t="str">
            <v>GEN</v>
          </cell>
        </row>
        <row r="1888">
          <cell r="B1888" t="str">
            <v>A2805</v>
          </cell>
          <cell r="C1888" t="str">
            <v>Direct</v>
          </cell>
          <cell r="D1888" t="str">
            <v>ARG</v>
          </cell>
        </row>
        <row r="1889">
          <cell r="B1889" t="str">
            <v>A2806</v>
          </cell>
          <cell r="C1889" t="str">
            <v>Allocated Direct</v>
          </cell>
          <cell r="D1889" t="str">
            <v>011D</v>
          </cell>
        </row>
        <row r="1890">
          <cell r="B1890" t="str">
            <v>A2807</v>
          </cell>
          <cell r="C1890" t="str">
            <v>Direct</v>
          </cell>
          <cell r="D1890" t="str">
            <v>UEC</v>
          </cell>
        </row>
        <row r="1891">
          <cell r="B1891" t="str">
            <v>A2808</v>
          </cell>
          <cell r="C1891" t="str">
            <v>Allocated Direct</v>
          </cell>
          <cell r="D1891" t="str">
            <v>011A</v>
          </cell>
        </row>
        <row r="1892">
          <cell r="B1892" t="str">
            <v>A2811</v>
          </cell>
          <cell r="C1892" t="str">
            <v>Direct</v>
          </cell>
          <cell r="D1892" t="str">
            <v>GEN</v>
          </cell>
        </row>
        <row r="1893">
          <cell r="B1893" t="str">
            <v>A2812</v>
          </cell>
          <cell r="C1893" t="str">
            <v>Direct</v>
          </cell>
          <cell r="D1893" t="str">
            <v>GEN</v>
          </cell>
        </row>
        <row r="1894">
          <cell r="B1894" t="str">
            <v>A2813</v>
          </cell>
          <cell r="C1894" t="str">
            <v>Direct</v>
          </cell>
          <cell r="D1894" t="str">
            <v>GEN</v>
          </cell>
        </row>
        <row r="1895">
          <cell r="B1895" t="str">
            <v>A2814</v>
          </cell>
          <cell r="C1895" t="str">
            <v>Direct</v>
          </cell>
          <cell r="D1895" t="str">
            <v>GEN</v>
          </cell>
        </row>
        <row r="1896">
          <cell r="B1896" t="str">
            <v>A2815</v>
          </cell>
          <cell r="C1896" t="str">
            <v>Direct</v>
          </cell>
          <cell r="D1896" t="str">
            <v>ARG</v>
          </cell>
        </row>
        <row r="1897">
          <cell r="B1897" t="str">
            <v>A2816</v>
          </cell>
          <cell r="C1897" t="str">
            <v>Direct</v>
          </cell>
          <cell r="D1897" t="str">
            <v>ARG</v>
          </cell>
        </row>
        <row r="1898">
          <cell r="B1898" t="str">
            <v>A2817</v>
          </cell>
          <cell r="C1898" t="str">
            <v>Direct</v>
          </cell>
          <cell r="D1898" t="str">
            <v>GEN</v>
          </cell>
        </row>
        <row r="1899">
          <cell r="B1899" t="str">
            <v>A2818</v>
          </cell>
          <cell r="C1899" t="str">
            <v>Direct</v>
          </cell>
          <cell r="D1899" t="str">
            <v>UEC</v>
          </cell>
        </row>
        <row r="1900">
          <cell r="B1900" t="str">
            <v>A2819</v>
          </cell>
          <cell r="C1900" t="str">
            <v>Direct</v>
          </cell>
          <cell r="D1900" t="str">
            <v>UEC</v>
          </cell>
        </row>
        <row r="1901">
          <cell r="B1901" t="str">
            <v>A2820</v>
          </cell>
          <cell r="C1901" t="str">
            <v>Direct</v>
          </cell>
          <cell r="D1901" t="str">
            <v>UEC</v>
          </cell>
        </row>
        <row r="1902">
          <cell r="B1902" t="str">
            <v>A2821</v>
          </cell>
          <cell r="C1902" t="str">
            <v>Direct</v>
          </cell>
          <cell r="D1902" t="str">
            <v>UEC</v>
          </cell>
        </row>
        <row r="1903">
          <cell r="B1903" t="str">
            <v>A2822</v>
          </cell>
          <cell r="C1903" t="str">
            <v>Allocated Direct</v>
          </cell>
          <cell r="D1903" t="str">
            <v>017A</v>
          </cell>
        </row>
        <row r="1904">
          <cell r="B1904" t="str">
            <v>A2823</v>
          </cell>
          <cell r="C1904" t="str">
            <v>Allocated Direct</v>
          </cell>
          <cell r="D1904" t="str">
            <v>002M</v>
          </cell>
        </row>
        <row r="1905">
          <cell r="B1905" t="str">
            <v>A2824</v>
          </cell>
          <cell r="C1905" t="str">
            <v>Allocated Direct</v>
          </cell>
          <cell r="D1905" t="str">
            <v>011D</v>
          </cell>
        </row>
        <row r="1906">
          <cell r="B1906" t="str">
            <v>A2826</v>
          </cell>
          <cell r="C1906" t="str">
            <v>Allocated Direct</v>
          </cell>
          <cell r="D1906" t="str">
            <v>002M</v>
          </cell>
        </row>
        <row r="1907">
          <cell r="B1907" t="str">
            <v>A2827</v>
          </cell>
          <cell r="C1907" t="str">
            <v>Direct</v>
          </cell>
          <cell r="D1907" t="str">
            <v>UEC</v>
          </cell>
        </row>
        <row r="1908">
          <cell r="B1908" t="str">
            <v>A2828</v>
          </cell>
          <cell r="C1908" t="str">
            <v>Direct</v>
          </cell>
          <cell r="D1908" t="str">
            <v>UEC</v>
          </cell>
        </row>
        <row r="1909">
          <cell r="B1909" t="str">
            <v>A2829</v>
          </cell>
          <cell r="C1909" t="str">
            <v>Direct</v>
          </cell>
          <cell r="D1909" t="str">
            <v>UEC</v>
          </cell>
        </row>
        <row r="1910">
          <cell r="B1910" t="str">
            <v>A2830</v>
          </cell>
          <cell r="C1910" t="str">
            <v>Direct</v>
          </cell>
          <cell r="D1910" t="str">
            <v>ARG</v>
          </cell>
        </row>
        <row r="1911">
          <cell r="B1911" t="str">
            <v>A2831</v>
          </cell>
          <cell r="C1911" t="str">
            <v>Direct</v>
          </cell>
          <cell r="D1911" t="str">
            <v>UEC</v>
          </cell>
        </row>
        <row r="1912">
          <cell r="B1912" t="str">
            <v>A2832</v>
          </cell>
          <cell r="C1912" t="str">
            <v>Direct</v>
          </cell>
          <cell r="D1912" t="str">
            <v>IPC</v>
          </cell>
        </row>
        <row r="1913">
          <cell r="B1913" t="str">
            <v>A2833</v>
          </cell>
          <cell r="C1913" t="str">
            <v>Direct</v>
          </cell>
          <cell r="D1913" t="str">
            <v>CIP</v>
          </cell>
        </row>
        <row r="1914">
          <cell r="B1914" t="str">
            <v>A2834</v>
          </cell>
          <cell r="C1914" t="str">
            <v>Direct</v>
          </cell>
          <cell r="D1914" t="str">
            <v>CIL</v>
          </cell>
        </row>
        <row r="1915">
          <cell r="B1915" t="str">
            <v>A2835</v>
          </cell>
          <cell r="C1915" t="str">
            <v>Direct</v>
          </cell>
          <cell r="D1915" t="str">
            <v>ARG</v>
          </cell>
        </row>
        <row r="1916">
          <cell r="B1916" t="str">
            <v>A2836</v>
          </cell>
          <cell r="C1916" t="str">
            <v>Allocated Direct</v>
          </cell>
          <cell r="D1916" t="str">
            <v>012B</v>
          </cell>
        </row>
        <row r="1917">
          <cell r="B1917" t="str">
            <v>A2837</v>
          </cell>
          <cell r="C1917" t="str">
            <v>Allocated Direct</v>
          </cell>
          <cell r="D1917" t="str">
            <v>011B</v>
          </cell>
        </row>
        <row r="1918">
          <cell r="B1918" t="str">
            <v>A2838</v>
          </cell>
          <cell r="C1918" t="str">
            <v>Direct</v>
          </cell>
          <cell r="D1918" t="str">
            <v>UEC</v>
          </cell>
        </row>
        <row r="1919">
          <cell r="B1919" t="str">
            <v>A2839</v>
          </cell>
          <cell r="C1919" t="str">
            <v>Allocated Direct</v>
          </cell>
          <cell r="D1919" t="str">
            <v>002L</v>
          </cell>
        </row>
        <row r="1920">
          <cell r="B1920" t="str">
            <v>A2840</v>
          </cell>
          <cell r="C1920" t="str">
            <v>Direct</v>
          </cell>
          <cell r="D1920" t="str">
            <v>GEN</v>
          </cell>
        </row>
        <row r="1921">
          <cell r="B1921" t="str">
            <v>A2841</v>
          </cell>
          <cell r="C1921" t="str">
            <v>Direct</v>
          </cell>
          <cell r="D1921" t="str">
            <v>GEN</v>
          </cell>
        </row>
        <row r="1922">
          <cell r="B1922" t="str">
            <v>A2842</v>
          </cell>
          <cell r="C1922" t="str">
            <v>Direct</v>
          </cell>
          <cell r="D1922" t="str">
            <v>GEN</v>
          </cell>
        </row>
        <row r="1923">
          <cell r="B1923" t="str">
            <v>A2843</v>
          </cell>
          <cell r="C1923" t="str">
            <v>Direct</v>
          </cell>
          <cell r="D1923" t="str">
            <v>GEN</v>
          </cell>
        </row>
        <row r="1924">
          <cell r="B1924" t="str">
            <v>A2845</v>
          </cell>
          <cell r="C1924" t="str">
            <v>Direct</v>
          </cell>
          <cell r="D1924" t="str">
            <v>UEC</v>
          </cell>
        </row>
        <row r="1925">
          <cell r="B1925" t="str">
            <v>A2846</v>
          </cell>
          <cell r="C1925" t="str">
            <v>Direct</v>
          </cell>
          <cell r="D1925" t="str">
            <v>UEC</v>
          </cell>
        </row>
        <row r="1926">
          <cell r="B1926" t="str">
            <v>A2847</v>
          </cell>
          <cell r="C1926" t="str">
            <v>Direct</v>
          </cell>
          <cell r="D1926" t="str">
            <v>UEC</v>
          </cell>
        </row>
        <row r="1927">
          <cell r="B1927" t="str">
            <v>A2848</v>
          </cell>
          <cell r="C1927" t="str">
            <v>Direct</v>
          </cell>
          <cell r="D1927" t="str">
            <v>UEC</v>
          </cell>
        </row>
        <row r="1928">
          <cell r="B1928" t="str">
            <v>A2849</v>
          </cell>
          <cell r="C1928" t="str">
            <v>Direct</v>
          </cell>
          <cell r="D1928" t="str">
            <v>ARG</v>
          </cell>
        </row>
        <row r="1929">
          <cell r="B1929" t="str">
            <v>A2850</v>
          </cell>
          <cell r="C1929" t="str">
            <v>Direct</v>
          </cell>
          <cell r="D1929" t="str">
            <v>ARG</v>
          </cell>
        </row>
        <row r="1930">
          <cell r="B1930" t="str">
            <v>A2851</v>
          </cell>
          <cell r="C1930" t="str">
            <v>Direct</v>
          </cell>
          <cell r="D1930" t="str">
            <v>GMC</v>
          </cell>
        </row>
        <row r="1931">
          <cell r="B1931" t="str">
            <v>A2852</v>
          </cell>
          <cell r="C1931" t="str">
            <v>Direct</v>
          </cell>
          <cell r="D1931" t="str">
            <v>UEC</v>
          </cell>
        </row>
        <row r="1932">
          <cell r="B1932" t="str">
            <v>A2853</v>
          </cell>
          <cell r="C1932" t="str">
            <v>Direct</v>
          </cell>
          <cell r="D1932" t="str">
            <v>UEC</v>
          </cell>
        </row>
        <row r="1933">
          <cell r="B1933" t="str">
            <v>A2854</v>
          </cell>
          <cell r="C1933" t="str">
            <v>Direct</v>
          </cell>
          <cell r="D1933" t="str">
            <v>UEC</v>
          </cell>
        </row>
        <row r="1934">
          <cell r="B1934" t="str">
            <v>A2855</v>
          </cell>
          <cell r="C1934" t="str">
            <v>Direct</v>
          </cell>
          <cell r="D1934" t="str">
            <v>UEC</v>
          </cell>
        </row>
        <row r="1935">
          <cell r="B1935" t="str">
            <v>A2856</v>
          </cell>
          <cell r="C1935" t="str">
            <v>Allocated Direct</v>
          </cell>
          <cell r="D1935" t="str">
            <v>002L</v>
          </cell>
        </row>
        <row r="1936">
          <cell r="B1936" t="str">
            <v>A2857</v>
          </cell>
          <cell r="C1936" t="str">
            <v>Allocated Direct</v>
          </cell>
          <cell r="D1936" t="str">
            <v>011B</v>
          </cell>
        </row>
        <row r="1937">
          <cell r="B1937" t="str">
            <v>A2858</v>
          </cell>
          <cell r="C1937" t="str">
            <v>Allocated Direct</v>
          </cell>
          <cell r="D1937" t="str">
            <v>002M</v>
          </cell>
        </row>
        <row r="1938">
          <cell r="B1938" t="str">
            <v>A2859</v>
          </cell>
          <cell r="C1938" t="str">
            <v>Allocated Direct</v>
          </cell>
          <cell r="D1938" t="str">
            <v>011B</v>
          </cell>
        </row>
        <row r="1939">
          <cell r="B1939" t="str">
            <v>A2860</v>
          </cell>
          <cell r="C1939" t="str">
            <v>Direct</v>
          </cell>
          <cell r="D1939" t="str">
            <v>UEC</v>
          </cell>
        </row>
        <row r="1940">
          <cell r="B1940" t="str">
            <v>A2861</v>
          </cell>
          <cell r="C1940" t="str">
            <v>Allocated Direct</v>
          </cell>
          <cell r="D1940" t="str">
            <v>011B</v>
          </cell>
        </row>
        <row r="1941">
          <cell r="B1941" t="str">
            <v>A2862</v>
          </cell>
          <cell r="C1941" t="str">
            <v>Direct</v>
          </cell>
          <cell r="D1941" t="str">
            <v>UEC</v>
          </cell>
        </row>
        <row r="1942">
          <cell r="B1942" t="str">
            <v>A2863</v>
          </cell>
          <cell r="C1942" t="str">
            <v>Allocated Direct</v>
          </cell>
          <cell r="D1942" t="str">
            <v>002M</v>
          </cell>
        </row>
        <row r="1943">
          <cell r="B1943" t="str">
            <v>A2864</v>
          </cell>
          <cell r="C1943" t="str">
            <v>Direct</v>
          </cell>
          <cell r="D1943" t="str">
            <v>UEC</v>
          </cell>
        </row>
        <row r="1944">
          <cell r="B1944" t="str">
            <v>A2865</v>
          </cell>
          <cell r="C1944" t="str">
            <v>Allocated Direct</v>
          </cell>
          <cell r="D1944" t="str">
            <v>011B</v>
          </cell>
        </row>
        <row r="1945">
          <cell r="B1945" t="str">
            <v>A2866</v>
          </cell>
          <cell r="C1945" t="str">
            <v>Allocated Direct</v>
          </cell>
          <cell r="D1945" t="str">
            <v>002L</v>
          </cell>
        </row>
        <row r="1946">
          <cell r="B1946" t="str">
            <v>A2867</v>
          </cell>
          <cell r="C1946" t="str">
            <v>Direct</v>
          </cell>
          <cell r="D1946" t="str">
            <v>UEC</v>
          </cell>
        </row>
        <row r="1947">
          <cell r="B1947" t="str">
            <v>A2868</v>
          </cell>
          <cell r="C1947" t="str">
            <v>Allocated Direct</v>
          </cell>
          <cell r="D1947" t="str">
            <v>GEN</v>
          </cell>
        </row>
        <row r="1948">
          <cell r="B1948" t="str">
            <v>A2869</v>
          </cell>
          <cell r="C1948" t="str">
            <v>Allocated Direct</v>
          </cell>
          <cell r="D1948" t="str">
            <v>002M</v>
          </cell>
        </row>
        <row r="1949">
          <cell r="B1949" t="str">
            <v>A2870</v>
          </cell>
          <cell r="C1949" t="str">
            <v>Allocated Direct</v>
          </cell>
          <cell r="D1949" t="str">
            <v>017B</v>
          </cell>
        </row>
        <row r="1950">
          <cell r="B1950" t="str">
            <v>A2873</v>
          </cell>
          <cell r="C1950" t="str">
            <v>Indirect Functional</v>
          </cell>
          <cell r="D1950" t="str">
            <v>UEC</v>
          </cell>
        </row>
        <row r="1951">
          <cell r="B1951" t="str">
            <v>A2874</v>
          </cell>
          <cell r="C1951" t="str">
            <v>Allocated Direct</v>
          </cell>
          <cell r="D1951" t="str">
            <v>002D</v>
          </cell>
        </row>
        <row r="1952">
          <cell r="B1952" t="str">
            <v>A2875</v>
          </cell>
          <cell r="C1952" t="str">
            <v>Direct</v>
          </cell>
          <cell r="D1952" t="str">
            <v>UEC</v>
          </cell>
        </row>
        <row r="1953">
          <cell r="B1953" t="str">
            <v>A2880</v>
          </cell>
          <cell r="C1953" t="str">
            <v>Allocated Direct</v>
          </cell>
          <cell r="D1953" t="str">
            <v>002O</v>
          </cell>
        </row>
        <row r="1954">
          <cell r="B1954" t="str">
            <v>A2881</v>
          </cell>
          <cell r="C1954" t="str">
            <v>Direct</v>
          </cell>
          <cell r="D1954" t="str">
            <v>UEC</v>
          </cell>
        </row>
        <row r="1955">
          <cell r="B1955" t="str">
            <v>A2882</v>
          </cell>
          <cell r="C1955" t="str">
            <v>Allocated Direct</v>
          </cell>
          <cell r="D1955" t="str">
            <v>002L</v>
          </cell>
        </row>
        <row r="1956">
          <cell r="B1956" t="str">
            <v>A2883</v>
          </cell>
          <cell r="C1956" t="str">
            <v>Allocated Direct</v>
          </cell>
          <cell r="D1956" t="str">
            <v>004A</v>
          </cell>
        </row>
        <row r="1957">
          <cell r="B1957" t="str">
            <v>A2885</v>
          </cell>
          <cell r="C1957" t="str">
            <v>Direct</v>
          </cell>
          <cell r="D1957" t="str">
            <v>UEC</v>
          </cell>
        </row>
        <row r="1958">
          <cell r="B1958" t="str">
            <v>A2886</v>
          </cell>
          <cell r="C1958" t="str">
            <v>Direct</v>
          </cell>
          <cell r="D1958" t="str">
            <v>UEC</v>
          </cell>
        </row>
        <row r="1959">
          <cell r="B1959" t="str">
            <v>A2887</v>
          </cell>
          <cell r="C1959" t="str">
            <v>Direct</v>
          </cell>
          <cell r="D1959" t="str">
            <v>UEC</v>
          </cell>
        </row>
        <row r="1960">
          <cell r="B1960" t="str">
            <v>A2888</v>
          </cell>
          <cell r="C1960" t="str">
            <v>Direct</v>
          </cell>
          <cell r="D1960" t="str">
            <v>GMC</v>
          </cell>
        </row>
        <row r="1961">
          <cell r="B1961" t="str">
            <v>A2889</v>
          </cell>
          <cell r="C1961" t="str">
            <v>Direct</v>
          </cell>
          <cell r="D1961" t="str">
            <v>GEN</v>
          </cell>
        </row>
        <row r="1962">
          <cell r="B1962" t="str">
            <v>A2893</v>
          </cell>
          <cell r="C1962" t="str">
            <v>Direct</v>
          </cell>
          <cell r="D1962" t="str">
            <v>ARG</v>
          </cell>
        </row>
        <row r="1963">
          <cell r="B1963" t="str">
            <v>A2894</v>
          </cell>
          <cell r="C1963" t="str">
            <v>Direct</v>
          </cell>
          <cell r="D1963" t="str">
            <v>UEC</v>
          </cell>
        </row>
        <row r="1964">
          <cell r="B1964" t="str">
            <v>A2903</v>
          </cell>
          <cell r="C1964" t="str">
            <v>Direct</v>
          </cell>
          <cell r="D1964" t="str">
            <v>UEC</v>
          </cell>
        </row>
        <row r="1965">
          <cell r="B1965" t="str">
            <v>A2904</v>
          </cell>
          <cell r="C1965" t="str">
            <v>Direct</v>
          </cell>
          <cell r="D1965" t="str">
            <v>UEC</v>
          </cell>
        </row>
        <row r="1966">
          <cell r="B1966" t="str">
            <v>A2905</v>
          </cell>
          <cell r="C1966" t="str">
            <v>Direct</v>
          </cell>
          <cell r="D1966" t="str">
            <v>UEC</v>
          </cell>
        </row>
        <row r="1967">
          <cell r="B1967" t="str">
            <v>A2906</v>
          </cell>
          <cell r="C1967" t="str">
            <v>Direct</v>
          </cell>
          <cell r="D1967" t="str">
            <v>UEC</v>
          </cell>
        </row>
        <row r="1968">
          <cell r="B1968" t="str">
            <v>A2907</v>
          </cell>
          <cell r="C1968" t="str">
            <v>Direct</v>
          </cell>
          <cell r="D1968" t="str">
            <v>UEC</v>
          </cell>
        </row>
        <row r="1969">
          <cell r="B1969" t="str">
            <v>A2908</v>
          </cell>
          <cell r="C1969" t="str">
            <v>Direct</v>
          </cell>
          <cell r="D1969" t="str">
            <v>UEC</v>
          </cell>
        </row>
        <row r="1970">
          <cell r="B1970" t="str">
            <v>A2909</v>
          </cell>
          <cell r="C1970" t="str">
            <v>Allocated Direct</v>
          </cell>
          <cell r="D1970" t="str">
            <v>001A</v>
          </cell>
        </row>
        <row r="1971">
          <cell r="B1971" t="str">
            <v>A2910</v>
          </cell>
          <cell r="C1971" t="str">
            <v>Allocated Direct</v>
          </cell>
          <cell r="D1971" t="str">
            <v>002M</v>
          </cell>
        </row>
        <row r="1972">
          <cell r="B1972" t="str">
            <v>A2911</v>
          </cell>
          <cell r="C1972" t="str">
            <v>Allocated Direct</v>
          </cell>
          <cell r="D1972" t="str">
            <v>011A</v>
          </cell>
        </row>
        <row r="1973">
          <cell r="B1973" t="str">
            <v>A2914</v>
          </cell>
          <cell r="C1973" t="str">
            <v>Allocated Direct</v>
          </cell>
          <cell r="D1973" t="str">
            <v>011D</v>
          </cell>
        </row>
        <row r="1974">
          <cell r="B1974" t="str">
            <v>A2915</v>
          </cell>
          <cell r="C1974" t="str">
            <v>Allocated Direct</v>
          </cell>
          <cell r="D1974" t="str">
            <v>011B</v>
          </cell>
        </row>
        <row r="1975">
          <cell r="B1975" t="str">
            <v>A2916</v>
          </cell>
          <cell r="C1975" t="str">
            <v>Allocated Direct</v>
          </cell>
          <cell r="D1975" t="str">
            <v>011B</v>
          </cell>
        </row>
        <row r="1976">
          <cell r="B1976" t="str">
            <v>A2920</v>
          </cell>
          <cell r="C1976" t="str">
            <v>Direct</v>
          </cell>
          <cell r="D1976" t="str">
            <v>UEC</v>
          </cell>
        </row>
        <row r="1977">
          <cell r="B1977" t="str">
            <v>A2922</v>
          </cell>
          <cell r="C1977" t="str">
            <v>Direct</v>
          </cell>
          <cell r="D1977" t="str">
            <v>UEC</v>
          </cell>
        </row>
        <row r="1978">
          <cell r="B1978" t="str">
            <v>A2927</v>
          </cell>
          <cell r="C1978" t="str">
            <v>Allocated Direct</v>
          </cell>
          <cell r="D1978" t="str">
            <v>008C</v>
          </cell>
        </row>
        <row r="1979">
          <cell r="B1979" t="str">
            <v>A2929</v>
          </cell>
          <cell r="C1979" t="str">
            <v>Allocated Direct</v>
          </cell>
          <cell r="D1979" t="str">
            <v>001A</v>
          </cell>
        </row>
        <row r="1980">
          <cell r="B1980" t="str">
            <v>A2930</v>
          </cell>
          <cell r="C1980" t="str">
            <v>Direct</v>
          </cell>
          <cell r="D1980" t="str">
            <v>GEN</v>
          </cell>
        </row>
        <row r="1981">
          <cell r="B1981" t="str">
            <v>A2934</v>
          </cell>
          <cell r="C1981" t="str">
            <v>Direct</v>
          </cell>
          <cell r="D1981" t="str">
            <v>GEN</v>
          </cell>
        </row>
        <row r="1982">
          <cell r="B1982" t="str">
            <v>A2936</v>
          </cell>
          <cell r="C1982" t="str">
            <v>Direct</v>
          </cell>
          <cell r="D1982" t="str">
            <v>ARG</v>
          </cell>
        </row>
        <row r="1983">
          <cell r="B1983" t="str">
            <v>A2939</v>
          </cell>
          <cell r="C1983" t="str">
            <v>Direct</v>
          </cell>
          <cell r="D1983" t="str">
            <v>UEC</v>
          </cell>
        </row>
        <row r="1984">
          <cell r="B1984" t="str">
            <v>A2941</v>
          </cell>
          <cell r="C1984" t="str">
            <v>Direct</v>
          </cell>
          <cell r="D1984" t="str">
            <v>UEC</v>
          </cell>
        </row>
        <row r="1985">
          <cell r="B1985" t="str">
            <v>A2947</v>
          </cell>
          <cell r="C1985" t="str">
            <v>Allocated Direct</v>
          </cell>
          <cell r="D1985" t="str">
            <v>GEN</v>
          </cell>
        </row>
        <row r="1986">
          <cell r="B1986" t="str">
            <v>A2957</v>
          </cell>
          <cell r="C1986" t="str">
            <v>Direct</v>
          </cell>
          <cell r="D1986" t="str">
            <v>011B</v>
          </cell>
        </row>
        <row r="1987">
          <cell r="B1987" t="str">
            <v>A2959</v>
          </cell>
          <cell r="C1987" t="str">
            <v>Allocated Direct</v>
          </cell>
          <cell r="D1987" t="str">
            <v>011B</v>
          </cell>
        </row>
        <row r="1988">
          <cell r="B1988" t="str">
            <v>A2960</v>
          </cell>
          <cell r="C1988" t="str">
            <v>Direct</v>
          </cell>
          <cell r="D1988" t="str">
            <v>UEC</v>
          </cell>
        </row>
        <row r="1989">
          <cell r="B1989" t="str">
            <v>A2961</v>
          </cell>
          <cell r="C1989" t="str">
            <v>Direct</v>
          </cell>
          <cell r="D1989" t="str">
            <v>UEC</v>
          </cell>
        </row>
        <row r="1990">
          <cell r="B1990" t="str">
            <v>A2962</v>
          </cell>
          <cell r="C1990" t="str">
            <v>Direct</v>
          </cell>
          <cell r="D1990" t="str">
            <v>UEC</v>
          </cell>
        </row>
        <row r="1991">
          <cell r="B1991" t="str">
            <v>A2963</v>
          </cell>
          <cell r="C1991" t="str">
            <v>Allocated Direct</v>
          </cell>
          <cell r="D1991" t="str">
            <v>010A</v>
          </cell>
        </row>
        <row r="1992">
          <cell r="B1992" t="str">
            <v>A2964</v>
          </cell>
          <cell r="C1992" t="str">
            <v>Allocated Direct</v>
          </cell>
          <cell r="D1992" t="str">
            <v>002O</v>
          </cell>
        </row>
        <row r="1993">
          <cell r="B1993" t="str">
            <v>A2972</v>
          </cell>
          <cell r="C1993" t="str">
            <v>Allocated Direct</v>
          </cell>
          <cell r="D1993" t="str">
            <v>010A</v>
          </cell>
        </row>
        <row r="1994">
          <cell r="B1994" t="str">
            <v>ARG03</v>
          </cell>
          <cell r="C1994" t="str">
            <v>Direct</v>
          </cell>
          <cell r="D1994" t="str">
            <v>ARG</v>
          </cell>
        </row>
        <row r="1995">
          <cell r="B1995" t="str">
            <v>AXA11</v>
          </cell>
          <cell r="C1995" t="str">
            <v>Indirect Corporate</v>
          </cell>
          <cell r="D1995" t="str">
            <v>Indirect</v>
          </cell>
        </row>
        <row r="1996">
          <cell r="B1996" t="str">
            <v>AXA1F</v>
          </cell>
          <cell r="C1996" t="str">
            <v>Direct</v>
          </cell>
          <cell r="D1996" t="str">
            <v>AFS</v>
          </cell>
        </row>
        <row r="1997">
          <cell r="B1997" t="str">
            <v>AXA1G</v>
          </cell>
          <cell r="C1997" t="str">
            <v>Direct</v>
          </cell>
          <cell r="D1997" t="str">
            <v>GMC</v>
          </cell>
        </row>
        <row r="1998">
          <cell r="B1998" t="str">
            <v>AXA21</v>
          </cell>
          <cell r="C1998" t="str">
            <v>Direct</v>
          </cell>
          <cell r="D1998" t="str">
            <v>UEC</v>
          </cell>
        </row>
        <row r="1999">
          <cell r="B1999" t="str">
            <v>AXA41</v>
          </cell>
          <cell r="C1999" t="str">
            <v>Direct</v>
          </cell>
          <cell r="D1999" t="str">
            <v>CIP</v>
          </cell>
        </row>
        <row r="2000">
          <cell r="B2000" t="str">
            <v>AXACL</v>
          </cell>
          <cell r="C2000" t="str">
            <v>Direct</v>
          </cell>
          <cell r="D2000" t="str">
            <v>CIL</v>
          </cell>
        </row>
        <row r="2001">
          <cell r="B2001" t="str">
            <v>AXAIP</v>
          </cell>
          <cell r="C2001" t="str">
            <v>Direct</v>
          </cell>
          <cell r="D2001" t="str">
            <v>IPC</v>
          </cell>
        </row>
        <row r="2002">
          <cell r="B2002" t="str">
            <v>AXARG</v>
          </cell>
          <cell r="C2002" t="str">
            <v>Direct</v>
          </cell>
          <cell r="D2002" t="str">
            <v>ARG</v>
          </cell>
        </row>
        <row r="2003">
          <cell r="B2003" t="str">
            <v>AXB10</v>
          </cell>
          <cell r="C2003" t="str">
            <v>Direct</v>
          </cell>
          <cell r="D2003" t="str">
            <v>AMC</v>
          </cell>
        </row>
        <row r="2004">
          <cell r="B2004" t="str">
            <v>AXB11</v>
          </cell>
          <cell r="C2004" t="str">
            <v>Indirect Corporate</v>
          </cell>
          <cell r="D2004" t="str">
            <v>Indirect</v>
          </cell>
        </row>
        <row r="2005">
          <cell r="B2005" t="str">
            <v>AXB13</v>
          </cell>
          <cell r="C2005" t="str">
            <v>Direct</v>
          </cell>
          <cell r="D2005" t="str">
            <v>CIC</v>
          </cell>
        </row>
        <row r="2006">
          <cell r="B2006" t="str">
            <v>AXB14</v>
          </cell>
          <cell r="C2006" t="str">
            <v>Direct</v>
          </cell>
          <cell r="D2006" t="str">
            <v>UDC</v>
          </cell>
        </row>
        <row r="2007">
          <cell r="B2007" t="str">
            <v>AXB1G</v>
          </cell>
          <cell r="C2007" t="str">
            <v>Direct</v>
          </cell>
          <cell r="D2007" t="str">
            <v>GMC</v>
          </cell>
        </row>
        <row r="2008">
          <cell r="B2008" t="str">
            <v>AXB1H</v>
          </cell>
          <cell r="C2008" t="str">
            <v>Direct</v>
          </cell>
          <cell r="D2008" t="str">
            <v>IHC</v>
          </cell>
        </row>
        <row r="2009">
          <cell r="B2009" t="str">
            <v>AXB21</v>
          </cell>
          <cell r="C2009" t="str">
            <v>Direct</v>
          </cell>
          <cell r="D2009" t="str">
            <v>UEC</v>
          </cell>
        </row>
        <row r="2010">
          <cell r="B2010" t="str">
            <v>AXB90</v>
          </cell>
          <cell r="C2010" t="str">
            <v>Direct</v>
          </cell>
          <cell r="D2010" t="str">
            <v>GEN</v>
          </cell>
        </row>
        <row r="2011">
          <cell r="B2011" t="str">
            <v>C0025</v>
          </cell>
          <cell r="C2011" t="str">
            <v>Direct</v>
          </cell>
          <cell r="D2011" t="str">
            <v>CIP</v>
          </cell>
        </row>
        <row r="2012">
          <cell r="B2012" t="str">
            <v>C0030</v>
          </cell>
          <cell r="C2012" t="str">
            <v>Direct</v>
          </cell>
          <cell r="D2012" t="str">
            <v>CIP</v>
          </cell>
        </row>
        <row r="2013">
          <cell r="B2013" t="str">
            <v>C0091</v>
          </cell>
          <cell r="C2013" t="str">
            <v>Direct</v>
          </cell>
          <cell r="D2013" t="str">
            <v>CIP</v>
          </cell>
        </row>
        <row r="2014">
          <cell r="B2014" t="str">
            <v>C0101</v>
          </cell>
          <cell r="C2014" t="str">
            <v>Direct</v>
          </cell>
          <cell r="D2014" t="str">
            <v>CIP</v>
          </cell>
        </row>
        <row r="2015">
          <cell r="B2015" t="str">
            <v>C0102</v>
          </cell>
          <cell r="C2015" t="str">
            <v>Direct</v>
          </cell>
          <cell r="D2015" t="str">
            <v>CIP</v>
          </cell>
        </row>
        <row r="2016">
          <cell r="B2016" t="str">
            <v>C0103</v>
          </cell>
          <cell r="C2016" t="str">
            <v>Direct</v>
          </cell>
          <cell r="D2016" t="str">
            <v>CIP</v>
          </cell>
        </row>
        <row r="2017">
          <cell r="B2017" t="str">
            <v>C0111</v>
          </cell>
          <cell r="C2017" t="str">
            <v>Direct</v>
          </cell>
          <cell r="D2017" t="str">
            <v>CIP</v>
          </cell>
        </row>
        <row r="2018">
          <cell r="B2018" t="str">
            <v>C0113</v>
          </cell>
          <cell r="C2018" t="str">
            <v>Direct</v>
          </cell>
          <cell r="D2018" t="str">
            <v>CIP</v>
          </cell>
        </row>
        <row r="2019">
          <cell r="B2019" t="str">
            <v>C0114</v>
          </cell>
          <cell r="C2019" t="str">
            <v>Direct</v>
          </cell>
          <cell r="D2019" t="str">
            <v>CIP</v>
          </cell>
        </row>
        <row r="2020">
          <cell r="B2020" t="str">
            <v>C0223</v>
          </cell>
          <cell r="C2020" t="str">
            <v>Direct</v>
          </cell>
          <cell r="D2020" t="str">
            <v>CIP</v>
          </cell>
        </row>
        <row r="2021">
          <cell r="B2021" t="str">
            <v>C0224</v>
          </cell>
          <cell r="C2021" t="str">
            <v>Direct</v>
          </cell>
          <cell r="D2021" t="str">
            <v>CIP</v>
          </cell>
        </row>
        <row r="2022">
          <cell r="B2022" t="str">
            <v>C0226</v>
          </cell>
          <cell r="C2022" t="str">
            <v>Direct</v>
          </cell>
          <cell r="D2022" t="str">
            <v>CIP</v>
          </cell>
        </row>
        <row r="2023">
          <cell r="B2023" t="str">
            <v>C0227</v>
          </cell>
          <cell r="C2023" t="str">
            <v>Direct</v>
          </cell>
          <cell r="D2023" t="str">
            <v>CIP</v>
          </cell>
        </row>
        <row r="2024">
          <cell r="B2024" t="str">
            <v>C0228</v>
          </cell>
          <cell r="C2024" t="str">
            <v>Direct</v>
          </cell>
          <cell r="D2024" t="str">
            <v>CIP</v>
          </cell>
        </row>
        <row r="2025">
          <cell r="B2025" t="str">
            <v>C0230</v>
          </cell>
          <cell r="C2025" t="str">
            <v>Direct</v>
          </cell>
          <cell r="D2025" t="str">
            <v>CIP</v>
          </cell>
        </row>
        <row r="2026">
          <cell r="B2026" t="str">
            <v>C0231</v>
          </cell>
          <cell r="C2026" t="str">
            <v>Direct</v>
          </cell>
          <cell r="D2026" t="str">
            <v>CIP</v>
          </cell>
        </row>
        <row r="2027">
          <cell r="B2027" t="str">
            <v>C0290</v>
          </cell>
          <cell r="C2027" t="str">
            <v>Direct</v>
          </cell>
          <cell r="D2027" t="str">
            <v>CIP</v>
          </cell>
        </row>
        <row r="2028">
          <cell r="B2028" t="str">
            <v>C0291</v>
          </cell>
          <cell r="C2028" t="str">
            <v>Direct</v>
          </cell>
          <cell r="D2028" t="str">
            <v>CIP</v>
          </cell>
        </row>
        <row r="2029">
          <cell r="B2029" t="str">
            <v>C0292</v>
          </cell>
          <cell r="C2029" t="str">
            <v>Direct</v>
          </cell>
          <cell r="D2029" t="str">
            <v>CIP</v>
          </cell>
        </row>
        <row r="2030">
          <cell r="B2030" t="str">
            <v>C0293</v>
          </cell>
          <cell r="C2030" t="str">
            <v>Direct</v>
          </cell>
          <cell r="D2030" t="str">
            <v>CIP</v>
          </cell>
        </row>
        <row r="2031">
          <cell r="B2031" t="str">
            <v>C0294</v>
          </cell>
          <cell r="C2031" t="str">
            <v>Direct</v>
          </cell>
          <cell r="D2031" t="str">
            <v>CIP</v>
          </cell>
        </row>
        <row r="2032">
          <cell r="B2032" t="str">
            <v>C0930</v>
          </cell>
          <cell r="C2032" t="str">
            <v>Direct</v>
          </cell>
          <cell r="D2032" t="str">
            <v>GEN</v>
          </cell>
        </row>
        <row r="2033">
          <cell r="B2033" t="str">
            <v>C0940</v>
          </cell>
          <cell r="C2033" t="str">
            <v>Direct</v>
          </cell>
          <cell r="D2033" t="str">
            <v>GEN</v>
          </cell>
        </row>
        <row r="2034">
          <cell r="B2034" t="str">
            <v>C0995</v>
          </cell>
          <cell r="C2034" t="str">
            <v>Direct</v>
          </cell>
          <cell r="D2034" t="str">
            <v>CIP</v>
          </cell>
        </row>
        <row r="2035">
          <cell r="B2035" t="str">
            <v>C0996</v>
          </cell>
          <cell r="C2035" t="str">
            <v>Direct</v>
          </cell>
          <cell r="D2035" t="str">
            <v>CIP</v>
          </cell>
        </row>
        <row r="2036">
          <cell r="B2036" t="str">
            <v>C1190</v>
          </cell>
          <cell r="C2036" t="str">
            <v>Direct</v>
          </cell>
          <cell r="D2036" t="str">
            <v>CIL</v>
          </cell>
        </row>
        <row r="2037">
          <cell r="B2037" t="str">
            <v>C1191</v>
          </cell>
          <cell r="C2037" t="str">
            <v>Direct</v>
          </cell>
          <cell r="D2037" t="str">
            <v>CIL</v>
          </cell>
        </row>
        <row r="2038">
          <cell r="B2038" t="str">
            <v>C1192</v>
          </cell>
          <cell r="C2038" t="str">
            <v>Direct</v>
          </cell>
          <cell r="D2038" t="str">
            <v>CIL</v>
          </cell>
        </row>
        <row r="2039">
          <cell r="B2039" t="str">
            <v>C1194</v>
          </cell>
          <cell r="C2039" t="str">
            <v>Direct</v>
          </cell>
          <cell r="D2039" t="str">
            <v>CIL</v>
          </cell>
        </row>
        <row r="2040">
          <cell r="B2040" t="str">
            <v>C1195</v>
          </cell>
          <cell r="C2040" t="str">
            <v>Direct</v>
          </cell>
          <cell r="D2040" t="str">
            <v>CIL</v>
          </cell>
        </row>
        <row r="2041">
          <cell r="B2041" t="str">
            <v>C1196</v>
          </cell>
          <cell r="C2041" t="str">
            <v>Direct</v>
          </cell>
          <cell r="D2041" t="str">
            <v>CIL</v>
          </cell>
        </row>
        <row r="2042">
          <cell r="B2042" t="str">
            <v>C1197</v>
          </cell>
          <cell r="C2042" t="str">
            <v>Direct</v>
          </cell>
          <cell r="D2042" t="str">
            <v>CIL</v>
          </cell>
        </row>
        <row r="2043">
          <cell r="B2043" t="str">
            <v>C1198</v>
          </cell>
          <cell r="C2043" t="str">
            <v>Direct</v>
          </cell>
          <cell r="D2043" t="str">
            <v>CIL</v>
          </cell>
        </row>
        <row r="2044">
          <cell r="B2044" t="str">
            <v>C1201</v>
          </cell>
          <cell r="C2044" t="str">
            <v>Direct</v>
          </cell>
          <cell r="D2044" t="str">
            <v>CIL</v>
          </cell>
        </row>
        <row r="2045">
          <cell r="B2045" t="str">
            <v>C1209</v>
          </cell>
          <cell r="C2045" t="str">
            <v>Direct</v>
          </cell>
          <cell r="D2045" t="str">
            <v>CIL</v>
          </cell>
        </row>
        <row r="2046">
          <cell r="B2046" t="str">
            <v>C1220</v>
          </cell>
          <cell r="C2046" t="str">
            <v>Direct</v>
          </cell>
          <cell r="D2046" t="str">
            <v>CIL</v>
          </cell>
        </row>
        <row r="2047">
          <cell r="B2047" t="str">
            <v>C1227</v>
          </cell>
          <cell r="C2047" t="str">
            <v>Direct</v>
          </cell>
          <cell r="D2047" t="str">
            <v>CIL</v>
          </cell>
        </row>
        <row r="2048">
          <cell r="B2048" t="str">
            <v>C1228</v>
          </cell>
          <cell r="C2048" t="str">
            <v>Direct</v>
          </cell>
          <cell r="D2048" t="str">
            <v>CIL</v>
          </cell>
        </row>
        <row r="2049">
          <cell r="B2049" t="str">
            <v>C1235</v>
          </cell>
          <cell r="C2049" t="str">
            <v>Direct</v>
          </cell>
          <cell r="D2049" t="str">
            <v>CIL</v>
          </cell>
        </row>
        <row r="2050">
          <cell r="B2050" t="str">
            <v>C1250</v>
          </cell>
          <cell r="C2050" t="str">
            <v>Direct</v>
          </cell>
          <cell r="D2050" t="str">
            <v>CIL</v>
          </cell>
        </row>
        <row r="2051">
          <cell r="B2051" t="str">
            <v>C1280</v>
          </cell>
          <cell r="C2051" t="str">
            <v>Direct</v>
          </cell>
          <cell r="D2051" t="str">
            <v>CIL</v>
          </cell>
        </row>
        <row r="2052">
          <cell r="B2052" t="str">
            <v>C1310</v>
          </cell>
          <cell r="C2052" t="str">
            <v>Direct</v>
          </cell>
          <cell r="D2052" t="str">
            <v>CIL</v>
          </cell>
        </row>
        <row r="2053">
          <cell r="B2053" t="str">
            <v>C1350</v>
          </cell>
          <cell r="C2053" t="str">
            <v>Direct</v>
          </cell>
          <cell r="D2053" t="str">
            <v>GEN</v>
          </cell>
        </row>
        <row r="2054">
          <cell r="B2054" t="str">
            <v>C2119</v>
          </cell>
          <cell r="C2054" t="str">
            <v>Direct</v>
          </cell>
          <cell r="D2054" t="str">
            <v>CIL</v>
          </cell>
        </row>
        <row r="2055">
          <cell r="B2055" t="str">
            <v>C2224</v>
          </cell>
          <cell r="C2055" t="str">
            <v>Direct</v>
          </cell>
          <cell r="D2055" t="str">
            <v>CIL</v>
          </cell>
        </row>
        <row r="2056">
          <cell r="B2056" t="str">
            <v>C2226</v>
          </cell>
          <cell r="C2056" t="str">
            <v>Direct</v>
          </cell>
          <cell r="D2056" t="str">
            <v>CIL</v>
          </cell>
        </row>
        <row r="2057">
          <cell r="B2057" t="str">
            <v>C2227</v>
          </cell>
          <cell r="C2057" t="str">
            <v>Direct</v>
          </cell>
          <cell r="D2057" t="str">
            <v>CIL</v>
          </cell>
        </row>
        <row r="2058">
          <cell r="B2058" t="str">
            <v>C2231</v>
          </cell>
          <cell r="C2058" t="str">
            <v>Direct</v>
          </cell>
          <cell r="D2058" t="str">
            <v>CIL</v>
          </cell>
        </row>
        <row r="2059">
          <cell r="B2059" t="str">
            <v>C2236</v>
          </cell>
          <cell r="C2059" t="str">
            <v>Direct</v>
          </cell>
          <cell r="D2059" t="str">
            <v>CIL</v>
          </cell>
        </row>
        <row r="2060">
          <cell r="B2060" t="str">
            <v>C3162</v>
          </cell>
          <cell r="C2060" t="str">
            <v>Direct</v>
          </cell>
          <cell r="D2060" t="str">
            <v>IPC</v>
          </cell>
        </row>
        <row r="2061">
          <cell r="B2061" t="str">
            <v>C3170</v>
          </cell>
          <cell r="C2061" t="str">
            <v>Direct</v>
          </cell>
          <cell r="D2061" t="str">
            <v>IPC</v>
          </cell>
        </row>
        <row r="2062">
          <cell r="B2062" t="str">
            <v>C3190</v>
          </cell>
          <cell r="C2062" t="str">
            <v>Direct</v>
          </cell>
          <cell r="D2062" t="str">
            <v>IPC</v>
          </cell>
        </row>
        <row r="2063">
          <cell r="B2063" t="str">
            <v>C3191</v>
          </cell>
          <cell r="C2063" t="str">
            <v>Direct</v>
          </cell>
          <cell r="D2063" t="str">
            <v>IPC</v>
          </cell>
        </row>
        <row r="2064">
          <cell r="B2064" t="str">
            <v>C3192</v>
          </cell>
          <cell r="C2064" t="str">
            <v>Direct</v>
          </cell>
          <cell r="D2064" t="str">
            <v>IPC</v>
          </cell>
        </row>
        <row r="2065">
          <cell r="B2065" t="str">
            <v>C3193</v>
          </cell>
          <cell r="C2065" t="str">
            <v>Direct</v>
          </cell>
          <cell r="D2065" t="str">
            <v>IPC</v>
          </cell>
        </row>
        <row r="2066">
          <cell r="B2066" t="str">
            <v>C3201</v>
          </cell>
          <cell r="C2066" t="str">
            <v>Direct</v>
          </cell>
          <cell r="D2066" t="str">
            <v>IPC</v>
          </cell>
        </row>
        <row r="2067">
          <cell r="B2067" t="str">
            <v>C3202</v>
          </cell>
          <cell r="C2067" t="str">
            <v>Direct</v>
          </cell>
          <cell r="D2067" t="str">
            <v>IPC</v>
          </cell>
        </row>
        <row r="2068">
          <cell r="B2068" t="str">
            <v>C3215</v>
          </cell>
          <cell r="C2068" t="str">
            <v>Direct</v>
          </cell>
          <cell r="D2068" t="str">
            <v>IPC</v>
          </cell>
        </row>
        <row r="2069">
          <cell r="B2069" t="str">
            <v>C3216</v>
          </cell>
          <cell r="C2069" t="str">
            <v>Direct</v>
          </cell>
          <cell r="D2069" t="str">
            <v>IPC</v>
          </cell>
        </row>
        <row r="2070">
          <cell r="B2070" t="str">
            <v>C3217</v>
          </cell>
          <cell r="C2070" t="str">
            <v>Direct</v>
          </cell>
          <cell r="D2070" t="str">
            <v>IPC</v>
          </cell>
        </row>
        <row r="2071">
          <cell r="B2071" t="str">
            <v>C3218</v>
          </cell>
          <cell r="C2071" t="str">
            <v>Direct</v>
          </cell>
          <cell r="D2071" t="str">
            <v>IPC</v>
          </cell>
        </row>
        <row r="2072">
          <cell r="B2072" t="str">
            <v>C3219</v>
          </cell>
          <cell r="C2072" t="str">
            <v>Direct</v>
          </cell>
          <cell r="D2072" t="str">
            <v>IPC</v>
          </cell>
        </row>
        <row r="2073">
          <cell r="B2073" t="str">
            <v>C3220</v>
          </cell>
          <cell r="C2073" t="str">
            <v>Direct</v>
          </cell>
          <cell r="D2073" t="str">
            <v>IPC</v>
          </cell>
        </row>
        <row r="2074">
          <cell r="B2074" t="str">
            <v>C3221</v>
          </cell>
          <cell r="C2074" t="str">
            <v>Direct</v>
          </cell>
          <cell r="D2074" t="str">
            <v>IPC</v>
          </cell>
        </row>
        <row r="2075">
          <cell r="B2075" t="str">
            <v>C3222</v>
          </cell>
          <cell r="C2075" t="str">
            <v>Direct</v>
          </cell>
          <cell r="D2075" t="str">
            <v>IPC</v>
          </cell>
        </row>
        <row r="2076">
          <cell r="B2076" t="str">
            <v>C3223</v>
          </cell>
          <cell r="C2076" t="str">
            <v>Direct</v>
          </cell>
          <cell r="D2076" t="str">
            <v>IPC</v>
          </cell>
        </row>
        <row r="2077">
          <cell r="B2077" t="str">
            <v>C3224</v>
          </cell>
          <cell r="C2077" t="str">
            <v>Direct</v>
          </cell>
          <cell r="D2077" t="str">
            <v>IPC</v>
          </cell>
        </row>
        <row r="2078">
          <cell r="B2078" t="str">
            <v>C3226</v>
          </cell>
          <cell r="C2078" t="str">
            <v>Direct</v>
          </cell>
          <cell r="D2078" t="str">
            <v>IPC</v>
          </cell>
        </row>
        <row r="2079">
          <cell r="B2079" t="str">
            <v>C3227</v>
          </cell>
          <cell r="C2079" t="str">
            <v>Direct</v>
          </cell>
          <cell r="D2079" t="str">
            <v>IPC</v>
          </cell>
        </row>
        <row r="2080">
          <cell r="B2080" t="str">
            <v>C3228</v>
          </cell>
          <cell r="C2080" t="str">
            <v>Direct</v>
          </cell>
          <cell r="D2080" t="str">
            <v>IPC</v>
          </cell>
        </row>
        <row r="2081">
          <cell r="B2081" t="str">
            <v>C3231</v>
          </cell>
          <cell r="C2081" t="str">
            <v>Direct</v>
          </cell>
          <cell r="D2081" t="str">
            <v>IPC</v>
          </cell>
        </row>
        <row r="2082">
          <cell r="B2082" t="str">
            <v>C3232</v>
          </cell>
          <cell r="C2082" t="str">
            <v>Direct</v>
          </cell>
          <cell r="D2082" t="str">
            <v>IPC</v>
          </cell>
        </row>
        <row r="2083">
          <cell r="B2083" t="str">
            <v>C3233</v>
          </cell>
          <cell r="C2083" t="str">
            <v>Direct</v>
          </cell>
          <cell r="D2083" t="str">
            <v>IPC</v>
          </cell>
        </row>
        <row r="2084">
          <cell r="B2084" t="str">
            <v>C3242</v>
          </cell>
          <cell r="C2084" t="str">
            <v>Direct</v>
          </cell>
          <cell r="D2084" t="str">
            <v>IPC</v>
          </cell>
        </row>
        <row r="2085">
          <cell r="B2085" t="str">
            <v>C3293</v>
          </cell>
          <cell r="C2085" t="str">
            <v>Direct</v>
          </cell>
          <cell r="D2085" t="str">
            <v>CIP</v>
          </cell>
        </row>
        <row r="2086">
          <cell r="B2086" t="str">
            <v>C3295</v>
          </cell>
          <cell r="C2086" t="str">
            <v>Direct</v>
          </cell>
          <cell r="D2086" t="str">
            <v>CIP</v>
          </cell>
        </row>
        <row r="2087">
          <cell r="B2087" t="str">
            <v>C3296</v>
          </cell>
          <cell r="C2087" t="str">
            <v>Direct</v>
          </cell>
          <cell r="D2087" t="str">
            <v>CIP</v>
          </cell>
        </row>
        <row r="2088">
          <cell r="B2088" t="str">
            <v>CIL01</v>
          </cell>
          <cell r="C2088" t="str">
            <v>Direct</v>
          </cell>
          <cell r="D2088" t="str">
            <v>CIL</v>
          </cell>
        </row>
        <row r="2089">
          <cell r="B2089" t="str">
            <v>CIP01</v>
          </cell>
          <cell r="C2089" t="str">
            <v>Direct</v>
          </cell>
          <cell r="D2089" t="str">
            <v>CIP</v>
          </cell>
        </row>
        <row r="2090">
          <cell r="B2090" t="str">
            <v>D9999</v>
          </cell>
          <cell r="C2090" t="str">
            <v>Direct</v>
          </cell>
          <cell r="D2090" t="str">
            <v>UEC</v>
          </cell>
        </row>
        <row r="2091">
          <cell r="B2091" t="str">
            <v>GEN03</v>
          </cell>
          <cell r="C2091" t="str">
            <v>Direct</v>
          </cell>
          <cell r="D2091" t="str">
            <v>GEN</v>
          </cell>
        </row>
        <row r="2092">
          <cell r="B2092" t="str">
            <v>IPC01</v>
          </cell>
          <cell r="C2092" t="str">
            <v>Direct</v>
          </cell>
          <cell r="D2092" t="str">
            <v>IPC</v>
          </cell>
        </row>
        <row r="2093">
          <cell r="B2093" t="str">
            <v>P0034</v>
          </cell>
          <cell r="C2093" t="str">
            <v>Direct</v>
          </cell>
          <cell r="D2093" t="str">
            <v>011B</v>
          </cell>
        </row>
        <row r="2094">
          <cell r="B2094" t="str">
            <v>P0118</v>
          </cell>
          <cell r="C2094" t="str">
            <v>Direct</v>
          </cell>
          <cell r="D2094" t="str">
            <v>UEC</v>
          </cell>
        </row>
        <row r="2095">
          <cell r="B2095" t="str">
            <v>P0119</v>
          </cell>
          <cell r="C2095" t="str">
            <v>Direct</v>
          </cell>
          <cell r="D2095" t="str">
            <v>UEC</v>
          </cell>
        </row>
        <row r="2096">
          <cell r="B2096" t="str">
            <v>P0120</v>
          </cell>
          <cell r="C2096" t="str">
            <v>Direct</v>
          </cell>
          <cell r="D2096" t="str">
            <v>UEC</v>
          </cell>
        </row>
        <row r="2097">
          <cell r="B2097" t="str">
            <v>P0121</v>
          </cell>
          <cell r="C2097" t="str">
            <v>Direct</v>
          </cell>
          <cell r="D2097" t="str">
            <v>UEC</v>
          </cell>
        </row>
        <row r="2098">
          <cell r="B2098" t="str">
            <v>P0130</v>
          </cell>
          <cell r="C2098" t="str">
            <v>Direct</v>
          </cell>
          <cell r="D2098" t="str">
            <v>GEN</v>
          </cell>
        </row>
        <row r="2099">
          <cell r="B2099" t="str">
            <v>P0213</v>
          </cell>
          <cell r="C2099" t="str">
            <v>Direct</v>
          </cell>
          <cell r="D2099" t="str">
            <v>UEC</v>
          </cell>
        </row>
        <row r="2100">
          <cell r="B2100" t="str">
            <v>P0214</v>
          </cell>
          <cell r="C2100" t="str">
            <v>Direct</v>
          </cell>
          <cell r="D2100" t="str">
            <v>UEC</v>
          </cell>
        </row>
        <row r="2101">
          <cell r="B2101" t="str">
            <v>P0228</v>
          </cell>
          <cell r="C2101" t="str">
            <v>Direct</v>
          </cell>
          <cell r="D2101" t="str">
            <v>UEC</v>
          </cell>
        </row>
        <row r="2102">
          <cell r="B2102" t="str">
            <v>P0229</v>
          </cell>
          <cell r="C2102" t="str">
            <v>Direct</v>
          </cell>
          <cell r="D2102" t="str">
            <v>UEC</v>
          </cell>
        </row>
        <row r="2103">
          <cell r="B2103" t="str">
            <v>P0230</v>
          </cell>
          <cell r="C2103" t="str">
            <v>Direct</v>
          </cell>
          <cell r="D2103" t="str">
            <v>UEC</v>
          </cell>
        </row>
        <row r="2104">
          <cell r="B2104" t="str">
            <v>P0231</v>
          </cell>
          <cell r="C2104" t="str">
            <v>Direct</v>
          </cell>
          <cell r="D2104" t="str">
            <v>UEC</v>
          </cell>
        </row>
        <row r="2105">
          <cell r="B2105" t="str">
            <v>P0239</v>
          </cell>
          <cell r="C2105" t="str">
            <v>Direct</v>
          </cell>
          <cell r="D2105" t="str">
            <v>GEN</v>
          </cell>
        </row>
        <row r="2106">
          <cell r="B2106" t="str">
            <v>P0240</v>
          </cell>
          <cell r="C2106" t="str">
            <v>Direct</v>
          </cell>
          <cell r="D2106" t="str">
            <v>ARG</v>
          </cell>
        </row>
        <row r="2107">
          <cell r="B2107" t="str">
            <v>P0241</v>
          </cell>
          <cell r="C2107" t="str">
            <v>Direct</v>
          </cell>
          <cell r="D2107" t="str">
            <v>011B</v>
          </cell>
        </row>
        <row r="2108">
          <cell r="B2108" t="str">
            <v>P0385</v>
          </cell>
          <cell r="C2108" t="str">
            <v>Direct</v>
          </cell>
          <cell r="D2108" t="str">
            <v>UEC</v>
          </cell>
        </row>
        <row r="2109">
          <cell r="B2109" t="str">
            <v>UEC01</v>
          </cell>
          <cell r="C2109" t="str">
            <v>Direct</v>
          </cell>
          <cell r="D2109" t="str">
            <v>UEC</v>
          </cell>
        </row>
        <row r="2110">
          <cell r="B2110" t="str">
            <v>UEC03</v>
          </cell>
          <cell r="C2110" t="str">
            <v>Direct</v>
          </cell>
          <cell r="D2110" t="str">
            <v>UEC</v>
          </cell>
        </row>
        <row r="2111">
          <cell r="B2111" t="str">
            <v>W0344</v>
          </cell>
          <cell r="C2111" t="str">
            <v>Direct</v>
          </cell>
          <cell r="D2111" t="str">
            <v>ARG</v>
          </cell>
        </row>
        <row r="2112">
          <cell r="B2112" t="str">
            <v>W0352</v>
          </cell>
          <cell r="C2112" t="str">
            <v>N/A</v>
          </cell>
          <cell r="D2112" t="str">
            <v>GEN</v>
          </cell>
        </row>
        <row r="2113">
          <cell r="B2113" t="str">
            <v>W0362</v>
          </cell>
          <cell r="C2113" t="str">
            <v>Direct</v>
          </cell>
          <cell r="D2113" t="str">
            <v>GEN</v>
          </cell>
        </row>
        <row r="2114">
          <cell r="B2114" t="str">
            <v>W0363</v>
          </cell>
          <cell r="C2114" t="str">
            <v>Direct</v>
          </cell>
          <cell r="D2114" t="str">
            <v>GEN</v>
          </cell>
        </row>
        <row r="2115">
          <cell r="B2115" t="str">
            <v>W0364</v>
          </cell>
          <cell r="C2115" t="str">
            <v>Direct</v>
          </cell>
          <cell r="D2115" t="str">
            <v>GEN</v>
          </cell>
        </row>
        <row r="2116">
          <cell r="B2116" t="str">
            <v>W0366</v>
          </cell>
          <cell r="C2116" t="str">
            <v>Direct</v>
          </cell>
          <cell r="D2116" t="str">
            <v>GEN</v>
          </cell>
        </row>
        <row r="2117">
          <cell r="B2117" t="str">
            <v>W0368</v>
          </cell>
          <cell r="C2117" t="str">
            <v>Direct</v>
          </cell>
          <cell r="D2117" t="str">
            <v>ARG</v>
          </cell>
        </row>
        <row r="2118">
          <cell r="B2118" t="str">
            <v>W0482</v>
          </cell>
          <cell r="C2118" t="str">
            <v>Direct</v>
          </cell>
          <cell r="D2118" t="str">
            <v>UEC</v>
          </cell>
        </row>
        <row r="2119">
          <cell r="B2119" t="str">
            <v>W0539</v>
          </cell>
          <cell r="C2119" t="str">
            <v>Direct</v>
          </cell>
          <cell r="D2119" t="str">
            <v>UEC</v>
          </cell>
        </row>
        <row r="2120">
          <cell r="B2120" t="str">
            <v>W0807</v>
          </cell>
          <cell r="C2120" t="str">
            <v>Direct</v>
          </cell>
          <cell r="D2120" t="str">
            <v>011B</v>
          </cell>
        </row>
        <row r="2121">
          <cell r="B2121" t="str">
            <v>X9998</v>
          </cell>
          <cell r="C2121" t="str">
            <v>Direct</v>
          </cell>
          <cell r="D2121" t="str">
            <v>CIP</v>
          </cell>
        </row>
        <row r="2122">
          <cell r="B2122" t="str">
            <v>X9999</v>
          </cell>
          <cell r="C2122" t="str">
            <v>Direct</v>
          </cell>
          <cell r="D2122" t="str">
            <v>UEC</v>
          </cell>
        </row>
      </sheetData>
      <sheetData sheetId="14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2008 Budget Option Model"/>
      <sheetName val="2008 Budget Option Model +$2shr"/>
      <sheetName val="2008 Budget Option Model (-$2)"/>
      <sheetName val="2008 Budget Option Model + 15%"/>
      <sheetName val="2008 Budget Option Model (-)15%"/>
      <sheetName val="FRMB MORT BOND 8% 4-01-02"/>
    </sheetNames>
    <sheetDataSet>
      <sheetData sheetId="0">
        <row r="14">
          <cell r="B14">
            <v>15.44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t"/>
      <sheetName val="Nov"/>
      <sheetName val="Summary"/>
      <sheetName val="Sep - not used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Print"/>
      <sheetName val="Sch A-1"/>
      <sheetName val="Sch A-2"/>
      <sheetName val="Sch A-2.1"/>
      <sheetName val="Sch A-3"/>
      <sheetName val="Sch A-4"/>
      <sheetName val="Sch A-5 RB"/>
      <sheetName val="Sch A-5 Exp"/>
      <sheetName val="WPA - 5a"/>
      <sheetName val="WPA - 5b"/>
      <sheetName val="Sch B-1"/>
      <sheetName val="WPB-1"/>
      <sheetName val="Sch B-2"/>
      <sheetName val="Sch B-2.1"/>
      <sheetName val="Sch B-2.2"/>
      <sheetName val="Sch B-2.3"/>
      <sheetName val="Sch B-2.4"/>
      <sheetName val="Sch B-3"/>
      <sheetName val="Sch B-4"/>
      <sheetName val="Sch B-5"/>
      <sheetName val="WPB-5"/>
      <sheetName val="Sch B-5.1"/>
      <sheetName val="Sch B-6"/>
      <sheetName val="Sch B-7.2a"/>
      <sheetName val="Sch B-7.2b"/>
      <sheetName val="EXH-1"/>
      <sheetName val="Sch B-8"/>
      <sheetName val="Sch B-8.1"/>
      <sheetName val="WPB-8.1a"/>
      <sheetName val="WPB-8.1b"/>
      <sheetName val="Sch B-9"/>
      <sheetName val="WPB-9a"/>
      <sheetName val="WPB-9b"/>
      <sheetName val="Sch B-9.1"/>
      <sheetName val="Sch B-9.1old"/>
      <sheetName val="Sch B-13"/>
      <sheetName val="WPB-13a"/>
      <sheetName val="WPB-13b"/>
      <sheetName val="WPB-13c"/>
      <sheetName val="Sch B-14"/>
      <sheetName val="WPB - 14"/>
      <sheetName val="Sch C-1"/>
      <sheetName val="Sch C-2"/>
      <sheetName val="Sch C-2.1"/>
      <sheetName val="WPC-2.1"/>
      <sheetName val="Sch C-2.2"/>
      <sheetName val="Sch C-2.3"/>
      <sheetName val="WPC-2.3a"/>
      <sheetName val="WPC-2.3b"/>
      <sheetName val="Sch C-2.4"/>
      <sheetName val="WPC-2.4"/>
      <sheetName val="C-2.5"/>
      <sheetName val="WPC - 2.5a"/>
      <sheetName val="WPC - 2.5b"/>
      <sheetName val="Sch C-2.6"/>
      <sheetName val="WPC-2.6"/>
      <sheetName val="Sch C-2.7"/>
      <sheetName val="Sch C-2.8"/>
      <sheetName val="Sch C-2.9"/>
      <sheetName val="Sch C-2.10"/>
      <sheetName val="Sch C-2.11"/>
      <sheetName val="Sch C-2.12"/>
      <sheetName val="Sch C-2.13"/>
      <sheetName val="WPC-2.13"/>
      <sheetName val="C - 2.14"/>
      <sheetName val="WPC - 2.14a"/>
      <sheetName val="WPC - 2.14b"/>
      <sheetName val="Sch C-2.15"/>
      <sheetName val="WPC-2.15a"/>
      <sheetName val="WPC-2.15b"/>
      <sheetName val="Sch C-2.16"/>
      <sheetName val="Sch C-2.17"/>
      <sheetName val="Sch C-2.18"/>
      <sheetName val="WPC-2.18a"/>
      <sheetName val="WPC-2.18b"/>
      <sheetName val="Sch C-2.19"/>
      <sheetName val="WPC-2.19"/>
      <sheetName val="Sch C-2.20"/>
      <sheetName val="Sch C-3"/>
      <sheetName val="Sch C-4"/>
      <sheetName val="WPC-4"/>
      <sheetName val="Sch C-5"/>
      <sheetName val="Sch C-5b"/>
      <sheetName val="Sch C-5.1"/>
      <sheetName val="Sch C-5.2"/>
      <sheetName val="Sch C-5.3"/>
      <sheetName val="Sch C-5.4"/>
      <sheetName val="WPC-5.4"/>
      <sheetName val="Sch C-6"/>
      <sheetName val="Sch C-6.1"/>
      <sheetName val="Sch C-6.2"/>
      <sheetName val="Sch C-7"/>
      <sheetName val="Sch C-8"/>
      <sheetName val="WPC-8"/>
      <sheetName val="Sch C-9"/>
      <sheetName val="Sch C-10"/>
      <sheetName val="WPC-10"/>
      <sheetName val="Sch C-10.1"/>
      <sheetName val="Sch C-11.1"/>
      <sheetName val="WPC-11.1"/>
      <sheetName val="Sch C-11.2a"/>
      <sheetName val="Sch C-11.2b"/>
      <sheetName val="Sch C-11.2c"/>
      <sheetName val="Sch C-11.2d"/>
      <sheetName val="Sch C-11.2e"/>
      <sheetName val="Sch C-11.2f"/>
      <sheetName val="Sch C-11.2g"/>
      <sheetName val="Sch C-11.2h"/>
      <sheetName val="Sch C-11.3"/>
      <sheetName val="WPC-11.3a"/>
      <sheetName val="WPC-11.3b"/>
      <sheetName val="WPC-11.3c"/>
      <sheetName val="WPC-11.3d"/>
      <sheetName val="Sch C-12"/>
      <sheetName val="WPC-12a"/>
      <sheetName val="WPC-12b"/>
      <sheetName val="Sch C-13a"/>
      <sheetName val="Sch C-13b"/>
      <sheetName val="Sch C-14"/>
      <sheetName val="WPC-14"/>
      <sheetName val="Sch C-16"/>
      <sheetName val="Sch C-17a"/>
      <sheetName val="Sch C-17b"/>
      <sheetName val="Sch C-17c"/>
      <sheetName val="Sch C-17d"/>
      <sheetName val="Sch C-18"/>
      <sheetName val="WPC-18a"/>
      <sheetName val="WPC-18b"/>
      <sheetName val="WPC-18c"/>
      <sheetName val="Sch C-19"/>
      <sheetName val="Sch C-21"/>
      <sheetName val="Sch C-22"/>
      <sheetName val="Sch C-23"/>
      <sheetName val="WPC-23"/>
      <sheetName val="Sch C-25"/>
      <sheetName val="Sch C-26"/>
      <sheetName val="Sch C-31"/>
      <sheetName val="Sch B-5.2 Merged or Acq Prop"/>
      <sheetName val="Sch B-5.3 Leased Prop"/>
      <sheetName val="Sch B-10 Def Charges"/>
      <sheetName val="Sch B-11 PHFFU"/>
      <sheetName val="Sch B-12 Analysis of PHFFU"/>
      <sheetName val="Sch C-5.5 ITC &amp; Job Dev. Cr"/>
      <sheetName val="WPC-6.1 2004"/>
      <sheetName val="WPC-6.1 2003"/>
      <sheetName val="WPC-6.2"/>
      <sheetName val="WPC-8 old"/>
      <sheetName val="WPC-9"/>
      <sheetName val="Sch 11.4 Recon Est Ovrhd"/>
      <sheetName val="Sch C-15 Major Maint Proj"/>
      <sheetName val="Sch C-24 Legal Exp &amp; Res"/>
      <sheetName val="WPC-25"/>
      <sheetName val="Sch C-27 Fuel Adj Rev &amp; Exp"/>
      <sheetName val="Sch C-28 Fuel Transp Exp"/>
      <sheetName val="Sch C-33 Billing Exper"/>
      <sheetName val="Comm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>
        <row r="2">
          <cell r="B2" t="str">
            <v>AmerenIP</v>
          </cell>
        </row>
        <row r="15">
          <cell r="C15">
            <v>7.2999999999999995E-2</v>
          </cell>
        </row>
        <row r="16">
          <cell r="C16">
            <v>0.35</v>
          </cell>
        </row>
      </sheetData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ysis"/>
      <sheetName val="Pivot-AllChargesByTarget"/>
      <sheetName val="AMS-AllChargesByTarget"/>
      <sheetName val="AMS-A&amp;GChargesByTarget"/>
      <sheetName val="AMS-A&amp;G ChargesByTarget-IL SRs"/>
      <sheetName val="IL A&amp;G Gas-Elec Split"/>
      <sheetName val="Pivot-IL A&amp;G Gas-Elec"/>
      <sheetName val="AMS IL Target by Gas-Elec"/>
      <sheetName val="All Target-PivotByMajMin"/>
      <sheetName val="AMS Charges by RT-All"/>
      <sheetName val="Pivot-CILCO"/>
      <sheetName val="IL-PivotByMajMin"/>
      <sheetName val="AMS All Charges to IL"/>
      <sheetName val="CILCO"/>
      <sheetName val="CIPS"/>
      <sheetName val="IPC"/>
      <sheetName val="Pivot-IL A&amp;G"/>
      <sheetName val="AMS A&amp;G Charges to IL"/>
      <sheetName val="Pivot-CILCO A&amp;G"/>
      <sheetName val="CILCO-A&amp;G"/>
      <sheetName val="CIPS-A&amp;G"/>
      <sheetName val="IPC-A&amp;G"/>
      <sheetName val="IL-All SR Pivot"/>
      <sheetName val="IL-A&amp;G SR Pivot"/>
      <sheetName val="Projects 2006"/>
      <sheetName val="RMC-Descrip"/>
      <sheetName val="Resource Types"/>
      <sheetName val="RMC By Func"/>
      <sheetName val="Functions-IndirectAlloc"/>
      <sheetName val="2005-SR-AllocFactors"/>
      <sheetName val="AllocFactors"/>
      <sheetName val="UnknownProj#"/>
      <sheetName val="IndirectAllocFac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5">
          <cell r="J5">
            <v>15277</v>
          </cell>
          <cell r="K5" t="str">
            <v>IL</v>
          </cell>
        </row>
        <row r="6">
          <cell r="J6" t="str">
            <v>0K937</v>
          </cell>
          <cell r="K6" t="str">
            <v>IL</v>
          </cell>
        </row>
        <row r="7">
          <cell r="J7" t="str">
            <v>A0001</v>
          </cell>
          <cell r="K7" t="str">
            <v>IL</v>
          </cell>
        </row>
        <row r="8">
          <cell r="J8" t="str">
            <v>A0002</v>
          </cell>
          <cell r="K8" t="str">
            <v>IL</v>
          </cell>
        </row>
        <row r="9">
          <cell r="J9" t="str">
            <v>A0004</v>
          </cell>
          <cell r="K9" t="str">
            <v>IL</v>
          </cell>
        </row>
        <row r="10">
          <cell r="J10" t="str">
            <v>A0006</v>
          </cell>
          <cell r="K10" t="str">
            <v>IL</v>
          </cell>
        </row>
        <row r="11">
          <cell r="J11" t="str">
            <v>A0021</v>
          </cell>
          <cell r="K11" t="str">
            <v>IL</v>
          </cell>
        </row>
        <row r="12">
          <cell r="J12" t="str">
            <v>A0022</v>
          </cell>
          <cell r="K12" t="str">
            <v>IL</v>
          </cell>
        </row>
        <row r="13">
          <cell r="J13" t="str">
            <v>A0051</v>
          </cell>
          <cell r="K13" t="str">
            <v>IL</v>
          </cell>
        </row>
        <row r="14">
          <cell r="J14" t="str">
            <v>A0075</v>
          </cell>
          <cell r="K14" t="str">
            <v>IL</v>
          </cell>
        </row>
        <row r="15">
          <cell r="J15" t="str">
            <v>A0079</v>
          </cell>
          <cell r="K15" t="str">
            <v>IL</v>
          </cell>
        </row>
        <row r="16">
          <cell r="J16" t="str">
            <v>A0080</v>
          </cell>
          <cell r="K16" t="str">
            <v>IL</v>
          </cell>
        </row>
        <row r="17">
          <cell r="J17" t="str">
            <v>A0083</v>
          </cell>
          <cell r="K17" t="str">
            <v>IL</v>
          </cell>
        </row>
        <row r="18">
          <cell r="J18" t="str">
            <v>A0084</v>
          </cell>
          <cell r="K18" t="str">
            <v>IL</v>
          </cell>
        </row>
        <row r="19">
          <cell r="J19" t="str">
            <v>A0110</v>
          </cell>
          <cell r="K19" t="str">
            <v>IL</v>
          </cell>
        </row>
        <row r="20">
          <cell r="J20" t="str">
            <v>A0125</v>
          </cell>
          <cell r="K20" t="str">
            <v>IL</v>
          </cell>
        </row>
        <row r="21">
          <cell r="J21" t="str">
            <v>A0127</v>
          </cell>
          <cell r="K21" t="str">
            <v>IL</v>
          </cell>
        </row>
        <row r="22">
          <cell r="J22" t="str">
            <v>A0128</v>
          </cell>
          <cell r="K22" t="str">
            <v>IL</v>
          </cell>
        </row>
        <row r="23">
          <cell r="J23" t="str">
            <v>A0132</v>
          </cell>
          <cell r="K23" t="str">
            <v>IL</v>
          </cell>
        </row>
        <row r="24">
          <cell r="J24" t="str">
            <v>A0134</v>
          </cell>
          <cell r="K24" t="str">
            <v>IL</v>
          </cell>
        </row>
        <row r="25">
          <cell r="J25" t="str">
            <v>A0140</v>
          </cell>
          <cell r="K25" t="str">
            <v>IL</v>
          </cell>
        </row>
        <row r="26">
          <cell r="J26" t="str">
            <v>A0142</v>
          </cell>
          <cell r="K26" t="str">
            <v>IL</v>
          </cell>
        </row>
        <row r="27">
          <cell r="J27" t="str">
            <v>A0144</v>
          </cell>
          <cell r="K27" t="str">
            <v>IL</v>
          </cell>
        </row>
        <row r="28">
          <cell r="J28" t="str">
            <v>A0146</v>
          </cell>
          <cell r="K28" t="str">
            <v>IL</v>
          </cell>
        </row>
        <row r="29">
          <cell r="J29" t="str">
            <v>A0151</v>
          </cell>
          <cell r="K29" t="str">
            <v>IL</v>
          </cell>
        </row>
        <row r="30">
          <cell r="J30" t="str">
            <v>A0155</v>
          </cell>
          <cell r="K30" t="str">
            <v>IL</v>
          </cell>
        </row>
        <row r="31">
          <cell r="J31" t="str">
            <v>A0157</v>
          </cell>
          <cell r="K31" t="str">
            <v>IL</v>
          </cell>
        </row>
        <row r="32">
          <cell r="J32" t="str">
            <v>A0158</v>
          </cell>
          <cell r="K32" t="str">
            <v>IL</v>
          </cell>
        </row>
        <row r="33">
          <cell r="J33" t="str">
            <v>A0161</v>
          </cell>
          <cell r="K33" t="str">
            <v>IL</v>
          </cell>
        </row>
        <row r="34">
          <cell r="J34" t="str">
            <v>A0162</v>
          </cell>
          <cell r="K34" t="str">
            <v>IL</v>
          </cell>
        </row>
        <row r="35">
          <cell r="J35" t="str">
            <v>A0163</v>
          </cell>
          <cell r="K35" t="str">
            <v>IL</v>
          </cell>
        </row>
        <row r="36">
          <cell r="J36" t="str">
            <v>A0166</v>
          </cell>
          <cell r="K36" t="str">
            <v>IL</v>
          </cell>
        </row>
        <row r="37">
          <cell r="J37" t="str">
            <v>A0168</v>
          </cell>
          <cell r="K37" t="str">
            <v>IL</v>
          </cell>
        </row>
        <row r="38">
          <cell r="J38" t="str">
            <v>A0169</v>
          </cell>
          <cell r="K38" t="str">
            <v>IL</v>
          </cell>
        </row>
        <row r="39">
          <cell r="J39" t="str">
            <v>A0177</v>
          </cell>
          <cell r="K39" t="str">
            <v>IL</v>
          </cell>
        </row>
        <row r="40">
          <cell r="J40" t="str">
            <v>A0181</v>
          </cell>
          <cell r="K40" t="str">
            <v>IL</v>
          </cell>
        </row>
        <row r="41">
          <cell r="J41" t="str">
            <v>A0183</v>
          </cell>
          <cell r="K41" t="str">
            <v>IL</v>
          </cell>
        </row>
        <row r="42">
          <cell r="J42" t="str">
            <v>A0189</v>
          </cell>
          <cell r="K42" t="str">
            <v>IL</v>
          </cell>
        </row>
        <row r="43">
          <cell r="J43" t="str">
            <v>A0192</v>
          </cell>
          <cell r="K43" t="str">
            <v>IL</v>
          </cell>
        </row>
        <row r="44">
          <cell r="J44" t="str">
            <v>A0193</v>
          </cell>
          <cell r="K44" t="str">
            <v>IL</v>
          </cell>
        </row>
        <row r="45">
          <cell r="J45" t="str">
            <v>A0194</v>
          </cell>
          <cell r="K45" t="str">
            <v>IL</v>
          </cell>
        </row>
        <row r="46">
          <cell r="J46" t="str">
            <v>A0197</v>
          </cell>
          <cell r="K46" t="str">
            <v>IL</v>
          </cell>
        </row>
        <row r="47">
          <cell r="J47" t="str">
            <v>A0199</v>
          </cell>
          <cell r="K47" t="str">
            <v>IL</v>
          </cell>
        </row>
        <row r="48">
          <cell r="J48" t="str">
            <v>A0208</v>
          </cell>
          <cell r="K48" t="str">
            <v>IL</v>
          </cell>
        </row>
        <row r="49">
          <cell r="J49" t="str">
            <v>A0210</v>
          </cell>
          <cell r="K49" t="str">
            <v>IL</v>
          </cell>
        </row>
        <row r="50">
          <cell r="J50" t="str">
            <v>A0215</v>
          </cell>
          <cell r="K50" t="str">
            <v>IL</v>
          </cell>
        </row>
        <row r="51">
          <cell r="J51" t="str">
            <v>A0222</v>
          </cell>
          <cell r="K51" t="str">
            <v>IL</v>
          </cell>
        </row>
        <row r="52">
          <cell r="J52" t="str">
            <v>A0223</v>
          </cell>
          <cell r="K52" t="str">
            <v>IL</v>
          </cell>
        </row>
        <row r="53">
          <cell r="J53" t="str">
            <v>A0224</v>
          </cell>
          <cell r="K53" t="str">
            <v>IL</v>
          </cell>
        </row>
        <row r="54">
          <cell r="J54" t="str">
            <v>A0228</v>
          </cell>
          <cell r="K54" t="str">
            <v>IL</v>
          </cell>
        </row>
        <row r="55">
          <cell r="J55" t="str">
            <v>A0231</v>
          </cell>
          <cell r="K55" t="str">
            <v>IL</v>
          </cell>
        </row>
        <row r="56">
          <cell r="J56" t="str">
            <v>A0234</v>
          </cell>
          <cell r="K56" t="str">
            <v>IL</v>
          </cell>
        </row>
        <row r="57">
          <cell r="J57" t="str">
            <v>A0235</v>
          </cell>
          <cell r="K57" t="str">
            <v>IL</v>
          </cell>
        </row>
        <row r="58">
          <cell r="J58" t="str">
            <v>A0237</v>
          </cell>
          <cell r="K58" t="str">
            <v>IL</v>
          </cell>
        </row>
        <row r="59">
          <cell r="J59" t="str">
            <v>A0239</v>
          </cell>
          <cell r="K59" t="str">
            <v>IL</v>
          </cell>
        </row>
        <row r="60">
          <cell r="J60" t="str">
            <v>A0243</v>
          </cell>
          <cell r="K60" t="str">
            <v>IL</v>
          </cell>
        </row>
        <row r="61">
          <cell r="J61" t="str">
            <v>A0250</v>
          </cell>
          <cell r="K61" t="str">
            <v>IL</v>
          </cell>
        </row>
        <row r="62">
          <cell r="J62" t="str">
            <v>A0251</v>
          </cell>
          <cell r="K62" t="str">
            <v>IL</v>
          </cell>
        </row>
        <row r="63">
          <cell r="J63" t="str">
            <v>A0252</v>
          </cell>
          <cell r="K63" t="str">
            <v>IL</v>
          </cell>
        </row>
        <row r="64">
          <cell r="J64" t="str">
            <v>A0253</v>
          </cell>
          <cell r="K64" t="str">
            <v>IL</v>
          </cell>
        </row>
        <row r="65">
          <cell r="J65" t="str">
            <v>A0254</v>
          </cell>
          <cell r="K65" t="str">
            <v>IL</v>
          </cell>
        </row>
        <row r="66">
          <cell r="J66" t="str">
            <v>A0255</v>
          </cell>
          <cell r="K66" t="str">
            <v>IL</v>
          </cell>
        </row>
        <row r="67">
          <cell r="J67" t="str">
            <v>A0256</v>
          </cell>
          <cell r="K67" t="str">
            <v>IL</v>
          </cell>
        </row>
        <row r="68">
          <cell r="J68" t="str">
            <v>A0259</v>
          </cell>
          <cell r="K68" t="str">
            <v>IL</v>
          </cell>
        </row>
        <row r="69">
          <cell r="J69" t="str">
            <v>A0262</v>
          </cell>
          <cell r="K69" t="str">
            <v>IL</v>
          </cell>
        </row>
        <row r="70">
          <cell r="J70" t="str">
            <v>A0274</v>
          </cell>
          <cell r="K70" t="str">
            <v>IL</v>
          </cell>
        </row>
        <row r="71">
          <cell r="J71" t="str">
            <v>A0280</v>
          </cell>
          <cell r="K71" t="str">
            <v>IL</v>
          </cell>
        </row>
        <row r="72">
          <cell r="J72" t="str">
            <v>A0282</v>
          </cell>
          <cell r="K72" t="str">
            <v>IL</v>
          </cell>
        </row>
        <row r="73">
          <cell r="J73" t="str">
            <v>A0284</v>
          </cell>
          <cell r="K73" t="str">
            <v>IL</v>
          </cell>
        </row>
        <row r="74">
          <cell r="J74" t="str">
            <v>A0285</v>
          </cell>
          <cell r="K74" t="str">
            <v>IL</v>
          </cell>
        </row>
        <row r="75">
          <cell r="J75" t="str">
            <v>A0286</v>
          </cell>
          <cell r="K75" t="str">
            <v>IL</v>
          </cell>
        </row>
        <row r="76">
          <cell r="J76" t="str">
            <v>A0287</v>
          </cell>
          <cell r="K76" t="str">
            <v>IL</v>
          </cell>
        </row>
        <row r="77">
          <cell r="J77" t="str">
            <v>A0288</v>
          </cell>
          <cell r="K77" t="str">
            <v>IL</v>
          </cell>
        </row>
        <row r="78">
          <cell r="J78" t="str">
            <v>A0292</v>
          </cell>
          <cell r="K78" t="str">
            <v>IL</v>
          </cell>
        </row>
        <row r="79">
          <cell r="J79" t="str">
            <v>A0293</v>
          </cell>
          <cell r="K79" t="str">
            <v>IL</v>
          </cell>
        </row>
        <row r="80">
          <cell r="J80" t="str">
            <v>A0296</v>
          </cell>
          <cell r="K80" t="str">
            <v>IL</v>
          </cell>
        </row>
        <row r="81">
          <cell r="J81" t="str">
            <v>A0299</v>
          </cell>
          <cell r="K81" t="str">
            <v>IL</v>
          </cell>
        </row>
        <row r="82">
          <cell r="J82" t="str">
            <v>A0315</v>
          </cell>
          <cell r="K82" t="str">
            <v>IL</v>
          </cell>
        </row>
        <row r="83">
          <cell r="J83" t="str">
            <v>A0319</v>
          </cell>
          <cell r="K83" t="str">
            <v>IL</v>
          </cell>
        </row>
        <row r="84">
          <cell r="J84" t="str">
            <v>A0326</v>
          </cell>
          <cell r="K84" t="str">
            <v>IL</v>
          </cell>
        </row>
        <row r="85">
          <cell r="J85" t="str">
            <v>A0337</v>
          </cell>
          <cell r="K85" t="str">
            <v>IL</v>
          </cell>
        </row>
        <row r="86">
          <cell r="J86" t="str">
            <v>A0340</v>
          </cell>
          <cell r="K86" t="str">
            <v>IL</v>
          </cell>
        </row>
        <row r="87">
          <cell r="J87" t="str">
            <v>A0342</v>
          </cell>
          <cell r="K87" t="str">
            <v>IL</v>
          </cell>
        </row>
        <row r="88">
          <cell r="J88" t="str">
            <v>A0343</v>
          </cell>
          <cell r="K88" t="str">
            <v>IL</v>
          </cell>
        </row>
        <row r="89">
          <cell r="J89" t="str">
            <v>A0345</v>
          </cell>
          <cell r="K89" t="str">
            <v>IL</v>
          </cell>
        </row>
        <row r="90">
          <cell r="J90" t="str">
            <v>A0348</v>
          </cell>
          <cell r="K90" t="str">
            <v>IL</v>
          </cell>
        </row>
        <row r="91">
          <cell r="J91" t="str">
            <v>A0349</v>
          </cell>
          <cell r="K91" t="str">
            <v>IL</v>
          </cell>
        </row>
        <row r="92">
          <cell r="J92" t="str">
            <v>A0350</v>
          </cell>
          <cell r="K92" t="str">
            <v>IL</v>
          </cell>
        </row>
        <row r="93">
          <cell r="J93" t="str">
            <v>A0351</v>
          </cell>
          <cell r="K93" t="str">
            <v>IL</v>
          </cell>
        </row>
        <row r="94">
          <cell r="J94" t="str">
            <v>A0359</v>
          </cell>
          <cell r="K94" t="str">
            <v>IL</v>
          </cell>
        </row>
        <row r="95">
          <cell r="J95" t="str">
            <v>A0366</v>
          </cell>
          <cell r="K95" t="str">
            <v>IL</v>
          </cell>
        </row>
        <row r="96">
          <cell r="J96" t="str">
            <v>A0370</v>
          </cell>
          <cell r="K96" t="str">
            <v>IL</v>
          </cell>
        </row>
        <row r="97">
          <cell r="J97" t="str">
            <v>A0371</v>
          </cell>
          <cell r="K97" t="str">
            <v>IL</v>
          </cell>
        </row>
        <row r="98">
          <cell r="J98" t="str">
            <v>A0372</v>
          </cell>
          <cell r="K98" t="str">
            <v>IL</v>
          </cell>
        </row>
        <row r="99">
          <cell r="J99" t="str">
            <v>A0373</v>
          </cell>
          <cell r="K99" t="str">
            <v>IL</v>
          </cell>
        </row>
        <row r="100">
          <cell r="J100" t="str">
            <v>A0378</v>
          </cell>
          <cell r="K100" t="str">
            <v>IL</v>
          </cell>
        </row>
        <row r="101">
          <cell r="J101" t="str">
            <v>A0379</v>
          </cell>
          <cell r="K101" t="str">
            <v>IL</v>
          </cell>
        </row>
        <row r="102">
          <cell r="J102" t="str">
            <v>A0382</v>
          </cell>
          <cell r="K102" t="str">
            <v>IL</v>
          </cell>
        </row>
        <row r="103">
          <cell r="J103" t="str">
            <v>A0383</v>
          </cell>
          <cell r="K103" t="str">
            <v>IL</v>
          </cell>
        </row>
        <row r="104">
          <cell r="J104" t="str">
            <v>A0384</v>
          </cell>
          <cell r="K104" t="str">
            <v>IL</v>
          </cell>
        </row>
        <row r="105">
          <cell r="J105" t="str">
            <v>A0391</v>
          </cell>
          <cell r="K105" t="str">
            <v>IL</v>
          </cell>
        </row>
        <row r="106">
          <cell r="J106" t="str">
            <v>A0392</v>
          </cell>
          <cell r="K106" t="str">
            <v>IL</v>
          </cell>
        </row>
        <row r="107">
          <cell r="J107" t="str">
            <v>A0393</v>
          </cell>
          <cell r="K107" t="str">
            <v>IL</v>
          </cell>
        </row>
        <row r="108">
          <cell r="J108" t="str">
            <v>A0398</v>
          </cell>
          <cell r="K108" t="str">
            <v>IL</v>
          </cell>
        </row>
        <row r="109">
          <cell r="J109" t="str">
            <v>A0399</v>
          </cell>
          <cell r="K109" t="str">
            <v>IL</v>
          </cell>
        </row>
        <row r="110">
          <cell r="J110" t="str">
            <v>A0401</v>
          </cell>
          <cell r="K110" t="str">
            <v>IL</v>
          </cell>
        </row>
        <row r="111">
          <cell r="J111" t="str">
            <v>A0402</v>
          </cell>
          <cell r="K111" t="str">
            <v>IL</v>
          </cell>
        </row>
        <row r="112">
          <cell r="J112" t="str">
            <v>A0403</v>
          </cell>
          <cell r="K112" t="str">
            <v>IL</v>
          </cell>
        </row>
        <row r="113">
          <cell r="J113" t="str">
            <v>A0406</v>
          </cell>
          <cell r="K113" t="str">
            <v>IL</v>
          </cell>
        </row>
        <row r="114">
          <cell r="J114" t="str">
            <v>A0416</v>
          </cell>
          <cell r="K114" t="str">
            <v>IL</v>
          </cell>
        </row>
        <row r="115">
          <cell r="J115" t="str">
            <v>A0423</v>
          </cell>
          <cell r="K115" t="str">
            <v>IL</v>
          </cell>
        </row>
        <row r="116">
          <cell r="J116" t="str">
            <v>A0424</v>
          </cell>
          <cell r="K116" t="str">
            <v>IL</v>
          </cell>
        </row>
        <row r="117">
          <cell r="J117" t="str">
            <v>A0425</v>
          </cell>
          <cell r="K117" t="str">
            <v>IL</v>
          </cell>
        </row>
        <row r="118">
          <cell r="J118" t="str">
            <v>A0428</v>
          </cell>
          <cell r="K118" t="str">
            <v>IL</v>
          </cell>
        </row>
        <row r="119">
          <cell r="J119" t="str">
            <v>A0433</v>
          </cell>
          <cell r="K119" t="str">
            <v>IL</v>
          </cell>
        </row>
        <row r="120">
          <cell r="J120" t="str">
            <v>A0436</v>
          </cell>
          <cell r="K120" t="str">
            <v>IL</v>
          </cell>
        </row>
        <row r="121">
          <cell r="J121" t="str">
            <v>A0439</v>
          </cell>
          <cell r="K121" t="str">
            <v>IL</v>
          </cell>
        </row>
        <row r="122">
          <cell r="J122" t="str">
            <v>A0442</v>
          </cell>
          <cell r="K122" t="str">
            <v>IL</v>
          </cell>
        </row>
        <row r="123">
          <cell r="J123" t="str">
            <v>A0449</v>
          </cell>
          <cell r="K123" t="str">
            <v>IL</v>
          </cell>
        </row>
        <row r="124">
          <cell r="J124" t="str">
            <v>A0456</v>
          </cell>
          <cell r="K124" t="str">
            <v>IL</v>
          </cell>
        </row>
        <row r="125">
          <cell r="J125" t="str">
            <v>A0467</v>
          </cell>
          <cell r="K125" t="str">
            <v>IL</v>
          </cell>
        </row>
        <row r="126">
          <cell r="J126" t="str">
            <v>A0468</v>
          </cell>
          <cell r="K126" t="str">
            <v>IL</v>
          </cell>
        </row>
        <row r="127">
          <cell r="J127" t="str">
            <v>A0471</v>
          </cell>
          <cell r="K127" t="str">
            <v>IL</v>
          </cell>
        </row>
        <row r="128">
          <cell r="J128" t="str">
            <v>A0482</v>
          </cell>
          <cell r="K128" t="str">
            <v>IL</v>
          </cell>
        </row>
        <row r="129">
          <cell r="J129" t="str">
            <v>A0483</v>
          </cell>
          <cell r="K129" t="str">
            <v>IL</v>
          </cell>
        </row>
        <row r="130">
          <cell r="J130" t="str">
            <v>A0496</v>
          </cell>
          <cell r="K130" t="str">
            <v>IL</v>
          </cell>
        </row>
        <row r="131">
          <cell r="J131" t="str">
            <v>A0507</v>
          </cell>
          <cell r="K131" t="str">
            <v>IL</v>
          </cell>
        </row>
        <row r="132">
          <cell r="J132" t="str">
            <v>A0509</v>
          </cell>
          <cell r="K132" t="str">
            <v>IL</v>
          </cell>
        </row>
        <row r="133">
          <cell r="J133" t="str">
            <v>A0511</v>
          </cell>
          <cell r="K133" t="str">
            <v>IL</v>
          </cell>
        </row>
        <row r="134">
          <cell r="J134" t="str">
            <v>A0515</v>
          </cell>
          <cell r="K134" t="str">
            <v>IL</v>
          </cell>
        </row>
        <row r="135">
          <cell r="J135" t="str">
            <v>A0519</v>
          </cell>
          <cell r="K135" t="str">
            <v>IL</v>
          </cell>
        </row>
        <row r="136">
          <cell r="J136" t="str">
            <v>A0520</v>
          </cell>
          <cell r="K136" t="str">
            <v>IL</v>
          </cell>
        </row>
        <row r="137">
          <cell r="J137" t="str">
            <v>A0523</v>
          </cell>
          <cell r="K137" t="str">
            <v>IL</v>
          </cell>
        </row>
        <row r="138">
          <cell r="J138" t="str">
            <v>A0526</v>
          </cell>
          <cell r="K138" t="str">
            <v>IL</v>
          </cell>
        </row>
        <row r="139">
          <cell r="J139" t="str">
            <v>A0527</v>
          </cell>
          <cell r="K139" t="str">
            <v>IL</v>
          </cell>
        </row>
        <row r="140">
          <cell r="J140" t="str">
            <v>A0528</v>
          </cell>
          <cell r="K140" t="str">
            <v>IL</v>
          </cell>
        </row>
        <row r="141">
          <cell r="J141" t="str">
            <v>A0530</v>
          </cell>
          <cell r="K141" t="str">
            <v>IL</v>
          </cell>
        </row>
        <row r="142">
          <cell r="J142" t="str">
            <v>A0531</v>
          </cell>
          <cell r="K142" t="str">
            <v>IL</v>
          </cell>
        </row>
        <row r="143">
          <cell r="J143" t="str">
            <v>A0533</v>
          </cell>
          <cell r="K143" t="str">
            <v>IL</v>
          </cell>
        </row>
        <row r="144">
          <cell r="J144" t="str">
            <v>A0536</v>
          </cell>
          <cell r="K144" t="str">
            <v>IL</v>
          </cell>
        </row>
        <row r="145">
          <cell r="J145" t="str">
            <v>A0548</v>
          </cell>
          <cell r="K145" t="str">
            <v>IL</v>
          </cell>
        </row>
        <row r="146">
          <cell r="J146" t="str">
            <v>A0558</v>
          </cell>
          <cell r="K146" t="str">
            <v>IL</v>
          </cell>
        </row>
        <row r="147">
          <cell r="J147" t="str">
            <v>A0559</v>
          </cell>
          <cell r="K147" t="str">
            <v>IL</v>
          </cell>
        </row>
        <row r="148">
          <cell r="J148" t="str">
            <v>A0567</v>
          </cell>
          <cell r="K148" t="str">
            <v>IL</v>
          </cell>
        </row>
        <row r="149">
          <cell r="J149" t="str">
            <v>A0574</v>
          </cell>
          <cell r="K149" t="str">
            <v>IL</v>
          </cell>
        </row>
        <row r="150">
          <cell r="J150" t="str">
            <v>A0596</v>
          </cell>
          <cell r="K150" t="str">
            <v>IL</v>
          </cell>
        </row>
        <row r="151">
          <cell r="J151" t="str">
            <v>A0600</v>
          </cell>
          <cell r="K151" t="str">
            <v>IL</v>
          </cell>
        </row>
        <row r="152">
          <cell r="J152" t="str">
            <v>A0622</v>
          </cell>
          <cell r="K152" t="str">
            <v>IL</v>
          </cell>
        </row>
        <row r="153">
          <cell r="J153" t="str">
            <v>A0623</v>
          </cell>
          <cell r="K153" t="str">
            <v>IL</v>
          </cell>
        </row>
        <row r="154">
          <cell r="J154" t="str">
            <v>A0624</v>
          </cell>
          <cell r="K154" t="str">
            <v>IL</v>
          </cell>
        </row>
        <row r="155">
          <cell r="J155" t="str">
            <v>A0625</v>
          </cell>
          <cell r="K155" t="str">
            <v>IL</v>
          </cell>
        </row>
        <row r="156">
          <cell r="J156" t="str">
            <v>A0677</v>
          </cell>
          <cell r="K156" t="str">
            <v>IL</v>
          </cell>
        </row>
        <row r="157">
          <cell r="J157" t="str">
            <v>A0678</v>
          </cell>
          <cell r="K157" t="str">
            <v>IL</v>
          </cell>
        </row>
        <row r="158">
          <cell r="J158" t="str">
            <v>A0697</v>
          </cell>
          <cell r="K158" t="str">
            <v>IL</v>
          </cell>
        </row>
        <row r="159">
          <cell r="J159" t="str">
            <v>A0698</v>
          </cell>
          <cell r="K159" t="str">
            <v>IL</v>
          </cell>
        </row>
        <row r="160">
          <cell r="J160" t="str">
            <v>A0699</v>
          </cell>
          <cell r="K160" t="str">
            <v>IL</v>
          </cell>
        </row>
        <row r="161">
          <cell r="J161" t="str">
            <v>A0705</v>
          </cell>
          <cell r="K161" t="str">
            <v>IL</v>
          </cell>
        </row>
        <row r="162">
          <cell r="J162" t="str">
            <v>A0710</v>
          </cell>
          <cell r="K162" t="str">
            <v>IL</v>
          </cell>
        </row>
        <row r="163">
          <cell r="J163" t="str">
            <v>A0722</v>
          </cell>
          <cell r="K163" t="str">
            <v>IL</v>
          </cell>
        </row>
        <row r="164">
          <cell r="J164" t="str">
            <v>A0733</v>
          </cell>
          <cell r="K164" t="str">
            <v>IL</v>
          </cell>
        </row>
        <row r="165">
          <cell r="J165" t="str">
            <v>A0742</v>
          </cell>
          <cell r="K165" t="str">
            <v>IL</v>
          </cell>
        </row>
        <row r="166">
          <cell r="J166" t="str">
            <v>A0744</v>
          </cell>
          <cell r="K166" t="str">
            <v>IL</v>
          </cell>
        </row>
        <row r="167">
          <cell r="J167" t="str">
            <v>A0750</v>
          </cell>
          <cell r="K167" t="str">
            <v>IL</v>
          </cell>
        </row>
        <row r="168">
          <cell r="J168" t="str">
            <v>A0754</v>
          </cell>
          <cell r="K168" t="str">
            <v>IL</v>
          </cell>
        </row>
        <row r="169">
          <cell r="J169" t="str">
            <v>A0792</v>
          </cell>
          <cell r="K169" t="str">
            <v>IL</v>
          </cell>
        </row>
        <row r="170">
          <cell r="J170" t="str">
            <v>A0803</v>
          </cell>
          <cell r="K170" t="str">
            <v>IL</v>
          </cell>
        </row>
        <row r="171">
          <cell r="J171" t="str">
            <v>A0805</v>
          </cell>
          <cell r="K171" t="str">
            <v>IL</v>
          </cell>
        </row>
        <row r="172">
          <cell r="J172" t="str">
            <v>A0815</v>
          </cell>
          <cell r="K172" t="str">
            <v>IL</v>
          </cell>
        </row>
        <row r="173">
          <cell r="J173" t="str">
            <v>A0819</v>
          </cell>
          <cell r="K173" t="str">
            <v>IL</v>
          </cell>
        </row>
        <row r="174">
          <cell r="J174" t="str">
            <v>A0820</v>
          </cell>
          <cell r="K174" t="str">
            <v>IL</v>
          </cell>
        </row>
        <row r="175">
          <cell r="J175" t="str">
            <v>A0825</v>
          </cell>
          <cell r="K175" t="str">
            <v>IL</v>
          </cell>
        </row>
        <row r="176">
          <cell r="J176" t="str">
            <v>A0837</v>
          </cell>
          <cell r="K176" t="str">
            <v>IL</v>
          </cell>
        </row>
        <row r="177">
          <cell r="J177" t="str">
            <v>A0838</v>
          </cell>
          <cell r="K177" t="str">
            <v>IL</v>
          </cell>
        </row>
        <row r="178">
          <cell r="J178" t="str">
            <v>A0841</v>
          </cell>
          <cell r="K178" t="str">
            <v>IL</v>
          </cell>
        </row>
        <row r="179">
          <cell r="J179" t="str">
            <v>A0850</v>
          </cell>
          <cell r="K179" t="str">
            <v>IL</v>
          </cell>
        </row>
        <row r="180">
          <cell r="J180" t="str">
            <v>A0852</v>
          </cell>
          <cell r="K180" t="str">
            <v>IL</v>
          </cell>
        </row>
        <row r="181">
          <cell r="J181" t="str">
            <v>A0862</v>
          </cell>
          <cell r="K181" t="str">
            <v>IL</v>
          </cell>
        </row>
        <row r="182">
          <cell r="J182" t="str">
            <v>A0866</v>
          </cell>
          <cell r="K182" t="str">
            <v>IL</v>
          </cell>
        </row>
        <row r="183">
          <cell r="J183" t="str">
            <v>A0869</v>
          </cell>
          <cell r="K183" t="str">
            <v>IL</v>
          </cell>
        </row>
        <row r="184">
          <cell r="J184" t="str">
            <v>A0878</v>
          </cell>
          <cell r="K184" t="str">
            <v>IL</v>
          </cell>
        </row>
        <row r="185">
          <cell r="J185" t="str">
            <v>A0880</v>
          </cell>
          <cell r="K185" t="str">
            <v>IL</v>
          </cell>
        </row>
        <row r="186">
          <cell r="J186" t="str">
            <v>A0894</v>
          </cell>
          <cell r="K186" t="str">
            <v>IL</v>
          </cell>
        </row>
        <row r="187">
          <cell r="J187" t="str">
            <v>A0897</v>
          </cell>
          <cell r="K187" t="str">
            <v>IL</v>
          </cell>
        </row>
        <row r="188">
          <cell r="J188" t="str">
            <v>A0898</v>
          </cell>
          <cell r="K188" t="str">
            <v>IL</v>
          </cell>
        </row>
        <row r="189">
          <cell r="J189" t="str">
            <v>A0926</v>
          </cell>
          <cell r="K189" t="str">
            <v>IL</v>
          </cell>
        </row>
        <row r="190">
          <cell r="J190" t="str">
            <v>A0953</v>
          </cell>
          <cell r="K190" t="str">
            <v>IL</v>
          </cell>
        </row>
        <row r="191">
          <cell r="J191" t="str">
            <v>A0954</v>
          </cell>
          <cell r="K191" t="str">
            <v>IL</v>
          </cell>
        </row>
        <row r="192">
          <cell r="J192" t="str">
            <v>A0955</v>
          </cell>
          <cell r="K192" t="str">
            <v>IL</v>
          </cell>
        </row>
        <row r="193">
          <cell r="J193" t="str">
            <v>A0957</v>
          </cell>
          <cell r="K193" t="str">
            <v>IL</v>
          </cell>
        </row>
        <row r="194">
          <cell r="J194" t="str">
            <v>A0958</v>
          </cell>
          <cell r="K194" t="str">
            <v>IL</v>
          </cell>
        </row>
        <row r="195">
          <cell r="J195" t="str">
            <v>A0959</v>
          </cell>
          <cell r="K195" t="str">
            <v>IL</v>
          </cell>
        </row>
        <row r="196">
          <cell r="J196" t="str">
            <v>A0961</v>
          </cell>
          <cell r="K196" t="str">
            <v>IL</v>
          </cell>
        </row>
        <row r="197">
          <cell r="J197" t="str">
            <v>A0962</v>
          </cell>
          <cell r="K197" t="str">
            <v>IL</v>
          </cell>
        </row>
        <row r="198">
          <cell r="J198" t="str">
            <v>A0963</v>
          </cell>
          <cell r="K198" t="str">
            <v>IL</v>
          </cell>
        </row>
        <row r="199">
          <cell r="J199" t="str">
            <v>A0966</v>
          </cell>
          <cell r="K199" t="str">
            <v>IL</v>
          </cell>
        </row>
        <row r="200">
          <cell r="J200" t="str">
            <v>A0967</v>
          </cell>
          <cell r="K200" t="str">
            <v>IL</v>
          </cell>
        </row>
        <row r="201">
          <cell r="J201" t="str">
            <v>A0968</v>
          </cell>
          <cell r="K201" t="str">
            <v>IL</v>
          </cell>
        </row>
        <row r="202">
          <cell r="J202" t="str">
            <v>A0974</v>
          </cell>
          <cell r="K202" t="str">
            <v>IL</v>
          </cell>
        </row>
        <row r="203">
          <cell r="J203" t="str">
            <v>A0983</v>
          </cell>
          <cell r="K203" t="str">
            <v>IL</v>
          </cell>
        </row>
        <row r="204">
          <cell r="J204" t="str">
            <v>A0985</v>
          </cell>
          <cell r="K204" t="str">
            <v>IL</v>
          </cell>
        </row>
        <row r="205">
          <cell r="J205" t="str">
            <v>A0987</v>
          </cell>
          <cell r="K205" t="str">
            <v>IL</v>
          </cell>
        </row>
        <row r="206">
          <cell r="J206" t="str">
            <v>A0988</v>
          </cell>
          <cell r="K206" t="str">
            <v>IL</v>
          </cell>
        </row>
        <row r="207">
          <cell r="J207" t="str">
            <v>A0992</v>
          </cell>
          <cell r="K207" t="str">
            <v>IL</v>
          </cell>
        </row>
        <row r="208">
          <cell r="J208" t="str">
            <v>A0993</v>
          </cell>
          <cell r="K208" t="str">
            <v>IL</v>
          </cell>
        </row>
        <row r="209">
          <cell r="J209" t="str">
            <v>A0994</v>
          </cell>
          <cell r="K209" t="str">
            <v>IL</v>
          </cell>
        </row>
        <row r="210">
          <cell r="J210" t="str">
            <v>A0999</v>
          </cell>
          <cell r="K210" t="str">
            <v>IL</v>
          </cell>
        </row>
        <row r="211">
          <cell r="J211" t="str">
            <v>A1000</v>
          </cell>
          <cell r="K211" t="str">
            <v>IL</v>
          </cell>
        </row>
        <row r="212">
          <cell r="J212" t="str">
            <v>A1002</v>
          </cell>
          <cell r="K212" t="str">
            <v>IL</v>
          </cell>
        </row>
        <row r="213">
          <cell r="J213" t="str">
            <v>A1008</v>
          </cell>
          <cell r="K213" t="str">
            <v>IL</v>
          </cell>
        </row>
        <row r="214">
          <cell r="J214" t="str">
            <v>A1009</v>
          </cell>
          <cell r="K214" t="str">
            <v>IL</v>
          </cell>
        </row>
        <row r="215">
          <cell r="J215" t="str">
            <v>A1013</v>
          </cell>
          <cell r="K215" t="str">
            <v>IL</v>
          </cell>
        </row>
        <row r="216">
          <cell r="J216" t="str">
            <v>A1014</v>
          </cell>
          <cell r="K216" t="str">
            <v>IL</v>
          </cell>
        </row>
        <row r="217">
          <cell r="J217" t="str">
            <v>A1015</v>
          </cell>
          <cell r="K217" t="str">
            <v>IL</v>
          </cell>
        </row>
        <row r="218">
          <cell r="J218" t="str">
            <v>A1017</v>
          </cell>
          <cell r="K218" t="str">
            <v>IL</v>
          </cell>
        </row>
        <row r="219">
          <cell r="J219" t="str">
            <v>A1019</v>
          </cell>
          <cell r="K219" t="str">
            <v>IL</v>
          </cell>
        </row>
        <row r="220">
          <cell r="J220" t="str">
            <v>A1023</v>
          </cell>
          <cell r="K220" t="str">
            <v>IL</v>
          </cell>
        </row>
        <row r="221">
          <cell r="J221" t="str">
            <v>A1024</v>
          </cell>
          <cell r="K221" t="str">
            <v>IL</v>
          </cell>
        </row>
        <row r="222">
          <cell r="J222" t="str">
            <v>A1025</v>
          </cell>
          <cell r="K222" t="str">
            <v>IL</v>
          </cell>
        </row>
        <row r="223">
          <cell r="J223" t="str">
            <v>A1048</v>
          </cell>
          <cell r="K223" t="str">
            <v>IL</v>
          </cell>
        </row>
        <row r="224">
          <cell r="J224" t="str">
            <v>A1049</v>
          </cell>
          <cell r="K224" t="str">
            <v>IL</v>
          </cell>
        </row>
        <row r="225">
          <cell r="J225" t="str">
            <v>A1052</v>
          </cell>
          <cell r="K225" t="str">
            <v>IL</v>
          </cell>
        </row>
        <row r="226">
          <cell r="J226" t="str">
            <v>A1055</v>
          </cell>
          <cell r="K226" t="str">
            <v>IL</v>
          </cell>
        </row>
        <row r="227">
          <cell r="J227" t="str">
            <v>A1056</v>
          </cell>
          <cell r="K227" t="str">
            <v>IL</v>
          </cell>
        </row>
        <row r="228">
          <cell r="J228" t="str">
            <v>A1057</v>
          </cell>
          <cell r="K228" t="str">
            <v>IL</v>
          </cell>
        </row>
        <row r="229">
          <cell r="J229" t="str">
            <v>A1059</v>
          </cell>
          <cell r="K229" t="str">
            <v>IL</v>
          </cell>
        </row>
        <row r="230">
          <cell r="J230" t="str">
            <v>A1063</v>
          </cell>
          <cell r="K230" t="str">
            <v>IL</v>
          </cell>
        </row>
        <row r="231">
          <cell r="J231" t="str">
            <v>A1066</v>
          </cell>
          <cell r="K231" t="str">
            <v>IL</v>
          </cell>
        </row>
        <row r="232">
          <cell r="J232" t="str">
            <v>A1068</v>
          </cell>
          <cell r="K232" t="str">
            <v>IL</v>
          </cell>
        </row>
        <row r="233">
          <cell r="J233" t="str">
            <v>A1069</v>
          </cell>
          <cell r="K233" t="str">
            <v>IL</v>
          </cell>
        </row>
        <row r="234">
          <cell r="J234" t="str">
            <v>A1078</v>
          </cell>
          <cell r="K234" t="str">
            <v>IL</v>
          </cell>
        </row>
        <row r="235">
          <cell r="J235" t="str">
            <v>A1251</v>
          </cell>
          <cell r="K235" t="str">
            <v>IL</v>
          </cell>
        </row>
        <row r="236">
          <cell r="J236" t="str">
            <v>A1252</v>
          </cell>
          <cell r="K236" t="str">
            <v>IL</v>
          </cell>
        </row>
        <row r="237">
          <cell r="J237" t="str">
            <v>A1253</v>
          </cell>
          <cell r="K237" t="str">
            <v>IL</v>
          </cell>
        </row>
        <row r="238">
          <cell r="J238" t="str">
            <v>A1263</v>
          </cell>
          <cell r="K238" t="str">
            <v>IL</v>
          </cell>
        </row>
        <row r="239">
          <cell r="J239" t="str">
            <v>A2006</v>
          </cell>
          <cell r="K239" t="str">
            <v>IL</v>
          </cell>
        </row>
        <row r="240">
          <cell r="J240" t="str">
            <v>A2010</v>
          </cell>
          <cell r="K240" t="str">
            <v>IL</v>
          </cell>
        </row>
        <row r="241">
          <cell r="J241" t="str">
            <v>A2011</v>
          </cell>
          <cell r="K241" t="str">
            <v>IL</v>
          </cell>
        </row>
        <row r="242">
          <cell r="J242" t="str">
            <v>A2019</v>
          </cell>
          <cell r="K242" t="str">
            <v>IL</v>
          </cell>
        </row>
        <row r="243">
          <cell r="J243" t="str">
            <v>A2022</v>
          </cell>
          <cell r="K243" t="str">
            <v>IL</v>
          </cell>
        </row>
        <row r="244">
          <cell r="J244" t="str">
            <v>A2029</v>
          </cell>
          <cell r="K244" t="str">
            <v>IL</v>
          </cell>
        </row>
        <row r="245">
          <cell r="J245" t="str">
            <v>A2032</v>
          </cell>
          <cell r="K245" t="str">
            <v>IL</v>
          </cell>
        </row>
        <row r="246">
          <cell r="J246" t="str">
            <v>A2078</v>
          </cell>
          <cell r="K246" t="str">
            <v>IL</v>
          </cell>
        </row>
        <row r="247">
          <cell r="J247" t="str">
            <v>A2079</v>
          </cell>
          <cell r="K247" t="str">
            <v>IL</v>
          </cell>
        </row>
        <row r="248">
          <cell r="J248" t="str">
            <v>A2092</v>
          </cell>
          <cell r="K248" t="str">
            <v>IL</v>
          </cell>
        </row>
        <row r="249">
          <cell r="J249" t="str">
            <v>A2104</v>
          </cell>
          <cell r="K249" t="str">
            <v>IL</v>
          </cell>
        </row>
        <row r="250">
          <cell r="J250" t="str">
            <v>A2107</v>
          </cell>
          <cell r="K250" t="str">
            <v>IL</v>
          </cell>
        </row>
        <row r="251">
          <cell r="J251" t="str">
            <v>A2111</v>
          </cell>
          <cell r="K251" t="str">
            <v>IL</v>
          </cell>
        </row>
        <row r="252">
          <cell r="J252" t="str">
            <v>A2112</v>
          </cell>
          <cell r="K252" t="str">
            <v>IL</v>
          </cell>
        </row>
        <row r="253">
          <cell r="J253" t="str">
            <v>A2116</v>
          </cell>
          <cell r="K253" t="str">
            <v>IL</v>
          </cell>
        </row>
        <row r="254">
          <cell r="J254" t="str">
            <v>A2122</v>
          </cell>
          <cell r="K254" t="str">
            <v>IL</v>
          </cell>
        </row>
        <row r="255">
          <cell r="J255" t="str">
            <v>A2126</v>
          </cell>
          <cell r="K255" t="str">
            <v>IL</v>
          </cell>
        </row>
        <row r="256">
          <cell r="J256" t="str">
            <v>A2135</v>
          </cell>
          <cell r="K256" t="str">
            <v>IL</v>
          </cell>
        </row>
        <row r="257">
          <cell r="J257" t="str">
            <v>A2139</v>
          </cell>
          <cell r="K257" t="str">
            <v>IL</v>
          </cell>
        </row>
        <row r="258">
          <cell r="J258" t="str">
            <v>A2148</v>
          </cell>
          <cell r="K258" t="str">
            <v>IL</v>
          </cell>
        </row>
        <row r="259">
          <cell r="J259" t="str">
            <v>A2152</v>
          </cell>
          <cell r="K259" t="str">
            <v>IL</v>
          </cell>
        </row>
        <row r="260">
          <cell r="J260" t="str">
            <v>A2158</v>
          </cell>
          <cell r="K260" t="str">
            <v>IL</v>
          </cell>
        </row>
        <row r="261">
          <cell r="J261" t="str">
            <v>A2168</v>
          </cell>
          <cell r="K261" t="str">
            <v>IL</v>
          </cell>
        </row>
        <row r="262">
          <cell r="J262" t="str">
            <v>A2179</v>
          </cell>
          <cell r="K262" t="str">
            <v>IL</v>
          </cell>
        </row>
        <row r="263">
          <cell r="J263" t="str">
            <v>A2184</v>
          </cell>
          <cell r="K263" t="str">
            <v>IL</v>
          </cell>
        </row>
        <row r="264">
          <cell r="J264" t="str">
            <v>A2202</v>
          </cell>
          <cell r="K264" t="str">
            <v>IL</v>
          </cell>
        </row>
        <row r="265">
          <cell r="J265" t="str">
            <v>A2209</v>
          </cell>
          <cell r="K265" t="str">
            <v>IL</v>
          </cell>
        </row>
        <row r="266">
          <cell r="J266" t="str">
            <v>A2224</v>
          </cell>
          <cell r="K266" t="str">
            <v>IL</v>
          </cell>
        </row>
        <row r="267">
          <cell r="J267" t="str">
            <v>A2257</v>
          </cell>
          <cell r="K267" t="str">
            <v>IL</v>
          </cell>
        </row>
        <row r="268">
          <cell r="J268" t="str">
            <v>A2265</v>
          </cell>
          <cell r="K268" t="str">
            <v>IL</v>
          </cell>
        </row>
        <row r="269">
          <cell r="J269" t="str">
            <v>A2275</v>
          </cell>
          <cell r="K269" t="str">
            <v>IL</v>
          </cell>
        </row>
        <row r="270">
          <cell r="J270" t="str">
            <v>A2276</v>
          </cell>
          <cell r="K270" t="str">
            <v>IL</v>
          </cell>
        </row>
        <row r="271">
          <cell r="J271" t="str">
            <v>A2296</v>
          </cell>
          <cell r="K271" t="str">
            <v>IL</v>
          </cell>
        </row>
        <row r="272">
          <cell r="J272" t="str">
            <v>A2302</v>
          </cell>
          <cell r="K272" t="str">
            <v>IL</v>
          </cell>
        </row>
        <row r="273">
          <cell r="J273" t="str">
            <v>A2307</v>
          </cell>
          <cell r="K273" t="str">
            <v>IL</v>
          </cell>
        </row>
        <row r="274">
          <cell r="J274" t="str">
            <v>A2309</v>
          </cell>
          <cell r="K274" t="str">
            <v>IL</v>
          </cell>
        </row>
        <row r="275">
          <cell r="J275" t="str">
            <v>A2312</v>
          </cell>
          <cell r="K275" t="str">
            <v>IL</v>
          </cell>
        </row>
        <row r="276">
          <cell r="J276" t="str">
            <v>A2321</v>
          </cell>
          <cell r="K276" t="str">
            <v>IL</v>
          </cell>
        </row>
        <row r="277">
          <cell r="J277" t="str">
            <v>A2330</v>
          </cell>
          <cell r="K277" t="str">
            <v>IL</v>
          </cell>
        </row>
        <row r="278">
          <cell r="J278" t="str">
            <v>A2337</v>
          </cell>
          <cell r="K278" t="str">
            <v>IL</v>
          </cell>
        </row>
        <row r="279">
          <cell r="J279" t="str">
            <v>A2338</v>
          </cell>
          <cell r="K279" t="str">
            <v>IL</v>
          </cell>
        </row>
        <row r="280">
          <cell r="J280" t="str">
            <v>A2339</v>
          </cell>
          <cell r="K280" t="str">
            <v>IL</v>
          </cell>
        </row>
        <row r="281">
          <cell r="J281" t="str">
            <v>A2340</v>
          </cell>
          <cell r="K281" t="str">
            <v>IL</v>
          </cell>
        </row>
        <row r="282">
          <cell r="J282" t="str">
            <v>A2341</v>
          </cell>
          <cell r="K282" t="str">
            <v>IL</v>
          </cell>
        </row>
        <row r="283">
          <cell r="J283" t="str">
            <v>A2345</v>
          </cell>
          <cell r="K283" t="str">
            <v>IL</v>
          </cell>
        </row>
        <row r="284">
          <cell r="J284" t="str">
            <v>A2347</v>
          </cell>
          <cell r="K284" t="str">
            <v>IL</v>
          </cell>
        </row>
        <row r="285">
          <cell r="J285" t="str">
            <v>A2350</v>
          </cell>
          <cell r="K285" t="str">
            <v>IL</v>
          </cell>
        </row>
        <row r="286">
          <cell r="J286" t="str">
            <v>A2351</v>
          </cell>
          <cell r="K286" t="str">
            <v>IL</v>
          </cell>
        </row>
        <row r="287">
          <cell r="J287" t="str">
            <v>A2353</v>
          </cell>
          <cell r="K287" t="str">
            <v>IL</v>
          </cell>
        </row>
        <row r="288">
          <cell r="J288" t="str">
            <v>A2354</v>
          </cell>
          <cell r="K288" t="str">
            <v>IL</v>
          </cell>
        </row>
        <row r="289">
          <cell r="J289" t="str">
            <v>A2357</v>
          </cell>
          <cell r="K289" t="str">
            <v>IL</v>
          </cell>
        </row>
        <row r="290">
          <cell r="J290" t="str">
            <v>A2358</v>
          </cell>
          <cell r="K290" t="str">
            <v>IL</v>
          </cell>
        </row>
        <row r="291">
          <cell r="J291" t="str">
            <v>A2359</v>
          </cell>
          <cell r="K291" t="str">
            <v>IL</v>
          </cell>
        </row>
        <row r="292">
          <cell r="J292" t="str">
            <v>A2366</v>
          </cell>
          <cell r="K292" t="str">
            <v>IL</v>
          </cell>
        </row>
        <row r="293">
          <cell r="J293" t="str">
            <v>A2369</v>
          </cell>
          <cell r="K293" t="str">
            <v>IL</v>
          </cell>
        </row>
        <row r="294">
          <cell r="J294" t="str">
            <v>A2378</v>
          </cell>
          <cell r="K294" t="str">
            <v>IL</v>
          </cell>
        </row>
        <row r="295">
          <cell r="J295" t="str">
            <v>A2383</v>
          </cell>
          <cell r="K295" t="str">
            <v>IL</v>
          </cell>
        </row>
        <row r="296">
          <cell r="J296" t="str">
            <v>A2389</v>
          </cell>
          <cell r="K296" t="str">
            <v>IL</v>
          </cell>
        </row>
        <row r="297">
          <cell r="J297" t="str">
            <v>A2398</v>
          </cell>
          <cell r="K297" t="str">
            <v>IL</v>
          </cell>
        </row>
        <row r="298">
          <cell r="J298" t="str">
            <v>A2399</v>
          </cell>
          <cell r="K298" t="str">
            <v>IL</v>
          </cell>
        </row>
        <row r="299">
          <cell r="J299" t="str">
            <v>A2400</v>
          </cell>
          <cell r="K299" t="str">
            <v>IL</v>
          </cell>
        </row>
        <row r="300">
          <cell r="J300" t="str">
            <v>A2401</v>
          </cell>
          <cell r="K300" t="str">
            <v>IL</v>
          </cell>
        </row>
        <row r="301">
          <cell r="J301" t="str">
            <v>A2412</v>
          </cell>
          <cell r="K301" t="str">
            <v>IL</v>
          </cell>
        </row>
        <row r="302">
          <cell r="J302" t="str">
            <v>A2417</v>
          </cell>
          <cell r="K302" t="str">
            <v>IL</v>
          </cell>
        </row>
        <row r="303">
          <cell r="J303" t="str">
            <v>A2418</v>
          </cell>
          <cell r="K303" t="str">
            <v>IL</v>
          </cell>
        </row>
        <row r="304">
          <cell r="J304" t="str">
            <v>A2419</v>
          </cell>
          <cell r="K304" t="str">
            <v>IL</v>
          </cell>
        </row>
        <row r="305">
          <cell r="J305" t="str">
            <v>A2420</v>
          </cell>
          <cell r="K305" t="str">
            <v>IL</v>
          </cell>
        </row>
        <row r="306">
          <cell r="J306" t="str">
            <v>A2421</v>
          </cell>
          <cell r="K306" t="str">
            <v>IL</v>
          </cell>
        </row>
        <row r="307">
          <cell r="J307" t="str">
            <v>A2422</v>
          </cell>
          <cell r="K307" t="str">
            <v>IL</v>
          </cell>
        </row>
        <row r="308">
          <cell r="J308" t="str">
            <v>A2426</v>
          </cell>
          <cell r="K308" t="str">
            <v>IL</v>
          </cell>
        </row>
        <row r="309">
          <cell r="J309" t="str">
            <v>A2478</v>
          </cell>
          <cell r="K309" t="str">
            <v>IL</v>
          </cell>
        </row>
        <row r="310">
          <cell r="J310" t="str">
            <v>A2479</v>
          </cell>
          <cell r="K310" t="str">
            <v>IL</v>
          </cell>
        </row>
        <row r="311">
          <cell r="J311" t="str">
            <v>A2481</v>
          </cell>
          <cell r="K311" t="str">
            <v>IL</v>
          </cell>
        </row>
        <row r="312">
          <cell r="J312" t="str">
            <v>A2483</v>
          </cell>
          <cell r="K312" t="str">
            <v>IL</v>
          </cell>
        </row>
        <row r="313">
          <cell r="J313" t="str">
            <v>A2484</v>
          </cell>
          <cell r="K313" t="str">
            <v>IL</v>
          </cell>
        </row>
        <row r="314">
          <cell r="J314" t="str">
            <v>A2485</v>
          </cell>
          <cell r="K314" t="str">
            <v>IL</v>
          </cell>
        </row>
        <row r="315">
          <cell r="J315" t="str">
            <v>A2488</v>
          </cell>
          <cell r="K315" t="str">
            <v>IL</v>
          </cell>
        </row>
        <row r="316">
          <cell r="J316" t="str">
            <v>A2490</v>
          </cell>
          <cell r="K316" t="str">
            <v>IL</v>
          </cell>
        </row>
        <row r="317">
          <cell r="J317" t="str">
            <v>A2504</v>
          </cell>
          <cell r="K317" t="str">
            <v>IL</v>
          </cell>
        </row>
        <row r="318">
          <cell r="J318" t="str">
            <v>A2505</v>
          </cell>
          <cell r="K318" t="str">
            <v>IL</v>
          </cell>
        </row>
        <row r="319">
          <cell r="J319" t="str">
            <v>A2510</v>
          </cell>
          <cell r="K319" t="str">
            <v>IL</v>
          </cell>
        </row>
        <row r="320">
          <cell r="J320" t="str">
            <v>A2533</v>
          </cell>
          <cell r="K320" t="str">
            <v>IL</v>
          </cell>
        </row>
        <row r="321">
          <cell r="J321" t="str">
            <v>A2545</v>
          </cell>
          <cell r="K321" t="str">
            <v>IL</v>
          </cell>
        </row>
        <row r="322">
          <cell r="J322" t="str">
            <v>A2546</v>
          </cell>
          <cell r="K322" t="str">
            <v>IL</v>
          </cell>
        </row>
        <row r="323">
          <cell r="J323" t="str">
            <v>A2548</v>
          </cell>
          <cell r="K323" t="str">
            <v>IL</v>
          </cell>
        </row>
        <row r="324">
          <cell r="J324" t="str">
            <v>A2549</v>
          </cell>
          <cell r="K324" t="str">
            <v>IL</v>
          </cell>
        </row>
        <row r="325">
          <cell r="J325" t="str">
            <v>A2552</v>
          </cell>
          <cell r="K325" t="str">
            <v>IL</v>
          </cell>
        </row>
        <row r="326">
          <cell r="J326" t="str">
            <v>A2553</v>
          </cell>
          <cell r="K326" t="str">
            <v>IL</v>
          </cell>
        </row>
        <row r="327">
          <cell r="J327" t="str">
            <v>A2554</v>
          </cell>
          <cell r="K327" t="str">
            <v>IL</v>
          </cell>
        </row>
        <row r="328">
          <cell r="J328" t="str">
            <v>A2555</v>
          </cell>
          <cell r="K328" t="str">
            <v>IL</v>
          </cell>
        </row>
        <row r="329">
          <cell r="J329" t="str">
            <v>A2564</v>
          </cell>
          <cell r="K329" t="str">
            <v>IL</v>
          </cell>
        </row>
        <row r="330">
          <cell r="J330" t="str">
            <v>A2566</v>
          </cell>
          <cell r="K330" t="str">
            <v>IL</v>
          </cell>
        </row>
        <row r="331">
          <cell r="J331" t="str">
            <v>A2567</v>
          </cell>
          <cell r="K331" t="str">
            <v>IL</v>
          </cell>
        </row>
        <row r="332">
          <cell r="J332" t="str">
            <v>A2569</v>
          </cell>
          <cell r="K332" t="str">
            <v>IL</v>
          </cell>
        </row>
        <row r="333">
          <cell r="J333" t="str">
            <v>A2570</v>
          </cell>
          <cell r="K333" t="str">
            <v>IL</v>
          </cell>
        </row>
        <row r="334">
          <cell r="J334" t="str">
            <v>A2573</v>
          </cell>
          <cell r="K334" t="str">
            <v>IL</v>
          </cell>
        </row>
        <row r="335">
          <cell r="J335" t="str">
            <v>A2577</v>
          </cell>
          <cell r="K335" t="str">
            <v>IL</v>
          </cell>
        </row>
        <row r="336">
          <cell r="J336" t="str">
            <v>A2578</v>
          </cell>
          <cell r="K336" t="str">
            <v>IL</v>
          </cell>
        </row>
        <row r="337">
          <cell r="J337" t="str">
            <v>A2587</v>
          </cell>
          <cell r="K337" t="str">
            <v>IL</v>
          </cell>
        </row>
        <row r="338">
          <cell r="J338" t="str">
            <v>A2593</v>
          </cell>
          <cell r="K338" t="str">
            <v>IL</v>
          </cell>
        </row>
        <row r="339">
          <cell r="J339" t="str">
            <v>A2594</v>
          </cell>
          <cell r="K339" t="str">
            <v>IL</v>
          </cell>
        </row>
        <row r="340">
          <cell r="J340" t="str">
            <v>A2596</v>
          </cell>
          <cell r="K340" t="str">
            <v>IL</v>
          </cell>
        </row>
        <row r="341">
          <cell r="J341" t="str">
            <v>A2597</v>
          </cell>
          <cell r="K341" t="str">
            <v>IL</v>
          </cell>
        </row>
        <row r="342">
          <cell r="J342" t="str">
            <v>A2599</v>
          </cell>
          <cell r="K342" t="str">
            <v>IL</v>
          </cell>
        </row>
        <row r="343">
          <cell r="J343" t="str">
            <v>A2602</v>
          </cell>
          <cell r="K343" t="str">
            <v>IL</v>
          </cell>
        </row>
        <row r="344">
          <cell r="J344" t="str">
            <v>A2603</v>
          </cell>
          <cell r="K344" t="str">
            <v>IL</v>
          </cell>
        </row>
        <row r="345">
          <cell r="J345" t="str">
            <v>A2605</v>
          </cell>
          <cell r="K345" t="str">
            <v>IL</v>
          </cell>
        </row>
        <row r="346">
          <cell r="J346" t="str">
            <v>A2606</v>
          </cell>
          <cell r="K346" t="str">
            <v>IL</v>
          </cell>
        </row>
        <row r="347">
          <cell r="J347" t="str">
            <v>A2617</v>
          </cell>
          <cell r="K347" t="str">
            <v>IL</v>
          </cell>
        </row>
        <row r="348">
          <cell r="J348" t="str">
            <v>A2621</v>
          </cell>
          <cell r="K348" t="str">
            <v>IL</v>
          </cell>
        </row>
        <row r="349">
          <cell r="J349" t="str">
            <v>A2622</v>
          </cell>
          <cell r="K349" t="str">
            <v>IL</v>
          </cell>
        </row>
        <row r="350">
          <cell r="J350" t="str">
            <v>A2627</v>
          </cell>
          <cell r="K350" t="str">
            <v>IL</v>
          </cell>
        </row>
        <row r="351">
          <cell r="J351" t="str">
            <v>A2628</v>
          </cell>
          <cell r="K351" t="str">
            <v>IL</v>
          </cell>
        </row>
        <row r="352">
          <cell r="J352" t="str">
            <v>A2631</v>
          </cell>
          <cell r="K352" t="str">
            <v>IL</v>
          </cell>
        </row>
        <row r="353">
          <cell r="J353" t="str">
            <v>A2633</v>
          </cell>
          <cell r="K353" t="str">
            <v>IL</v>
          </cell>
        </row>
        <row r="354">
          <cell r="J354" t="str">
            <v>A2636</v>
          </cell>
          <cell r="K354" t="str">
            <v>IL</v>
          </cell>
        </row>
        <row r="355">
          <cell r="J355" t="str">
            <v>A2638</v>
          </cell>
          <cell r="K355" t="str">
            <v>IL</v>
          </cell>
        </row>
        <row r="356">
          <cell r="J356" t="str">
            <v>A2649</v>
          </cell>
          <cell r="K356" t="str">
            <v>IL</v>
          </cell>
        </row>
        <row r="357">
          <cell r="J357" t="str">
            <v>A2650</v>
          </cell>
          <cell r="K357" t="str">
            <v>IL</v>
          </cell>
        </row>
        <row r="358">
          <cell r="J358" t="str">
            <v>A2655</v>
          </cell>
          <cell r="K358" t="str">
            <v>IL</v>
          </cell>
        </row>
        <row r="359">
          <cell r="J359" t="str">
            <v>A2660</v>
          </cell>
          <cell r="K359" t="str">
            <v>IL</v>
          </cell>
        </row>
        <row r="360">
          <cell r="J360" t="str">
            <v>A2661</v>
          </cell>
          <cell r="K360" t="str">
            <v>IL</v>
          </cell>
        </row>
        <row r="361">
          <cell r="J361" t="str">
            <v>A2662</v>
          </cell>
          <cell r="K361" t="str">
            <v>IL</v>
          </cell>
        </row>
        <row r="362">
          <cell r="J362" t="str">
            <v>A2664</v>
          </cell>
          <cell r="K362" t="str">
            <v>IL</v>
          </cell>
        </row>
        <row r="363">
          <cell r="J363" t="str">
            <v>A2665</v>
          </cell>
          <cell r="K363" t="str">
            <v>IL</v>
          </cell>
        </row>
        <row r="364">
          <cell r="J364" t="str">
            <v>A2666</v>
          </cell>
          <cell r="K364" t="str">
            <v>IL</v>
          </cell>
        </row>
        <row r="365">
          <cell r="J365" t="str">
            <v>A2669</v>
          </cell>
          <cell r="K365" t="str">
            <v>IL</v>
          </cell>
        </row>
        <row r="366">
          <cell r="J366" t="str">
            <v>A2679</v>
          </cell>
          <cell r="K366" t="str">
            <v>IL</v>
          </cell>
        </row>
        <row r="367">
          <cell r="J367" t="str">
            <v>A2680</v>
          </cell>
          <cell r="K367" t="str">
            <v>IL</v>
          </cell>
        </row>
        <row r="368">
          <cell r="J368" t="str">
            <v>A2686</v>
          </cell>
          <cell r="K368" t="str">
            <v>IL</v>
          </cell>
        </row>
        <row r="369">
          <cell r="J369" t="str">
            <v>A2694</v>
          </cell>
          <cell r="K369" t="str">
            <v>IL</v>
          </cell>
        </row>
        <row r="370">
          <cell r="J370" t="str">
            <v>A2700</v>
          </cell>
          <cell r="K370" t="str">
            <v>IL</v>
          </cell>
        </row>
        <row r="371">
          <cell r="J371" t="str">
            <v>A2702</v>
          </cell>
          <cell r="K371" t="str">
            <v>IL</v>
          </cell>
        </row>
        <row r="372">
          <cell r="J372" t="str">
            <v>A2707</v>
          </cell>
          <cell r="K372" t="str">
            <v>IL</v>
          </cell>
        </row>
        <row r="373">
          <cell r="J373" t="str">
            <v>A2708</v>
          </cell>
          <cell r="K373" t="str">
            <v>IL</v>
          </cell>
        </row>
        <row r="374">
          <cell r="J374" t="str">
            <v>A2709</v>
          </cell>
          <cell r="K374" t="str">
            <v>IL</v>
          </cell>
        </row>
        <row r="375">
          <cell r="J375" t="str">
            <v>A2710</v>
          </cell>
          <cell r="K375" t="str">
            <v>IL</v>
          </cell>
        </row>
        <row r="376">
          <cell r="J376" t="str">
            <v>A2719</v>
          </cell>
          <cell r="K376" t="str">
            <v>IL</v>
          </cell>
        </row>
        <row r="377">
          <cell r="J377" t="str">
            <v>A2721</v>
          </cell>
          <cell r="K377" t="str">
            <v>IL</v>
          </cell>
        </row>
        <row r="378">
          <cell r="J378" t="str">
            <v>A2723</v>
          </cell>
          <cell r="K378" t="str">
            <v>IL</v>
          </cell>
        </row>
        <row r="379">
          <cell r="J379" t="str">
            <v>A2733</v>
          </cell>
          <cell r="K379" t="str">
            <v>IL</v>
          </cell>
        </row>
        <row r="380">
          <cell r="J380" t="str">
            <v>A2734</v>
          </cell>
          <cell r="K380" t="str">
            <v>IL</v>
          </cell>
        </row>
        <row r="381">
          <cell r="J381" t="str">
            <v>A2735</v>
          </cell>
          <cell r="K381" t="str">
            <v>IL</v>
          </cell>
        </row>
        <row r="382">
          <cell r="J382" t="str">
            <v>A2740</v>
          </cell>
          <cell r="K382" t="str">
            <v>IL</v>
          </cell>
        </row>
        <row r="383">
          <cell r="J383" t="str">
            <v>A2742</v>
          </cell>
          <cell r="K383" t="str">
            <v>IL</v>
          </cell>
        </row>
        <row r="384">
          <cell r="J384" t="str">
            <v>A2744</v>
          </cell>
          <cell r="K384" t="str">
            <v>IL</v>
          </cell>
        </row>
        <row r="385">
          <cell r="J385" t="str">
            <v>A2745</v>
          </cell>
          <cell r="K385" t="str">
            <v>IL</v>
          </cell>
        </row>
        <row r="386">
          <cell r="J386" t="str">
            <v>A2746</v>
          </cell>
          <cell r="K386" t="str">
            <v>IL</v>
          </cell>
        </row>
        <row r="387">
          <cell r="J387" t="str">
            <v>A2808</v>
          </cell>
          <cell r="K387" t="str">
            <v>IL</v>
          </cell>
        </row>
        <row r="388">
          <cell r="J388" t="str">
            <v>A2823</v>
          </cell>
          <cell r="K388" t="str">
            <v>IL</v>
          </cell>
        </row>
        <row r="389">
          <cell r="J389" t="str">
            <v>A2826</v>
          </cell>
          <cell r="K389" t="str">
            <v>IL</v>
          </cell>
        </row>
        <row r="390">
          <cell r="J390" t="str">
            <v>A2832</v>
          </cell>
          <cell r="K390" t="str">
            <v>IL</v>
          </cell>
        </row>
        <row r="391">
          <cell r="J391" t="str">
            <v>A2833</v>
          </cell>
          <cell r="K391" t="str">
            <v>IL</v>
          </cell>
        </row>
        <row r="392">
          <cell r="J392" t="str">
            <v>A2834</v>
          </cell>
          <cell r="K392" t="str">
            <v>IL</v>
          </cell>
        </row>
        <row r="393">
          <cell r="J393" t="str">
            <v>A2836</v>
          </cell>
          <cell r="K393" t="str">
            <v>IL</v>
          </cell>
        </row>
        <row r="394">
          <cell r="J394" t="str">
            <v>A2839</v>
          </cell>
          <cell r="K394" t="str">
            <v>IL</v>
          </cell>
        </row>
        <row r="395">
          <cell r="J395" t="str">
            <v>A2856</v>
          </cell>
          <cell r="K395" t="str">
            <v>IL</v>
          </cell>
        </row>
        <row r="396">
          <cell r="J396" t="str">
            <v>A2858</v>
          </cell>
          <cell r="K396" t="str">
            <v>IL</v>
          </cell>
        </row>
        <row r="397">
          <cell r="J397" t="str">
            <v>A2863</v>
          </cell>
          <cell r="K397" t="str">
            <v>IL</v>
          </cell>
        </row>
        <row r="398">
          <cell r="J398" t="str">
            <v>A2866</v>
          </cell>
          <cell r="K398" t="str">
            <v>IL</v>
          </cell>
        </row>
        <row r="399">
          <cell r="J399" t="str">
            <v>A2869</v>
          </cell>
          <cell r="K399" t="str">
            <v>IL</v>
          </cell>
        </row>
        <row r="400">
          <cell r="J400" t="str">
            <v>A2870</v>
          </cell>
          <cell r="K400" t="str">
            <v>IL</v>
          </cell>
        </row>
        <row r="401">
          <cell r="J401" t="str">
            <v>A2874</v>
          </cell>
          <cell r="K401" t="str">
            <v>IL</v>
          </cell>
        </row>
        <row r="402">
          <cell r="J402" t="str">
            <v>A2880</v>
          </cell>
          <cell r="K402" t="str">
            <v>IL</v>
          </cell>
        </row>
        <row r="403">
          <cell r="J403" t="str">
            <v>A2882</v>
          </cell>
          <cell r="K403" t="str">
            <v>IL</v>
          </cell>
        </row>
        <row r="404">
          <cell r="J404" t="str">
            <v>A2883</v>
          </cell>
          <cell r="K404" t="str">
            <v>IL</v>
          </cell>
        </row>
        <row r="405">
          <cell r="J405" t="str">
            <v>A2909</v>
          </cell>
          <cell r="K405" t="str">
            <v>IL</v>
          </cell>
        </row>
        <row r="406">
          <cell r="J406" t="str">
            <v>A2910</v>
          </cell>
          <cell r="K406" t="str">
            <v>IL</v>
          </cell>
        </row>
        <row r="407">
          <cell r="J407" t="str">
            <v>A2911</v>
          </cell>
          <cell r="K407" t="str">
            <v>IL</v>
          </cell>
        </row>
        <row r="408">
          <cell r="J408" t="str">
            <v>A2927</v>
          </cell>
          <cell r="K408" t="str">
            <v>IL</v>
          </cell>
        </row>
        <row r="409">
          <cell r="J409" t="str">
            <v>A2929</v>
          </cell>
          <cell r="K409" t="str">
            <v>IL</v>
          </cell>
        </row>
        <row r="410">
          <cell r="J410" t="str">
            <v>A2972</v>
          </cell>
          <cell r="K410" t="str">
            <v>IL</v>
          </cell>
        </row>
        <row r="411">
          <cell r="J411" t="str">
            <v>AXA11</v>
          </cell>
          <cell r="K411" t="str">
            <v>IL</v>
          </cell>
        </row>
        <row r="412">
          <cell r="J412" t="str">
            <v>AXA41</v>
          </cell>
          <cell r="K412" t="str">
            <v>IL</v>
          </cell>
        </row>
        <row r="413">
          <cell r="J413" t="str">
            <v>AXACL</v>
          </cell>
          <cell r="K413" t="str">
            <v>IL</v>
          </cell>
        </row>
        <row r="414">
          <cell r="J414" t="str">
            <v>AXAIP</v>
          </cell>
          <cell r="K414" t="str">
            <v>IL</v>
          </cell>
        </row>
        <row r="415">
          <cell r="J415" t="str">
            <v>AXB11</v>
          </cell>
          <cell r="K415" t="str">
            <v>IL</v>
          </cell>
        </row>
      </sheetData>
      <sheetData sheetId="24">
        <row r="1">
          <cell r="A1" t="str">
            <v>work_order_number</v>
          </cell>
          <cell r="B1" t="str">
            <v>Project description</v>
          </cell>
          <cell r="C1" t="str">
            <v>RMC descriptions</v>
          </cell>
        </row>
        <row r="2">
          <cell r="A2" t="str">
            <v>02963</v>
          </cell>
          <cell r="B2" t="str">
            <v>BIG RIVER-ROCKWOOD 138 KV TRANS LN.</v>
          </cell>
          <cell r="C2" t="str">
            <v>09E-ELECTRICAL ENGINEERING</v>
          </cell>
        </row>
        <row r="3">
          <cell r="A3" t="str">
            <v>02990</v>
          </cell>
          <cell r="B3" t="str">
            <v>SPECIAL PROJECTS PURCHASE LAND ALTA</v>
          </cell>
          <cell r="C3" t="str">
            <v>616-SUB MTCE &amp; CONST-IL WEST</v>
          </cell>
        </row>
        <row r="4">
          <cell r="A4" t="str">
            <v>03246</v>
          </cell>
          <cell r="B4" t="str">
            <v>SPECIAL PROJECTS EXTEND 6991 TO SID</v>
          </cell>
          <cell r="C4" t="str">
            <v>616-SUB MTCE &amp; CONST-IL WEST</v>
          </cell>
        </row>
        <row r="5">
          <cell r="A5" t="str">
            <v>03993</v>
          </cell>
          <cell r="B5" t="str">
            <v>PURCH LAND FOR RAIL LOOP-EDE</v>
          </cell>
          <cell r="C5" t="str">
            <v>62A-EDWARDS PLANT GENERAL</v>
          </cell>
        </row>
        <row r="6">
          <cell r="A6" t="str">
            <v>03994</v>
          </cell>
          <cell r="B6" t="str">
            <v>IVR REPLACEMENTS</v>
          </cell>
          <cell r="C6" t="str">
            <v>065-NEO - TELEPHONE SERVICES</v>
          </cell>
        </row>
        <row r="7">
          <cell r="A7" t="str">
            <v>08051</v>
          </cell>
          <cell r="B7" t="str">
            <v>TS U1 TURB RUNNER REPL-UPGR</v>
          </cell>
          <cell r="C7" t="str">
            <v>09M-GENERATION PROJECT ENGINEERING</v>
          </cell>
        </row>
        <row r="8">
          <cell r="A8" t="str">
            <v>09432</v>
          </cell>
          <cell r="B8" t="str">
            <v>OSA - LICENSE RENEWAL COSTS</v>
          </cell>
          <cell r="C8" t="str">
            <v>44A-OSAGE PLANT GENERAL &amp; BUD</v>
          </cell>
        </row>
        <row r="9">
          <cell r="A9" t="str">
            <v>09941</v>
          </cell>
          <cell r="B9" t="str">
            <v>NEWTON PLANT-COAL HANDLING UPGRADES</v>
          </cell>
          <cell r="C9" t="str">
            <v>09M-GENERATION PROJECT ENGINEERING</v>
          </cell>
        </row>
        <row r="10">
          <cell r="A10" t="str">
            <v>0A001</v>
          </cell>
          <cell r="B10" t="str">
            <v>CSD METRO ST LOUIS-T&amp;D LINES</v>
          </cell>
          <cell r="C10" t="str">
            <v>066-MO OPS ADMIN</v>
          </cell>
        </row>
        <row r="11">
          <cell r="A11" t="str">
            <v>0A005</v>
          </cell>
          <cell r="B11" t="str">
            <v>CSD-METRO ST LOUIS - TRANS &amp; DIST L</v>
          </cell>
          <cell r="C11" t="str">
            <v>066-MO OPS ADMIN</v>
          </cell>
        </row>
        <row r="12">
          <cell r="A12" t="str">
            <v>0A006</v>
          </cell>
          <cell r="B12" t="str">
            <v>CSD-METRO ST LOUIS - RELOCATIONS GO</v>
          </cell>
          <cell r="C12" t="str">
            <v>066-MO OPS ADMIN</v>
          </cell>
        </row>
        <row r="13">
          <cell r="A13" t="str">
            <v>0A009</v>
          </cell>
          <cell r="B13" t="str">
            <v>CSD-METRO ST. LOUIS - DIST SUBS &amp; L</v>
          </cell>
          <cell r="C13" t="str">
            <v>066-MO OPS ADMIN</v>
          </cell>
        </row>
        <row r="14">
          <cell r="A14" t="str">
            <v>0A010</v>
          </cell>
          <cell r="B14" t="str">
            <v>DISTRIBUTION SERVICES - OTHER GENER</v>
          </cell>
          <cell r="C14" t="str">
            <v>066-MO OPS ADMIN</v>
          </cell>
        </row>
        <row r="15">
          <cell r="A15" t="str">
            <v>0A011</v>
          </cell>
          <cell r="B15" t="str">
            <v>STANDING WO -GAS TRANS &amp; DIST LINE</v>
          </cell>
          <cell r="C15" t="str">
            <v>066-MO OPS ADMIN</v>
          </cell>
        </row>
        <row r="16">
          <cell r="A16" t="str">
            <v>0A012</v>
          </cell>
          <cell r="B16" t="str">
            <v>STANDING WO -RELOCATIONS GOVT PROJ</v>
          </cell>
          <cell r="C16" t="str">
            <v>066-MO OPS ADMIN</v>
          </cell>
        </row>
        <row r="17">
          <cell r="A17" t="str">
            <v>0A013</v>
          </cell>
          <cell r="B17" t="str">
            <v>DISTRIBUTION SERVICES - OFFICE FURN</v>
          </cell>
          <cell r="C17" t="str">
            <v>066-MO OPS ADMIN</v>
          </cell>
        </row>
        <row r="18">
          <cell r="A18" t="str">
            <v>0A014</v>
          </cell>
          <cell r="B18" t="str">
            <v>DISTRIBUTION SERVICES - OTHER GENER</v>
          </cell>
          <cell r="C18" t="str">
            <v>066-MO OPS ADMIN</v>
          </cell>
        </row>
        <row r="19">
          <cell r="A19" t="str">
            <v>0A018</v>
          </cell>
          <cell r="B19" t="str">
            <v>METROPOLITAN FUNCTION REPLACE DEFEC</v>
          </cell>
          <cell r="C19" t="str">
            <v>066-MO OPS ADMIN</v>
          </cell>
        </row>
        <row r="20">
          <cell r="A20" t="str">
            <v>0A032</v>
          </cell>
          <cell r="B20" t="str">
            <v>GC&amp;MS STANDING WO PC'S &amp; RELATED EQ</v>
          </cell>
          <cell r="C20" t="str">
            <v>40A-GENERATION CONST MGMT SVCS</v>
          </cell>
        </row>
        <row r="21">
          <cell r="A21" t="str">
            <v>0A037</v>
          </cell>
          <cell r="B21" t="str">
            <v>MISC. CAPITAL EXPENDITURES &lt; $50,00</v>
          </cell>
          <cell r="C21" t="str">
            <v>065-NEO - TELEPHONE SERVICES</v>
          </cell>
        </row>
        <row r="22">
          <cell r="A22" t="str">
            <v>0A039</v>
          </cell>
          <cell r="B22" t="str">
            <v>STANDING WO-POWER PLANTS-E70-MERAME</v>
          </cell>
          <cell r="C22" t="str">
            <v>79A-MERAMEC PLANT GENERAL &amp; BUD</v>
          </cell>
        </row>
        <row r="23">
          <cell r="A23" t="str">
            <v>0A043</v>
          </cell>
          <cell r="B23" t="str">
            <v>STANDING WORK ORDER-POWER PLANTS-E7</v>
          </cell>
          <cell r="C23" t="str">
            <v>85C-SIOUX PLANT MAINTENANCE</v>
          </cell>
        </row>
        <row r="24">
          <cell r="A24" t="str">
            <v>0A044</v>
          </cell>
          <cell r="B24" t="str">
            <v>GC&amp;MS STANDING WORK ORDER</v>
          </cell>
          <cell r="C24" t="str">
            <v>40A-GENERATION CONST MGMT SVCS</v>
          </cell>
        </row>
        <row r="25">
          <cell r="A25" t="str">
            <v>0A045</v>
          </cell>
          <cell r="B25" t="str">
            <v>STANDING WO-POWER PLANTS-E70-OSAGE</v>
          </cell>
          <cell r="C25" t="str">
            <v>44A-OSAGE PLANT GENERAL &amp; BUD</v>
          </cell>
        </row>
        <row r="26">
          <cell r="A26" t="str">
            <v>0A046</v>
          </cell>
          <cell r="B26" t="str">
            <v>TS - STANDING WO</v>
          </cell>
          <cell r="C26" t="str">
            <v>46A-TAUM SAUK PLANT GENERAL &amp; BUD</v>
          </cell>
        </row>
        <row r="27">
          <cell r="A27" t="str">
            <v>0A047</v>
          </cell>
          <cell r="B27" t="str">
            <v>STANDING WO-POWER PLANTS-E70-KEOKUK</v>
          </cell>
          <cell r="C27" t="str">
            <v>84A-KEOKUK PLANT GENERAL &amp; BUD</v>
          </cell>
        </row>
        <row r="28">
          <cell r="A28" t="str">
            <v>0A048</v>
          </cell>
          <cell r="B28" t="str">
            <v>LBD-STANDING WO - POWER PLANTS</v>
          </cell>
          <cell r="C28" t="str">
            <v>83A-LABADIE PLANT GENERAL &amp; BUD</v>
          </cell>
        </row>
        <row r="29">
          <cell r="A29" t="str">
            <v>0A049</v>
          </cell>
          <cell r="B29" t="str">
            <v>STANDING WORK ORDER - 2004</v>
          </cell>
          <cell r="C29" t="str">
            <v>78A-RUSH ISLAND PLANT GENERAL &amp; BUD</v>
          </cell>
        </row>
        <row r="30">
          <cell r="A30" t="str">
            <v>0A072</v>
          </cell>
          <cell r="B30" t="str">
            <v>CRITICAL MOTORS, UEC POWER PLANTS</v>
          </cell>
          <cell r="C30" t="str">
            <v>09M-GENERATION PROJECT ENGINEERING</v>
          </cell>
        </row>
        <row r="31">
          <cell r="A31" t="str">
            <v>0A076</v>
          </cell>
          <cell r="B31" t="str">
            <v>SWO  - UEC RETIREMENTS</v>
          </cell>
          <cell r="C31" t="str">
            <v>061-REAL ESTATE</v>
          </cell>
        </row>
        <row r="32">
          <cell r="A32" t="str">
            <v>0A090</v>
          </cell>
          <cell r="B32" t="str">
            <v>SEVERE THUNDERSTORM/HIGH WINDS - 06</v>
          </cell>
          <cell r="C32" t="str">
            <v>066-MO OPS ADMIN</v>
          </cell>
        </row>
        <row r="33">
          <cell r="A33" t="str">
            <v>0A091</v>
          </cell>
          <cell r="B33" t="str">
            <v>METRO-SEVERE THUNDERSTORMS/HIGH WIN</v>
          </cell>
          <cell r="C33" t="str">
            <v>066-MO OPS ADMIN</v>
          </cell>
        </row>
        <row r="34">
          <cell r="A34" t="str">
            <v>0A092</v>
          </cell>
          <cell r="B34" t="str">
            <v>ST.LOUIS-SEVERE THUNDERSTORMS/HIGH</v>
          </cell>
          <cell r="C34" t="str">
            <v>066-MO OPS ADMIN</v>
          </cell>
        </row>
        <row r="35">
          <cell r="A35" t="str">
            <v>0A093</v>
          </cell>
          <cell r="B35" t="str">
            <v>ST.L,CTY/CNTY HGH WNDS/THNDRSTRM LT</v>
          </cell>
          <cell r="C35" t="str">
            <v>066-MO OPS ADMIN</v>
          </cell>
        </row>
        <row r="36">
          <cell r="A36" t="str">
            <v>0A094</v>
          </cell>
          <cell r="B36" t="str">
            <v>ST L.CTY/CO-SEVERE WINDS/THUNDERSTO</v>
          </cell>
          <cell r="C36" t="str">
            <v>066-MO OPS ADMIN</v>
          </cell>
        </row>
        <row r="37">
          <cell r="A37" t="str">
            <v>0A095</v>
          </cell>
          <cell r="B37" t="str">
            <v>ST. LOUIS CITY/COUNTY-HIGH WINDS 03</v>
          </cell>
          <cell r="C37" t="str">
            <v>066-MO OPS ADMIN</v>
          </cell>
        </row>
        <row r="38">
          <cell r="A38" t="str">
            <v>0A096</v>
          </cell>
          <cell r="B38" t="str">
            <v>MISC GAS CAPITAL EXPENDITURES 100,0</v>
          </cell>
          <cell r="C38" t="str">
            <v>065-NEO - TELEPHONE SERVICES</v>
          </cell>
        </row>
        <row r="39">
          <cell r="A39" t="str">
            <v>0A100</v>
          </cell>
          <cell r="B39" t="str">
            <v>DISTRIBUTION SERVICES - OFFICE FURN</v>
          </cell>
          <cell r="C39" t="str">
            <v>066-MO OPS ADMIN</v>
          </cell>
        </row>
        <row r="40">
          <cell r="A40" t="str">
            <v>0A101</v>
          </cell>
          <cell r="B40" t="str">
            <v>DISTRIBUTION SERVICES-RELIABILITY -</v>
          </cell>
          <cell r="C40" t="str">
            <v>066-MO OPS ADMIN</v>
          </cell>
        </row>
        <row r="41">
          <cell r="A41" t="str">
            <v>0A107</v>
          </cell>
          <cell r="B41" t="str">
            <v>CRITICAL MOTORS, AEG POWER PLANTS</v>
          </cell>
          <cell r="C41" t="str">
            <v>09M-GENERATION PROJECT ENGINEERING</v>
          </cell>
        </row>
        <row r="42">
          <cell r="A42" t="str">
            <v>0A113</v>
          </cell>
          <cell r="B42" t="str">
            <v>COMBUSTION TURBINE CAPITAL ITEMS</v>
          </cell>
          <cell r="C42" t="str">
            <v>40A-GENERATION CONST MGMT SVCS</v>
          </cell>
        </row>
        <row r="43">
          <cell r="A43" t="str">
            <v>0A121</v>
          </cell>
          <cell r="B43" t="str">
            <v>RELIABILITY OH CONTROLLED 34KV SWIT</v>
          </cell>
          <cell r="C43" t="str">
            <v>066-MO OPS ADMIN</v>
          </cell>
        </row>
        <row r="44">
          <cell r="A44" t="str">
            <v>0A125</v>
          </cell>
          <cell r="B44" t="str">
            <v>METROPOLITAN RELIABILITY LIGHTNING</v>
          </cell>
          <cell r="C44" t="str">
            <v>066-MO OPS ADMIN</v>
          </cell>
        </row>
        <row r="45">
          <cell r="A45" t="str">
            <v>0A126</v>
          </cell>
          <cell r="B45" t="str">
            <v>STANDING WO - RELIAB-UNUSED TAPS</v>
          </cell>
          <cell r="C45" t="str">
            <v>066-MO OPS ADMIN</v>
          </cell>
        </row>
        <row r="46">
          <cell r="A46" t="str">
            <v>0A127</v>
          </cell>
          <cell r="B46" t="str">
            <v>SWO -UEC SUB ROOF-DRIVEWAY REPL-E63</v>
          </cell>
          <cell r="C46" t="str">
            <v>03M-SUB MTCE &amp; CONST-ENG &amp; ADMIN</v>
          </cell>
        </row>
        <row r="47">
          <cell r="A47" t="str">
            <v>0A128</v>
          </cell>
          <cell r="B47" t="str">
            <v>(DND)METRO RELIABILITY INFRARED PRO</v>
          </cell>
          <cell r="C47" t="str">
            <v>066-MO OPS ADMIN</v>
          </cell>
        </row>
        <row r="48">
          <cell r="A48" t="str">
            <v>0A166</v>
          </cell>
          <cell r="B48" t="str">
            <v>CIPS Metro-East Light. Arrestors</v>
          </cell>
          <cell r="C48" t="str">
            <v>231-IL OPS ADMIN DIV IV V VI VII</v>
          </cell>
        </row>
        <row r="49">
          <cell r="A49" t="str">
            <v>0A190</v>
          </cell>
          <cell r="B49" t="str">
            <v>THUNDERSTORMS-EAST ST. LOUIS 7/5/04</v>
          </cell>
          <cell r="C49" t="str">
            <v>015-ILLINOIS DISTRICT-E. ST. LOUIS</v>
          </cell>
        </row>
        <row r="50">
          <cell r="A50" t="str">
            <v>0A191</v>
          </cell>
          <cell r="B50" t="str">
            <v>EAST ST LOUIS STORM</v>
          </cell>
          <cell r="C50" t="str">
            <v>015-ILLINOIS DISTRICT-E. ST. LOUIS</v>
          </cell>
        </row>
        <row r="51">
          <cell r="A51" t="str">
            <v>0A192</v>
          </cell>
          <cell r="B51" t="str">
            <v>EAST ST LOUIS STORM</v>
          </cell>
          <cell r="C51" t="str">
            <v>015-ILLINOIS DISTRICT-E. ST. LOUIS</v>
          </cell>
        </row>
        <row r="52">
          <cell r="A52" t="str">
            <v>0A193</v>
          </cell>
          <cell r="B52" t="str">
            <v>EAST ST LOUIS STORM</v>
          </cell>
          <cell r="C52" t="str">
            <v>015-ILLINOIS DISTRICT-E. ST. LOUIS</v>
          </cell>
        </row>
        <row r="53">
          <cell r="A53" t="str">
            <v>0A194</v>
          </cell>
          <cell r="B53" t="str">
            <v>EAST ST LOUIS THUNDERSTORMS 6/10/03</v>
          </cell>
          <cell r="C53" t="str">
            <v>015-ILLINOIS DISTRICT-E. ST. LOUIS</v>
          </cell>
        </row>
        <row r="54">
          <cell r="A54" t="str">
            <v>0A195</v>
          </cell>
          <cell r="B54" t="str">
            <v>EAST ST LOUIS STORM</v>
          </cell>
          <cell r="C54" t="str">
            <v>015-ILLINOIS DISTRICT-E. ST. LOUIS</v>
          </cell>
        </row>
        <row r="55">
          <cell r="A55" t="str">
            <v>0A197</v>
          </cell>
          <cell r="B55" t="str">
            <v>DISTRIBUTION SERVICES - NEW BUSINES</v>
          </cell>
          <cell r="C55" t="str">
            <v>066-MO OPS ADMIN</v>
          </cell>
        </row>
        <row r="56">
          <cell r="A56" t="str">
            <v>0A198</v>
          </cell>
          <cell r="B56" t="str">
            <v>DISTRIBUTION SERVICES - REP UNPROTE</v>
          </cell>
          <cell r="C56" t="str">
            <v>066-MO OPS ADMIN</v>
          </cell>
        </row>
        <row r="57">
          <cell r="A57" t="str">
            <v>0A202</v>
          </cell>
          <cell r="B57" t="str">
            <v>ED ILLINOIS - NEW BUSINESS</v>
          </cell>
          <cell r="C57" t="str">
            <v>014-ALTON DISTRICT</v>
          </cell>
        </row>
        <row r="58">
          <cell r="A58" t="str">
            <v>0A203</v>
          </cell>
          <cell r="B58" t="str">
            <v>BIG RIVER ZINC CORP</v>
          </cell>
          <cell r="C58" t="str">
            <v>014-ALTON DISTRICT</v>
          </cell>
        </row>
        <row r="59">
          <cell r="A59" t="str">
            <v>0A204</v>
          </cell>
          <cell r="B59" t="str">
            <v>ED ILLINOIS - GOVERNMENT RELOCATION</v>
          </cell>
          <cell r="C59" t="str">
            <v>014-ALTON DISTRICT</v>
          </cell>
        </row>
        <row r="60">
          <cell r="A60" t="str">
            <v>0A205</v>
          </cell>
          <cell r="B60" t="str">
            <v>ED ILLINOIS - OFFICE FURNITURE &amp; EQ</v>
          </cell>
          <cell r="C60" t="str">
            <v>014-ALTON DISTRICT</v>
          </cell>
        </row>
        <row r="61">
          <cell r="A61" t="str">
            <v>0A206</v>
          </cell>
          <cell r="B61" t="str">
            <v>ED ILLINOIS - OTHER GENERAL PLANT</v>
          </cell>
          <cell r="C61" t="str">
            <v>014-ALTON DISTRICT</v>
          </cell>
        </row>
        <row r="62">
          <cell r="A62" t="str">
            <v>0A207</v>
          </cell>
          <cell r="B62" t="str">
            <v>ED ILLINOIS - NEW BUSINESS</v>
          </cell>
          <cell r="C62" t="str">
            <v>014-ALTON DISTRICT</v>
          </cell>
        </row>
        <row r="63">
          <cell r="A63" t="str">
            <v>0A208</v>
          </cell>
          <cell r="B63" t="str">
            <v>ED ILLINOIS - GAS DISTR &amp; TRANS LIN</v>
          </cell>
          <cell r="C63" t="str">
            <v>3MS-DIVISION V SUPPORT STAFF</v>
          </cell>
        </row>
        <row r="64">
          <cell r="A64" t="str">
            <v>0A209</v>
          </cell>
          <cell r="B64" t="str">
            <v>ED ILLINOIS - GOVERNMENT RELOCATION</v>
          </cell>
          <cell r="C64" t="str">
            <v>014-ALTON DISTRICT</v>
          </cell>
        </row>
        <row r="65">
          <cell r="A65" t="str">
            <v>0A210</v>
          </cell>
          <cell r="B65" t="str">
            <v>ED ILLINOIS - OFFICE FURNITURE &amp; EQ</v>
          </cell>
          <cell r="C65" t="str">
            <v>014-ALTON DISTRICT</v>
          </cell>
        </row>
        <row r="66">
          <cell r="A66" t="str">
            <v>0A211</v>
          </cell>
          <cell r="B66" t="str">
            <v>ED ILLINOIS - OTHER GENERAL PLANT</v>
          </cell>
          <cell r="C66" t="str">
            <v>014-ALTON DISTRICT</v>
          </cell>
        </row>
        <row r="67">
          <cell r="A67" t="str">
            <v>0A214</v>
          </cell>
          <cell r="B67" t="str">
            <v>DIST SVCS-CI REPLAC MPSC</v>
          </cell>
          <cell r="C67" t="str">
            <v>066-MO OPS ADMIN</v>
          </cell>
        </row>
        <row r="68">
          <cell r="A68" t="str">
            <v>0A215</v>
          </cell>
          <cell r="B68" t="str">
            <v>DISTRIBUTION SERVICES - CI REPL MPS</v>
          </cell>
          <cell r="C68" t="str">
            <v>066-MO OPS ADMIN</v>
          </cell>
        </row>
        <row r="69">
          <cell r="A69" t="str">
            <v>0A224</v>
          </cell>
          <cell r="B69" t="str">
            <v>DIST SVCS-T&amp;D LINES   MEDIUM PRIORI</v>
          </cell>
          <cell r="C69" t="str">
            <v>066-MO OPS ADMIN</v>
          </cell>
        </row>
        <row r="70">
          <cell r="A70" t="str">
            <v>0A225</v>
          </cell>
          <cell r="B70" t="str">
            <v>OTH UNIDENT DIST SVCS-T&amp;D LINES</v>
          </cell>
          <cell r="C70" t="str">
            <v>066-MO OPS ADMIN</v>
          </cell>
        </row>
        <row r="71">
          <cell r="A71" t="str">
            <v>0A226</v>
          </cell>
          <cell r="B71" t="str">
            <v>DIST SVCS-T&amp;D LINES   EMERGENCY WOR</v>
          </cell>
          <cell r="C71" t="str">
            <v>066-MO OPS ADMIN</v>
          </cell>
        </row>
        <row r="72">
          <cell r="A72" t="str">
            <v>0A227</v>
          </cell>
          <cell r="B72" t="str">
            <v>DIST SVCS-T&amp;D LINES   CUST REQUESTE</v>
          </cell>
          <cell r="C72" t="str">
            <v>066-MO OPS ADMIN</v>
          </cell>
        </row>
        <row r="73">
          <cell r="A73" t="str">
            <v>0A228</v>
          </cell>
          <cell r="B73" t="str">
            <v>DIST SVCS-T&amp;D LINES  MEDIUM PRIORIT</v>
          </cell>
          <cell r="C73" t="str">
            <v>066-MO OPS ADMIN</v>
          </cell>
        </row>
        <row r="74">
          <cell r="A74" t="str">
            <v>0A229</v>
          </cell>
          <cell r="B74" t="str">
            <v>OTH UNIDENT DIST SVCS-T&amp;D LINES</v>
          </cell>
          <cell r="C74" t="str">
            <v>066-MO OPS ADMIN</v>
          </cell>
        </row>
        <row r="75">
          <cell r="A75" t="str">
            <v>0A230</v>
          </cell>
          <cell r="B75" t="str">
            <v>UEC MISC E46 LESS THAN 10K SYSMAINT</v>
          </cell>
          <cell r="C75" t="str">
            <v>066-MO OPS ADMIN</v>
          </cell>
        </row>
        <row r="76">
          <cell r="A76" t="str">
            <v>0A231</v>
          </cell>
          <cell r="B76" t="str">
            <v xml:space="preserve">DIST SVCS-T&amp;D LINES  CUST REQ WORK </v>
          </cell>
          <cell r="C76" t="str">
            <v>066-MO OPS ADMIN</v>
          </cell>
        </row>
        <row r="77">
          <cell r="A77" t="str">
            <v>0A232</v>
          </cell>
          <cell r="B77" t="str">
            <v>GAS SUPT G40 MAINS HIGH PR UEC</v>
          </cell>
          <cell r="C77" t="str">
            <v>0G3-GAS TECH SERVICES - UEC</v>
          </cell>
        </row>
        <row r="78">
          <cell r="A78" t="str">
            <v>0A233</v>
          </cell>
          <cell r="B78" t="str">
            <v>UEC MISC G40 LESS THAN 10K SYSMAINT</v>
          </cell>
          <cell r="C78" t="str">
            <v>066-MO OPS ADMIN</v>
          </cell>
        </row>
        <row r="79">
          <cell r="A79" t="str">
            <v>0A235</v>
          </cell>
          <cell r="B79" t="str">
            <v>GS G40 MAINS LESS THAN 10000 UEC</v>
          </cell>
          <cell r="C79" t="str">
            <v>0G3-GAS TECH SERVICES - UEC</v>
          </cell>
        </row>
        <row r="80">
          <cell r="A80" t="str">
            <v>0A248</v>
          </cell>
          <cell r="B80" t="str">
            <v>RELIABILITY-AUTOMATION DISTRIBUTION</v>
          </cell>
          <cell r="C80" t="str">
            <v>066-MO OPS ADMIN</v>
          </cell>
        </row>
        <row r="81">
          <cell r="A81" t="str">
            <v>0A290</v>
          </cell>
          <cell r="B81" t="str">
            <v>ALTON STORM</v>
          </cell>
          <cell r="C81" t="str">
            <v>014-ALTON DISTRICT</v>
          </cell>
        </row>
        <row r="82">
          <cell r="A82" t="str">
            <v>0A291</v>
          </cell>
          <cell r="B82" t="str">
            <v>ALTON - THUNDERSTORMS 5/8/03</v>
          </cell>
          <cell r="C82" t="str">
            <v>014-ALTON DISTRICT</v>
          </cell>
        </row>
        <row r="83">
          <cell r="A83" t="str">
            <v>0A292</v>
          </cell>
          <cell r="B83" t="str">
            <v>ALTON STORM</v>
          </cell>
          <cell r="C83" t="str">
            <v>014-ALTON DISTRICT</v>
          </cell>
        </row>
        <row r="84">
          <cell r="A84" t="str">
            <v>0A293</v>
          </cell>
          <cell r="B84" t="str">
            <v>ALTON STORM</v>
          </cell>
          <cell r="C84" t="str">
            <v>014-ALTON DISTRICT</v>
          </cell>
        </row>
        <row r="85">
          <cell r="A85" t="str">
            <v>0A294</v>
          </cell>
          <cell r="B85" t="str">
            <v>HIGH WINDS, SNOW COVERED TREES-ALTO</v>
          </cell>
          <cell r="C85" t="str">
            <v>066-MO OPS ADMIN</v>
          </cell>
        </row>
        <row r="86">
          <cell r="A86" t="str">
            <v>0A295</v>
          </cell>
          <cell r="B86" t="str">
            <v>ALTON STORM</v>
          </cell>
          <cell r="C86" t="str">
            <v>014-ALTON DISTRICT</v>
          </cell>
        </row>
        <row r="87">
          <cell r="A87" t="str">
            <v>0A390</v>
          </cell>
          <cell r="B87" t="str">
            <v>FRANKLIN-SEVERE THUNDERSTORMS/HIGH</v>
          </cell>
          <cell r="C87" t="str">
            <v>068-FRANKLIN DISTRICT</v>
          </cell>
        </row>
        <row r="88">
          <cell r="A88" t="str">
            <v>0A391</v>
          </cell>
          <cell r="B88" t="str">
            <v>FRANKLIN-HIGH WINDS/THUNDERSTORMS 0</v>
          </cell>
          <cell r="C88" t="str">
            <v>068-FRANKLIN DISTRICT</v>
          </cell>
        </row>
        <row r="89">
          <cell r="A89" t="str">
            <v>0A392</v>
          </cell>
          <cell r="B89" t="str">
            <v>FRANKLIN - TORNADO/THURNDERSTORMS/H</v>
          </cell>
          <cell r="C89" t="str">
            <v>068-FRANKLIN DISTRICT</v>
          </cell>
        </row>
        <row r="90">
          <cell r="A90" t="str">
            <v>0A393</v>
          </cell>
          <cell r="B90" t="str">
            <v>FRANKLIN - MAJOR STORM</v>
          </cell>
          <cell r="C90" t="str">
            <v>068-FRANKLIN DISTRICT</v>
          </cell>
        </row>
        <row r="91">
          <cell r="A91" t="str">
            <v>0A394</v>
          </cell>
          <cell r="B91" t="str">
            <v>FRANKLIN - SEVERE THUNDERSTORMS 06/</v>
          </cell>
          <cell r="C91" t="str">
            <v>068-FRANKLIN DISTRICT</v>
          </cell>
        </row>
        <row r="92">
          <cell r="A92" t="str">
            <v>0A395</v>
          </cell>
          <cell r="B92" t="str">
            <v>FRANKLIN - MAJOR STORM</v>
          </cell>
          <cell r="C92" t="str">
            <v>068-FRANKLIN DISTRICT</v>
          </cell>
        </row>
        <row r="93">
          <cell r="A93" t="str">
            <v>0A396</v>
          </cell>
          <cell r="B93" t="str">
            <v>FRANKLIN - MAJOR STORM</v>
          </cell>
          <cell r="C93" t="str">
            <v>068-FRANKLIN DISTRICT</v>
          </cell>
        </row>
        <row r="94">
          <cell r="A94" t="str">
            <v>0A397</v>
          </cell>
          <cell r="B94" t="str">
            <v>FRANKLIN - MAJOR STORM</v>
          </cell>
          <cell r="C94" t="str">
            <v>068-FRANKLIN DISTRICT</v>
          </cell>
        </row>
        <row r="95">
          <cell r="A95" t="str">
            <v>0A398</v>
          </cell>
          <cell r="B95" t="str">
            <v>SEVERS THUNDERSTORMS/LIGHTNING/HIGH</v>
          </cell>
          <cell r="C95" t="str">
            <v>068-FRANKLIN DISTRICT</v>
          </cell>
        </row>
        <row r="96">
          <cell r="A96" t="str">
            <v>0A399</v>
          </cell>
          <cell r="B96" t="str">
            <v>SEVERE THUNDERSTORMS/HIGH WINDS 08/</v>
          </cell>
          <cell r="C96" t="str">
            <v>068-FRANKLIN DISTRICT</v>
          </cell>
        </row>
        <row r="97">
          <cell r="A97" t="str">
            <v>0A401</v>
          </cell>
          <cell r="B97" t="str">
            <v>SWO - UE TRANS</v>
          </cell>
          <cell r="C97" t="str">
            <v>037-TRANSMISSION</v>
          </cell>
        </row>
        <row r="98">
          <cell r="A98" t="str">
            <v>0A490</v>
          </cell>
          <cell r="B98" t="str">
            <v>TRANSMISSION - SEVERE THUNDERSTORMS</v>
          </cell>
          <cell r="C98" t="str">
            <v>037-TRANSMISSION</v>
          </cell>
        </row>
        <row r="99">
          <cell r="A99" t="str">
            <v>0A491</v>
          </cell>
          <cell r="B99" t="str">
            <v xml:space="preserve">STRONG THUNDERSTORM/TORNADO3/11/06 </v>
          </cell>
          <cell r="C99" t="str">
            <v>037-TRANSMISSION</v>
          </cell>
        </row>
        <row r="100">
          <cell r="A100" t="str">
            <v>0A492</v>
          </cell>
          <cell r="B100" t="str">
            <v>TRANSMISSION - MISSOURI MAJOR STORM</v>
          </cell>
          <cell r="C100" t="str">
            <v>037-TRANSMISSION</v>
          </cell>
        </row>
        <row r="101">
          <cell r="A101" t="str">
            <v>0A493</v>
          </cell>
          <cell r="B101" t="str">
            <v>TRANSMISSION - MISSOURI MAJOR STORM</v>
          </cell>
          <cell r="C101" t="str">
            <v>037-TRANSMISSION</v>
          </cell>
        </row>
        <row r="102">
          <cell r="A102" t="str">
            <v>0A494</v>
          </cell>
          <cell r="B102" t="str">
            <v>TRANSMISSION - MISSOURI MAJOR STORM</v>
          </cell>
          <cell r="C102" t="str">
            <v>037-TRANSMISSION</v>
          </cell>
        </row>
        <row r="103">
          <cell r="A103" t="str">
            <v>0A495</v>
          </cell>
          <cell r="B103" t="str">
            <v>TRANSMISSION - MISSOURI MAJOR STORM</v>
          </cell>
          <cell r="C103" t="str">
            <v>037-TRANSMISSION</v>
          </cell>
        </row>
        <row r="104">
          <cell r="A104" t="str">
            <v>0A496</v>
          </cell>
          <cell r="B104" t="str">
            <v>TRANSMISSION - MISSOURI MAJOR STORM</v>
          </cell>
          <cell r="C104" t="str">
            <v>037-TRANSMISSION</v>
          </cell>
        </row>
        <row r="105">
          <cell r="A105" t="str">
            <v>0A497</v>
          </cell>
          <cell r="B105" t="str">
            <v>TRANSMISSION - MISSOURI MAJOR STORM</v>
          </cell>
          <cell r="C105" t="str">
            <v>037-TRANSMISSION</v>
          </cell>
        </row>
        <row r="106">
          <cell r="A106" t="str">
            <v>0A498</v>
          </cell>
          <cell r="B106" t="str">
            <v>TRANSMISSION-STORM/TORNADO, 05/06/2</v>
          </cell>
          <cell r="C106" t="str">
            <v>037-TRANSMISSION</v>
          </cell>
        </row>
        <row r="107">
          <cell r="A107" t="str">
            <v>0A499</v>
          </cell>
          <cell r="B107" t="str">
            <v>THUNDERSTORMS - TRANSMISSION 8/26/0</v>
          </cell>
          <cell r="C107" t="str">
            <v>037-TRANSMISSION</v>
          </cell>
        </row>
        <row r="108">
          <cell r="A108" t="str">
            <v>0A590</v>
          </cell>
          <cell r="B108" t="str">
            <v>ST CHARLES STORM</v>
          </cell>
          <cell r="C108" t="str">
            <v>069-ST CHARLES DISTRICT</v>
          </cell>
        </row>
        <row r="109">
          <cell r="A109" t="str">
            <v>0A591</v>
          </cell>
          <cell r="B109" t="str">
            <v>ST CHARLES-SEVERE THUNDERSTORMS 10/</v>
          </cell>
          <cell r="C109" t="str">
            <v>069-ST CHARLES DISTRICT</v>
          </cell>
        </row>
        <row r="110">
          <cell r="A110" t="str">
            <v>0A592</v>
          </cell>
          <cell r="B110" t="str">
            <v>ST CHARLES STORM</v>
          </cell>
          <cell r="C110" t="str">
            <v>069-ST CHARLES DISTRICT</v>
          </cell>
        </row>
        <row r="111">
          <cell r="A111" t="str">
            <v>0A593</v>
          </cell>
          <cell r="B111" t="str">
            <v>ST CHARLES-THUNDERSTORMS/WINDS 05/0</v>
          </cell>
          <cell r="C111" t="str">
            <v>069-ST CHARLES DISTRICT</v>
          </cell>
        </row>
        <row r="112">
          <cell r="A112" t="str">
            <v>0A594</v>
          </cell>
          <cell r="B112" t="str">
            <v>ST. CHARLES - SEVERE THUNDERSTORMS</v>
          </cell>
          <cell r="C112" t="str">
            <v>069-ST CHARLES DISTRICT</v>
          </cell>
        </row>
        <row r="113">
          <cell r="A113" t="str">
            <v>0A595</v>
          </cell>
          <cell r="B113" t="str">
            <v>ST CHARLES STORM</v>
          </cell>
          <cell r="C113" t="str">
            <v>069-ST CHARLES DISTRICT</v>
          </cell>
        </row>
        <row r="114">
          <cell r="A114" t="str">
            <v>0A596</v>
          </cell>
          <cell r="B114" t="str">
            <v>ST CHARLES STORM</v>
          </cell>
          <cell r="C114" t="str">
            <v>069-ST CHARLES DISTRICT</v>
          </cell>
        </row>
        <row r="115">
          <cell r="A115" t="str">
            <v>0A597</v>
          </cell>
          <cell r="B115" t="str">
            <v>ST CHARLES STORM</v>
          </cell>
          <cell r="C115" t="str">
            <v>069-ST CHARLES DISTRICT</v>
          </cell>
        </row>
        <row r="116">
          <cell r="A116" t="str">
            <v>0A598</v>
          </cell>
          <cell r="B116" t="str">
            <v>ST CHARLES STORM</v>
          </cell>
          <cell r="C116" t="str">
            <v>069-ST CHARLES DISTRICT</v>
          </cell>
        </row>
        <row r="117">
          <cell r="A117" t="str">
            <v>0A599</v>
          </cell>
          <cell r="B117" t="str">
            <v>ST CHARLES STORM</v>
          </cell>
          <cell r="C117" t="str">
            <v>069-ST CHARLES DISTRICT</v>
          </cell>
        </row>
        <row r="118">
          <cell r="A118" t="str">
            <v>0A690</v>
          </cell>
          <cell r="B118" t="str">
            <v>JEFFERSON-SEVERE WINDS/THUNDERSTORM</v>
          </cell>
          <cell r="C118" t="str">
            <v>070-JEFFERSON</v>
          </cell>
        </row>
        <row r="119">
          <cell r="A119" t="str">
            <v>0A691</v>
          </cell>
          <cell r="B119" t="str">
            <v>JEFFERSON STORM</v>
          </cell>
          <cell r="C119" t="str">
            <v>070-JEFFERSON</v>
          </cell>
        </row>
        <row r="120">
          <cell r="A120" t="str">
            <v>0A692</v>
          </cell>
          <cell r="B120" t="str">
            <v>JEFFERSON-THUNDERSTORMS/WINDS 05/06</v>
          </cell>
          <cell r="C120" t="str">
            <v>070-JEFFERSON</v>
          </cell>
        </row>
        <row r="121">
          <cell r="A121" t="str">
            <v>0A693</v>
          </cell>
          <cell r="B121" t="str">
            <v>JEFFERSON STORM</v>
          </cell>
          <cell r="C121" t="str">
            <v>070-JEFFERSON</v>
          </cell>
        </row>
        <row r="122">
          <cell r="A122" t="str">
            <v>0A694</v>
          </cell>
          <cell r="B122" t="str">
            <v>THUNDERSTORMS-POTENTIAL TORNADO,05/</v>
          </cell>
          <cell r="C122" t="str">
            <v>070-JEFFERSON</v>
          </cell>
        </row>
        <row r="123">
          <cell r="A123" t="str">
            <v>0A695</v>
          </cell>
          <cell r="B123" t="str">
            <v>JEFFERSON DISTRICT - THUNDERSTORMS</v>
          </cell>
          <cell r="C123" t="str">
            <v>070-JEFFERSON</v>
          </cell>
        </row>
        <row r="124">
          <cell r="A124" t="str">
            <v>0A696</v>
          </cell>
          <cell r="B124" t="str">
            <v>JEFFERSON STORM</v>
          </cell>
          <cell r="C124" t="str">
            <v>070-JEFFERSON</v>
          </cell>
        </row>
        <row r="125">
          <cell r="A125" t="str">
            <v>0A697</v>
          </cell>
          <cell r="B125" t="str">
            <v>JEFFERSON-SEVERE THUNDERSTORMS/HGH</v>
          </cell>
          <cell r="C125" t="str">
            <v>070-JEFFERSON</v>
          </cell>
        </row>
        <row r="126">
          <cell r="A126" t="str">
            <v>0A698</v>
          </cell>
          <cell r="B126" t="str">
            <v>JEFFERSON-THUNDERSTORMS/LIGHTENING</v>
          </cell>
          <cell r="C126" t="str">
            <v>070-JEFFERSON</v>
          </cell>
        </row>
        <row r="127">
          <cell r="A127" t="str">
            <v>0A699</v>
          </cell>
          <cell r="B127" t="str">
            <v>JEFFRSN-HGH WNDS/THUNDERSTORM,LIGHT</v>
          </cell>
          <cell r="C127" t="str">
            <v>070-JEFFERSON</v>
          </cell>
        </row>
        <row r="128">
          <cell r="A128" t="str">
            <v>0A790</v>
          </cell>
          <cell r="B128" t="str">
            <v>LAKESIDE - MAJOR STORM</v>
          </cell>
          <cell r="C128" t="str">
            <v>063-LAKESIDE DISTRICT</v>
          </cell>
        </row>
        <row r="129">
          <cell r="A129" t="str">
            <v>0A791</v>
          </cell>
          <cell r="B129" t="str">
            <v>LAKESIDE - MAJOR STORM</v>
          </cell>
          <cell r="C129" t="str">
            <v>063-LAKESIDE DISTRICT</v>
          </cell>
        </row>
        <row r="130">
          <cell r="A130" t="str">
            <v>0A792</v>
          </cell>
          <cell r="B130" t="str">
            <v>LAKESIDE-HIGH WINDS/LIGHTENING 5/6/</v>
          </cell>
          <cell r="C130" t="str">
            <v>063-LAKESIDE DISTRICT</v>
          </cell>
        </row>
        <row r="131">
          <cell r="A131" t="str">
            <v>0A793</v>
          </cell>
          <cell r="B131" t="str">
            <v>THUNDERSTORMS/LIGHTNING/HIGH WINDS</v>
          </cell>
          <cell r="C131" t="str">
            <v>063-LAKESIDE DISTRICT</v>
          </cell>
        </row>
        <row r="132">
          <cell r="A132" t="str">
            <v>0A794</v>
          </cell>
          <cell r="B132" t="str">
            <v>LAKESIDE (UE) - LIGHTNING STORM 08/</v>
          </cell>
          <cell r="C132" t="str">
            <v>063-LAKESIDE DISTRICT</v>
          </cell>
        </row>
        <row r="133">
          <cell r="A133" t="str">
            <v>0A795</v>
          </cell>
          <cell r="B133" t="str">
            <v>LAKESIDE (UE) - MAJOR SNOW STORM 03</v>
          </cell>
          <cell r="C133" t="str">
            <v>063-LAKESIDE DISTRICT</v>
          </cell>
        </row>
        <row r="134">
          <cell r="A134" t="str">
            <v>0A796</v>
          </cell>
          <cell r="B134" t="str">
            <v>LAKESIDE - MAJOR STORM</v>
          </cell>
          <cell r="C134" t="str">
            <v>063-LAKESIDE DISTRICT</v>
          </cell>
        </row>
        <row r="135">
          <cell r="A135" t="str">
            <v>0A797</v>
          </cell>
          <cell r="B135" t="str">
            <v>LAKESIDE - MAJOR STORM</v>
          </cell>
          <cell r="C135" t="str">
            <v>063-LAKESIDE DISTRICT</v>
          </cell>
        </row>
        <row r="136">
          <cell r="A136" t="str">
            <v>0A798</v>
          </cell>
          <cell r="B136" t="str">
            <v>SEVERE THUNDERSTORMS/HVY RAIN/HIGH</v>
          </cell>
          <cell r="C136" t="str">
            <v>063-LAKESIDE DISTRICT</v>
          </cell>
        </row>
        <row r="137">
          <cell r="A137" t="str">
            <v>0A799</v>
          </cell>
          <cell r="B137" t="str">
            <v>LAKESIDE - MAJOR STORM</v>
          </cell>
          <cell r="C137" t="str">
            <v>063-LAKESIDE DISTRICT</v>
          </cell>
        </row>
        <row r="138">
          <cell r="A138" t="str">
            <v>0A890</v>
          </cell>
          <cell r="B138" t="str">
            <v>ST FRANCOIS - MAJOR STORM</v>
          </cell>
          <cell r="C138" t="str">
            <v>071-ST. FRANCOIS</v>
          </cell>
        </row>
        <row r="139">
          <cell r="A139" t="str">
            <v>0A891</v>
          </cell>
          <cell r="B139" t="str">
            <v>ST FRANCOIS - MAJOR STORM</v>
          </cell>
          <cell r="C139" t="str">
            <v>071-ST. FRANCOIS</v>
          </cell>
        </row>
        <row r="140">
          <cell r="A140" t="str">
            <v>0A892</v>
          </cell>
          <cell r="B140" t="str">
            <v>ST FRANCOIS-HIGH WINDS/LIGHTENING 1</v>
          </cell>
          <cell r="C140" t="str">
            <v>071-ST. FRANCOIS</v>
          </cell>
        </row>
        <row r="141">
          <cell r="A141" t="str">
            <v>0A893</v>
          </cell>
          <cell r="B141" t="str">
            <v>ST FRANCOIS - MAJOR STORM</v>
          </cell>
          <cell r="C141" t="str">
            <v>071-ST. FRANCOIS</v>
          </cell>
        </row>
        <row r="142">
          <cell r="A142" t="str">
            <v>0A894</v>
          </cell>
          <cell r="B142" t="str">
            <v>ST FRANCOIS - HIGH WINDS/THUNDERSTO</v>
          </cell>
          <cell r="C142" t="str">
            <v>071-ST. FRANCOIS</v>
          </cell>
        </row>
        <row r="143">
          <cell r="A143" t="str">
            <v>0A895</v>
          </cell>
          <cell r="B143" t="str">
            <v>ST FRANCOIS-EXTREME COLD WEATHER</v>
          </cell>
          <cell r="C143" t="str">
            <v>071-ST. FRANCOIS</v>
          </cell>
        </row>
        <row r="144">
          <cell r="A144" t="str">
            <v>0A896</v>
          </cell>
          <cell r="B144" t="str">
            <v>ST FRANCOIS-SEVERE THUNDERSTORMS 5/</v>
          </cell>
          <cell r="C144" t="str">
            <v>071-ST. FRANCOIS</v>
          </cell>
        </row>
        <row r="145">
          <cell r="A145" t="str">
            <v>0A897</v>
          </cell>
          <cell r="B145" t="str">
            <v>ST FRANCOIS - MAJOR STORM</v>
          </cell>
          <cell r="C145" t="str">
            <v>071-ST. FRANCOIS</v>
          </cell>
        </row>
        <row r="146">
          <cell r="A146" t="str">
            <v>0A898</v>
          </cell>
          <cell r="B146" t="str">
            <v>THUNDERSTORMS-ST FRANCOIS/IRONTON 1</v>
          </cell>
          <cell r="C146" t="str">
            <v>071-ST. FRANCOIS</v>
          </cell>
        </row>
        <row r="147">
          <cell r="A147" t="str">
            <v>0A899</v>
          </cell>
          <cell r="B147" t="str">
            <v>ST FRANCOIS-HIGH WNDS/LTNG TNDRSTRM</v>
          </cell>
          <cell r="C147" t="str">
            <v>071-ST. FRANCOIS</v>
          </cell>
        </row>
        <row r="148">
          <cell r="A148" t="str">
            <v>0A990</v>
          </cell>
          <cell r="B148" t="str">
            <v>ST LOUIS CITY/COUNTY STORM</v>
          </cell>
          <cell r="C148" t="str">
            <v>066-MO OPS ADMIN</v>
          </cell>
        </row>
        <row r="149">
          <cell r="A149" t="str">
            <v>0A991</v>
          </cell>
          <cell r="B149" t="str">
            <v>ST. LOUIS-HIGH WINDS/THUNDERSTORMS</v>
          </cell>
          <cell r="C149" t="str">
            <v>066-MO OPS ADMIN</v>
          </cell>
        </row>
        <row r="150">
          <cell r="A150" t="str">
            <v>0A992</v>
          </cell>
          <cell r="B150" t="str">
            <v>ST LOUIS CITY/COUNTY STORM</v>
          </cell>
          <cell r="C150" t="str">
            <v>066-MO OPS ADMIN</v>
          </cell>
        </row>
        <row r="151">
          <cell r="A151" t="str">
            <v>0A993</v>
          </cell>
          <cell r="B151" t="str">
            <v>METRO - THUNDERSTORM/HIGH WINDS 5/1</v>
          </cell>
          <cell r="C151" t="str">
            <v>066-MO OPS ADMIN</v>
          </cell>
        </row>
        <row r="152">
          <cell r="A152" t="str">
            <v>0A994</v>
          </cell>
          <cell r="B152" t="str">
            <v>METRO ST LOUIS CITY/COUNTY THUNDERS</v>
          </cell>
          <cell r="C152" t="str">
            <v>066-MO OPS ADMIN</v>
          </cell>
        </row>
        <row r="153">
          <cell r="A153" t="str">
            <v>0A995</v>
          </cell>
          <cell r="B153" t="str">
            <v>THUNDERSTORMS-ST. LOUIS CITY/COUNTY</v>
          </cell>
          <cell r="C153" t="str">
            <v>066-MO OPS ADMIN</v>
          </cell>
        </row>
        <row r="154">
          <cell r="A154" t="str">
            <v>0A996</v>
          </cell>
          <cell r="B154" t="str">
            <v>ST. LOUIS CITY/COUNTY STORM</v>
          </cell>
          <cell r="C154" t="str">
            <v>066-MO OPS ADMIN</v>
          </cell>
        </row>
        <row r="155">
          <cell r="A155" t="str">
            <v>0A997</v>
          </cell>
          <cell r="B155" t="str">
            <v>ST LOUIS CITY/COUNTY STORM</v>
          </cell>
          <cell r="C155" t="str">
            <v>066-MO OPS ADMIN</v>
          </cell>
        </row>
        <row r="156">
          <cell r="A156" t="str">
            <v>0A998</v>
          </cell>
          <cell r="B156" t="str">
            <v>ST. LOUIS CITY/CO.- STORM</v>
          </cell>
          <cell r="C156" t="str">
            <v>066-MO OPS ADMIN</v>
          </cell>
        </row>
        <row r="157">
          <cell r="A157" t="str">
            <v>0A999</v>
          </cell>
          <cell r="B157" t="str">
            <v>MAJOR THUNDERSTORMS METRO ST. LOUIS</v>
          </cell>
          <cell r="C157" t="str">
            <v>066-MO OPS ADMIN</v>
          </cell>
        </row>
        <row r="158">
          <cell r="A158" t="str">
            <v>0B192</v>
          </cell>
          <cell r="B158" t="str">
            <v>LITTLE DIXIE-MAJOR ICE STORM-01/30/</v>
          </cell>
          <cell r="C158" t="str">
            <v>4MX-LITTLE DIXIE SUPPORT STAFF</v>
          </cell>
        </row>
        <row r="159">
          <cell r="A159" t="str">
            <v>0B292</v>
          </cell>
          <cell r="B159" t="str">
            <v>GREEN HILLS - TORNADO</v>
          </cell>
          <cell r="C159" t="str">
            <v>7KS-GREEN HILLS DIST SUPPORT</v>
          </cell>
        </row>
        <row r="160">
          <cell r="A160" t="str">
            <v>0B394</v>
          </cell>
          <cell r="B160" t="str">
            <v>HIGH WINDS/LIGHTNING 5/6/03</v>
          </cell>
          <cell r="C160" t="str">
            <v>5JS-CAPITAL DIST SUPPORT</v>
          </cell>
        </row>
        <row r="161">
          <cell r="A161" t="str">
            <v>0B395</v>
          </cell>
          <cell r="B161" t="str">
            <v>THUNDERSTORMS/LIGHTNING/HIGH WINDS</v>
          </cell>
          <cell r="C161" t="str">
            <v>5JS-CAPITAL DIST SUPPORT</v>
          </cell>
        </row>
        <row r="162">
          <cell r="A162" t="str">
            <v>0B590</v>
          </cell>
          <cell r="B162" t="str">
            <v xml:space="preserve">THUNDERSTORM&amp;HIGH WINDS SEMO3/9/06 </v>
          </cell>
          <cell r="C162" t="str">
            <v>0CS-SEMO SUPPORT STAFF</v>
          </cell>
        </row>
        <row r="163">
          <cell r="A163" t="str">
            <v>0B591</v>
          </cell>
          <cell r="B163" t="str">
            <v>STRONG THUNDERSTORMS/TORNADO3/11/06</v>
          </cell>
          <cell r="C163" t="str">
            <v>066-MO OPS ADMIN</v>
          </cell>
        </row>
        <row r="164">
          <cell r="A164" t="str">
            <v>0B592</v>
          </cell>
          <cell r="B164" t="str">
            <v>THUNDERSTORMS/HIGH WINDS 4/2/06</v>
          </cell>
          <cell r="C164" t="str">
            <v>0CS-SEMO SUPPORT STAFF</v>
          </cell>
        </row>
        <row r="165">
          <cell r="A165" t="str">
            <v>0B593</v>
          </cell>
          <cell r="B165" t="str">
            <v>MISSOURI UEC - HIGH WINDS 4/29/06</v>
          </cell>
          <cell r="C165" t="str">
            <v>0CS-SEMO SUPPORT STAFF</v>
          </cell>
        </row>
        <row r="166">
          <cell r="A166" t="str">
            <v>0B594</v>
          </cell>
          <cell r="B166" t="str">
            <v>MISSOURI UEC - THUNDERSTORM</v>
          </cell>
          <cell r="C166" t="str">
            <v>066-MO OPS ADMIN</v>
          </cell>
        </row>
        <row r="167">
          <cell r="A167" t="str">
            <v>0B595</v>
          </cell>
          <cell r="B167" t="str">
            <v>MISSOURI UEC STORMS</v>
          </cell>
          <cell r="C167" t="str">
            <v>066-MO OPS ADMIN</v>
          </cell>
        </row>
        <row r="168">
          <cell r="A168" t="str">
            <v>0B596</v>
          </cell>
          <cell r="B168" t="str">
            <v>MISSOURI UEC STORM</v>
          </cell>
          <cell r="C168" t="str">
            <v>066-MO OPS ADMIN</v>
          </cell>
        </row>
        <row r="169">
          <cell r="A169" t="str">
            <v>0B597</v>
          </cell>
          <cell r="B169" t="str">
            <v>MISSOURI UEC STORMS</v>
          </cell>
          <cell r="C169" t="str">
            <v>066-MO OPS ADMIN</v>
          </cell>
        </row>
        <row r="170">
          <cell r="A170" t="str">
            <v>0B598</v>
          </cell>
          <cell r="B170" t="str">
            <v>STORM UEC DISTRIBUTION</v>
          </cell>
          <cell r="C170" t="str">
            <v>066-MO OPS ADMIN</v>
          </cell>
        </row>
        <row r="171">
          <cell r="A171" t="str">
            <v>0B599</v>
          </cell>
          <cell r="B171" t="str">
            <v>MISSOURI MAJOR STORM</v>
          </cell>
          <cell r="C171" t="str">
            <v>066-MO OPS ADMIN</v>
          </cell>
        </row>
        <row r="172">
          <cell r="A172" t="str">
            <v>0K005</v>
          </cell>
          <cell r="B172" t="str">
            <v>EMPRV SALE TO AIR PRODUCTS CO.</v>
          </cell>
          <cell r="C172" t="str">
            <v>202-DEV - OPERATIONS</v>
          </cell>
        </row>
        <row r="173">
          <cell r="A173" t="str">
            <v>0K009</v>
          </cell>
          <cell r="B173" t="str">
            <v>SAUGET AREA CLEANUP</v>
          </cell>
          <cell r="C173" t="str">
            <v>49C-ESH - WATER</v>
          </cell>
        </row>
        <row r="174">
          <cell r="A174" t="str">
            <v>0K026</v>
          </cell>
          <cell r="B174" t="str">
            <v>COMPRESSED AIR SERVICES</v>
          </cell>
          <cell r="C174" t="str">
            <v>020-ED PRODUCTS &amp; SERVICES</v>
          </cell>
        </row>
        <row r="175">
          <cell r="A175" t="str">
            <v>0K028</v>
          </cell>
          <cell r="B175" t="str">
            <v>LAKE OZARK SHORELN MGMT</v>
          </cell>
          <cell r="C175" t="str">
            <v>061-REAL ESTATE</v>
          </cell>
        </row>
        <row r="176">
          <cell r="A176" t="str">
            <v>0K055</v>
          </cell>
          <cell r="B176" t="str">
            <v>POWER RELIABILITY</v>
          </cell>
          <cell r="C176" t="str">
            <v>020-ED PRODUCTS &amp; SERVICES</v>
          </cell>
        </row>
        <row r="177">
          <cell r="A177" t="str">
            <v>0K056</v>
          </cell>
          <cell r="B177" t="str">
            <v>ABACUS</v>
          </cell>
          <cell r="C177" t="str">
            <v>020-ED PRODUCTS &amp; SERVICES</v>
          </cell>
        </row>
        <row r="178">
          <cell r="A178" t="str">
            <v>0K060</v>
          </cell>
          <cell r="B178" t="str">
            <v>NUCLEAR STARTUP COSTS FOR ERC</v>
          </cell>
          <cell r="C178" t="str">
            <v>80V-NUCL - STARS</v>
          </cell>
        </row>
        <row r="179">
          <cell r="A179" t="str">
            <v>0K063</v>
          </cell>
          <cell r="B179" t="str">
            <v>ENERGY SERVICES</v>
          </cell>
          <cell r="C179" t="str">
            <v>020-ED PRODUCTS &amp; SERVICES</v>
          </cell>
        </row>
        <row r="180">
          <cell r="A180" t="str">
            <v>0K091</v>
          </cell>
          <cell r="B180" t="str">
            <v>UEC-MO ELECTRIC CUST RETAIL MGMT</v>
          </cell>
          <cell r="C180" t="str">
            <v>03W-CUSTOMER SERVICE-AMS</v>
          </cell>
        </row>
        <row r="181">
          <cell r="A181" t="str">
            <v>0K092</v>
          </cell>
          <cell r="B181" t="str">
            <v>TAYLORVILLE II LITIGATION (BRANNAN)</v>
          </cell>
          <cell r="C181" t="str">
            <v>024-LEGAL</v>
          </cell>
        </row>
        <row r="182">
          <cell r="A182" t="str">
            <v>0K116</v>
          </cell>
          <cell r="B182" t="str">
            <v>POSTCARD NOTIFICATION PER ICC</v>
          </cell>
          <cell r="C182" t="str">
            <v>02F-VEGETATION MGT-IL</v>
          </cell>
        </row>
        <row r="183">
          <cell r="A183" t="str">
            <v>0K140</v>
          </cell>
          <cell r="B183" t="str">
            <v>CONTRACT AERIAL PATROL - CIPS</v>
          </cell>
          <cell r="C183" t="str">
            <v>03C-TRANSMISSION-CIPS</v>
          </cell>
        </row>
        <row r="184">
          <cell r="A184" t="str">
            <v>0K143</v>
          </cell>
          <cell r="B184" t="str">
            <v>AERIAL INSP. OF TRANS LINES - UE</v>
          </cell>
          <cell r="C184" t="str">
            <v>037-TRANSMISSION</v>
          </cell>
        </row>
        <row r="185">
          <cell r="A185" t="str">
            <v>0K151</v>
          </cell>
          <cell r="B185" t="str">
            <v>UTILITY TAX SERVICE</v>
          </cell>
          <cell r="C185" t="str">
            <v>020-ED PRODUCTS &amp; SERVICES</v>
          </cell>
        </row>
        <row r="186">
          <cell r="A186" t="str">
            <v>0K152</v>
          </cell>
          <cell r="B186" t="str">
            <v>CUSTOMER ENERGY EXCHANGE</v>
          </cell>
          <cell r="C186" t="str">
            <v>020-ED PRODUCTS &amp; SERVICES</v>
          </cell>
        </row>
        <row r="187">
          <cell r="A187" t="str">
            <v>0K185</v>
          </cell>
          <cell r="B187" t="str">
            <v>NEW ZEALAND REFINING</v>
          </cell>
          <cell r="C187" t="str">
            <v>202-DEV - OPERATIONS</v>
          </cell>
        </row>
        <row r="188">
          <cell r="A188" t="str">
            <v>0K186</v>
          </cell>
          <cell r="B188" t="str">
            <v>POWER LINE COMMUNICATIONS</v>
          </cell>
          <cell r="C188" t="str">
            <v>020-ED PRODUCTS &amp; SERVICES</v>
          </cell>
        </row>
        <row r="189">
          <cell r="A189" t="str">
            <v>0K188</v>
          </cell>
          <cell r="B189" t="str">
            <v>CIP BUILDING MAINTENANCE</v>
          </cell>
          <cell r="C189" t="str">
            <v>07N-BUILDING SERVICES-IL</v>
          </cell>
        </row>
        <row r="190">
          <cell r="A190" t="str">
            <v>0K190</v>
          </cell>
          <cell r="B190" t="str">
            <v>ENPORION ON-GOING OPERATIONS</v>
          </cell>
          <cell r="C190" t="str">
            <v>060-SCP - PLANNING</v>
          </cell>
        </row>
        <row r="191">
          <cell r="A191" t="str">
            <v>0K207</v>
          </cell>
          <cell r="B191" t="str">
            <v>HIGH VOLTAGE MAINTENANCE FOR ERC</v>
          </cell>
          <cell r="C191" t="str">
            <v>020-ED PRODUCTS &amp; SERVICES</v>
          </cell>
        </row>
        <row r="192">
          <cell r="A192" t="str">
            <v>0K213</v>
          </cell>
          <cell r="B192" t="str">
            <v>WHITE &amp; BREWER LANDFILL</v>
          </cell>
          <cell r="C192" t="str">
            <v>024-LEGAL</v>
          </cell>
        </row>
        <row r="193">
          <cell r="A193" t="str">
            <v>0K214</v>
          </cell>
          <cell r="B193" t="str">
            <v>RELAY SYS PROT-FARMINGTON GEN.PROT.</v>
          </cell>
          <cell r="C193" t="str">
            <v>09E-ELECTRICAL ENGINEERING</v>
          </cell>
        </row>
        <row r="194">
          <cell r="A194" t="str">
            <v>0K215</v>
          </cell>
          <cell r="B194" t="str">
            <v>GALLATIN PROJECTDUE DILIGENCE COSTS</v>
          </cell>
          <cell r="C194" t="str">
            <v>087-FOSSIL FUELS</v>
          </cell>
        </row>
        <row r="195">
          <cell r="A195" t="str">
            <v>0K216</v>
          </cell>
          <cell r="B195" t="str">
            <v>CENTURY PRODUCTS DUE DILIGENCE COST</v>
          </cell>
          <cell r="C195" t="str">
            <v>087-FOSSIL FUELS</v>
          </cell>
        </row>
        <row r="196">
          <cell r="A196" t="str">
            <v>0K225</v>
          </cell>
          <cell r="B196" t="str">
            <v>JOINT VENTURE DUE DILIGENCE COSTS</v>
          </cell>
          <cell r="C196" t="str">
            <v>087-FOSSIL FUELS</v>
          </cell>
        </row>
        <row r="197">
          <cell r="A197" t="str">
            <v>0K236</v>
          </cell>
          <cell r="B197" t="str">
            <v>ON-LINE ENERGY AUDIT</v>
          </cell>
          <cell r="C197" t="str">
            <v>020-ED PRODUCTS &amp; SERVICES</v>
          </cell>
        </row>
        <row r="198">
          <cell r="A198" t="str">
            <v>0K237</v>
          </cell>
          <cell r="B198" t="str">
            <v>DC RECY POND REMED PRE-ENG &amp; H2O TR</v>
          </cell>
          <cell r="C198" t="str">
            <v>61A-DUCK CREEK PLANT GENERAL</v>
          </cell>
        </row>
        <row r="199">
          <cell r="A199" t="str">
            <v>0K238</v>
          </cell>
          <cell r="B199" t="str">
            <v>DC ENGRING &amp; PERMITTING-NPDES MODS</v>
          </cell>
          <cell r="C199" t="str">
            <v>61A-DUCK CREEK PLANT GENERAL</v>
          </cell>
        </row>
        <row r="200">
          <cell r="A200" t="str">
            <v>0K239</v>
          </cell>
          <cell r="B200" t="str">
            <v>COST TO COVER DC POND #2 (CLOSURE)</v>
          </cell>
          <cell r="C200" t="str">
            <v>61A-DUCK CREEK PLANT GENERAL</v>
          </cell>
        </row>
        <row r="201">
          <cell r="A201" t="str">
            <v>0K240</v>
          </cell>
          <cell r="B201" t="str">
            <v>DUCK CREEK POND #1 CLOSURE</v>
          </cell>
          <cell r="C201" t="str">
            <v>61A-DUCK CREEK PLANT GENERAL</v>
          </cell>
        </row>
        <row r="202">
          <cell r="A202" t="str">
            <v>0K243</v>
          </cell>
          <cell r="B202" t="str">
            <v>ERC NATURAL GAS EQUIP MAINTENANCE</v>
          </cell>
          <cell r="C202" t="str">
            <v>0G2-GAS TECH SERVICES - AMS</v>
          </cell>
        </row>
        <row r="203">
          <cell r="A203" t="str">
            <v>0K300</v>
          </cell>
          <cell r="B203" t="str">
            <v>REFRIGERATOR RECYCLING AND BOUNTY P</v>
          </cell>
          <cell r="C203" t="str">
            <v>020-ED PRODUCTS &amp; SERVICES</v>
          </cell>
        </row>
        <row r="204">
          <cell r="A204" t="str">
            <v>0K301</v>
          </cell>
          <cell r="B204" t="str">
            <v>CHANGE A LIGHT PROGRAM</v>
          </cell>
          <cell r="C204" t="str">
            <v>020-ED PRODUCTS &amp; SERVICES</v>
          </cell>
        </row>
        <row r="205">
          <cell r="A205" t="str">
            <v>0K302</v>
          </cell>
          <cell r="B205" t="str">
            <v>COMMERCIAL FACILITY ENERGY AUDIT PR</v>
          </cell>
          <cell r="C205" t="str">
            <v>020-ED PRODUCTS &amp; SERVICES</v>
          </cell>
        </row>
        <row r="206">
          <cell r="A206" t="str">
            <v>0K303</v>
          </cell>
          <cell r="B206" t="str">
            <v>SCHOOLS GOING SOLAR PROGRAM</v>
          </cell>
          <cell r="C206" t="str">
            <v>020-ED PRODUCTS &amp; SERVICES</v>
          </cell>
        </row>
        <row r="207">
          <cell r="A207" t="str">
            <v>0K306</v>
          </cell>
          <cell r="B207" t="str">
            <v>DC-ASH PONDS 1&amp;2 CLOSURE-ENG&amp;PERMIT</v>
          </cell>
          <cell r="C207" t="str">
            <v>61A-DUCK CREEK PLANT GENERAL</v>
          </cell>
        </row>
        <row r="208">
          <cell r="A208" t="str">
            <v>0K307</v>
          </cell>
          <cell r="B208" t="str">
            <v>DC RECYCLE POND REMED &amp; CLOSURE</v>
          </cell>
          <cell r="C208" t="str">
            <v>61A-DUCK CREEK PLANT GENERAL</v>
          </cell>
        </row>
        <row r="209">
          <cell r="A209" t="str">
            <v>0K308</v>
          </cell>
          <cell r="B209" t="str">
            <v>LN.1354- TAZ.-EAST.-RAISE POLE-IDOT</v>
          </cell>
          <cell r="C209" t="str">
            <v>09E-ELECTRICAL ENGINEERING</v>
          </cell>
        </row>
        <row r="210">
          <cell r="A210" t="str">
            <v>0K309</v>
          </cell>
          <cell r="B210" t="str">
            <v>GKN SUB SITE DEVELOPMENT</v>
          </cell>
          <cell r="C210" t="str">
            <v>09E-ELECTRICAL ENGINEERING</v>
          </cell>
        </row>
        <row r="211">
          <cell r="A211" t="str">
            <v>0K311</v>
          </cell>
          <cell r="B211" t="str">
            <v>PAY AS YOU SAVE</v>
          </cell>
          <cell r="C211" t="str">
            <v>020-ED PRODUCTS &amp; SERVICES</v>
          </cell>
        </row>
        <row r="212">
          <cell r="A212" t="str">
            <v>0K334</v>
          </cell>
          <cell r="B212" t="str">
            <v>RENEWABLE ENERGY RESEARCH AND DEVEL</v>
          </cell>
          <cell r="C212" t="str">
            <v>087-FOSSIL FUELS</v>
          </cell>
        </row>
        <row r="213">
          <cell r="A213" t="str">
            <v>0K345</v>
          </cell>
          <cell r="B213" t="str">
            <v>PAR-A-DICE TRANSM.LINE RELOC.STUDY</v>
          </cell>
          <cell r="C213" t="str">
            <v>09E-ELECTRICAL ENGINEERING</v>
          </cell>
        </row>
        <row r="214">
          <cell r="A214" t="str">
            <v>0K348</v>
          </cell>
          <cell r="B214" t="str">
            <v>PROJECT THERMOSTATS</v>
          </cell>
          <cell r="C214" t="str">
            <v>020-ED PRODUCTS &amp; SERVICES</v>
          </cell>
        </row>
        <row r="215">
          <cell r="A215" t="str">
            <v>0K349</v>
          </cell>
          <cell r="B215" t="str">
            <v>PROJECT LOW COST MEASURES</v>
          </cell>
          <cell r="C215" t="str">
            <v>020-ED PRODUCTS &amp; SERVICES</v>
          </cell>
        </row>
        <row r="216">
          <cell r="A216" t="str">
            <v>0K350</v>
          </cell>
          <cell r="B216" t="str">
            <v>PROJECT RESIDENTIAL FURNACES</v>
          </cell>
          <cell r="C216" t="str">
            <v>020-ED PRODUCTS &amp; SERVICES</v>
          </cell>
        </row>
        <row r="217">
          <cell r="A217" t="str">
            <v>0K351</v>
          </cell>
          <cell r="B217" t="str">
            <v>COMMERCIAL UTILIZATION EQUIPMENT</v>
          </cell>
          <cell r="C217" t="str">
            <v>020-ED PRODUCTS &amp; SERVICES</v>
          </cell>
        </row>
        <row r="218">
          <cell r="A218" t="str">
            <v>0K375</v>
          </cell>
          <cell r="B218" t="str">
            <v>LIGHTING &amp; AUDITS FOR ERC</v>
          </cell>
          <cell r="C218" t="str">
            <v>020-ED PRODUCTS &amp; SERVICES</v>
          </cell>
        </row>
        <row r="219">
          <cell r="A219" t="str">
            <v>0K376</v>
          </cell>
          <cell r="B219" t="str">
            <v>DIAGNOSIS FOR ERC</v>
          </cell>
          <cell r="C219" t="str">
            <v>020-ED PRODUCTS &amp; SERVICES</v>
          </cell>
        </row>
        <row r="220">
          <cell r="A220" t="str">
            <v>0K389</v>
          </cell>
          <cell r="B220" t="str">
            <v>NSR REQUEST AEG</v>
          </cell>
          <cell r="C220" t="str">
            <v>49A-ESH - AIR</v>
          </cell>
        </row>
        <row r="221">
          <cell r="A221" t="str">
            <v>0K390</v>
          </cell>
          <cell r="B221" t="str">
            <v>NSR REQUEST ARG</v>
          </cell>
          <cell r="C221" t="str">
            <v>49A-ESH - AIR</v>
          </cell>
        </row>
        <row r="222">
          <cell r="A222" t="str">
            <v>0K391</v>
          </cell>
          <cell r="B222" t="str">
            <v>BLDG OPER CERTIFICATION PROGRAM</v>
          </cell>
          <cell r="C222" t="str">
            <v>020-ED PRODUCTS &amp; SERVICES</v>
          </cell>
        </row>
        <row r="223">
          <cell r="A223" t="str">
            <v>0K394</v>
          </cell>
          <cell r="B223" t="str">
            <v>POTENTIAL NEW PRODUCTS AND SERVICES</v>
          </cell>
          <cell r="C223" t="str">
            <v>020-ED PRODUCTS &amp; SERVICES</v>
          </cell>
        </row>
        <row r="224">
          <cell r="A224" t="str">
            <v>0K396</v>
          </cell>
          <cell r="B224" t="str">
            <v>PIPELINE INTEGRITY - CIPS</v>
          </cell>
          <cell r="C224" t="str">
            <v>232-GDSS ADMIN</v>
          </cell>
        </row>
        <row r="225">
          <cell r="A225" t="str">
            <v>0K397</v>
          </cell>
          <cell r="B225" t="str">
            <v>PIPELINE INTEGRITY - UEC</v>
          </cell>
          <cell r="C225" t="str">
            <v>232-GDSS ADMIN</v>
          </cell>
        </row>
        <row r="226">
          <cell r="A226" t="str">
            <v>0K398</v>
          </cell>
          <cell r="B226" t="str">
            <v>PIPELINE INTEGRITY - CIL</v>
          </cell>
          <cell r="C226" t="str">
            <v>232-GDSS ADMIN</v>
          </cell>
        </row>
        <row r="227">
          <cell r="A227" t="str">
            <v>0K399</v>
          </cell>
          <cell r="B227" t="str">
            <v>PIPELINE INTEGRITY - IPC</v>
          </cell>
          <cell r="C227" t="str">
            <v>232-GDSS ADMIN</v>
          </cell>
        </row>
        <row r="228">
          <cell r="A228" t="str">
            <v>0K405</v>
          </cell>
          <cell r="B228" t="str">
            <v>MAINTENANCE OF POLES AND FIXTURES</v>
          </cell>
          <cell r="C228" t="str">
            <v>91H-TRANSMISSION - IPC</v>
          </cell>
        </row>
        <row r="229">
          <cell r="A229" t="str">
            <v>0K460</v>
          </cell>
          <cell r="B229" t="str">
            <v>Metrolink - Litigation Expenses</v>
          </cell>
          <cell r="C229" t="str">
            <v>09E-ELECTRICAL ENGINEERING</v>
          </cell>
        </row>
        <row r="230">
          <cell r="A230" t="str">
            <v>0K463</v>
          </cell>
          <cell r="B230" t="str">
            <v>RESIDENTIAL MARKET ASSESSMENT</v>
          </cell>
          <cell r="C230" t="str">
            <v>020-ED PRODUCTS &amp; SERVICES</v>
          </cell>
        </row>
        <row r="231">
          <cell r="A231" t="str">
            <v>0K465</v>
          </cell>
          <cell r="B231" t="str">
            <v>Costs Associated with Vernon</v>
          </cell>
          <cell r="C231" t="str">
            <v>91A-IL OPS ADMIN</v>
          </cell>
        </row>
        <row r="232">
          <cell r="A232" t="str">
            <v>0K466</v>
          </cell>
          <cell r="B232" t="str">
            <v>2006 AMERENUE ELEC/GAS RATE CASE</v>
          </cell>
          <cell r="C232" t="str">
            <v>024-LEGAL</v>
          </cell>
        </row>
        <row r="233">
          <cell r="A233" t="str">
            <v>0K471</v>
          </cell>
          <cell r="B233" t="str">
            <v>CTG ACQUISITION INTEGRATION</v>
          </cell>
          <cell r="C233" t="str">
            <v>012-CORPORATE PLANNING</v>
          </cell>
        </row>
        <row r="234">
          <cell r="A234" t="str">
            <v>0K472</v>
          </cell>
          <cell r="B234" t="str">
            <v>AMR Implementation IPC</v>
          </cell>
          <cell r="C234" t="str">
            <v>91A-IL OPS ADMIN</v>
          </cell>
        </row>
        <row r="235">
          <cell r="A235" t="str">
            <v>0K473</v>
          </cell>
          <cell r="B235" t="str">
            <v>AMR Implementation CIL</v>
          </cell>
          <cell r="C235" t="str">
            <v>91A-IL OPS ADMIN</v>
          </cell>
        </row>
        <row r="236">
          <cell r="A236" t="str">
            <v>0K474</v>
          </cell>
          <cell r="B236" t="str">
            <v>AMR Implementation CIP</v>
          </cell>
          <cell r="C236" t="str">
            <v>91A-IL OPS ADMIN</v>
          </cell>
        </row>
        <row r="237">
          <cell r="A237" t="str">
            <v>0K475</v>
          </cell>
          <cell r="B237" t="str">
            <v>LEED Incentive Grant and Training</v>
          </cell>
          <cell r="C237" t="str">
            <v>020-ED PRODUCTS &amp; SERVICES</v>
          </cell>
        </row>
        <row r="238">
          <cell r="A238" t="str">
            <v>0K476</v>
          </cell>
          <cell r="B238" t="str">
            <v>Champaign Mattis-Rpl Cap Bank Cans</v>
          </cell>
          <cell r="C238" t="str">
            <v>03D-SUB MTCE &amp; CONST-IL EAST</v>
          </cell>
        </row>
        <row r="239">
          <cell r="A239" t="str">
            <v>0K480</v>
          </cell>
          <cell r="B239" t="str">
            <v>L1556A - Relocate stub pole</v>
          </cell>
          <cell r="C239" t="str">
            <v>91H-TRANSMISSION - IPC</v>
          </cell>
        </row>
        <row r="240">
          <cell r="A240" t="str">
            <v>0K481</v>
          </cell>
          <cell r="B240" t="str">
            <v>St. Louis GOB Air Chase</v>
          </cell>
          <cell r="C240" t="str">
            <v>072-BUILDING SERVICES-MO</v>
          </cell>
        </row>
        <row r="241">
          <cell r="A241" t="str">
            <v>0K487</v>
          </cell>
          <cell r="B241" t="str">
            <v>24 INCH PIG REMOVAL</v>
          </cell>
          <cell r="C241" t="str">
            <v>0G4-GAS TECH SERVICES - CIL</v>
          </cell>
        </row>
        <row r="242">
          <cell r="A242" t="str">
            <v>0K494</v>
          </cell>
          <cell r="B242" t="str">
            <v>Lutesville Study-Est. for MISO-PJM</v>
          </cell>
          <cell r="C242" t="str">
            <v>09E-ELECTRICAL ENGINEERING</v>
          </cell>
        </row>
        <row r="243">
          <cell r="A243" t="str">
            <v>0K495</v>
          </cell>
          <cell r="B243" t="str">
            <v>Rising-Xfmr Rating Study - MISO</v>
          </cell>
          <cell r="C243" t="str">
            <v>09E-ELECTRICAL ENGINEERING</v>
          </cell>
        </row>
        <row r="244">
          <cell r="A244" t="str">
            <v>0K496</v>
          </cell>
          <cell r="B244" t="str">
            <v>MISO - IP04 and IP08 Facility Study</v>
          </cell>
          <cell r="C244" t="str">
            <v>09E-ELECTRICAL ENGINEERING</v>
          </cell>
        </row>
        <row r="245">
          <cell r="A245" t="str">
            <v>0K497</v>
          </cell>
          <cell r="B245" t="str">
            <v>MISO - IP03 Facility Study</v>
          </cell>
          <cell r="C245" t="str">
            <v>09E-ELECTRICAL ENGINEERING</v>
          </cell>
        </row>
        <row r="246">
          <cell r="A246" t="str">
            <v>0K498</v>
          </cell>
          <cell r="B246" t="str">
            <v>MISO - G515 Facility Study</v>
          </cell>
          <cell r="C246" t="str">
            <v>09E-ELECTRICAL ENGINEERING</v>
          </cell>
        </row>
        <row r="247">
          <cell r="A247" t="str">
            <v>0K499</v>
          </cell>
          <cell r="B247" t="str">
            <v>CUSTOMER TRAINING FOR ERC</v>
          </cell>
          <cell r="C247" t="str">
            <v>025-ED-CUSTOMER TRAINING</v>
          </cell>
        </row>
        <row r="248">
          <cell r="A248" t="str">
            <v>0K931</v>
          </cell>
          <cell r="B248" t="str">
            <v>SIOUX - PET COKE BLENDING STUDY</v>
          </cell>
          <cell r="C248" t="str">
            <v>09M-GENERATION PROJECT ENGINEERING</v>
          </cell>
        </row>
        <row r="249">
          <cell r="A249" t="str">
            <v>0K932</v>
          </cell>
          <cell r="B249" t="str">
            <v>S ALBION 345-138KV XFMR STUDY</v>
          </cell>
          <cell r="C249" t="str">
            <v>09E-ELECTRICAL ENGINEERING</v>
          </cell>
        </row>
        <row r="250">
          <cell r="A250" t="str">
            <v>0K934</v>
          </cell>
          <cell r="B250" t="str">
            <v>HUTSONVILLE REPOWERING STUDY</v>
          </cell>
          <cell r="C250" t="str">
            <v>09M-GENERATION PROJECT ENGINEERING</v>
          </cell>
        </row>
        <row r="251">
          <cell r="A251" t="str">
            <v>0K936</v>
          </cell>
          <cell r="B251" t="str">
            <v>VENICE REPOWERING STUDY</v>
          </cell>
          <cell r="C251" t="str">
            <v>09M-GENERATION PROJECT ENGINEERING</v>
          </cell>
        </row>
        <row r="252">
          <cell r="A252" t="str">
            <v>0K937</v>
          </cell>
          <cell r="B252" t="str">
            <v>ACCOUNT RELATIONSHIP MANAGEMENT</v>
          </cell>
          <cell r="C252" t="str">
            <v>03W-CUSTOMER SERVICE-AMS</v>
          </cell>
        </row>
        <row r="253">
          <cell r="A253" t="str">
            <v>0M234</v>
          </cell>
          <cell r="B253" t="str">
            <v>STARS</v>
          </cell>
          <cell r="C253" t="str">
            <v>80V-NUCL - STARS</v>
          </cell>
        </row>
        <row r="254">
          <cell r="A254" t="str">
            <v>0M414</v>
          </cell>
          <cell r="B254" t="str">
            <v>REFUEL MECHANICAL O&amp;M AND LABOR</v>
          </cell>
          <cell r="C254" t="str">
            <v>8LB-NUCL - MAINTENANCE MECHANICAL</v>
          </cell>
        </row>
        <row r="255">
          <cell r="A255" t="str">
            <v>0M453</v>
          </cell>
          <cell r="B255" t="str">
            <v>REFUEL ELECTRICAL O&amp;M AND LABOR</v>
          </cell>
          <cell r="C255" t="str">
            <v>8LA-NUCL - MAINTENANCE ELECTRICAL</v>
          </cell>
        </row>
        <row r="256">
          <cell r="A256" t="str">
            <v>0M463</v>
          </cell>
          <cell r="B256" t="str">
            <v>MAIN TURBINE-REFUEL OUTAGE</v>
          </cell>
          <cell r="C256" t="str">
            <v>88A-NUCL - ENG SYS - BOP</v>
          </cell>
        </row>
        <row r="257">
          <cell r="A257" t="str">
            <v>0P011</v>
          </cell>
          <cell r="B257" t="str">
            <v>OPERATIONS &amp; MAINTENANCE EXP.-TRAIN</v>
          </cell>
          <cell r="C257" t="str">
            <v>40E-GENERATION TRAIN &amp; DEV SRVCS</v>
          </cell>
        </row>
        <row r="258">
          <cell r="A258" t="str">
            <v>0P012</v>
          </cell>
          <cell r="B258" t="str">
            <v>GCMS TRVL ALLWNCE, MILEAGE EXP, UEC</v>
          </cell>
          <cell r="C258" t="str">
            <v>40A-GENERATION CONST MGMT SVCS</v>
          </cell>
        </row>
        <row r="259">
          <cell r="A259" t="str">
            <v>0P015</v>
          </cell>
          <cell r="B259" t="str">
            <v>PPM-LABOR EXP TRB MTC HDQTRS-UEC</v>
          </cell>
          <cell r="C259" t="str">
            <v>40A-GENERATION CONST MGMT SVCS</v>
          </cell>
        </row>
        <row r="260">
          <cell r="A260" t="str">
            <v>0P135</v>
          </cell>
          <cell r="B260" t="str">
            <v>VEN-CHIMNEY INSPECTIONS</v>
          </cell>
          <cell r="C260" t="str">
            <v>340-REGULATED CTG COMMON EXP</v>
          </cell>
        </row>
        <row r="261">
          <cell r="A261" t="str">
            <v>0P142</v>
          </cell>
          <cell r="B261" t="str">
            <v>LBD-REPAIR UNIT 3&amp;4 STACK</v>
          </cell>
          <cell r="C261" t="str">
            <v>83A-LABADIE PLANT GENERAL &amp; BUD</v>
          </cell>
        </row>
        <row r="262">
          <cell r="A262" t="str">
            <v>0P175</v>
          </cell>
          <cell r="B262" t="str">
            <v>LBD-REPAIR UNIT 1 STACK</v>
          </cell>
          <cell r="C262" t="str">
            <v>83A-LABADIE PLANT GENERAL &amp; BUD</v>
          </cell>
        </row>
        <row r="263">
          <cell r="A263" t="str">
            <v>0P194</v>
          </cell>
          <cell r="B263" t="str">
            <v>LBD-LABADIE-RECEIVING SUPPORT BEAMS</v>
          </cell>
          <cell r="C263" t="str">
            <v>83A-LABADIE PLANT GENERAL &amp; BUD</v>
          </cell>
        </row>
        <row r="264">
          <cell r="A264" t="str">
            <v>0P237</v>
          </cell>
          <cell r="B264" t="str">
            <v>MER-UNIT 3 STACK REPAIR</v>
          </cell>
          <cell r="C264" t="str">
            <v>79A-MERAMEC PLANT GENERAL &amp; BUD</v>
          </cell>
        </row>
        <row r="265">
          <cell r="A265" t="str">
            <v>0P238</v>
          </cell>
          <cell r="B265" t="str">
            <v>SIOUX-CYCLONE FRONT OVERHAULS, UNIT</v>
          </cell>
          <cell r="C265" t="str">
            <v>09M-GENERATION PROJECT ENGINEERING</v>
          </cell>
        </row>
        <row r="266">
          <cell r="A266" t="str">
            <v>0P261</v>
          </cell>
          <cell r="B266" t="str">
            <v>TAUM SAUK - SPHERICAL VALVE REPAIRS</v>
          </cell>
          <cell r="C266" t="str">
            <v>46A-TAUM SAUK PLANT GENERAL &amp; BUD</v>
          </cell>
        </row>
        <row r="267">
          <cell r="A267" t="str">
            <v>0P267</v>
          </cell>
          <cell r="B267" t="str">
            <v>SX-UNIT 2 STACK REPAIRS</v>
          </cell>
          <cell r="C267" t="str">
            <v>85A-SIOUX PLANT GENERAL &amp; BUD</v>
          </cell>
        </row>
        <row r="268">
          <cell r="A268" t="str">
            <v>0P269</v>
          </cell>
          <cell r="B268" t="str">
            <v>MER-UNIT 1&amp;2 STACK REPAIRS</v>
          </cell>
          <cell r="C268" t="str">
            <v>09M-GENERATION PROJECT ENGINEERING</v>
          </cell>
        </row>
        <row r="269">
          <cell r="A269" t="str">
            <v>0P272</v>
          </cell>
          <cell r="B269" t="str">
            <v>LBD-UNIT 2 STACK REPAIR</v>
          </cell>
          <cell r="C269" t="str">
            <v>09M-GENERATION PROJECT ENGINEERING</v>
          </cell>
        </row>
        <row r="270">
          <cell r="A270" t="str">
            <v>0P274</v>
          </cell>
          <cell r="B270" t="str">
            <v>SX-UNIT 1 STACK REPAIRS</v>
          </cell>
          <cell r="C270" t="str">
            <v>09M-GENERATION PROJECT ENGINEERING</v>
          </cell>
        </row>
        <row r="271">
          <cell r="A271" t="str">
            <v>0P277</v>
          </cell>
          <cell r="B271" t="str">
            <v>TAUM SAUK - SCADA MAINTENANCE</v>
          </cell>
          <cell r="C271" t="str">
            <v>46A-TAUM SAUK PLANT GENERAL &amp; BUD</v>
          </cell>
        </row>
        <row r="272">
          <cell r="A272" t="str">
            <v>0P286</v>
          </cell>
          <cell r="B272" t="str">
            <v>KEO - FUTURE DEVELOPMENT PIERS</v>
          </cell>
          <cell r="C272" t="str">
            <v>84A-KEOKUK PLANT GENERAL &amp; BUD</v>
          </cell>
        </row>
        <row r="273">
          <cell r="A273" t="str">
            <v>0P287</v>
          </cell>
          <cell r="B273" t="str">
            <v>OSAGE - 5 YEAR INSPECTION</v>
          </cell>
          <cell r="C273" t="str">
            <v>44A-OSAGE PLANT GENERAL &amp; BUD</v>
          </cell>
        </row>
        <row r="274">
          <cell r="A274" t="str">
            <v>0P295</v>
          </cell>
          <cell r="B274" t="str">
            <v>MER U1&amp;2 FLOOR DRAIN IMPROVEMENTS</v>
          </cell>
          <cell r="C274" t="str">
            <v>09M-GENERATION PROJECT ENGINEERING</v>
          </cell>
        </row>
        <row r="275">
          <cell r="A275" t="str">
            <v>0P300</v>
          </cell>
          <cell r="B275" t="str">
            <v>SX-REINSULATION OF BOILER</v>
          </cell>
          <cell r="C275" t="str">
            <v>85A-SIOUX PLANT GENERAL &amp; BUD</v>
          </cell>
        </row>
        <row r="276">
          <cell r="A276" t="str">
            <v>0P309</v>
          </cell>
          <cell r="B276" t="str">
            <v>RI-ROUTINE STACK MAINTENANCE</v>
          </cell>
          <cell r="C276" t="str">
            <v>09M-GENERATION PROJECT ENGINEERING</v>
          </cell>
        </row>
        <row r="277">
          <cell r="A277" t="str">
            <v>0P409</v>
          </cell>
          <cell r="B277" t="str">
            <v>SIOUX UNIT 1 RETUBE COLD SECT AIR H</v>
          </cell>
          <cell r="C277" t="str">
            <v>85A-SIOUX PLANT GENERAL &amp; BUD</v>
          </cell>
        </row>
        <row r="278">
          <cell r="A278" t="str">
            <v>0P410</v>
          </cell>
          <cell r="B278" t="str">
            <v>GC&amp;MS INDUSTRY MEMBERSHIPS</v>
          </cell>
          <cell r="C278" t="str">
            <v>40A-GENERATION CONST MGMT SVCS</v>
          </cell>
        </row>
        <row r="279">
          <cell r="A279" t="str">
            <v>0P415</v>
          </cell>
          <cell r="B279" t="str">
            <v>LBD - LABADIE FIRE RESTORATION PNTG</v>
          </cell>
          <cell r="C279" t="str">
            <v>83A-LABADIE PLANT GENERAL &amp; BUD</v>
          </cell>
        </row>
        <row r="280">
          <cell r="A280" t="str">
            <v>0P432</v>
          </cell>
          <cell r="B280" t="str">
            <v>MER-UNIT 4 STACK REPAIRS</v>
          </cell>
          <cell r="C280" t="str">
            <v>09M-GENERATION PROJECT ENGINEERING</v>
          </cell>
        </row>
        <row r="281">
          <cell r="A281" t="str">
            <v>0P435</v>
          </cell>
          <cell r="B281" t="str">
            <v>MER-UNIT 1 ACM REMOVAL &amp; REPAIR</v>
          </cell>
          <cell r="C281" t="str">
            <v>79A-MERAMEC PLANT GENERAL &amp; BUD</v>
          </cell>
        </row>
        <row r="282">
          <cell r="A282" t="str">
            <v>0P436</v>
          </cell>
          <cell r="B282" t="str">
            <v>MER-DEMAND &amp; WATT HOUR METER REPLAC</v>
          </cell>
          <cell r="C282" t="str">
            <v>79A-MERAMEC PLANT GENERAL &amp; BUD</v>
          </cell>
        </row>
        <row r="283">
          <cell r="A283" t="str">
            <v>0P437</v>
          </cell>
          <cell r="B283" t="str">
            <v>MER-UNIT 2 ACM REMOVAL &amp; REPAIR</v>
          </cell>
          <cell r="C283" t="str">
            <v>79A-MERAMEC PLANT GENERAL &amp; BUD</v>
          </cell>
        </row>
        <row r="284">
          <cell r="A284" t="str">
            <v>0P438</v>
          </cell>
          <cell r="B284" t="str">
            <v>MER-UNIT 3 ACM REVOVAL &amp; REPAIR</v>
          </cell>
          <cell r="C284" t="str">
            <v>79A-MERAMEC PLANT GENERAL &amp; BUD</v>
          </cell>
        </row>
        <row r="285">
          <cell r="A285" t="str">
            <v>0P451</v>
          </cell>
          <cell r="B285" t="str">
            <v>SX-OVERHAUL 1A,2B CIRCULATOR PUMPS</v>
          </cell>
          <cell r="C285" t="str">
            <v>85A-SIOUX PLANT GENERAL &amp; BUD</v>
          </cell>
        </row>
        <row r="286">
          <cell r="A286" t="str">
            <v>0P454</v>
          </cell>
          <cell r="B286" t="str">
            <v>SX-REPL. WATT HOUR &amp; PRINTING DEMAN</v>
          </cell>
          <cell r="C286" t="str">
            <v>85A-SIOUX PLANT GENERAL &amp; BUD</v>
          </cell>
        </row>
        <row r="287">
          <cell r="A287" t="str">
            <v>0P516</v>
          </cell>
          <cell r="B287" t="str">
            <v>MERAMEC - ASPHALT PLANT ENT. RD</v>
          </cell>
          <cell r="C287" t="str">
            <v>09M-GENERATION PROJECT ENGINEERING</v>
          </cell>
        </row>
        <row r="288">
          <cell r="A288" t="str">
            <v>0P519</v>
          </cell>
          <cell r="B288" t="str">
            <v>KEO-REPAIR DOWNSTREAM PIERS</v>
          </cell>
          <cell r="C288" t="str">
            <v>09M-GENERATION PROJECT ENGINEERING</v>
          </cell>
        </row>
        <row r="289">
          <cell r="A289" t="str">
            <v>0P526</v>
          </cell>
          <cell r="B289" t="str">
            <v>GC&amp;MS EMPLOYEE RECOGNITION</v>
          </cell>
          <cell r="C289" t="str">
            <v>40A-GENERATION CONST MGMT SVCS</v>
          </cell>
        </row>
        <row r="290">
          <cell r="A290" t="str">
            <v>0P527</v>
          </cell>
          <cell r="B290" t="str">
            <v>GC&amp;MS SAFETY EXPENSES</v>
          </cell>
          <cell r="C290" t="str">
            <v>40A-GENERATION CONST MGMT SVCS</v>
          </cell>
        </row>
        <row r="291">
          <cell r="A291" t="str">
            <v>0P568</v>
          </cell>
          <cell r="B291" t="str">
            <v>MER-UNIT 3 PRECIPITATOR MTC</v>
          </cell>
          <cell r="C291" t="str">
            <v>79A-MERAMEC PLANT GENERAL &amp; BUD</v>
          </cell>
        </row>
        <row r="292">
          <cell r="A292" t="str">
            <v>0P578</v>
          </cell>
          <cell r="B292" t="str">
            <v>SX U2 AIR HEATER HOT SIDE TUBESHEET</v>
          </cell>
          <cell r="C292" t="str">
            <v>09M-GENERATION PROJECT ENGINEERING</v>
          </cell>
        </row>
        <row r="293">
          <cell r="A293" t="str">
            <v>0P579</v>
          </cell>
          <cell r="B293" t="str">
            <v>OSAGE - SCADA CONSULTANTS</v>
          </cell>
          <cell r="C293" t="str">
            <v>44A-OSAGE PLANT GENERAL &amp; BUD</v>
          </cell>
        </row>
        <row r="294">
          <cell r="A294" t="str">
            <v>0P581</v>
          </cell>
          <cell r="B294" t="str">
            <v>OPERATOR - NEW EMPLOYEE TRAINING</v>
          </cell>
          <cell r="C294" t="str">
            <v>40E-GENERATION TRAIN &amp; DEV SRVCS</v>
          </cell>
        </row>
        <row r="295">
          <cell r="A295" t="str">
            <v>0P582</v>
          </cell>
          <cell r="B295" t="str">
            <v>ELECTRICAL - I&amp;C TRAINING</v>
          </cell>
          <cell r="C295" t="str">
            <v>40E-GENERATION TRAIN &amp; DEV SRVCS</v>
          </cell>
        </row>
        <row r="296">
          <cell r="A296" t="str">
            <v>0P583</v>
          </cell>
          <cell r="B296" t="str">
            <v>MAINTENANCE TRAINING</v>
          </cell>
          <cell r="C296" t="str">
            <v>40E-GENERATION TRAIN &amp; DEV SRVCS</v>
          </cell>
        </row>
        <row r="297">
          <cell r="A297" t="str">
            <v>0P600</v>
          </cell>
          <cell r="B297" t="str">
            <v>RUSH ISLAND UNIT 1 OUTAGE CONTRACT</v>
          </cell>
          <cell r="C297" t="str">
            <v>78A-RUSH ISLAND PLANT GENERAL &amp; BUD</v>
          </cell>
        </row>
        <row r="298">
          <cell r="A298" t="str">
            <v>0P602</v>
          </cell>
          <cell r="B298" t="str">
            <v>LBD-U1 MBO CONTRACT MTC</v>
          </cell>
          <cell r="C298" t="str">
            <v>83A-LABADIE PLANT GENERAL &amp; BUD</v>
          </cell>
        </row>
        <row r="299">
          <cell r="A299" t="str">
            <v>0P603</v>
          </cell>
          <cell r="B299" t="str">
            <v>LBD-U2 MBO CONTRACT MTC</v>
          </cell>
          <cell r="C299" t="str">
            <v>83A-LABADIE PLANT GENERAL &amp; BUD</v>
          </cell>
        </row>
        <row r="300">
          <cell r="A300" t="str">
            <v>0P605</v>
          </cell>
          <cell r="B300" t="str">
            <v>LBD-U4 MBO CONTRACT MTC</v>
          </cell>
          <cell r="C300" t="str">
            <v>83A-LABADIE PLANT GENERAL &amp; BUD</v>
          </cell>
        </row>
        <row r="301">
          <cell r="A301" t="str">
            <v>0P606</v>
          </cell>
          <cell r="B301" t="str">
            <v>SIOUX UNIT 1 OUTAGE CONTRACT MTCE.</v>
          </cell>
          <cell r="C301" t="str">
            <v>85A-SIOUX PLANT GENERAL &amp; BUD</v>
          </cell>
        </row>
        <row r="302">
          <cell r="A302" t="str">
            <v>0P607</v>
          </cell>
          <cell r="B302" t="str">
            <v>SIOUX UNIT 2 OUTAGE CONTRACT MTCE.</v>
          </cell>
          <cell r="C302" t="str">
            <v>85A-SIOUX PLANT GENERAL &amp; BUD</v>
          </cell>
        </row>
        <row r="303">
          <cell r="A303" t="str">
            <v>0P609</v>
          </cell>
          <cell r="B303" t="str">
            <v>MER-UNIT 3 OUTAGE CONTRACT MTCE</v>
          </cell>
          <cell r="C303" t="str">
            <v>79A-MERAMEC PLANT GENERAL &amp; BUD</v>
          </cell>
        </row>
        <row r="304">
          <cell r="A304" t="str">
            <v>0P610</v>
          </cell>
          <cell r="B304" t="str">
            <v>MER-UNIT 4 OUTAGE CONTRACT MTCE</v>
          </cell>
          <cell r="C304" t="str">
            <v>79A-MERAMEC PLANT GENERAL &amp; BUD</v>
          </cell>
        </row>
        <row r="305">
          <cell r="A305" t="str">
            <v>0P661</v>
          </cell>
          <cell r="B305" t="str">
            <v>SIOUX UNIT 1 &amp; 2 GR AND GT DUCTWORK</v>
          </cell>
          <cell r="C305" t="str">
            <v>09M-GENERATION PROJECT ENGINEERING</v>
          </cell>
        </row>
        <row r="306">
          <cell r="A306" t="str">
            <v>0P666</v>
          </cell>
          <cell r="B306" t="str">
            <v>TS STEEL LINER TUNNEL REPAIRS</v>
          </cell>
          <cell r="C306" t="str">
            <v>09M-GENERATION PROJECT ENGINEERING</v>
          </cell>
        </row>
        <row r="307">
          <cell r="A307" t="str">
            <v>0P672</v>
          </cell>
          <cell r="B307" t="str">
            <v>UNIT OVERHAUL - SIOUX BOILER 2</v>
          </cell>
          <cell r="C307" t="str">
            <v>85A-SIOUX PLANT GENERAL &amp; BUD</v>
          </cell>
        </row>
        <row r="308">
          <cell r="A308" t="str">
            <v>0P725</v>
          </cell>
          <cell r="B308" t="str">
            <v>RI SILO FILL DUST SEALS REPL</v>
          </cell>
          <cell r="C308" t="str">
            <v>09M-GENERATION PROJECT ENGINEERING</v>
          </cell>
        </row>
        <row r="309">
          <cell r="A309" t="str">
            <v>0P739</v>
          </cell>
          <cell r="B309" t="str">
            <v>CTG - EXP FOR MO SITES NOT PENO, HB</v>
          </cell>
          <cell r="C309" t="str">
            <v>340-REGULATED CTG COMMON EXP</v>
          </cell>
        </row>
        <row r="310">
          <cell r="A310" t="str">
            <v>0P740</v>
          </cell>
          <cell r="B310" t="str">
            <v>MER-MISC. ACM REMOVAL AND REPAIR</v>
          </cell>
          <cell r="C310" t="str">
            <v>79A-MERAMEC PLANT GENERAL &amp; BUD</v>
          </cell>
        </row>
        <row r="311">
          <cell r="A311" t="str">
            <v>0P749</v>
          </cell>
          <cell r="B311" t="str">
            <v>OSA - DISSOLVED OXY IMPROVEMENT</v>
          </cell>
          <cell r="C311" t="str">
            <v>44A-OSAGE PLANT GENERAL &amp; BUD</v>
          </cell>
        </row>
        <row r="312">
          <cell r="A312" t="str">
            <v>0P774</v>
          </cell>
          <cell r="B312" t="str">
            <v>CTG - MISC EXPENSES FOR  PENO CREEK</v>
          </cell>
          <cell r="C312" t="str">
            <v>340-REGULATED CTG COMMON EXP</v>
          </cell>
        </row>
        <row r="313">
          <cell r="A313" t="str">
            <v>0P781</v>
          </cell>
          <cell r="B313" t="str">
            <v>MERAMEC 4A &amp; B GSU OVERHAUL</v>
          </cell>
          <cell r="C313" t="str">
            <v>09M-GENERATION PROJECT ENGINEERING</v>
          </cell>
        </row>
        <row r="314">
          <cell r="A314" t="str">
            <v>0P789</v>
          </cell>
          <cell r="B314" t="str">
            <v>MER-UNIT 3 BOILER CONDITION ASSESSM</v>
          </cell>
          <cell r="C314" t="str">
            <v>79A-MERAMEC PLANT GENERAL &amp; BUD</v>
          </cell>
        </row>
        <row r="315">
          <cell r="A315" t="str">
            <v>0P794</v>
          </cell>
          <cell r="B315" t="str">
            <v>GC&amp;MS CONFERENCES, SEMINARS, AND TR</v>
          </cell>
          <cell r="C315" t="str">
            <v>40A-GENERATION CONST MGMT SVCS</v>
          </cell>
        </row>
        <row r="316">
          <cell r="A316" t="str">
            <v>0P839</v>
          </cell>
          <cell r="B316" t="str">
            <v>GC &amp; MS BOILER TUBE FAILURE REDUCTI</v>
          </cell>
          <cell r="C316" t="str">
            <v>40A-GENERATION CONST MGMT SVCS</v>
          </cell>
        </row>
        <row r="317">
          <cell r="A317" t="str">
            <v>0P841</v>
          </cell>
          <cell r="B317" t="str">
            <v>GC&amp;MS TRB-GEN RELIABILITY</v>
          </cell>
          <cell r="C317" t="str">
            <v>40A-GENERATION CONST MGMT SVCS</v>
          </cell>
        </row>
        <row r="318">
          <cell r="A318" t="str">
            <v>0P870</v>
          </cell>
          <cell r="B318" t="str">
            <v>KEOKUK - ALIGNMENT/MOVEMENT SURVEY</v>
          </cell>
          <cell r="C318" t="str">
            <v>84A-KEOKUK PLANT GENERAL &amp; BUD</v>
          </cell>
        </row>
        <row r="319">
          <cell r="A319" t="str">
            <v>0P871</v>
          </cell>
          <cell r="B319" t="str">
            <v>SX U1 CYCLONE FRONT OBSTRUCT. RELOC</v>
          </cell>
          <cell r="C319" t="str">
            <v>09M-GENERATION PROJECT ENGINEERING</v>
          </cell>
        </row>
        <row r="320">
          <cell r="A320" t="str">
            <v>0P873</v>
          </cell>
          <cell r="B320" t="str">
            <v>SX-PRECIP PLATE/WIRE REPLACEMENTS</v>
          </cell>
          <cell r="C320" t="str">
            <v>85A-SIOUX PLANT GENERAL &amp; BUD</v>
          </cell>
        </row>
        <row r="321">
          <cell r="A321" t="str">
            <v>0P879</v>
          </cell>
          <cell r="B321" t="str">
            <v>E &amp; C DRAFTING FOR POWER PLANTS--LA</v>
          </cell>
          <cell r="C321" t="str">
            <v>09M-GENERATION PROJECT ENGINEERING</v>
          </cell>
        </row>
        <row r="322">
          <cell r="A322" t="str">
            <v>0P881</v>
          </cell>
          <cell r="B322" t="str">
            <v>MER-E &amp; C DRAFTING FOR POWER PLANTS</v>
          </cell>
          <cell r="C322" t="str">
            <v>09M-GENERATION PROJECT ENGINEERING</v>
          </cell>
        </row>
        <row r="323">
          <cell r="A323" t="str">
            <v>0P882</v>
          </cell>
          <cell r="B323" t="str">
            <v>E &amp; C DRAFTING FOR POWER PLANTS--SI</v>
          </cell>
          <cell r="C323" t="str">
            <v>09M-GENERATION PROJECT ENGINEERING</v>
          </cell>
        </row>
        <row r="324">
          <cell r="A324" t="str">
            <v>0P883</v>
          </cell>
          <cell r="B324" t="str">
            <v>E &amp; C DRAFTING FOR POWER PLANTS--RU</v>
          </cell>
          <cell r="C324" t="str">
            <v>09M-GENERATION PROJECT ENGINEERING</v>
          </cell>
        </row>
        <row r="325">
          <cell r="A325" t="str">
            <v>0P885</v>
          </cell>
          <cell r="B325" t="str">
            <v>KEO GENERATOR RELAY PROTECTION UPGR</v>
          </cell>
          <cell r="C325" t="str">
            <v>09M-GENERATION PROJECT ENGINEERING</v>
          </cell>
        </row>
        <row r="326">
          <cell r="A326" t="str">
            <v>0P887</v>
          </cell>
          <cell r="B326" t="str">
            <v>TS - OUTAGE CONTRACT WORK</v>
          </cell>
          <cell r="C326" t="str">
            <v>09M-GENERATION PROJECT ENGINEERING</v>
          </cell>
        </row>
        <row r="327">
          <cell r="A327" t="str">
            <v>0P945</v>
          </cell>
          <cell r="B327" t="str">
            <v>GTSS PLANT EMERGENCY MANNING CONTIN</v>
          </cell>
          <cell r="C327" t="str">
            <v>40E-GENERATION TRAIN &amp; DEV SRVCS</v>
          </cell>
        </row>
        <row r="328">
          <cell r="A328" t="str">
            <v>0P975</v>
          </cell>
          <cell r="B328" t="str">
            <v>KEOKUK-SPILLWAY SILL REPAIRS</v>
          </cell>
          <cell r="C328" t="str">
            <v>09M-GENERATION PROJECT ENGINEERING</v>
          </cell>
        </row>
        <row r="329">
          <cell r="A329" t="str">
            <v>0P977</v>
          </cell>
          <cell r="B329" t="str">
            <v>KEOKUK - SOFTWARE AND TECH SERVICES</v>
          </cell>
          <cell r="C329" t="str">
            <v>84A-KEOKUK PLANT GENERAL &amp; BUD</v>
          </cell>
        </row>
        <row r="330">
          <cell r="A330" t="str">
            <v>0PL1B</v>
          </cell>
          <cell r="B330" t="str">
            <v>LBD-U1 MBO MTC COST</v>
          </cell>
          <cell r="C330" t="str">
            <v>83A-LABADIE PLANT GENERAL &amp; BUD</v>
          </cell>
        </row>
        <row r="331">
          <cell r="A331" t="str">
            <v>0PL1T</v>
          </cell>
          <cell r="B331" t="str">
            <v>LBD-U1 TRB GEN OVHL</v>
          </cell>
          <cell r="C331" t="str">
            <v>40D-GENERATION MAINT ENG</v>
          </cell>
        </row>
        <row r="332">
          <cell r="A332" t="str">
            <v>0PL2B</v>
          </cell>
          <cell r="B332" t="str">
            <v>LBD-U2 MBO MTC COST</v>
          </cell>
          <cell r="C332" t="str">
            <v>83A-LABADIE PLANT GENERAL &amp; BUD</v>
          </cell>
        </row>
        <row r="333">
          <cell r="A333" t="str">
            <v>0PL2T</v>
          </cell>
          <cell r="B333" t="str">
            <v>LBD-U2 TRB GEN OVHL</v>
          </cell>
          <cell r="C333" t="str">
            <v>40D-GENERATION MAINT ENG</v>
          </cell>
        </row>
        <row r="334">
          <cell r="A334" t="str">
            <v>0PL3B</v>
          </cell>
          <cell r="B334" t="str">
            <v>LBD-U3 MBO MTC COST</v>
          </cell>
          <cell r="C334" t="str">
            <v>83A-LABADIE PLANT GENERAL &amp; BUD</v>
          </cell>
        </row>
        <row r="335">
          <cell r="A335" t="str">
            <v>0PL3T</v>
          </cell>
          <cell r="B335" t="str">
            <v>LBD-U3 TRB GEN OVHL</v>
          </cell>
          <cell r="C335" t="str">
            <v>40D-GENERATION MAINT ENG</v>
          </cell>
        </row>
        <row r="336">
          <cell r="A336" t="str">
            <v>0PL4B</v>
          </cell>
          <cell r="B336" t="str">
            <v>LBD-U4 MBO MTC COST</v>
          </cell>
          <cell r="C336" t="str">
            <v>83A-LABADIE PLANT GENERAL &amp; BUD</v>
          </cell>
        </row>
        <row r="337">
          <cell r="A337" t="str">
            <v>0PL4T</v>
          </cell>
          <cell r="B337" t="str">
            <v>LBD-U4 TRB GEN OVHL</v>
          </cell>
          <cell r="C337" t="str">
            <v>40D-GENERATION MAINT ENG</v>
          </cell>
        </row>
        <row r="338">
          <cell r="A338" t="str">
            <v>0PM1B</v>
          </cell>
          <cell r="B338" t="str">
            <v>MER-UNIT 1 BOILER OVERHAUL (GCMS)</v>
          </cell>
          <cell r="C338" t="str">
            <v>79A-MERAMEC PLANT GENERAL &amp; BUD</v>
          </cell>
        </row>
        <row r="339">
          <cell r="A339" t="str">
            <v>0PM1T</v>
          </cell>
          <cell r="B339" t="str">
            <v>MER-U1 TRB GEN OVHL</v>
          </cell>
          <cell r="C339" t="str">
            <v>40D-GENERATION MAINT ENG</v>
          </cell>
        </row>
        <row r="340">
          <cell r="A340" t="str">
            <v>0PM2B</v>
          </cell>
          <cell r="B340" t="str">
            <v>MER-UNIT 2 BOILER OVERHAUL (GCMS)</v>
          </cell>
          <cell r="C340" t="str">
            <v>79A-MERAMEC PLANT GENERAL &amp; BUD</v>
          </cell>
        </row>
        <row r="341">
          <cell r="A341" t="str">
            <v>0PM2T</v>
          </cell>
          <cell r="B341" t="str">
            <v>MER-U2 TRB GEN OVHL</v>
          </cell>
          <cell r="C341" t="str">
            <v>40D-GENERATION MAINT ENG</v>
          </cell>
        </row>
        <row r="342">
          <cell r="A342" t="str">
            <v>0PM3B</v>
          </cell>
          <cell r="B342" t="str">
            <v>MER-UNIT 3 BOILER OVERHAUL (GCMS)</v>
          </cell>
          <cell r="C342" t="str">
            <v>79A-MERAMEC PLANT GENERAL &amp; BUD</v>
          </cell>
        </row>
        <row r="343">
          <cell r="A343" t="str">
            <v>0PM3T</v>
          </cell>
          <cell r="B343" t="str">
            <v>MER-U3 TRB GEN OVHL</v>
          </cell>
          <cell r="C343" t="str">
            <v>40D-GENERATION MAINT ENG</v>
          </cell>
        </row>
        <row r="344">
          <cell r="A344" t="str">
            <v>0PM4B</v>
          </cell>
          <cell r="B344" t="str">
            <v>MER-UNIT 4 BOILER OVERHAUL (GCMS)</v>
          </cell>
          <cell r="C344" t="str">
            <v>79A-MERAMEC PLANT GENERAL &amp; BUD</v>
          </cell>
        </row>
        <row r="345">
          <cell r="A345" t="str">
            <v>0PM4T</v>
          </cell>
          <cell r="B345" t="str">
            <v>MER-U4 TRB GEN OVHL</v>
          </cell>
          <cell r="C345" t="str">
            <v>40D-GENERATION MAINT ENG</v>
          </cell>
        </row>
        <row r="346">
          <cell r="A346" t="str">
            <v>0PR1B</v>
          </cell>
          <cell r="B346" t="str">
            <v>RI-UINT OVERHAUL - RUSH ISLAND BOIL</v>
          </cell>
          <cell r="C346" t="str">
            <v>78A-RUSH ISLAND PLANT GENERAL &amp; BUD</v>
          </cell>
        </row>
        <row r="347">
          <cell r="A347" t="str">
            <v>0PR1T</v>
          </cell>
          <cell r="B347" t="str">
            <v>RI-U1 TRB GEN OVHL</v>
          </cell>
          <cell r="C347" t="str">
            <v>40D-GENERATION MAINT ENG</v>
          </cell>
        </row>
        <row r="348">
          <cell r="A348" t="str">
            <v>0PR2B</v>
          </cell>
          <cell r="B348" t="str">
            <v>RI-UNIT OVERHAUL - RUSH ISLAND BOIL</v>
          </cell>
          <cell r="C348" t="str">
            <v>78C-RUSH ISLAND PLANT MAINTENANCE</v>
          </cell>
        </row>
        <row r="349">
          <cell r="A349" t="str">
            <v>0PR2T</v>
          </cell>
          <cell r="B349" t="str">
            <v>RI-U2 TRB GEN OVHL</v>
          </cell>
          <cell r="C349" t="str">
            <v>40D-GENERATION MAINT ENG</v>
          </cell>
        </row>
        <row r="350">
          <cell r="A350" t="str">
            <v>0PS1B</v>
          </cell>
          <cell r="B350" t="str">
            <v>SX-UNIT OVERHAUL - SIOUX BOILER #1</v>
          </cell>
          <cell r="C350" t="str">
            <v>85A-SIOUX PLANT GENERAL &amp; BUD</v>
          </cell>
        </row>
        <row r="351">
          <cell r="A351" t="str">
            <v>0PS1T</v>
          </cell>
          <cell r="B351" t="str">
            <v>SX-U1 TRB GEN OVHL</v>
          </cell>
          <cell r="C351" t="str">
            <v>40D-GENERATION MAINT ENG</v>
          </cell>
        </row>
        <row r="352">
          <cell r="A352" t="str">
            <v>0PS2B</v>
          </cell>
          <cell r="B352" t="str">
            <v>SX-UNIT OVERHAUL - SIOUX BOILER #2</v>
          </cell>
          <cell r="C352" t="str">
            <v>85A-SIOUX PLANT GENERAL &amp; BUD</v>
          </cell>
        </row>
        <row r="353">
          <cell r="A353" t="str">
            <v>0PS2T</v>
          </cell>
          <cell r="B353" t="str">
            <v>SX-U2 TRB GEN OVHL</v>
          </cell>
          <cell r="C353" t="str">
            <v>40D-GENERATION MAINT ENG</v>
          </cell>
        </row>
        <row r="354">
          <cell r="A354" t="str">
            <v>0W665</v>
          </cell>
          <cell r="B354" t="str">
            <v>U-1 LP TURBINE INSPECTION WROTOR BO</v>
          </cell>
          <cell r="C354" t="str">
            <v>NAD-NEWTON - TRAINING &amp; BENEFIT ADM</v>
          </cell>
        </row>
        <row r="355">
          <cell r="A355" t="str">
            <v>0W670</v>
          </cell>
          <cell r="B355" t="str">
            <v>2005 U1 MAJOR OUTAGE BOILER REPAIRS</v>
          </cell>
          <cell r="C355" t="str">
            <v>NAD-NEWTON - TRAINING &amp; BENEFIT ADM</v>
          </cell>
        </row>
        <row r="356">
          <cell r="A356">
            <v>10026</v>
          </cell>
          <cell r="B356" t="str">
            <v>LBD COAL SAMPLING &amp; ECONOM DRY FLY</v>
          </cell>
          <cell r="C356" t="str">
            <v>09M-GENERATION PROJECT ENGINEERING</v>
          </cell>
        </row>
        <row r="357">
          <cell r="A357">
            <v>10054</v>
          </cell>
          <cell r="B357" t="str">
            <v>SIOUX UNIT 1 ECONOMIZER REPLACEMENT</v>
          </cell>
          <cell r="C357" t="str">
            <v>09M-GENERATION PROJECT ENGINEERING</v>
          </cell>
        </row>
        <row r="358">
          <cell r="A358">
            <v>10115</v>
          </cell>
          <cell r="B358" t="str">
            <v>VEN U7&amp;8 BOILERS ADD GAS-FIRED CAPA</v>
          </cell>
          <cell r="C358" t="str">
            <v>09M-GENERATION PROJECT ENGINEERING</v>
          </cell>
        </row>
        <row r="359">
          <cell r="A359">
            <v>10127</v>
          </cell>
          <cell r="B359" t="str">
            <v>COFFEEN UNIT 2 OVERFIRE AIR SYSTEM</v>
          </cell>
          <cell r="C359" t="str">
            <v>09M-GENERATION PROJECT ENGINEERING</v>
          </cell>
        </row>
        <row r="360">
          <cell r="A360">
            <v>10149</v>
          </cell>
          <cell r="B360" t="str">
            <v>FUELING FACILITY IN-PLACE CLOSURE</v>
          </cell>
          <cell r="C360" t="str">
            <v>09M-GENERATION PROJECT ENGINEERING</v>
          </cell>
        </row>
        <row r="361">
          <cell r="A361">
            <v>10174</v>
          </cell>
          <cell r="B361" t="str">
            <v>SALE OF ARMSTRONG INDUSTRIAL PARK</v>
          </cell>
          <cell r="C361" t="str">
            <v>061-REAL ESTATE</v>
          </cell>
        </row>
        <row r="362">
          <cell r="A362">
            <v>10175</v>
          </cell>
          <cell r="B362" t="str">
            <v>SL - ELLISVILLE WHQ</v>
          </cell>
          <cell r="C362" t="str">
            <v>061-REAL ESTATE</v>
          </cell>
        </row>
        <row r="363">
          <cell r="A363">
            <v>10262</v>
          </cell>
          <cell r="B363" t="str">
            <v>MERAMEC 4 TURBINE CONTROLS</v>
          </cell>
          <cell r="C363" t="str">
            <v>09M-GENERATION PROJECT ENGINEERING</v>
          </cell>
        </row>
        <row r="364">
          <cell r="A364">
            <v>10292</v>
          </cell>
          <cell r="B364" t="str">
            <v>KINMUNDY U2 CTG 3/2001 AED</v>
          </cell>
          <cell r="C364" t="str">
            <v>09G-GENERATION PROJECTS - GEN</v>
          </cell>
        </row>
        <row r="365">
          <cell r="A365">
            <v>10316</v>
          </cell>
          <cell r="B365" t="str">
            <v>COFFEEN UNIT 2 SCR RETROFIT</v>
          </cell>
          <cell r="C365" t="str">
            <v>CFG-COFFEEN - GENERAL</v>
          </cell>
        </row>
        <row r="366">
          <cell r="A366">
            <v>10317</v>
          </cell>
          <cell r="B366" t="str">
            <v>COFFEEN UNIT 1 SCR RETROFIT</v>
          </cell>
          <cell r="C366" t="str">
            <v>CFG-COFFEEN - GENERAL</v>
          </cell>
        </row>
        <row r="367">
          <cell r="A367">
            <v>10462</v>
          </cell>
          <cell r="B367" t="str">
            <v>ENHANCED 911 CAPABILITIES CIPS PBX</v>
          </cell>
          <cell r="C367" t="str">
            <v>065-NEO - TELEPHONE SERVICES</v>
          </cell>
        </row>
        <row r="368">
          <cell r="A368">
            <v>10467</v>
          </cell>
          <cell r="B368" t="str">
            <v>SX DIESEL GENERATORS &amp; EMERG BUS</v>
          </cell>
          <cell r="C368" t="str">
            <v>09M-GENERATION PROJECT ENGINEERING</v>
          </cell>
        </row>
        <row r="369">
          <cell r="A369">
            <v>10477</v>
          </cell>
          <cell r="B369" t="str">
            <v>MARION RELOCATE 12 KV FOR PENTECOST</v>
          </cell>
          <cell r="C369" t="str">
            <v>4MS-DIVISION VII SUPPORT STAFF</v>
          </cell>
        </row>
        <row r="370">
          <cell r="A370">
            <v>10524</v>
          </cell>
          <cell r="B370" t="str">
            <v>SX U1 WATER LANCE ADDITIONS</v>
          </cell>
          <cell r="C370" t="str">
            <v>09M-GENERATION PROJECT ENGINEERING</v>
          </cell>
        </row>
        <row r="371">
          <cell r="A371">
            <v>10543</v>
          </cell>
          <cell r="B371" t="str">
            <v>CHURCH MOUNTAIN STUDY</v>
          </cell>
          <cell r="C371" t="str">
            <v>09M-GENERATION PROJECT ENGINEERING</v>
          </cell>
        </row>
        <row r="372">
          <cell r="A372">
            <v>10557</v>
          </cell>
          <cell r="B372" t="str">
            <v>ELGIN UNIT 1 (117MW S-W 501D5A CTG)</v>
          </cell>
          <cell r="C372" t="str">
            <v>09G-GENERATION PROJECTS - GEN</v>
          </cell>
        </row>
        <row r="373">
          <cell r="A373">
            <v>10558</v>
          </cell>
          <cell r="B373" t="str">
            <v>ELGIN UNIT 2 (117MW S-W 501D5A CTG)</v>
          </cell>
          <cell r="C373" t="str">
            <v>09G-GENERATION PROJECTS - GEN</v>
          </cell>
        </row>
        <row r="374">
          <cell r="A374">
            <v>10634</v>
          </cell>
          <cell r="B374" t="str">
            <v>PINCKNEYVILLE CTG U1 44MW GE</v>
          </cell>
          <cell r="C374" t="str">
            <v>09M-GENERATION PROJECT ENGINEERING</v>
          </cell>
        </row>
        <row r="375">
          <cell r="A375">
            <v>10640</v>
          </cell>
          <cell r="B375" t="str">
            <v>PINCKNEYVILLE CTG U4 44MW GE</v>
          </cell>
          <cell r="C375" t="str">
            <v>09M-GENERATION PROJECT ENGINEERING</v>
          </cell>
        </row>
        <row r="376">
          <cell r="A376">
            <v>10645</v>
          </cell>
          <cell r="B376" t="str">
            <v>MERAMEC-DRY ASH HANDLINGU1-U4</v>
          </cell>
          <cell r="C376" t="str">
            <v>09M-GENERATION PROJECT ENGINEERING</v>
          </cell>
        </row>
        <row r="377">
          <cell r="A377">
            <v>10682</v>
          </cell>
          <cell r="B377" t="str">
            <v>RUSH ISLAND UNIT 1 CONTROLS UPGRADE</v>
          </cell>
          <cell r="C377" t="str">
            <v>09M-GENERATION PROJECT ENGINEERING</v>
          </cell>
        </row>
        <row r="378">
          <cell r="A378">
            <v>10694</v>
          </cell>
          <cell r="B378" t="str">
            <v>ELGIN UNIT 4 (117MW S-W 501D5A CTG)</v>
          </cell>
          <cell r="C378" t="str">
            <v>09G-GENERATION PROJECTS - GEN</v>
          </cell>
        </row>
        <row r="379">
          <cell r="A379">
            <v>10695</v>
          </cell>
          <cell r="B379" t="str">
            <v>W501D 7737</v>
          </cell>
          <cell r="C379" t="str">
            <v>09G-GENERATION PROJECTS - GEN</v>
          </cell>
        </row>
        <row r="380">
          <cell r="A380">
            <v>10697</v>
          </cell>
          <cell r="B380" t="str">
            <v>SL - ELSBERRY OFC AND POLE STOR YD</v>
          </cell>
          <cell r="C380" t="str">
            <v>061-REAL ESTATE</v>
          </cell>
        </row>
        <row r="381">
          <cell r="A381">
            <v>10715</v>
          </cell>
          <cell r="B381" t="str">
            <v>KELSO 2ND 345/161KV XFMR ADDITION</v>
          </cell>
          <cell r="C381" t="str">
            <v>09E-ELECTRICAL ENGINEERING</v>
          </cell>
        </row>
        <row r="382">
          <cell r="A382">
            <v>10717</v>
          </cell>
          <cell r="B382" t="str">
            <v>MER CTG 2 44MW WHITEHORN UNIT RELOC</v>
          </cell>
          <cell r="C382" t="str">
            <v>09M-GENERATION PROJECT ENGINEERING</v>
          </cell>
        </row>
        <row r="383">
          <cell r="A383">
            <v>10745</v>
          </cell>
          <cell r="B383" t="str">
            <v>KEO 60-CYCLE CONVERSION&amp;AUTOMATION</v>
          </cell>
          <cell r="C383" t="str">
            <v>09M-GENERATION PROJECT ENGINEERING</v>
          </cell>
        </row>
        <row r="384">
          <cell r="A384">
            <v>10775</v>
          </cell>
          <cell r="B384" t="str">
            <v>MER RAILCAR UNLOADING,BARGE LOADING</v>
          </cell>
          <cell r="C384" t="str">
            <v>09M-GENERATION PROJECT ENGINEERING</v>
          </cell>
        </row>
        <row r="385">
          <cell r="A385">
            <v>10802</v>
          </cell>
          <cell r="B385" t="str">
            <v>MER U1&amp;2 BOILER FURNACE SETTING REP</v>
          </cell>
          <cell r="C385" t="str">
            <v>09M-GENERATION PROJECT ENGINEERING</v>
          </cell>
        </row>
        <row r="386">
          <cell r="A386">
            <v>10803</v>
          </cell>
          <cell r="B386" t="str">
            <v>LABADIE 1 HP/IP TURBINE REPLACEMENT</v>
          </cell>
          <cell r="C386" t="str">
            <v>09M-GENERATION PROJECT ENGINEERING</v>
          </cell>
        </row>
        <row r="387">
          <cell r="A387">
            <v>10811</v>
          </cell>
          <cell r="B387" t="str">
            <v>BARRETT STATION SUBSTATION SITE</v>
          </cell>
          <cell r="C387" t="str">
            <v>09E-ELECTRICAL ENGINEERING</v>
          </cell>
        </row>
        <row r="388">
          <cell r="A388">
            <v>10832</v>
          </cell>
          <cell r="B388" t="str">
            <v>SX 480V AUX BUS 2B, BLR BUS 2B REPL</v>
          </cell>
          <cell r="C388" t="str">
            <v>09M-GENERATION PROJECT ENGINEERING</v>
          </cell>
        </row>
        <row r="389">
          <cell r="A389">
            <v>10847</v>
          </cell>
          <cell r="B389" t="str">
            <v>OSAGE - CAPACITY UPGRADE OF 4 UNITS</v>
          </cell>
          <cell r="C389" t="str">
            <v>09M-GENERATION PROJECT ENGINEERING</v>
          </cell>
        </row>
        <row r="390">
          <cell r="A390">
            <v>10854</v>
          </cell>
          <cell r="B390" t="str">
            <v>RUSH ISLAND UNIT 2 CONTROLS UPGRADE</v>
          </cell>
          <cell r="C390" t="str">
            <v>09M-GENERATION PROJECT ENGINEERING</v>
          </cell>
        </row>
        <row r="391">
          <cell r="A391">
            <v>10870</v>
          </cell>
          <cell r="B391" t="str">
            <v>SALE OF SKUNK RIVER PROPERTY</v>
          </cell>
          <cell r="C391" t="str">
            <v>061-REAL ESTATE</v>
          </cell>
        </row>
        <row r="392">
          <cell r="A392">
            <v>10883</v>
          </cell>
          <cell r="B392" t="str">
            <v>WASHINGTON U. HILLTOP 34/4 CUST.SUB</v>
          </cell>
          <cell r="C392" t="str">
            <v>09E-ELECTRICAL ENGINEERING</v>
          </cell>
        </row>
        <row r="393">
          <cell r="A393">
            <v>10885</v>
          </cell>
          <cell r="B393" t="str">
            <v>SIOUX UNIT 2 ECONOMIZER REPLACEMENT</v>
          </cell>
          <cell r="C393" t="str">
            <v>09M-GENERATION PROJECT ENGINEERING</v>
          </cell>
        </row>
        <row r="394">
          <cell r="A394">
            <v>10887</v>
          </cell>
          <cell r="B394" t="str">
            <v>VENICE UNIT #3 SIMPLE CYCLE CTG</v>
          </cell>
          <cell r="C394" t="str">
            <v>09V-NEW GEN &amp; ENV PROJECTS</v>
          </cell>
        </row>
        <row r="395">
          <cell r="A395">
            <v>10888</v>
          </cell>
          <cell r="B395" t="str">
            <v>VENICE UNIT #4 SIMPLE CYCLE CTG</v>
          </cell>
          <cell r="C395" t="str">
            <v>09V-NEW GEN &amp; ENV PROJECTS</v>
          </cell>
        </row>
        <row r="396">
          <cell r="A396">
            <v>10890</v>
          </cell>
          <cell r="B396" t="str">
            <v>BLANCHETTE - NEW 138/34KV SUB</v>
          </cell>
          <cell r="C396" t="str">
            <v>09E-ELECTRICAL ENGINEERING</v>
          </cell>
        </row>
        <row r="397">
          <cell r="A397">
            <v>10892</v>
          </cell>
          <cell r="B397" t="str">
            <v>NEWTON RAIL SPUR</v>
          </cell>
          <cell r="C397" t="str">
            <v>09M-GENERATION PROJECT ENGINEERING</v>
          </cell>
        </row>
        <row r="398">
          <cell r="A398">
            <v>10895</v>
          </cell>
          <cell r="B398" t="str">
            <v>RUSH ISLAND BARGE UNLOADER</v>
          </cell>
          <cell r="C398" t="str">
            <v>09M-GENERATION PROJECT ENGINEERING</v>
          </cell>
        </row>
        <row r="399">
          <cell r="A399">
            <v>10898</v>
          </cell>
          <cell r="B399" t="str">
            <v>KEO 60-CYCLE CONVERSION&amp;AUTOMATION</v>
          </cell>
          <cell r="C399" t="str">
            <v>09M-GENERATION PROJECT ENGINEERING</v>
          </cell>
        </row>
        <row r="400">
          <cell r="A400">
            <v>10902</v>
          </cell>
          <cell r="B400" t="str">
            <v>MER U3 FLY ASH HANDLING UPGR</v>
          </cell>
          <cell r="C400" t="str">
            <v>09M-GENERATION PROJECT ENGINEERING</v>
          </cell>
        </row>
        <row r="401">
          <cell r="A401">
            <v>10930</v>
          </cell>
          <cell r="B401" t="str">
            <v>SX U1&amp;2 BOILER FIRE PROTECT SYS UPG</v>
          </cell>
          <cell r="C401" t="str">
            <v>09M-GENERATION PROJECT ENGINEERING</v>
          </cell>
        </row>
        <row r="402">
          <cell r="A402">
            <v>10941</v>
          </cell>
          <cell r="B402" t="str">
            <v>NEWTON U1&amp;2 - COMBUSTION OPTIMIZATI</v>
          </cell>
          <cell r="C402" t="str">
            <v>09M-GENERATION PROJECT ENGINEERING</v>
          </cell>
        </row>
        <row r="403">
          <cell r="A403">
            <v>10942</v>
          </cell>
          <cell r="B403" t="str">
            <v>MEREDOSIA U5 - COMBUSTION OPTIMIZAT</v>
          </cell>
          <cell r="C403" t="str">
            <v>09M-GENERATION PROJECT ENGINEERING</v>
          </cell>
        </row>
        <row r="404">
          <cell r="A404">
            <v>10943</v>
          </cell>
          <cell r="B404" t="str">
            <v>MERAMEC U1&amp;2 - COMB OPT</v>
          </cell>
          <cell r="C404" t="str">
            <v>09M-GENERATION PROJECT ENGINEERING</v>
          </cell>
        </row>
        <row r="405">
          <cell r="A405">
            <v>10944</v>
          </cell>
          <cell r="B405" t="str">
            <v>MERAMEC U3 - COMB OPT</v>
          </cell>
          <cell r="C405" t="str">
            <v>09M-GENERATION PROJECT ENGINEERING</v>
          </cell>
        </row>
        <row r="406">
          <cell r="A406">
            <v>10945</v>
          </cell>
          <cell r="B406" t="str">
            <v>RUSH ISLAND U1 - COMB OPT</v>
          </cell>
          <cell r="C406" t="str">
            <v>09M-GENERATION PROJECT ENGINEERING</v>
          </cell>
        </row>
        <row r="407">
          <cell r="A407">
            <v>10946</v>
          </cell>
          <cell r="B407" t="str">
            <v>RUSH ISLAND U2 - COMB OPT</v>
          </cell>
          <cell r="C407" t="str">
            <v>09M-GENERATION PROJECT ENGINEERING</v>
          </cell>
        </row>
        <row r="408">
          <cell r="A408">
            <v>10972</v>
          </cell>
          <cell r="B408" t="str">
            <v>SX U2 TURB CONTROL UPGR</v>
          </cell>
          <cell r="C408" t="str">
            <v>09M-GENERATION PROJECT ENGINEERING</v>
          </cell>
        </row>
        <row r="409">
          <cell r="A409">
            <v>10990</v>
          </cell>
          <cell r="B409" t="str">
            <v>SALE OF MANHATTAN AVE. PROPERTY</v>
          </cell>
          <cell r="C409" t="str">
            <v>061-REAL ESTATE</v>
          </cell>
        </row>
        <row r="410">
          <cell r="A410">
            <v>10992</v>
          </cell>
          <cell r="B410" t="str">
            <v>MIDTOWN SUB RELOC (SOUTHEAST DIST)</v>
          </cell>
          <cell r="C410" t="str">
            <v>09E-ELECTRICAL ENGINEERING</v>
          </cell>
        </row>
        <row r="411">
          <cell r="A411">
            <v>10997</v>
          </cell>
          <cell r="B411" t="str">
            <v>CLARK SUB - TRANSFORMER STUDY</v>
          </cell>
          <cell r="C411" t="str">
            <v>09E-ELECTRICAL ENGINEERING</v>
          </cell>
        </row>
        <row r="412">
          <cell r="A412">
            <v>11007</v>
          </cell>
          <cell r="B412" t="str">
            <v>MEXICO ROAD SUB - SCADA ADDN. (WZ)</v>
          </cell>
          <cell r="C412" t="str">
            <v>09E-ELECTRICAL ENGINEERING</v>
          </cell>
        </row>
        <row r="413">
          <cell r="A413">
            <v>11035</v>
          </cell>
          <cell r="B413" t="str">
            <v>SIOUX - BARGE UNLOADING SYSTEM</v>
          </cell>
          <cell r="C413" t="str">
            <v>09M-GENERATION PROJECT ENGINEERING</v>
          </cell>
        </row>
        <row r="414">
          <cell r="A414">
            <v>11042</v>
          </cell>
          <cell r="B414" t="str">
            <v>DIESEL GEN EXCITOR CONTROLS RPLCMNT</v>
          </cell>
          <cell r="C414" t="str">
            <v>8EE-NUCL - ENG DES - I &amp; C</v>
          </cell>
        </row>
        <row r="415">
          <cell r="A415">
            <v>11057</v>
          </cell>
          <cell r="B415" t="str">
            <v>BABLER AREA - NEW 345/138KV SUBSTAT</v>
          </cell>
          <cell r="C415" t="str">
            <v>09E-ELECTRICAL ENGINEERING</v>
          </cell>
        </row>
        <row r="416">
          <cell r="A416">
            <v>11063</v>
          </cell>
          <cell r="B416" t="str">
            <v>LBD PI DATA ARCHIVE MINING PROJECT</v>
          </cell>
          <cell r="C416" t="str">
            <v>09M-GENERATION PROJECT ENGINEERING</v>
          </cell>
        </row>
        <row r="417">
          <cell r="A417">
            <v>11075</v>
          </cell>
          <cell r="B417" t="str">
            <v>HUTSNVLE ASH &amp; DRAINAGE COLLECT PND</v>
          </cell>
          <cell r="C417" t="str">
            <v>09M-GENERATION PROJECT ENGINEERING</v>
          </cell>
        </row>
        <row r="418">
          <cell r="A418">
            <v>11084</v>
          </cell>
          <cell r="B418" t="str">
            <v>LBD DANCE FLOOR TRUSS SYS,U2 PLATFO</v>
          </cell>
          <cell r="C418" t="str">
            <v>09M-GENERATION PROJECT ENGINEERING</v>
          </cell>
        </row>
        <row r="419">
          <cell r="A419">
            <v>11099</v>
          </cell>
          <cell r="B419" t="str">
            <v>LBD U2 #3 IP FEEDWATER HEATER REPL</v>
          </cell>
          <cell r="C419" t="str">
            <v>09M-GENERATION PROJECT ENGINEERING</v>
          </cell>
        </row>
        <row r="420">
          <cell r="A420">
            <v>11107</v>
          </cell>
          <cell r="B420" t="str">
            <v>KEO U11&amp;13 TURB RUNNER REPL</v>
          </cell>
          <cell r="C420" t="str">
            <v>09M-GENERATION PROJECT ENGINEERING</v>
          </cell>
        </row>
        <row r="421">
          <cell r="A421">
            <v>11108</v>
          </cell>
          <cell r="B421" t="str">
            <v>KEO U10&amp;12 TURB RUNNER REPL</v>
          </cell>
          <cell r="C421" t="str">
            <v>09M-GENERATION PROJECT ENGINEERING</v>
          </cell>
        </row>
        <row r="422">
          <cell r="A422">
            <v>11109</v>
          </cell>
          <cell r="B422" t="str">
            <v>KEO U8&amp;9 TURB RUNNER REPL</v>
          </cell>
          <cell r="C422" t="str">
            <v>09M-GENERATION PROJECT ENGINEERING</v>
          </cell>
        </row>
        <row r="423">
          <cell r="A423">
            <v>11112</v>
          </cell>
          <cell r="B423" t="str">
            <v>RI U1 SUPERHEAT REAR PENDANT REPL</v>
          </cell>
          <cell r="C423" t="str">
            <v>09M-GENERATION PROJECT ENGINEERING</v>
          </cell>
        </row>
        <row r="424">
          <cell r="A424">
            <v>11130</v>
          </cell>
          <cell r="B424" t="str">
            <v>W. MATTOON-NEOGA 138KV</v>
          </cell>
          <cell r="C424" t="str">
            <v>09E-ELECTRICAL ENGINEERING</v>
          </cell>
        </row>
        <row r="425">
          <cell r="A425">
            <v>11131</v>
          </cell>
          <cell r="B425" t="str">
            <v>PINCKNEYVILLE U5 - 39 MW CTG GE 6B</v>
          </cell>
          <cell r="C425" t="str">
            <v>09G-GENERATION PROJECTS - GEN</v>
          </cell>
        </row>
        <row r="426">
          <cell r="A426">
            <v>11146</v>
          </cell>
          <cell r="B426" t="str">
            <v>KEO - PURCHASE CREST GATES</v>
          </cell>
          <cell r="C426" t="str">
            <v>09M-GENERATION PROJECT ENGINEERING</v>
          </cell>
        </row>
        <row r="427">
          <cell r="A427">
            <v>11152</v>
          </cell>
          <cell r="B427" t="str">
            <v>MER U1 BOILER ECONOMIZER REPL</v>
          </cell>
          <cell r="C427" t="str">
            <v>09M-GENERATION PROJECT ENGINEERING</v>
          </cell>
        </row>
        <row r="428">
          <cell r="A428">
            <v>11166</v>
          </cell>
          <cell r="B428" t="str">
            <v>LBD U1 HPBFP TURB CONTROLS UPGR</v>
          </cell>
          <cell r="C428" t="str">
            <v>09M-GENERATION PROJECT ENGINEERING</v>
          </cell>
        </row>
        <row r="429">
          <cell r="A429">
            <v>11179</v>
          </cell>
          <cell r="B429" t="str">
            <v>SALE OF PROPERTY IN HERRIN, IL</v>
          </cell>
          <cell r="C429" t="str">
            <v>061-REAL ESTATE</v>
          </cell>
        </row>
        <row r="430">
          <cell r="A430">
            <v>11180</v>
          </cell>
          <cell r="B430" t="str">
            <v>KEO FENCE DOWNSTREAM SIDE OF DAM</v>
          </cell>
          <cell r="C430" t="str">
            <v>09M-GENERATION PROJECT ENGINEERING</v>
          </cell>
        </row>
        <row r="431">
          <cell r="A431">
            <v>11191</v>
          </cell>
          <cell r="B431" t="str">
            <v>SALE OF PROPERTY IN TAYLORVILLE, IL</v>
          </cell>
          <cell r="C431" t="str">
            <v>061-REAL ESTATE</v>
          </cell>
        </row>
        <row r="432">
          <cell r="A432">
            <v>11192</v>
          </cell>
          <cell r="B432" t="str">
            <v>SALE OF PROPERTY TAYLORVILLE, IL</v>
          </cell>
          <cell r="C432" t="str">
            <v>061-REAL ESTATE</v>
          </cell>
        </row>
        <row r="433">
          <cell r="A433">
            <v>11203</v>
          </cell>
          <cell r="B433" t="str">
            <v>SALE OF PANA STOREROOM</v>
          </cell>
          <cell r="C433" t="str">
            <v>061-REAL ESTATE</v>
          </cell>
        </row>
        <row r="434">
          <cell r="A434">
            <v>11216</v>
          </cell>
          <cell r="B434" t="str">
            <v>RETIRE JEFFERSON DISTRICT POLE YARD</v>
          </cell>
          <cell r="C434" t="str">
            <v>061-REAL ESTATE</v>
          </cell>
        </row>
        <row r="435">
          <cell r="A435">
            <v>11229</v>
          </cell>
          <cell r="B435" t="str">
            <v>RI SERVICE BLDG FIRE PROTECTION</v>
          </cell>
          <cell r="C435" t="str">
            <v>09M-GENERATION PROJECT ENGINEERING</v>
          </cell>
        </row>
        <row r="436">
          <cell r="A436">
            <v>11234</v>
          </cell>
          <cell r="B436" t="str">
            <v>LOW PRESSURE ROTOR ELEMENT RPLCMNT</v>
          </cell>
          <cell r="C436" t="str">
            <v>8EA-NUCL - ENG PROJ - MAJOR MODS</v>
          </cell>
        </row>
        <row r="437">
          <cell r="A437">
            <v>11290</v>
          </cell>
          <cell r="B437" t="str">
            <v>LBD COAL RECEIV CONTROLS UPGR</v>
          </cell>
          <cell r="C437" t="str">
            <v>09M-GENERATION PROJECT ENGINEERING</v>
          </cell>
        </row>
        <row r="438">
          <cell r="A438">
            <v>11291</v>
          </cell>
          <cell r="B438" t="str">
            <v>LBD CEMS DATA ACQUISITION SYST REPL</v>
          </cell>
          <cell r="C438" t="str">
            <v>09M-GENERATION PROJECT ENGINEERING</v>
          </cell>
        </row>
        <row r="439">
          <cell r="A439">
            <v>11304</v>
          </cell>
          <cell r="B439" t="str">
            <v>CARDINAL GLENNON HOSPITAL CUST SUB</v>
          </cell>
          <cell r="C439" t="str">
            <v>056-GERALDINE</v>
          </cell>
        </row>
        <row r="440">
          <cell r="A440">
            <v>11305</v>
          </cell>
          <cell r="B440" t="str">
            <v>SALE OF CONWAY SUB PROPERTY</v>
          </cell>
          <cell r="C440" t="str">
            <v>061-REAL ESTATE</v>
          </cell>
        </row>
        <row r="441">
          <cell r="A441">
            <v>11306</v>
          </cell>
          <cell r="B441" t="str">
            <v>CALLAWAY-FRANKS 345LN -WAS BLAND-FR</v>
          </cell>
          <cell r="C441" t="str">
            <v>09E-ELECTRICAL ENGINEERING</v>
          </cell>
        </row>
        <row r="442">
          <cell r="A442">
            <v>11323</v>
          </cell>
          <cell r="B442" t="str">
            <v>SL - BEARDSTOWN OFFICE AND BLDG</v>
          </cell>
          <cell r="C442" t="str">
            <v>061-REAL ESTATE</v>
          </cell>
        </row>
        <row r="443">
          <cell r="A443">
            <v>11346</v>
          </cell>
          <cell r="B443" t="str">
            <v>BLUFF CITY TAP-AVENA TAP-RAMSEY 138</v>
          </cell>
          <cell r="C443" t="str">
            <v>09E-ELECTRICAL ENGINEERING</v>
          </cell>
        </row>
        <row r="444">
          <cell r="A444">
            <v>11354</v>
          </cell>
          <cell r="B444" t="str">
            <v>HOLNAM SUPPLY</v>
          </cell>
          <cell r="C444" t="str">
            <v>09E-ELECTRICAL ENGINEERING</v>
          </cell>
        </row>
        <row r="445">
          <cell r="A445">
            <v>11363</v>
          </cell>
          <cell r="B445" t="str">
            <v>APACHE FLATS-JEFF. CITY 161KV LINE</v>
          </cell>
          <cell r="C445" t="str">
            <v>09E-ELECTRICAL ENGINEERING</v>
          </cell>
        </row>
        <row r="446">
          <cell r="A446">
            <v>11366</v>
          </cell>
          <cell r="B446" t="str">
            <v>GIBSON CITY CTG OUTLET</v>
          </cell>
          <cell r="C446" t="str">
            <v>09E-ELECTRICAL ENGINEERING</v>
          </cell>
        </row>
        <row r="447">
          <cell r="A447">
            <v>11370</v>
          </cell>
          <cell r="B447" t="str">
            <v>HWY.I-70-RAIS-RELOC.VEN-RIDG4,REIMB</v>
          </cell>
          <cell r="C447" t="str">
            <v>09E-ELECTRICAL ENGINEERING</v>
          </cell>
        </row>
        <row r="448">
          <cell r="A448">
            <v>11378</v>
          </cell>
          <cell r="B448" t="str">
            <v>RUSH-ST. FRANCOIS-2 345 KV LINE</v>
          </cell>
          <cell r="C448" t="str">
            <v>09E-ELECTRICAL ENGINEERING</v>
          </cell>
        </row>
        <row r="449">
          <cell r="A449">
            <v>11408</v>
          </cell>
          <cell r="B449" t="str">
            <v>SONDERN SUBSTATION - SCADA ADDITION</v>
          </cell>
          <cell r="C449" t="str">
            <v>09E-ELECTRICAL ENGINEERING</v>
          </cell>
        </row>
        <row r="450">
          <cell r="A450">
            <v>11409</v>
          </cell>
          <cell r="B450" t="str">
            <v>MCKINLEY STREET SUB - SCADA ADDN</v>
          </cell>
          <cell r="C450" t="str">
            <v>09E-ELECTRICAL ENGINEERING</v>
          </cell>
        </row>
        <row r="451">
          <cell r="A451">
            <v>11415</v>
          </cell>
          <cell r="B451" t="str">
            <v>LBD U2 WATER CANNON ADDITIONS</v>
          </cell>
          <cell r="C451" t="str">
            <v>09M-GENERATION PROJECT ENGINEERING</v>
          </cell>
        </row>
        <row r="452">
          <cell r="A452">
            <v>11421</v>
          </cell>
          <cell r="B452" t="str">
            <v>MERAMEC UNIT 4 COAL MILL UPGRADES</v>
          </cell>
          <cell r="C452" t="str">
            <v>09M-GENERATION PROJECT ENGINEERING</v>
          </cell>
        </row>
        <row r="453">
          <cell r="A453">
            <v>11424</v>
          </cell>
          <cell r="B453" t="str">
            <v>MERAMEC 3 TURBINE CONTROLS</v>
          </cell>
          <cell r="C453" t="str">
            <v>09M-GENERATION PROJECT ENGINEERING</v>
          </cell>
        </row>
        <row r="454">
          <cell r="A454">
            <v>11427</v>
          </cell>
          <cell r="B454" t="str">
            <v>MERAMEC UNIT 3 CONTROLS UPGRADES</v>
          </cell>
          <cell r="C454" t="str">
            <v>09M-GENERATION PROJECT ENGINEERING</v>
          </cell>
        </row>
        <row r="455">
          <cell r="A455">
            <v>11439</v>
          </cell>
          <cell r="B455" t="str">
            <v>VENICE CTG #2</v>
          </cell>
          <cell r="C455" t="str">
            <v>09M-GENERATION PROJECT ENGINEERING</v>
          </cell>
        </row>
        <row r="456">
          <cell r="A456">
            <v>11445</v>
          </cell>
          <cell r="B456" t="str">
            <v>SL - BEARDSTOWN LOC OFF N BLDG</v>
          </cell>
          <cell r="C456" t="str">
            <v>061-REAL ESTATE</v>
          </cell>
        </row>
        <row r="457">
          <cell r="A457">
            <v>11447</v>
          </cell>
          <cell r="B457" t="str">
            <v>MASN-71,SECOND RIVERPORT SUPPLY</v>
          </cell>
          <cell r="C457" t="str">
            <v>027-DORSETT</v>
          </cell>
        </row>
        <row r="458">
          <cell r="A458">
            <v>11456</v>
          </cell>
          <cell r="B458" t="str">
            <v>LBD SERVICE BLDG FIRE PROTECTION</v>
          </cell>
          <cell r="C458" t="str">
            <v>09M-GENERATION PROJECT ENGINEERING</v>
          </cell>
        </row>
        <row r="459">
          <cell r="A459">
            <v>11464</v>
          </cell>
          <cell r="B459" t="str">
            <v>MERAMEC UNIT 3 COAL MILL UPGRADES</v>
          </cell>
          <cell r="C459" t="str">
            <v>09M-GENERATION PROJECT ENGINEERING</v>
          </cell>
        </row>
        <row r="460">
          <cell r="A460">
            <v>11465</v>
          </cell>
          <cell r="B460" t="str">
            <v>LBD U3 ECONOMIZER REPL</v>
          </cell>
          <cell r="C460" t="str">
            <v>09M-GENERATION PROJECT ENGINEERING</v>
          </cell>
        </row>
        <row r="461">
          <cell r="A461">
            <v>11466</v>
          </cell>
          <cell r="B461" t="str">
            <v>LBD U4 BOILER MTCE WORK PLATFORM</v>
          </cell>
          <cell r="C461" t="str">
            <v>09M-GENERATION PROJECT ENGINEERING</v>
          </cell>
        </row>
        <row r="462">
          <cell r="A462">
            <v>11474</v>
          </cell>
          <cell r="B462" t="str">
            <v>LBD U2 PRIMARY AIR DUCT MODS</v>
          </cell>
          <cell r="C462" t="str">
            <v>09M-GENERATION PROJECT ENGINEERING</v>
          </cell>
        </row>
        <row r="463">
          <cell r="A463">
            <v>11488</v>
          </cell>
          <cell r="B463" t="str">
            <v>RETIRE LAND AT THE GOB</v>
          </cell>
          <cell r="C463" t="str">
            <v>061-REAL ESTATE</v>
          </cell>
        </row>
        <row r="464">
          <cell r="A464">
            <v>11491</v>
          </cell>
          <cell r="B464" t="str">
            <v>NATURAL BRIDGE SUB EXCESS PROPERTY</v>
          </cell>
          <cell r="C464" t="str">
            <v>061-REAL ESTATE</v>
          </cell>
        </row>
        <row r="465">
          <cell r="A465">
            <v>11493</v>
          </cell>
          <cell r="B465" t="str">
            <v>SX U2 3RD SECTION SSH &amp; OUTLET HDRS</v>
          </cell>
          <cell r="C465" t="str">
            <v>09M-GENERATION PROJECT ENGINEERING</v>
          </cell>
        </row>
        <row r="466">
          <cell r="A466">
            <v>11500</v>
          </cell>
          <cell r="B466" t="str">
            <v>PSL - FUTURE NASH SUB</v>
          </cell>
          <cell r="C466" t="str">
            <v>061-REAL ESTATE</v>
          </cell>
        </row>
        <row r="467">
          <cell r="A467">
            <v>11504</v>
          </cell>
          <cell r="B467" t="str">
            <v>RUSH ISLAND - NEW ADMIN BLDG</v>
          </cell>
          <cell r="C467" t="str">
            <v>09M-GENERATION PROJECT ENGINEERING</v>
          </cell>
        </row>
        <row r="468">
          <cell r="A468">
            <v>11505</v>
          </cell>
          <cell r="B468" t="str">
            <v>MER U1&amp;2 SECONDARY SUPERHEATER REPL</v>
          </cell>
          <cell r="C468" t="str">
            <v>09M-GENERATION PROJECT ENGINEERING</v>
          </cell>
        </row>
        <row r="469">
          <cell r="A469">
            <v>11506</v>
          </cell>
          <cell r="B469" t="str">
            <v>RI U1 REHEATER REPL</v>
          </cell>
          <cell r="C469" t="str">
            <v>09M-GENERATION PROJECT ENGINEERING</v>
          </cell>
        </row>
        <row r="470">
          <cell r="A470">
            <v>11507</v>
          </cell>
          <cell r="B470" t="str">
            <v>VEN RETENTION POND CONSTRUCTION</v>
          </cell>
          <cell r="C470" t="str">
            <v>09M-GENERATION PROJECT ENGINEERING</v>
          </cell>
        </row>
        <row r="471">
          <cell r="A471">
            <v>11508</v>
          </cell>
          <cell r="B471" t="str">
            <v>MER U4 DEMOLISH ORIGINAL ESP&amp;DUCTS</v>
          </cell>
          <cell r="C471" t="str">
            <v>09M-GENERATION PROJECT ENGINEERING</v>
          </cell>
        </row>
        <row r="472">
          <cell r="A472">
            <v>11515</v>
          </cell>
          <cell r="B472" t="str">
            <v>SIOUX UNIT 1 CYCLONE REPLACEMENT</v>
          </cell>
          <cell r="C472" t="str">
            <v>09M-GENERATION PROJECT ENGINEERING</v>
          </cell>
        </row>
        <row r="473">
          <cell r="A473">
            <v>11517</v>
          </cell>
          <cell r="B473" t="str">
            <v>NEW DELMAR FEEDER</v>
          </cell>
          <cell r="C473" t="str">
            <v>036-UNDERGROUND</v>
          </cell>
        </row>
        <row r="474">
          <cell r="A474">
            <v>11531</v>
          </cell>
          <cell r="B474" t="str">
            <v>SIOUX UNIT 1 OVERFIRE AIR SYSTEM</v>
          </cell>
          <cell r="C474" t="str">
            <v>09M-GENERATION PROJECT ENGINEERING</v>
          </cell>
        </row>
        <row r="475">
          <cell r="A475">
            <v>11560</v>
          </cell>
          <cell r="B475" t="str">
            <v>LBD U1 BOILER REHEATER REPL</v>
          </cell>
          <cell r="C475" t="str">
            <v>09M-GENERATION PROJECT ENGINEERING</v>
          </cell>
        </row>
        <row r="476">
          <cell r="A476">
            <v>11566</v>
          </cell>
          <cell r="B476" t="str">
            <v>RI U1 LOWER SLOPE REPL</v>
          </cell>
          <cell r="C476" t="str">
            <v>09M-GENERATION PROJECT ENGINEERING</v>
          </cell>
        </row>
        <row r="477">
          <cell r="A477">
            <v>11581</v>
          </cell>
          <cell r="B477" t="str">
            <v>KEOKUK U1-U7 GENERATOR PROTECTION</v>
          </cell>
          <cell r="C477" t="str">
            <v>09M-GENERATION PROJECT ENGINEERING</v>
          </cell>
        </row>
        <row r="478">
          <cell r="A478">
            <v>11584</v>
          </cell>
          <cell r="B478" t="str">
            <v>MERAMEC 1 &amp; 2 PERFORMANCE MONITOR</v>
          </cell>
          <cell r="C478" t="str">
            <v>81E-GENERATION PERFORMANCE ENGRNG</v>
          </cell>
        </row>
        <row r="479">
          <cell r="A479">
            <v>11586</v>
          </cell>
          <cell r="B479" t="str">
            <v>MERAMEC U4 PERFORMANCE MONITOR</v>
          </cell>
          <cell r="C479" t="str">
            <v>81E-GENERATION PERFORMANCE ENGRNG</v>
          </cell>
        </row>
        <row r="480">
          <cell r="A480">
            <v>11587</v>
          </cell>
          <cell r="B480" t="str">
            <v>MER CEM DATA ACQUISITION SYST REPL</v>
          </cell>
          <cell r="C480" t="str">
            <v>09M-GENERATION PROJECT ENGINEERING</v>
          </cell>
        </row>
        <row r="481">
          <cell r="A481">
            <v>11593</v>
          </cell>
          <cell r="B481" t="str">
            <v>SIOUX U1 - COMB OPT</v>
          </cell>
          <cell r="C481" t="str">
            <v>81E-GENERATION PERFORMANCE ENGRNG</v>
          </cell>
        </row>
        <row r="482">
          <cell r="A482">
            <v>11594</v>
          </cell>
          <cell r="B482" t="str">
            <v>SIOUX U2 - COMB OPT</v>
          </cell>
          <cell r="C482" t="str">
            <v>81E-GENERATION PERFORMANCE ENGRNG</v>
          </cell>
        </row>
        <row r="483">
          <cell r="A483">
            <v>11599</v>
          </cell>
          <cell r="B483" t="str">
            <v>MER U1&amp;2 STATION BATTERIES REPL</v>
          </cell>
          <cell r="C483" t="str">
            <v>09M-GENERATION PROJECT ENGINEERING</v>
          </cell>
        </row>
        <row r="484">
          <cell r="A484">
            <v>11601</v>
          </cell>
          <cell r="B484" t="str">
            <v>MERAMEC U1&amp;2 - REPLACE TURBINE BUS</v>
          </cell>
          <cell r="C484" t="str">
            <v>09M-GENERATION PROJECT ENGINEERING</v>
          </cell>
        </row>
        <row r="485">
          <cell r="A485">
            <v>11618</v>
          </cell>
          <cell r="B485" t="str">
            <v>SX U2 5A LP FEEDWATER HEATER REPL</v>
          </cell>
          <cell r="C485" t="str">
            <v>09M-GENERATION PROJECT ENGINEERING</v>
          </cell>
        </row>
        <row r="486">
          <cell r="A486">
            <v>11619</v>
          </cell>
          <cell r="B486" t="str">
            <v>MER U1 LOW NOX BURNER RETROFIT</v>
          </cell>
          <cell r="C486" t="str">
            <v>09M-GENERATION PROJECT ENGINEERING</v>
          </cell>
        </row>
        <row r="487">
          <cell r="A487">
            <v>11620</v>
          </cell>
          <cell r="B487" t="str">
            <v>MER U2 LOW NOX BURNER RETROFIT</v>
          </cell>
          <cell r="C487" t="str">
            <v>09M-GENERATION PROJECT ENGINEERING</v>
          </cell>
        </row>
        <row r="488">
          <cell r="A488">
            <v>11644</v>
          </cell>
          <cell r="B488" t="str">
            <v>LBD U1 GSU XFMR REPL</v>
          </cell>
          <cell r="C488" t="str">
            <v>09M-GENERATION PROJECT ENGINEERING</v>
          </cell>
        </row>
        <row r="489">
          <cell r="A489">
            <v>11645</v>
          </cell>
          <cell r="B489" t="str">
            <v>MER U1 COLD END AIR HEATER REPL</v>
          </cell>
          <cell r="C489" t="str">
            <v>09M-GENERATION PROJECT ENGINEERING</v>
          </cell>
        </row>
        <row r="490">
          <cell r="A490">
            <v>11647</v>
          </cell>
          <cell r="B490" t="str">
            <v>RI POTABLE WATER SYSTEM UPGR</v>
          </cell>
          <cell r="C490" t="str">
            <v>09M-GENERATION PROJECT ENGINEERING</v>
          </cell>
        </row>
        <row r="491">
          <cell r="A491">
            <v>11650</v>
          </cell>
          <cell r="B491" t="str">
            <v>RI U1 FURNACE WORK PLATFORM INSTALL</v>
          </cell>
          <cell r="C491" t="str">
            <v>78C-RUSH ISLAND PLANT MAINTENANCE</v>
          </cell>
        </row>
        <row r="492">
          <cell r="A492">
            <v>11665</v>
          </cell>
          <cell r="B492" t="str">
            <v>AUBURN SUBSTATION SUPPLY AND FEEDER</v>
          </cell>
          <cell r="C492" t="str">
            <v>093-WENTZVILLE DISTRICT</v>
          </cell>
        </row>
        <row r="493">
          <cell r="A493">
            <v>11674</v>
          </cell>
          <cell r="B493" t="str">
            <v>MCLY-75 - WENTZVILLE DISTRICT</v>
          </cell>
          <cell r="C493" t="str">
            <v>093-WENTZVILLE DISTRICT</v>
          </cell>
        </row>
        <row r="494">
          <cell r="A494">
            <v>11675</v>
          </cell>
          <cell r="B494" t="str">
            <v>FEEDER 636-54 (COOL SPRINGS) RECOND</v>
          </cell>
          <cell r="C494" t="str">
            <v>093-WENTZVILLE DISTRICT</v>
          </cell>
        </row>
        <row r="495">
          <cell r="A495">
            <v>11685</v>
          </cell>
          <cell r="B495" t="str">
            <v>SALE OF RAILROAD REALTY SERVICES</v>
          </cell>
          <cell r="C495" t="str">
            <v>061-REAL ESTATE</v>
          </cell>
        </row>
        <row r="496">
          <cell r="A496">
            <v>11747</v>
          </cell>
          <cell r="B496" t="str">
            <v>KEO 13.8KV ACB REPL &amp; BUS A,B UPRAT</v>
          </cell>
          <cell r="C496" t="str">
            <v>09M-GENERATION PROJECT ENGINEERING</v>
          </cell>
        </row>
        <row r="497">
          <cell r="A497">
            <v>11751</v>
          </cell>
          <cell r="B497" t="str">
            <v>KEO U6 STATOR REWIND</v>
          </cell>
          <cell r="C497" t="str">
            <v>09M-GENERATION PROJECT ENGINEERING</v>
          </cell>
        </row>
        <row r="498">
          <cell r="A498">
            <v>11753</v>
          </cell>
          <cell r="B498" t="str">
            <v>MER U1&amp;2 GENERATOR BACKUP RELAY PRO</v>
          </cell>
          <cell r="C498" t="str">
            <v>09M-GENERATION PROJECT ENGINEERING</v>
          </cell>
        </row>
        <row r="499">
          <cell r="A499">
            <v>11754</v>
          </cell>
          <cell r="B499" t="str">
            <v>MER U3 GENERATOR BACKUP RELAY PROT</v>
          </cell>
          <cell r="C499" t="str">
            <v>09M-GENERATION PROJECT ENGINEERING</v>
          </cell>
        </row>
        <row r="500">
          <cell r="A500">
            <v>11756</v>
          </cell>
          <cell r="B500" t="str">
            <v>RI U1 ASH HANDLING SYS CONTROLS UPG</v>
          </cell>
          <cell r="C500" t="str">
            <v>09M-GENERATION PROJECT ENGINEERING</v>
          </cell>
        </row>
        <row r="501">
          <cell r="A501">
            <v>11757</v>
          </cell>
          <cell r="B501" t="str">
            <v>RI U2 ASH HANDLING SYS CONTROLS UPG</v>
          </cell>
          <cell r="C501" t="str">
            <v>09M-GENERATION PROJECT ENGINEERING</v>
          </cell>
        </row>
        <row r="502">
          <cell r="A502">
            <v>11758</v>
          </cell>
          <cell r="B502" t="str">
            <v>SX AB&amp;C BASIC DEMINERALIZERS REPL</v>
          </cell>
          <cell r="C502" t="str">
            <v>09M-GENERATION PROJECT ENGINEERING</v>
          </cell>
        </row>
        <row r="503">
          <cell r="A503">
            <v>11760</v>
          </cell>
          <cell r="B503" t="str">
            <v>SX U1 GENERATOR BACKUP RELAY PROT</v>
          </cell>
          <cell r="C503" t="str">
            <v>09M-GENERATION PROJECT ENGINEERING</v>
          </cell>
        </row>
        <row r="504">
          <cell r="A504">
            <v>11761</v>
          </cell>
          <cell r="B504" t="str">
            <v>SX U2 BACKUP RELAY PROTECTION INSTL</v>
          </cell>
          <cell r="C504" t="str">
            <v>09M-GENERATION PROJECT ENGINEERING</v>
          </cell>
        </row>
        <row r="505">
          <cell r="A505">
            <v>11768</v>
          </cell>
          <cell r="B505" t="str">
            <v>SL - BEARDSTOWN LAND N DISPAT OFF</v>
          </cell>
          <cell r="C505" t="str">
            <v>061-REAL ESTATE</v>
          </cell>
        </row>
        <row r="506">
          <cell r="A506">
            <v>11781</v>
          </cell>
          <cell r="B506" t="str">
            <v>PHELPS-REPL XFMR LS BKRS,UPGR 34BUS</v>
          </cell>
          <cell r="C506" t="str">
            <v>09E-ELECTRICAL ENGINEERING</v>
          </cell>
        </row>
        <row r="507">
          <cell r="A507">
            <v>11786</v>
          </cell>
          <cell r="B507" t="str">
            <v>VIADUCT - SECOND 84/MVA TRANSFORMER</v>
          </cell>
          <cell r="C507" t="str">
            <v>09E-ELECTRICAL ENGINEERING</v>
          </cell>
        </row>
        <row r="508">
          <cell r="A508">
            <v>11789</v>
          </cell>
          <cell r="B508" t="str">
            <v>WEDEKIND SUBSTATION 34 KV FEEDER</v>
          </cell>
          <cell r="C508" t="str">
            <v>09E-ELECTRICAL ENGINEERING</v>
          </cell>
        </row>
        <row r="509">
          <cell r="A509">
            <v>11800</v>
          </cell>
          <cell r="B509" t="str">
            <v>TS LOWER RESERVOIR DAM RAISING</v>
          </cell>
          <cell r="C509" t="str">
            <v>09M-GENERATION PROJECT ENGINEERING</v>
          </cell>
        </row>
        <row r="510">
          <cell r="A510">
            <v>11801</v>
          </cell>
          <cell r="B510" t="str">
            <v>TAUM SAUK - UPPER RESERVOIR LEAKAGE</v>
          </cell>
          <cell r="C510" t="str">
            <v>09M-GENERATION PROJECT ENGINEERING</v>
          </cell>
        </row>
        <row r="511">
          <cell r="A511">
            <v>11814</v>
          </cell>
          <cell r="B511" t="str">
            <v>CTG - FAIRGROUNDS CONTROLS UPGRADE</v>
          </cell>
          <cell r="C511" t="str">
            <v>09M-GENERATION PROJECT ENGINEERING</v>
          </cell>
        </row>
        <row r="512">
          <cell r="A512">
            <v>11819</v>
          </cell>
          <cell r="B512" t="str">
            <v>ST.FRANC.-345BRKR &amp; A HALF-RI-SF-2</v>
          </cell>
          <cell r="C512" t="str">
            <v>09E-ELECTRICAL ENGINEERING</v>
          </cell>
        </row>
        <row r="513">
          <cell r="A513">
            <v>11823</v>
          </cell>
          <cell r="B513" t="str">
            <v>CTG - MERAMEC CTG 1 CONTROL UPGRADE</v>
          </cell>
          <cell r="C513" t="str">
            <v>09M-GENERATION PROJECT ENGINEERING</v>
          </cell>
        </row>
        <row r="514">
          <cell r="A514">
            <v>11847</v>
          </cell>
          <cell r="B514" t="str">
            <v>RUSH ISLAND -345KV LN.TERM.-RI-SF-2</v>
          </cell>
          <cell r="C514" t="str">
            <v>09E-ELECTRICAL ENGINEERING</v>
          </cell>
        </row>
        <row r="515">
          <cell r="A515">
            <v>11855</v>
          </cell>
          <cell r="B515" t="str">
            <v>REPLACE U3 WALLBLOWERS</v>
          </cell>
          <cell r="C515" t="str">
            <v>09M-GENERATION PROJECT ENGINEERING</v>
          </cell>
        </row>
        <row r="516">
          <cell r="A516">
            <v>11881</v>
          </cell>
          <cell r="B516" t="str">
            <v>RUSH ISL.-NEW 345KV POSN FOR HOLCIM</v>
          </cell>
          <cell r="C516" t="str">
            <v>09E-ELECTRICAL ENGINEERING</v>
          </cell>
        </row>
        <row r="517">
          <cell r="A517">
            <v>11907</v>
          </cell>
          <cell r="B517" t="str">
            <v>HUNTER-INST.3RD XFMR,138 PCB,34 PCB</v>
          </cell>
          <cell r="C517" t="str">
            <v>09E-ELECTRICAL ENGINEERING</v>
          </cell>
        </row>
        <row r="518">
          <cell r="A518">
            <v>11917</v>
          </cell>
          <cell r="B518" t="str">
            <v>LBD U1 WATER CANNON ADDITIONS</v>
          </cell>
          <cell r="C518" t="str">
            <v>09M-GENERATION PROJECT ENGINEERING</v>
          </cell>
        </row>
        <row r="519">
          <cell r="A519">
            <v>11919</v>
          </cell>
          <cell r="B519" t="str">
            <v>LBD U3 WATER CANNON ADDITIONS</v>
          </cell>
          <cell r="C519" t="str">
            <v>09M-GENERATION PROJECT ENGINEERING</v>
          </cell>
        </row>
        <row r="520">
          <cell r="A520">
            <v>11920</v>
          </cell>
          <cell r="B520" t="str">
            <v>SIOUX-1 AUX BUS 1C REPLACEMENT</v>
          </cell>
          <cell r="C520" t="str">
            <v>09M-GENERATION PROJECT ENGINEERING</v>
          </cell>
        </row>
        <row r="521">
          <cell r="A521">
            <v>11940</v>
          </cell>
          <cell r="B521" t="str">
            <v>SX U1 HP/IP TURB REPL</v>
          </cell>
          <cell r="C521" t="str">
            <v>09M-GENERATION PROJECT ENGINEERING</v>
          </cell>
        </row>
        <row r="522">
          <cell r="A522">
            <v>11941</v>
          </cell>
          <cell r="B522" t="str">
            <v>SX U2 HP/IP TURB REPL</v>
          </cell>
          <cell r="C522" t="str">
            <v>09M-GENERATION PROJECT ENGINEERING</v>
          </cell>
        </row>
        <row r="523">
          <cell r="A523">
            <v>11989</v>
          </cell>
          <cell r="B523" t="str">
            <v>MER U4 #1&amp;2 FEEDWATER HEATERS REPL</v>
          </cell>
          <cell r="C523" t="str">
            <v>09M-GENERATION PROJECT ENGINEERING</v>
          </cell>
        </row>
        <row r="524">
          <cell r="A524">
            <v>11990</v>
          </cell>
          <cell r="B524" t="str">
            <v>WAMS PHASOR MEASUREMENT SYSTEM INST</v>
          </cell>
          <cell r="C524" t="str">
            <v>09E-ELECTRICAL ENGINEERING</v>
          </cell>
        </row>
        <row r="525">
          <cell r="A525">
            <v>11995</v>
          </cell>
          <cell r="B525" t="str">
            <v>LBD U2 #1 HP HEATER REPL</v>
          </cell>
          <cell r="C525" t="str">
            <v>09M-GENERATION PROJECT ENGINEERING</v>
          </cell>
        </row>
        <row r="526">
          <cell r="A526">
            <v>12000</v>
          </cell>
          <cell r="B526" t="str">
            <v>SX 480V PRECIPITATOR BUS 1AA REPL</v>
          </cell>
          <cell r="C526" t="str">
            <v>09M-GENERATION PROJECT ENGINEERING</v>
          </cell>
        </row>
        <row r="527">
          <cell r="A527">
            <v>12001</v>
          </cell>
          <cell r="B527" t="str">
            <v>SX 480V PRECIPITATOR BUS 2AA REPL</v>
          </cell>
          <cell r="C527" t="str">
            <v>09M-GENERATION PROJECT ENGINEERING</v>
          </cell>
        </row>
        <row r="528">
          <cell r="A528">
            <v>12015</v>
          </cell>
          <cell r="B528" t="str">
            <v>RI CONDEN. STORAGE TANK &amp; DEMIN UPG</v>
          </cell>
          <cell r="C528" t="str">
            <v>09M-GENERATION PROJECT ENGINEERING</v>
          </cell>
        </row>
        <row r="529">
          <cell r="A529">
            <v>12016</v>
          </cell>
          <cell r="B529" t="str">
            <v>MER SUMMER VENTILATION IMPROVEMENT</v>
          </cell>
          <cell r="C529" t="str">
            <v>09M-GENERATION PROJECT ENGINEERING</v>
          </cell>
        </row>
        <row r="530">
          <cell r="A530">
            <v>12063</v>
          </cell>
          <cell r="B530" t="str">
            <v>MER U3 STATION BATTERIES REPL</v>
          </cell>
          <cell r="C530" t="str">
            <v>09M-GENERATION PROJECT ENGINEERING</v>
          </cell>
        </row>
        <row r="531">
          <cell r="A531">
            <v>12064</v>
          </cell>
          <cell r="B531" t="str">
            <v>MER U4 STATION BATTERIES REPL</v>
          </cell>
          <cell r="C531" t="str">
            <v>09M-GENERATION PROJECT ENGINEERING</v>
          </cell>
        </row>
        <row r="532">
          <cell r="A532">
            <v>12066</v>
          </cell>
          <cell r="B532" t="str">
            <v>SL - CARUTHERSVILLE OFF BLDG</v>
          </cell>
          <cell r="C532" t="str">
            <v>061-REAL ESTATE</v>
          </cell>
        </row>
        <row r="533">
          <cell r="A533">
            <v>12170</v>
          </cell>
          <cell r="B533" t="str">
            <v>MER SHOP AREA FIRE PROTECTION</v>
          </cell>
          <cell r="C533" t="str">
            <v>09M-GENERATION PROJECT ENGINEERING</v>
          </cell>
        </row>
        <row r="534">
          <cell r="A534">
            <v>12171</v>
          </cell>
          <cell r="B534" t="str">
            <v>ETZEL AVE. SALE</v>
          </cell>
          <cell r="C534" t="str">
            <v>061-REAL ESTATE</v>
          </cell>
        </row>
        <row r="535">
          <cell r="A535">
            <v>12183</v>
          </cell>
          <cell r="B535" t="str">
            <v>MER U3&amp;4 CWP ISO. (DOW) VALVES REPL</v>
          </cell>
          <cell r="C535" t="str">
            <v>09M-GENERATION PROJECT ENGINEERING</v>
          </cell>
        </row>
        <row r="536">
          <cell r="A536">
            <v>12194</v>
          </cell>
          <cell r="B536" t="str">
            <v>MEREDOSIA UNIT 3 GENERATOR REWIND</v>
          </cell>
          <cell r="C536" t="str">
            <v>09M-GENERATION PROJECT ENGINEERING</v>
          </cell>
        </row>
        <row r="537">
          <cell r="A537">
            <v>12208</v>
          </cell>
          <cell r="B537" t="str">
            <v>CIPS MOBILE DATA</v>
          </cell>
          <cell r="C537" t="str">
            <v>065-NEO - TELEPHONE SERVICES</v>
          </cell>
        </row>
        <row r="538">
          <cell r="A538">
            <v>12218</v>
          </cell>
          <cell r="B538" t="str">
            <v>DIGITAL ACCESS CROSSCONNECT</v>
          </cell>
          <cell r="C538" t="str">
            <v>065-NEO - TELEPHONE SERVICES</v>
          </cell>
        </row>
        <row r="539">
          <cell r="A539">
            <v>12224</v>
          </cell>
          <cell r="B539" t="str">
            <v>DUPO FERRY - BUCK KNOB 138KV LINE</v>
          </cell>
          <cell r="C539" t="str">
            <v>09E-ELECTRICAL ENGINEERING</v>
          </cell>
        </row>
        <row r="540">
          <cell r="A540">
            <v>12226</v>
          </cell>
          <cell r="B540" t="str">
            <v>MIDTOWN SUB SALE</v>
          </cell>
          <cell r="C540" t="str">
            <v>061-REAL ESTATE</v>
          </cell>
        </row>
        <row r="541">
          <cell r="A541">
            <v>12250</v>
          </cell>
          <cell r="B541" t="str">
            <v>MER OFFICE AREA FIRE PROTECTION</v>
          </cell>
          <cell r="C541" t="str">
            <v>09M-GENERATION PROJECT ENGINEERING</v>
          </cell>
        </row>
        <row r="542">
          <cell r="A542">
            <v>12275</v>
          </cell>
          <cell r="B542" t="str">
            <v>NPS U2 REPLACE EHC CONTROLS</v>
          </cell>
          <cell r="C542" t="str">
            <v>09M-GENERATION PROJECT ENGINEERING</v>
          </cell>
        </row>
        <row r="543">
          <cell r="A543">
            <v>12298</v>
          </cell>
          <cell r="B543" t="str">
            <v>GCS4 - GAS SCADA</v>
          </cell>
          <cell r="C543" t="str">
            <v>0G1-GAS TECH SERVICES - CIP</v>
          </cell>
        </row>
        <row r="544">
          <cell r="A544">
            <v>12299</v>
          </cell>
          <cell r="B544" t="str">
            <v>EDGAR SUBSTATION-NEW SITE ACQUISITI</v>
          </cell>
          <cell r="C544" t="str">
            <v>09E-ELECTRICAL ENGINEERING</v>
          </cell>
        </row>
        <row r="545">
          <cell r="A545">
            <v>12300</v>
          </cell>
          <cell r="B545" t="str">
            <v>HIGHLAND SUBSTATION-NEW SITE ACQUIS</v>
          </cell>
          <cell r="C545" t="str">
            <v>09E-ELECTRICAL ENGINEERING</v>
          </cell>
        </row>
        <row r="546">
          <cell r="A546">
            <v>12308</v>
          </cell>
          <cell r="B546" t="str">
            <v>ENTERGY(FRANKLIN CO.)345 IN-OUT SUP</v>
          </cell>
          <cell r="C546" t="str">
            <v>09E-ELECTRICAL ENGINEERING</v>
          </cell>
        </row>
        <row r="547">
          <cell r="A547">
            <v>12338</v>
          </cell>
          <cell r="B547" t="str">
            <v>MEREDOSIA UNIT 4 REPOWERING STUDY</v>
          </cell>
          <cell r="C547" t="str">
            <v>09M-GENERATION PROJECT ENGINEERING</v>
          </cell>
        </row>
        <row r="548">
          <cell r="A548">
            <v>12359</v>
          </cell>
          <cell r="B548" t="str">
            <v>SALE OF OWANECO PROPERTY</v>
          </cell>
          <cell r="C548" t="str">
            <v>061-REAL ESTATE</v>
          </cell>
        </row>
        <row r="549">
          <cell r="A549">
            <v>12365</v>
          </cell>
          <cell r="B549" t="str">
            <v>DES PERES SUB SITE SALE</v>
          </cell>
          <cell r="C549" t="str">
            <v>061-REAL ESTATE</v>
          </cell>
        </row>
        <row r="550">
          <cell r="A550">
            <v>12370</v>
          </cell>
          <cell r="B550" t="str">
            <v>MONTGOMERY -ADD 2 POSNS FOR PANDA</v>
          </cell>
          <cell r="C550" t="str">
            <v>09E-ELECTRICAL ENGINEERING</v>
          </cell>
        </row>
        <row r="551">
          <cell r="A551">
            <v>12391</v>
          </cell>
          <cell r="B551" t="str">
            <v>RI U1&amp;2 TURB GENERATOR FIRE PROTECT</v>
          </cell>
          <cell r="C551" t="str">
            <v>09M-GENERATION PROJECT ENGINEERING</v>
          </cell>
        </row>
        <row r="552">
          <cell r="A552">
            <v>12397</v>
          </cell>
          <cell r="B552" t="str">
            <v>MERAMEC 4 ECONOMIZER REPLACEMENT</v>
          </cell>
          <cell r="C552" t="str">
            <v>09M-GENERATION PROJECT ENGINEERING</v>
          </cell>
        </row>
        <row r="553">
          <cell r="A553">
            <v>12428</v>
          </cell>
          <cell r="B553" t="str">
            <v>PROPERTY SALE 235 METRO DRIVE</v>
          </cell>
          <cell r="C553" t="str">
            <v>061-REAL ESTATE</v>
          </cell>
        </row>
        <row r="554">
          <cell r="A554">
            <v>12443</v>
          </cell>
          <cell r="B554" t="str">
            <v>ST. CHARLES -FENCE &amp; GRNDG-CITY LOT</v>
          </cell>
          <cell r="C554" t="str">
            <v>09E-ELECTRICAL ENGINEERING</v>
          </cell>
        </row>
        <row r="555">
          <cell r="A555">
            <v>12444</v>
          </cell>
          <cell r="B555" t="str">
            <v>METROLINK CROSS-CO.TRANSM.LN.RELOC.</v>
          </cell>
          <cell r="C555" t="str">
            <v>09E-ELECTRICAL ENGINEERING</v>
          </cell>
        </row>
        <row r="556">
          <cell r="A556">
            <v>12449</v>
          </cell>
          <cell r="B556" t="str">
            <v>METRO LINK CROSS COUNTY RELOCATION</v>
          </cell>
          <cell r="C556" t="str">
            <v>066-MO OPS ADMIN</v>
          </cell>
        </row>
        <row r="557">
          <cell r="A557">
            <v>12455</v>
          </cell>
          <cell r="B557" t="str">
            <v>WAN INFRASTRUCTURE UPGRADES AMEREN</v>
          </cell>
          <cell r="C557" t="str">
            <v>06H-NEO - ENTERPRISE NETWORKING</v>
          </cell>
        </row>
        <row r="558">
          <cell r="A558">
            <v>12474</v>
          </cell>
          <cell r="B558" t="str">
            <v>MINR-73 SECOND SUPPLY TO EAST PRAIR</v>
          </cell>
          <cell r="C558" t="str">
            <v>0CS-SEMO SUPPORT STAFF</v>
          </cell>
        </row>
        <row r="559">
          <cell r="A559">
            <v>12479</v>
          </cell>
          <cell r="B559" t="str">
            <v>EUC-79 EXTENSION TO CWE HOSPITAL</v>
          </cell>
          <cell r="C559" t="str">
            <v>036-UNDERGROUND</v>
          </cell>
        </row>
        <row r="560">
          <cell r="A560">
            <v>12483</v>
          </cell>
          <cell r="B560" t="str">
            <v>PENO CREEK CTG #1</v>
          </cell>
          <cell r="C560" t="str">
            <v>09M-GENERATION PROJECT ENGINEERING</v>
          </cell>
        </row>
        <row r="561">
          <cell r="A561">
            <v>12484</v>
          </cell>
          <cell r="B561" t="str">
            <v>PENO CREEK CTG #2</v>
          </cell>
          <cell r="C561" t="str">
            <v>09M-GENERATION PROJECT ENGINEERING</v>
          </cell>
        </row>
        <row r="562">
          <cell r="A562">
            <v>12485</v>
          </cell>
          <cell r="B562" t="str">
            <v>PENO CREEK CTG #3</v>
          </cell>
          <cell r="C562" t="str">
            <v>09M-GENERATION PROJECT ENGINEERING</v>
          </cell>
        </row>
        <row r="563">
          <cell r="A563">
            <v>12486</v>
          </cell>
          <cell r="B563" t="str">
            <v>PENO CREEK CTG #4</v>
          </cell>
          <cell r="C563" t="str">
            <v>09M-GENERATION PROJECT ENGINEERING</v>
          </cell>
        </row>
        <row r="564">
          <cell r="A564">
            <v>12491</v>
          </cell>
          <cell r="B564" t="str">
            <v>OSAGE TURBINE REPLACEMENTS PHASE II</v>
          </cell>
          <cell r="C564" t="str">
            <v>09V-NEW GEN &amp; ENV PROJECTS</v>
          </cell>
        </row>
        <row r="565">
          <cell r="A565">
            <v>12522</v>
          </cell>
          <cell r="B565" t="str">
            <v>RI CEMS DATA ACQUISTION REPL</v>
          </cell>
          <cell r="C565" t="str">
            <v>09M-GENERATION PROJECT ENGINEERING</v>
          </cell>
        </row>
        <row r="566">
          <cell r="A566">
            <v>12523</v>
          </cell>
          <cell r="B566" t="str">
            <v>SX CEM DATA ACQUISITION SYSTEM REPL</v>
          </cell>
          <cell r="C566" t="str">
            <v>09M-GENERATION PROJECT ENGINEERING</v>
          </cell>
        </row>
        <row r="567">
          <cell r="A567">
            <v>12524</v>
          </cell>
          <cell r="B567" t="str">
            <v>MER U3 GSU XFMR REPL</v>
          </cell>
          <cell r="C567" t="str">
            <v>09M-GENERATION PROJECT ENGINEERING</v>
          </cell>
        </row>
        <row r="568">
          <cell r="A568">
            <v>12526</v>
          </cell>
          <cell r="B568" t="str">
            <v>PURCHASE OF REAL ESTATE</v>
          </cell>
          <cell r="C568" t="str">
            <v>130-BUSINESS SERVICES - AEG</v>
          </cell>
        </row>
        <row r="569">
          <cell r="A569">
            <v>12528</v>
          </cell>
          <cell r="B569" t="str">
            <v>LBD 3A&amp;B AIR PREHEATER REPL</v>
          </cell>
          <cell r="C569" t="str">
            <v>09M-GENERATION PROJECT ENGINEERING</v>
          </cell>
        </row>
        <row r="570">
          <cell r="A570">
            <v>12546</v>
          </cell>
          <cell r="B570" t="str">
            <v>GRAND TOWER TO ANNA LINE RELOCATION</v>
          </cell>
          <cell r="C570" t="str">
            <v>09E-ELECTRICAL ENGINEERING</v>
          </cell>
        </row>
        <row r="571">
          <cell r="A571">
            <v>12548</v>
          </cell>
          <cell r="B571" t="str">
            <v>VARIOUS 138KV CAP.BANKS-TRANSM.SYS.</v>
          </cell>
          <cell r="C571" t="str">
            <v>09E-ELECTRICAL ENGINEERING</v>
          </cell>
        </row>
        <row r="572">
          <cell r="A572">
            <v>12557</v>
          </cell>
          <cell r="B572" t="str">
            <v>109-6 UPGRADE</v>
          </cell>
          <cell r="C572" t="str">
            <v>036-UNDERGROUND</v>
          </cell>
        </row>
        <row r="573">
          <cell r="A573">
            <v>12562</v>
          </cell>
          <cell r="B573" t="str">
            <v>WASH U. MCKINLEY CUSTOMER SUB 2ND U</v>
          </cell>
          <cell r="C573" t="str">
            <v>056-GERALDINE</v>
          </cell>
        </row>
        <row r="574">
          <cell r="A574">
            <v>12565</v>
          </cell>
          <cell r="B574" t="str">
            <v>ST. LOUIS ZOO CUSTOMER SUBSTATION</v>
          </cell>
          <cell r="C574" t="str">
            <v>09E-ELECTRICAL ENGINEERING</v>
          </cell>
        </row>
        <row r="575">
          <cell r="A575">
            <v>12571</v>
          </cell>
          <cell r="B575" t="str">
            <v>NEWTON SWYD. - REPL. XFMRS #1 &amp; #2</v>
          </cell>
          <cell r="C575" t="str">
            <v>09E-ELECTRICAL ENGINEERING</v>
          </cell>
        </row>
        <row r="576">
          <cell r="A576">
            <v>12582</v>
          </cell>
          <cell r="B576" t="str">
            <v>CAMPBELL-MALINE 138KV LINE RECOND.</v>
          </cell>
          <cell r="C576" t="str">
            <v>09E-ELECTRICAL ENGINEERING</v>
          </cell>
        </row>
        <row r="577">
          <cell r="A577">
            <v>12595</v>
          </cell>
          <cell r="B577" t="str">
            <v>LBD EMERG GENERATOR A SWGR REPL</v>
          </cell>
          <cell r="C577" t="str">
            <v>09M-GENERATION PROJECT ENGINEERING</v>
          </cell>
        </row>
        <row r="578">
          <cell r="A578">
            <v>12596</v>
          </cell>
          <cell r="B578" t="str">
            <v>LBD EMERG GENERATOR B SWGR REPL</v>
          </cell>
          <cell r="C578" t="str">
            <v>09M-GENERATION PROJECT ENGINEERING</v>
          </cell>
        </row>
        <row r="579">
          <cell r="A579">
            <v>12610</v>
          </cell>
          <cell r="B579" t="str">
            <v>SL - CHARLESTON LAND AND BLDG</v>
          </cell>
          <cell r="C579" t="str">
            <v>061-REAL ESTATE</v>
          </cell>
        </row>
        <row r="580">
          <cell r="A580">
            <v>12611</v>
          </cell>
          <cell r="B580" t="str">
            <v>SL - EXCESS PROP CARROLLTON SUB</v>
          </cell>
          <cell r="C580" t="str">
            <v>061-REAL ESTATE</v>
          </cell>
        </row>
        <row r="581">
          <cell r="A581">
            <v>12612</v>
          </cell>
          <cell r="B581" t="str">
            <v>SALE OF EXCESS PROPERTY TAUSSIG SUB</v>
          </cell>
          <cell r="C581" t="str">
            <v>061-REAL ESTATE</v>
          </cell>
        </row>
        <row r="582">
          <cell r="A582">
            <v>12636</v>
          </cell>
          <cell r="B582" t="str">
            <v>STEAM GENERATOR REPLACEMENT</v>
          </cell>
          <cell r="C582" t="str">
            <v>8AA-NUCL - ENG PROJ - PROJECTS</v>
          </cell>
        </row>
        <row r="583">
          <cell r="A583">
            <v>12637</v>
          </cell>
          <cell r="B583" t="str">
            <v>DUPO AREA SUB -NEW 345-138KV SUB</v>
          </cell>
          <cell r="C583" t="str">
            <v>09E-ELECTRICAL ENGINEERING</v>
          </cell>
        </row>
        <row r="584">
          <cell r="A584">
            <v>12643</v>
          </cell>
          <cell r="B584" t="str">
            <v>POTOSI-REBLD W-2-34/12, 22MVA UNITS</v>
          </cell>
          <cell r="C584" t="str">
            <v>09E-ELECTRICAL ENGINEERING</v>
          </cell>
        </row>
        <row r="585">
          <cell r="A585">
            <v>12644</v>
          </cell>
          <cell r="B585" t="str">
            <v>YELLOW ROCK -NEW 34-12KV, 22MVA SUB</v>
          </cell>
          <cell r="C585" t="str">
            <v>09E-ELECTRICAL ENGINEERING</v>
          </cell>
        </row>
        <row r="586">
          <cell r="A586">
            <v>12645</v>
          </cell>
          <cell r="B586" t="str">
            <v>BUTCHER BRANCH-NEW 34-12, 22MVA SUB</v>
          </cell>
          <cell r="C586" t="str">
            <v>09E-ELECTRICAL ENGINEERING</v>
          </cell>
        </row>
        <row r="587">
          <cell r="A587">
            <v>12676</v>
          </cell>
          <cell r="B587" t="str">
            <v>SIDNEY - RANTOUL JCT. 138KV REBUILD</v>
          </cell>
          <cell r="C587" t="str">
            <v>09E-ELECTRICAL ENGINEERING</v>
          </cell>
        </row>
        <row r="588">
          <cell r="A588">
            <v>12680</v>
          </cell>
          <cell r="B588" t="str">
            <v>KANSAS WEST-MURDOCK LINE REBUILD</v>
          </cell>
          <cell r="C588" t="str">
            <v>09E-ELECTRICAL ENGINEERING</v>
          </cell>
        </row>
        <row r="589">
          <cell r="A589">
            <v>12683</v>
          </cell>
          <cell r="B589" t="str">
            <v>MOBERLY - OVERTON 161 KV SAG LIMITS</v>
          </cell>
          <cell r="C589" t="str">
            <v>09E-ELECTRICAL ENGINEERING</v>
          </cell>
        </row>
        <row r="590">
          <cell r="A590">
            <v>12684</v>
          </cell>
          <cell r="B590" t="str">
            <v>ST. FRANCOIS-RIVERM.-3 NEW 138KV LN</v>
          </cell>
          <cell r="C590" t="str">
            <v>09E-ELECTRICAL ENGINEERING</v>
          </cell>
        </row>
        <row r="591">
          <cell r="A591">
            <v>12701</v>
          </cell>
          <cell r="B591" t="str">
            <v>MER U1&amp;2  BOILER MTCE PLATFORMS</v>
          </cell>
          <cell r="C591" t="str">
            <v>09M-GENERATION PROJECT ENGINEERING</v>
          </cell>
        </row>
        <row r="592">
          <cell r="A592">
            <v>12705</v>
          </cell>
          <cell r="B592" t="str">
            <v>MER U1&amp;2 4160V BREAKER REPL</v>
          </cell>
          <cell r="C592" t="str">
            <v>09M-GENERATION PROJECT ENGINEERING</v>
          </cell>
        </row>
        <row r="593">
          <cell r="A593">
            <v>12707</v>
          </cell>
          <cell r="B593" t="str">
            <v>MER U1&amp;2 CONDENSATE COOLERS REPL</v>
          </cell>
          <cell r="C593" t="str">
            <v>09M-GENERATION PROJECT ENGINEERING</v>
          </cell>
        </row>
        <row r="594">
          <cell r="A594">
            <v>12711</v>
          </cell>
          <cell r="B594" t="str">
            <v>LOOSE CREEK-MARIOSA DELTA 345 KV LN</v>
          </cell>
          <cell r="C594" t="str">
            <v>09E-ELECTRICAL ENGINEERING</v>
          </cell>
        </row>
        <row r="595">
          <cell r="A595">
            <v>12712</v>
          </cell>
          <cell r="B595" t="str">
            <v>LABADIE - 4KV SWITCHGEAR ENCLOSURES</v>
          </cell>
          <cell r="C595" t="str">
            <v>09M-GENERATION PROJECT ENGINEERING</v>
          </cell>
        </row>
        <row r="596">
          <cell r="A596">
            <v>12714</v>
          </cell>
          <cell r="B596" t="str">
            <v>CAHOKIA-DUPO 345 KV TRANSMISSION LN</v>
          </cell>
          <cell r="C596" t="str">
            <v>09E-ELECTRICAL ENGINEERING</v>
          </cell>
        </row>
        <row r="597">
          <cell r="A597">
            <v>12720</v>
          </cell>
          <cell r="B597" t="str">
            <v>LABADIE UNIT 4 MCC REPLACEMENT</v>
          </cell>
          <cell r="C597" t="str">
            <v>09M-GENERATION PROJECT ENGINEERING</v>
          </cell>
        </row>
        <row r="598">
          <cell r="A598">
            <v>12729</v>
          </cell>
          <cell r="B598" t="str">
            <v>RI - INTAKE STRUCTURE ENCLOSURE</v>
          </cell>
          <cell r="C598" t="str">
            <v>09M-GENERATION PROJECT ENGINEERING</v>
          </cell>
        </row>
        <row r="599">
          <cell r="A599">
            <v>12732</v>
          </cell>
          <cell r="B599" t="str">
            <v>NEWTON - EFFINGHAM 138KV REBUILD</v>
          </cell>
          <cell r="C599" t="str">
            <v>09E-ELECTRICAL ENGINEERING</v>
          </cell>
        </row>
        <row r="600">
          <cell r="A600">
            <v>12737</v>
          </cell>
          <cell r="B600" t="str">
            <v>CAH-N.COULTERVILLE,REMOVE SAG LIMIT</v>
          </cell>
          <cell r="C600" t="str">
            <v>09E-ELECTRICAL ENGINEERING</v>
          </cell>
        </row>
        <row r="601">
          <cell r="A601">
            <v>12744</v>
          </cell>
          <cell r="B601" t="str">
            <v>CAMPBELL-MALINE 1&amp;2 138KV RECONDUCT</v>
          </cell>
          <cell r="C601" t="str">
            <v>09E-ELECTRICAL ENGINEERING</v>
          </cell>
        </row>
        <row r="602">
          <cell r="A602">
            <v>12749</v>
          </cell>
          <cell r="B602" t="str">
            <v>TAUM SAUK RELICENSING</v>
          </cell>
          <cell r="C602" t="str">
            <v>44A-OSAGE PLANT GENERAL &amp; BUD</v>
          </cell>
        </row>
        <row r="603">
          <cell r="A603">
            <v>12756</v>
          </cell>
          <cell r="B603" t="str">
            <v>CRAB ORCH.-MARION S.138 KV LN REBLD</v>
          </cell>
          <cell r="C603" t="str">
            <v>09E-ELECTRICAL ENGINEERING</v>
          </cell>
        </row>
        <row r="604">
          <cell r="A604">
            <v>12768</v>
          </cell>
          <cell r="B604" t="str">
            <v>RUDDER -REPL.XFMRS &amp; AIR BRK SW'S.</v>
          </cell>
          <cell r="C604" t="str">
            <v>09E-ELECTRICAL ENGINEERING</v>
          </cell>
        </row>
        <row r="605">
          <cell r="A605">
            <v>12771</v>
          </cell>
          <cell r="B605" t="str">
            <v>RI U2 SH SOOTBLOWER ADDITIONS</v>
          </cell>
          <cell r="C605" t="str">
            <v>09M-GENERATION PROJECT ENGINEERING</v>
          </cell>
        </row>
        <row r="606">
          <cell r="A606">
            <v>12773</v>
          </cell>
          <cell r="B606" t="str">
            <v>RI DRY FLYASH COLLECTION SYSTEM</v>
          </cell>
          <cell r="C606" t="str">
            <v>09M-GENERATION PROJECT ENGINEERING</v>
          </cell>
        </row>
        <row r="607">
          <cell r="A607">
            <v>12775</v>
          </cell>
          <cell r="B607" t="str">
            <v>RUSH ISLAND-REPLACE SURGE BIN</v>
          </cell>
          <cell r="C607" t="str">
            <v>09M-GENERATION PROJECT ENGINEERING</v>
          </cell>
        </row>
        <row r="608">
          <cell r="A608">
            <v>12787</v>
          </cell>
          <cell r="B608" t="str">
            <v>VALMEYER-TAP DUPO F.-BUCK KN.-REIMB</v>
          </cell>
          <cell r="C608" t="str">
            <v>09E-ELECTRICAL ENGINEERING</v>
          </cell>
        </row>
        <row r="609">
          <cell r="A609">
            <v>12788</v>
          </cell>
          <cell r="B609" t="str">
            <v>FLETCHER-SWEETWATER 161 LN.REBUILD</v>
          </cell>
          <cell r="C609" t="str">
            <v>09E-ELECTRICAL ENGINEERING</v>
          </cell>
        </row>
        <row r="610">
          <cell r="A610">
            <v>12789</v>
          </cell>
          <cell r="B610" t="str">
            <v>BOYD BRANCH - TAP MERAMEC-ST. FR.-2</v>
          </cell>
          <cell r="C610" t="str">
            <v>09E-ELECTRICAL ENGINEERING</v>
          </cell>
        </row>
        <row r="611">
          <cell r="A611">
            <v>12794</v>
          </cell>
          <cell r="B611" t="str">
            <v>RUSH ISLAND UNIT 2 GENERATOR REWIND</v>
          </cell>
          <cell r="C611" t="str">
            <v>09M-GENERATION PROJECT ENGINEERING</v>
          </cell>
        </row>
        <row r="612">
          <cell r="A612">
            <v>12795</v>
          </cell>
          <cell r="B612" t="str">
            <v>TAUM SAUK DIGITAL CONTROLS</v>
          </cell>
          <cell r="C612" t="str">
            <v>09M-GENERATION PROJECT ENGINEERING</v>
          </cell>
        </row>
        <row r="613">
          <cell r="A613">
            <v>12803</v>
          </cell>
          <cell r="B613" t="str">
            <v>KANSAS-W.-UPGR.138 TERM TO MURDOCK</v>
          </cell>
          <cell r="C613" t="str">
            <v>09E-ELECTRICAL ENGINEERING</v>
          </cell>
        </row>
        <row r="614">
          <cell r="A614">
            <v>12810</v>
          </cell>
          <cell r="B614" t="str">
            <v>LOOSE CREEK-345 RING BUS (CAL-FRKS)</v>
          </cell>
          <cell r="C614" t="str">
            <v>09E-ELECTRICAL ENGINEERING</v>
          </cell>
        </row>
        <row r="615">
          <cell r="A615">
            <v>12813</v>
          </cell>
          <cell r="B615" t="str">
            <v>JOACHIM -SITE ACQ.(WAS BAILEY AREA)</v>
          </cell>
          <cell r="C615" t="str">
            <v>09E-ELECTRICAL ENGINEERING</v>
          </cell>
        </row>
        <row r="616">
          <cell r="A616">
            <v>12814</v>
          </cell>
          <cell r="B616" t="str">
            <v>MER 4A&amp;B ESP DEMO &amp; NEW DUCT INSTAL</v>
          </cell>
          <cell r="C616" t="str">
            <v>09M-GENERATION PROJECT ENGINEERING</v>
          </cell>
        </row>
        <row r="617">
          <cell r="A617">
            <v>12815</v>
          </cell>
          <cell r="B617" t="str">
            <v>PALMYRA-QUINCY 345 KV LINE (IL)</v>
          </cell>
          <cell r="C617" t="str">
            <v>09E-ELECTRICAL ENGINEERING</v>
          </cell>
        </row>
        <row r="618">
          <cell r="A618">
            <v>12816</v>
          </cell>
          <cell r="B618" t="str">
            <v>PIKE SUB- INST 2ND XFMR (161-69KV)</v>
          </cell>
          <cell r="C618" t="str">
            <v>09E-ELECTRICAL ENGINEERING</v>
          </cell>
        </row>
        <row r="619">
          <cell r="A619">
            <v>12819</v>
          </cell>
          <cell r="B619" t="str">
            <v>CAHOK-MER-1&amp;2 REBLD.CAH.-LEMAY TAP</v>
          </cell>
          <cell r="C619" t="str">
            <v>09E-ELECTRICAL ENGINEERING</v>
          </cell>
        </row>
        <row r="620">
          <cell r="A620">
            <v>12822</v>
          </cell>
          <cell r="B620" t="str">
            <v>CALLAW.345 BRKR-REL.MODS-MTGY-CAL-7</v>
          </cell>
          <cell r="C620" t="str">
            <v>09E-ELECTRICAL ENGINEERING</v>
          </cell>
        </row>
        <row r="621">
          <cell r="A621">
            <v>12824</v>
          </cell>
          <cell r="B621" t="str">
            <v>SIOUX - RAIL LOOP EXPANSION &amp; WEST</v>
          </cell>
          <cell r="C621" t="str">
            <v>09M-GENERATION PROJECT ENGINEERING</v>
          </cell>
        </row>
        <row r="622">
          <cell r="A622">
            <v>12826</v>
          </cell>
          <cell r="B622" t="str">
            <v>SX U1 480V BOILER BUS 1C,1D&amp;1E RPL</v>
          </cell>
          <cell r="C622" t="str">
            <v>09M-GENERATION PROJECT ENGINEERING</v>
          </cell>
        </row>
        <row r="623">
          <cell r="A623">
            <v>12839</v>
          </cell>
          <cell r="B623" t="str">
            <v>SIOUX-ROXF-1&amp;2 RECND.-MISS TAP-ROXF</v>
          </cell>
          <cell r="C623" t="str">
            <v>09E-ELECTRICAL ENGINEERING</v>
          </cell>
        </row>
        <row r="624">
          <cell r="A624">
            <v>12848</v>
          </cell>
          <cell r="B624" t="str">
            <v>CAPE RC RELOCATION</v>
          </cell>
          <cell r="C624" t="str">
            <v>033-SUB MTCE &amp; CONST-UEC NORTH</v>
          </cell>
        </row>
        <row r="625">
          <cell r="A625">
            <v>12849</v>
          </cell>
          <cell r="B625" t="str">
            <v>PAGE AND WATSON RC RELOCATIONS</v>
          </cell>
          <cell r="C625" t="str">
            <v>033-SUB MTCE &amp; CONST-UEC NORTH</v>
          </cell>
        </row>
        <row r="626">
          <cell r="A626">
            <v>12851</v>
          </cell>
          <cell r="B626" t="str">
            <v>OSAGE - GENERATOR 7 REWIND</v>
          </cell>
          <cell r="C626" t="str">
            <v>09M-GENERATION PROJECT ENGINEERING</v>
          </cell>
        </row>
        <row r="627">
          <cell r="A627">
            <v>12853</v>
          </cell>
          <cell r="B627" t="str">
            <v>PALMYRA - QUINCY 345 KV LINE (PRELI</v>
          </cell>
          <cell r="C627" t="str">
            <v>09E-ELECTRICAL ENGINEERING</v>
          </cell>
        </row>
        <row r="628">
          <cell r="A628">
            <v>12860</v>
          </cell>
          <cell r="B628" t="str">
            <v>HOWE- 2ND UNIT, 22MVA, W/MOD.HI-LO</v>
          </cell>
          <cell r="C628" t="str">
            <v>09E-ELECTRICAL ENGINEERING</v>
          </cell>
        </row>
        <row r="629">
          <cell r="A629">
            <v>12861</v>
          </cell>
          <cell r="B629" t="str">
            <v>CLAYTON- 34/12 UNIT D, 22MVA,-HI-LO</v>
          </cell>
          <cell r="C629" t="str">
            <v>09E-ELECTRICAL ENGINEERING</v>
          </cell>
        </row>
        <row r="630">
          <cell r="A630">
            <v>12862</v>
          </cell>
          <cell r="B630" t="str">
            <v>CATAWISSA-2ND UNIT, 22.4MVA W-HI-LO</v>
          </cell>
          <cell r="C630" t="str">
            <v>09E-ELECTRICAL ENGINEERING</v>
          </cell>
        </row>
        <row r="631">
          <cell r="A631">
            <v>12864</v>
          </cell>
          <cell r="B631" t="str">
            <v>EUREKA- 2ND UNIT, 14MVA W-MOD.HI-LO</v>
          </cell>
          <cell r="C631" t="str">
            <v>09E-ELECTRICAL ENGINEERING</v>
          </cell>
        </row>
        <row r="632">
          <cell r="A632">
            <v>12865</v>
          </cell>
          <cell r="B632" t="str">
            <v>CALLAWAY PH.2A-NEW BRK.POS.-V71&amp;V75</v>
          </cell>
          <cell r="C632" t="str">
            <v>09E-ELECTRICAL ENGINEERING</v>
          </cell>
        </row>
        <row r="633">
          <cell r="A633">
            <v>12878</v>
          </cell>
          <cell r="B633" t="str">
            <v>SAVOY-69KV BRKRS, ABS'S,BUSWK,SCADA</v>
          </cell>
          <cell r="C633" t="str">
            <v>09E-ELECTRICAL ENGINEERING</v>
          </cell>
        </row>
        <row r="634">
          <cell r="A634">
            <v>12891</v>
          </cell>
          <cell r="B634" t="str">
            <v>MER EMERG GENERATOR REPL</v>
          </cell>
          <cell r="C634" t="str">
            <v>09M-GENERATION PROJECT ENGINEERING</v>
          </cell>
        </row>
        <row r="635">
          <cell r="A635">
            <v>12893</v>
          </cell>
          <cell r="B635" t="str">
            <v>MERAMEC - 1&amp;2 DCS IMPROVEMENTS</v>
          </cell>
          <cell r="C635" t="str">
            <v>09M-GENERATION PROJECT ENGINEERING</v>
          </cell>
        </row>
        <row r="636">
          <cell r="A636">
            <v>12895</v>
          </cell>
          <cell r="B636" t="str">
            <v>SX U2 DCS CONSOLE REPL</v>
          </cell>
          <cell r="C636" t="str">
            <v>09M-GENERATION PROJECT ENGINEERING</v>
          </cell>
        </row>
        <row r="637">
          <cell r="A637">
            <v>12896</v>
          </cell>
          <cell r="B637" t="str">
            <v>SX U1 DCS CONSOLE REPL</v>
          </cell>
          <cell r="C637" t="str">
            <v>09M-GENERATION PROJECT ENGINEERING</v>
          </cell>
        </row>
        <row r="638">
          <cell r="A638">
            <v>12899</v>
          </cell>
          <cell r="B638" t="str">
            <v>CAHOKIA -UPGR. CAH-MERAM 1&amp;2 TERM.</v>
          </cell>
          <cell r="C638" t="str">
            <v>09E-ELECTRICAL ENGINEERING</v>
          </cell>
        </row>
        <row r="639">
          <cell r="A639">
            <v>12900</v>
          </cell>
          <cell r="B639" t="str">
            <v>SX - ADMIN BLDG IMPROVEMENTS</v>
          </cell>
          <cell r="C639" t="str">
            <v>09M-GENERATION PROJECT ENGINEERING</v>
          </cell>
        </row>
        <row r="640">
          <cell r="A640">
            <v>12905</v>
          </cell>
          <cell r="B640" t="str">
            <v>SX U2 ST-2 138KV BREAKER INSTALLATI</v>
          </cell>
          <cell r="C640" t="str">
            <v>09M-GENERATION PROJECT ENGINEERING</v>
          </cell>
        </row>
        <row r="641">
          <cell r="A641">
            <v>12906</v>
          </cell>
          <cell r="B641" t="str">
            <v>CONWAY - ADD 2-138KV BREAKERS</v>
          </cell>
          <cell r="C641" t="str">
            <v>09E-ELECTRICAL ENGINEERING</v>
          </cell>
        </row>
        <row r="642">
          <cell r="A642">
            <v>12907</v>
          </cell>
          <cell r="B642" t="str">
            <v>WARSON - ADD 2-138KV BREAKERS</v>
          </cell>
          <cell r="C642" t="str">
            <v>09E-ELECTRICAL ENGINEERING</v>
          </cell>
        </row>
        <row r="643">
          <cell r="A643">
            <v>12909</v>
          </cell>
          <cell r="B643" t="str">
            <v>KEOKUK GSU XFMR #4 REPLACEMENT</v>
          </cell>
          <cell r="C643" t="str">
            <v>09M-GENERATION PROJECT ENGINEERING</v>
          </cell>
        </row>
        <row r="644">
          <cell r="A644">
            <v>12917</v>
          </cell>
          <cell r="B644" t="str">
            <v>MERAMEC 3 FURNACE REPLACEMENT</v>
          </cell>
          <cell r="C644" t="str">
            <v>09M-GENERATION PROJECT ENGINEERING</v>
          </cell>
        </row>
        <row r="645">
          <cell r="A645">
            <v>12921</v>
          </cell>
          <cell r="B645" t="str">
            <v>JOACHIM (BAILEY AREA) SUPPLY FR.RI</v>
          </cell>
          <cell r="C645" t="str">
            <v>09E-ELECTRICAL ENGINEERING</v>
          </cell>
        </row>
        <row r="646">
          <cell r="A646">
            <v>12932</v>
          </cell>
          <cell r="B646" t="str">
            <v>EATHERTON 138-12KV SUB</v>
          </cell>
          <cell r="C646" t="str">
            <v>053-ELLISVILLE DISTRICT</v>
          </cell>
        </row>
        <row r="647">
          <cell r="A647">
            <v>12933</v>
          </cell>
          <cell r="B647" t="str">
            <v>ST.FRANCOIS- 138 KV SF-RIV-3 TERM.</v>
          </cell>
          <cell r="C647" t="str">
            <v>09E-ELECTRICAL ENGINEERING</v>
          </cell>
        </row>
        <row r="648">
          <cell r="A648">
            <v>12937</v>
          </cell>
          <cell r="B648" t="str">
            <v>APACHE FLATS- NEW 161KV AF-JC TERM</v>
          </cell>
          <cell r="C648" t="str">
            <v>09E-ELECTRICAL ENGINEERING</v>
          </cell>
        </row>
        <row r="649">
          <cell r="A649">
            <v>12942</v>
          </cell>
          <cell r="B649" t="str">
            <v>MOREAU  AREA (JEFF.CITY) 345 - 161</v>
          </cell>
          <cell r="C649" t="str">
            <v>09E-ELECTRICAL ENGINEERING</v>
          </cell>
        </row>
        <row r="650">
          <cell r="A650">
            <v>12947</v>
          </cell>
          <cell r="B650" t="str">
            <v>RI U2 SUPERHEAT REAR PENDANT REPL</v>
          </cell>
          <cell r="C650" t="str">
            <v>09M-GENERATION PROJECT ENGINEERING</v>
          </cell>
        </row>
        <row r="651">
          <cell r="A651">
            <v>12949</v>
          </cell>
          <cell r="B651" t="str">
            <v>SX U1 GR FAN INLET DAMPER REPL</v>
          </cell>
          <cell r="C651" t="str">
            <v>09M-GENERATION PROJECT ENGINEERING</v>
          </cell>
        </row>
        <row r="652">
          <cell r="A652">
            <v>12950</v>
          </cell>
          <cell r="B652" t="str">
            <v>META - 138-25KV SUB AND SITE ACQ.</v>
          </cell>
          <cell r="C652" t="str">
            <v>09E-ELECTRICAL ENGINEERING</v>
          </cell>
        </row>
        <row r="653">
          <cell r="A653">
            <v>12952</v>
          </cell>
          <cell r="B653" t="str">
            <v>CLARK -UPGR. RIV-CLARK-2 POS.-2000A</v>
          </cell>
          <cell r="C653" t="str">
            <v>09E-ELECTRICAL ENGINEERING</v>
          </cell>
        </row>
        <row r="654">
          <cell r="A654">
            <v>12954</v>
          </cell>
          <cell r="B654" t="str">
            <v>RIVERMINES-CAPE POSN., REPL.PCB</v>
          </cell>
          <cell r="C654" t="str">
            <v>09E-ELECTRICAL ENGINEERING</v>
          </cell>
        </row>
        <row r="655">
          <cell r="A655">
            <v>12955</v>
          </cell>
          <cell r="B655" t="str">
            <v>SWEETWATER - UPGRADE 161 KV TERM</v>
          </cell>
          <cell r="C655" t="str">
            <v>09E-ELECTRICAL ENGINEERING</v>
          </cell>
        </row>
        <row r="656">
          <cell r="A656">
            <v>12960</v>
          </cell>
          <cell r="B656" t="str">
            <v>GRAND TOWER - Comb DynamicsTool</v>
          </cell>
          <cell r="C656" t="str">
            <v>354-GRAND TOWER PLANT</v>
          </cell>
        </row>
        <row r="657">
          <cell r="A657">
            <v>12964</v>
          </cell>
          <cell r="B657" t="str">
            <v>PAGE FREQ. CHANGER BLDG. WINTERIZAT</v>
          </cell>
          <cell r="C657" t="str">
            <v>033-SUB MTCE &amp; CONST-UEC NORTH</v>
          </cell>
        </row>
        <row r="658">
          <cell r="A658">
            <v>12973</v>
          </cell>
          <cell r="B658" t="str">
            <v>18TH STREET RELOCATION</v>
          </cell>
          <cell r="C658" t="str">
            <v>072-BUILDING SERVICES-MO</v>
          </cell>
        </row>
        <row r="659">
          <cell r="A659">
            <v>12976</v>
          </cell>
          <cell r="B659" t="str">
            <v>RUSH ISLAND UNIT 1 GENERATOR REWIND</v>
          </cell>
          <cell r="C659" t="str">
            <v>09M-GENERATION PROJECT ENGINEERING</v>
          </cell>
        </row>
        <row r="660">
          <cell r="A660">
            <v>12977</v>
          </cell>
          <cell r="B660" t="str">
            <v>LBD U3 MCC UPGR PHASE 1</v>
          </cell>
          <cell r="C660" t="str">
            <v>09M-GENERATION PROJECT ENGINEERING</v>
          </cell>
        </row>
        <row r="661">
          <cell r="A661">
            <v>12978</v>
          </cell>
          <cell r="B661" t="str">
            <v>LBD U2 MCC REPL PHASE 1</v>
          </cell>
          <cell r="C661" t="str">
            <v>09M-GENERATION PROJECT ENGINEERING</v>
          </cell>
        </row>
        <row r="662">
          <cell r="A662">
            <v>12988</v>
          </cell>
          <cell r="B662" t="str">
            <v>SX CONTROL ROOM HVAC IMPROV</v>
          </cell>
          <cell r="C662" t="str">
            <v>09M-GENERATION PROJECT ENGINEERING</v>
          </cell>
        </row>
        <row r="663">
          <cell r="A663">
            <v>12989</v>
          </cell>
          <cell r="B663" t="str">
            <v>SX COAL CRUSHER HOUSE DUST COLLECT</v>
          </cell>
          <cell r="C663" t="str">
            <v>09M-GENERATION PROJECT ENGINEERING</v>
          </cell>
        </row>
        <row r="664">
          <cell r="A664">
            <v>12990</v>
          </cell>
          <cell r="B664" t="str">
            <v>MERAMEC - NEW DEMINERALIZER</v>
          </cell>
          <cell r="C664" t="str">
            <v>09M-GENERATION PROJECT ENGINEERING</v>
          </cell>
        </row>
        <row r="665">
          <cell r="A665">
            <v>13014</v>
          </cell>
          <cell r="B665" t="str">
            <v>DOSH REPLACE U3 MAIN POWER XFORMER</v>
          </cell>
          <cell r="C665" t="str">
            <v>140-MEREDOSIA</v>
          </cell>
        </row>
        <row r="666">
          <cell r="A666">
            <v>13040</v>
          </cell>
          <cell r="B666" t="str">
            <v>ROXFORD-PAWNEE 345KV LN. - 65MI. SC</v>
          </cell>
          <cell r="C666" t="str">
            <v>09E-ELECTRICAL ENGINEERING</v>
          </cell>
        </row>
        <row r="667">
          <cell r="A667">
            <v>13041</v>
          </cell>
          <cell r="B667" t="str">
            <v>ST. FRANCOIS-FLETCHER 345KV LINE (P</v>
          </cell>
          <cell r="C667" t="str">
            <v>09E-ELECTRICAL ENGINEERING</v>
          </cell>
        </row>
        <row r="668">
          <cell r="A668">
            <v>13076</v>
          </cell>
          <cell r="B668" t="str">
            <v>NPS U2 GENERATOR STATOR REWIND</v>
          </cell>
          <cell r="C668" t="str">
            <v>09M-GENERATION PROJECT ENGINEERING</v>
          </cell>
        </row>
        <row r="669">
          <cell r="A669">
            <v>13079</v>
          </cell>
          <cell r="B669" t="str">
            <v>LBD U4 MCC REPL PHASE 2</v>
          </cell>
          <cell r="C669" t="str">
            <v>09M-GENERATION PROJECT ENGINEERING</v>
          </cell>
        </row>
        <row r="670">
          <cell r="A670">
            <v>13083</v>
          </cell>
          <cell r="B670" t="str">
            <v>LBD U1 MCC REPL PHASE 2</v>
          </cell>
          <cell r="C670" t="str">
            <v>09M-GENERATION PROJECT ENGINEERING</v>
          </cell>
        </row>
        <row r="671">
          <cell r="A671">
            <v>13100</v>
          </cell>
          <cell r="B671" t="str">
            <v>UNDERGROUND CAES OR PUMPED STORAGE</v>
          </cell>
          <cell r="C671" t="str">
            <v>09M-GENERATION PROJECT ENGINEERING</v>
          </cell>
        </row>
        <row r="672">
          <cell r="A672">
            <v>13101</v>
          </cell>
          <cell r="B672" t="str">
            <v>EUCLID SUB SITE</v>
          </cell>
          <cell r="C672" t="str">
            <v>061-REAL ESTATE</v>
          </cell>
        </row>
        <row r="673">
          <cell r="A673">
            <v>13102</v>
          </cell>
          <cell r="B673" t="str">
            <v>PARTIAL SALE OF OVERTON CTG SITE</v>
          </cell>
          <cell r="C673" t="str">
            <v>061-REAL ESTATE</v>
          </cell>
        </row>
        <row r="674">
          <cell r="A674">
            <v>13108</v>
          </cell>
          <cell r="B674" t="str">
            <v>MER COAL CONVEY FIRE PROT&amp;FIBER OPT</v>
          </cell>
          <cell r="C674" t="str">
            <v>09M-GENERATION PROJECT ENGINEERING</v>
          </cell>
        </row>
        <row r="675">
          <cell r="A675">
            <v>13125</v>
          </cell>
          <cell r="B675" t="str">
            <v>LBD &amp; CALLAWAY COOLING WATER INTAKE</v>
          </cell>
          <cell r="C675" t="str">
            <v>09M-GENERATION PROJECT ENGINEERING</v>
          </cell>
        </row>
        <row r="676">
          <cell r="A676">
            <v>13139</v>
          </cell>
          <cell r="B676" t="str">
            <v>EXPENSE ONLY RELATED ILL BUILDING</v>
          </cell>
          <cell r="C676" t="str">
            <v>012-CORPORATE PLANNING</v>
          </cell>
        </row>
        <row r="677">
          <cell r="A677">
            <v>13154</v>
          </cell>
          <cell r="B677" t="str">
            <v>MARION SUB</v>
          </cell>
          <cell r="C677" t="str">
            <v>061-REAL ESTATE</v>
          </cell>
        </row>
        <row r="678">
          <cell r="A678">
            <v>13155</v>
          </cell>
          <cell r="B678" t="str">
            <v>SALE OF PARK HILLS PROPERTY</v>
          </cell>
          <cell r="C678" t="str">
            <v>061-REAL ESTATE</v>
          </cell>
        </row>
        <row r="679">
          <cell r="A679">
            <v>13174</v>
          </cell>
          <cell r="B679" t="str">
            <v>MERAMEC U4 REPL PRECIP PLATES&amp;WIRES</v>
          </cell>
          <cell r="C679" t="str">
            <v>09M-GENERATION PROJECT ENGINEERING</v>
          </cell>
        </row>
        <row r="680">
          <cell r="A680">
            <v>13180</v>
          </cell>
          <cell r="B680" t="str">
            <v>HAYTI WEST - SCADA ADDITION</v>
          </cell>
          <cell r="C680" t="str">
            <v>09E-ELECTRICAL ENGINEERING</v>
          </cell>
        </row>
        <row r="681">
          <cell r="A681">
            <v>13188</v>
          </cell>
          <cell r="B681" t="str">
            <v>VEN AVAILABILITY - EQUIPMENT REPL</v>
          </cell>
          <cell r="C681" t="str">
            <v>09M-GENERATION PROJECT ENGINEERING</v>
          </cell>
        </row>
        <row r="682">
          <cell r="A682">
            <v>13206</v>
          </cell>
          <cell r="B682" t="str">
            <v>MER PLANT PERIMETER SECURITY IMPROV</v>
          </cell>
          <cell r="C682" t="str">
            <v>09M-GENERATION PROJECT ENGINEERING</v>
          </cell>
        </row>
        <row r="683">
          <cell r="A683">
            <v>13207</v>
          </cell>
          <cell r="B683" t="str">
            <v>RI PLANT PERIMETER SECURITY IMPROV</v>
          </cell>
          <cell r="C683" t="str">
            <v>09M-GENERATION PROJECT ENGINEERING</v>
          </cell>
        </row>
        <row r="684">
          <cell r="A684">
            <v>13208</v>
          </cell>
          <cell r="B684" t="str">
            <v>SX PLANT PERIMETER SECURITY IMPROV</v>
          </cell>
          <cell r="C684" t="str">
            <v>09M-GENERATION PROJECT ENGINEERING</v>
          </cell>
        </row>
        <row r="685">
          <cell r="A685">
            <v>13225</v>
          </cell>
          <cell r="B685" t="str">
            <v>STACKER RECLAIMER FOR MERAMEC COAL</v>
          </cell>
          <cell r="C685" t="str">
            <v>087-FOSSIL FUELS</v>
          </cell>
        </row>
        <row r="686">
          <cell r="A686">
            <v>13232</v>
          </cell>
          <cell r="B686" t="str">
            <v>HAVANA TO CANTOM PCS PATH</v>
          </cell>
          <cell r="C686" t="str">
            <v>065-NEO - TELEPHONE SERVICES</v>
          </cell>
        </row>
        <row r="687">
          <cell r="A687">
            <v>13238</v>
          </cell>
          <cell r="B687" t="str">
            <v>SL - WINFIELD SUB SITE</v>
          </cell>
          <cell r="C687" t="str">
            <v>061-REAL ESTATE</v>
          </cell>
        </row>
        <row r="688">
          <cell r="A688">
            <v>13239</v>
          </cell>
          <cell r="B688" t="str">
            <v>SALE OF GUMBO SUBSTATION SITE</v>
          </cell>
          <cell r="C688" t="str">
            <v>061-REAL ESTATE</v>
          </cell>
        </row>
        <row r="689">
          <cell r="A689">
            <v>13241</v>
          </cell>
          <cell r="B689" t="str">
            <v>LBD U1-4 FIRE PROT. BLR.TERM.RM.</v>
          </cell>
          <cell r="C689" t="str">
            <v>09M-GENERATION PROJECT ENGINEERING</v>
          </cell>
        </row>
        <row r="690">
          <cell r="A690">
            <v>13242</v>
          </cell>
          <cell r="B690" t="str">
            <v>MER LIFE SAFETY &amp; CONTROL-TERM.RM</v>
          </cell>
          <cell r="C690" t="str">
            <v>09M-GENERATION PROJECT ENGINEERING</v>
          </cell>
        </row>
        <row r="691">
          <cell r="A691">
            <v>13243</v>
          </cell>
          <cell r="B691" t="str">
            <v>SIOUX SERVICE BLDG FIRE PROTECTION</v>
          </cell>
          <cell r="C691" t="str">
            <v>09M-GENERATION PROJECT ENGINEERING</v>
          </cell>
        </row>
        <row r="692">
          <cell r="A692">
            <v>13249</v>
          </cell>
          <cell r="B692" t="str">
            <v>RIVERMINES - REPLACE WITH NEW SUB</v>
          </cell>
          <cell r="C692" t="str">
            <v>09E-ELECTRICAL ENGINEERING</v>
          </cell>
        </row>
        <row r="693">
          <cell r="A693">
            <v>13251</v>
          </cell>
          <cell r="B693" t="str">
            <v>MEREDOSIA BOILER #5 PRB CONVERSION</v>
          </cell>
          <cell r="C693" t="str">
            <v>09G-GENERATION PROJECTS - GEN</v>
          </cell>
        </row>
        <row r="694">
          <cell r="A694">
            <v>13262</v>
          </cell>
          <cell r="B694" t="str">
            <v>UMSL - CUSTOMER SUBSTATION UPGRADE</v>
          </cell>
          <cell r="C694" t="str">
            <v>09E-ELECTRICAL ENGINEERING</v>
          </cell>
        </row>
        <row r="695">
          <cell r="A695">
            <v>13270</v>
          </cell>
          <cell r="B695" t="str">
            <v>MCCLEARY-34 SUB. - SCADA AND RTU</v>
          </cell>
          <cell r="C695" t="str">
            <v>09E-ELECTRICAL ENGINEERING</v>
          </cell>
        </row>
        <row r="696">
          <cell r="A696">
            <v>13271</v>
          </cell>
          <cell r="B696" t="str">
            <v>RUSSELL SUB - INSTALL NEW XFMR</v>
          </cell>
          <cell r="C696" t="str">
            <v>09E-ELECTRICAL ENGINEERING</v>
          </cell>
        </row>
        <row r="697">
          <cell r="A697">
            <v>13274</v>
          </cell>
          <cell r="B697" t="str">
            <v>AUDUBON SUBSTATION</v>
          </cell>
          <cell r="C697" t="str">
            <v>061-REAL ESTATE</v>
          </cell>
        </row>
        <row r="698">
          <cell r="A698">
            <v>13281</v>
          </cell>
          <cell r="B698" t="str">
            <v>COFFEEN PLANT PROPERTY ADDITION</v>
          </cell>
          <cell r="C698" t="str">
            <v>CFG-COFFEEN - GENERAL</v>
          </cell>
        </row>
        <row r="699">
          <cell r="A699">
            <v>13301</v>
          </cell>
          <cell r="B699" t="str">
            <v>TAUM SAUK TO CHERRYVILLE</v>
          </cell>
          <cell r="C699" t="str">
            <v>065-NEO - TELEPHONE SERVICES</v>
          </cell>
        </row>
        <row r="700">
          <cell r="A700">
            <v>13302</v>
          </cell>
          <cell r="B700" t="str">
            <v>LBD U3 LP TURB RETROFIT REPL</v>
          </cell>
          <cell r="C700" t="str">
            <v>09M-GENERATION PROJECT ENGINEERING</v>
          </cell>
        </row>
        <row r="701">
          <cell r="A701">
            <v>13303</v>
          </cell>
          <cell r="B701" t="str">
            <v>LBD U4 LP TURB RETROFIT REPL</v>
          </cell>
          <cell r="C701" t="str">
            <v>09M-GENERATION PROJECT ENGINEERING</v>
          </cell>
        </row>
        <row r="702">
          <cell r="A702">
            <v>13310</v>
          </cell>
          <cell r="B702" t="str">
            <v>ST LOUIS CO. AR-661/CYPRESS RD</v>
          </cell>
          <cell r="C702" t="str">
            <v>055-BERKELEY</v>
          </cell>
        </row>
        <row r="703">
          <cell r="A703">
            <v>13316</v>
          </cell>
          <cell r="B703" t="str">
            <v>MERAMEC - RECLAIM SYSTEM STUDY</v>
          </cell>
          <cell r="C703" t="str">
            <v>09M-GENERATION PROJECT ENGINEERING</v>
          </cell>
        </row>
        <row r="704">
          <cell r="A704">
            <v>13326</v>
          </cell>
          <cell r="B704" t="str">
            <v>CILCORP ACQUISITION INTEGRATION</v>
          </cell>
          <cell r="C704" t="str">
            <v>012-CORPORATE PLANNING</v>
          </cell>
        </row>
        <row r="705">
          <cell r="A705">
            <v>13328</v>
          </cell>
          <cell r="B705" t="str">
            <v>LBD U1&amp;2 NON-ESSENTIAL LOAD CTR</v>
          </cell>
          <cell r="C705" t="str">
            <v>09M-GENERATION PROJECT ENGINEERING</v>
          </cell>
        </row>
        <row r="706">
          <cell r="A706">
            <v>13329</v>
          </cell>
          <cell r="B706" t="str">
            <v>LBD U3&amp;4 NON-ESSENTIAL LOAD CTR</v>
          </cell>
          <cell r="C706" t="str">
            <v>09M-GENERATION PROJECT ENGINEERING</v>
          </cell>
        </row>
        <row r="707">
          <cell r="A707">
            <v>13336</v>
          </cell>
          <cell r="B707" t="str">
            <v>PAWNEE GAS TRAINING CTR BLDG</v>
          </cell>
          <cell r="C707" t="str">
            <v>0G1-GAS TECH SERVICES - CIP</v>
          </cell>
        </row>
        <row r="708">
          <cell r="A708">
            <v>13337</v>
          </cell>
          <cell r="B708" t="str">
            <v>LEWIS &amp; CLARK TRACT 10&amp; 12</v>
          </cell>
          <cell r="C708" t="str">
            <v>061-REAL ESTATE</v>
          </cell>
        </row>
        <row r="709">
          <cell r="A709">
            <v>13338</v>
          </cell>
          <cell r="B709" t="str">
            <v>SALE OF 1634 ST. THOMAS</v>
          </cell>
          <cell r="C709" t="str">
            <v>061-REAL ESTATE</v>
          </cell>
        </row>
        <row r="710">
          <cell r="A710">
            <v>13339</v>
          </cell>
          <cell r="B710" t="str">
            <v>LEWIS &amp; CLARK - PARTIAL TRACT 11</v>
          </cell>
          <cell r="C710" t="str">
            <v>061-REAL ESTATE</v>
          </cell>
        </row>
        <row r="711">
          <cell r="A711">
            <v>13340</v>
          </cell>
          <cell r="B711" t="str">
            <v>WILDER FARMS</v>
          </cell>
          <cell r="C711" t="str">
            <v>0G1-GAS TECH SERVICES - CIP</v>
          </cell>
        </row>
        <row r="712">
          <cell r="A712">
            <v>13341</v>
          </cell>
          <cell r="B712" t="str">
            <v>LEWIS &amp; CLARK - TRACT 7</v>
          </cell>
          <cell r="C712" t="str">
            <v>061-REAL ESTATE</v>
          </cell>
        </row>
        <row r="713">
          <cell r="A713">
            <v>13353</v>
          </cell>
          <cell r="B713" t="str">
            <v>EFFINGHAM RT 45 INTRCTY MAIN REPL</v>
          </cell>
          <cell r="C713" t="str">
            <v>0G1-GAS TECH SERVICES - CIP</v>
          </cell>
        </row>
        <row r="714">
          <cell r="A714">
            <v>13354</v>
          </cell>
          <cell r="B714" t="str">
            <v>REPLACE THE U1 MILL DECK CRANE</v>
          </cell>
          <cell r="C714" t="str">
            <v>09M-GENERATION PROJECT ENGINEERING</v>
          </cell>
        </row>
        <row r="715">
          <cell r="A715">
            <v>13355</v>
          </cell>
          <cell r="B715" t="str">
            <v>RUSH ISLAND - U2 MILL DECK CRANE</v>
          </cell>
          <cell r="C715" t="str">
            <v>09M-GENERATION PROJECT ENGINEERING</v>
          </cell>
        </row>
        <row r="716">
          <cell r="A716">
            <v>13358</v>
          </cell>
          <cell r="B716" t="str">
            <v>TAUM SAUK - TAILRACE DEBRIS SCREEN</v>
          </cell>
          <cell r="C716" t="str">
            <v>09M-GENERATION PROJECT ENGINEERING</v>
          </cell>
        </row>
        <row r="717">
          <cell r="A717">
            <v>13363</v>
          </cell>
          <cell r="B717" t="str">
            <v>SL - LOTS 52 &amp; 54, MONTROSE, IA</v>
          </cell>
          <cell r="C717" t="str">
            <v>061-REAL ESTATE</v>
          </cell>
        </row>
        <row r="718">
          <cell r="A718">
            <v>13364</v>
          </cell>
          <cell r="B718" t="str">
            <v>SL - PARTS OF BLK 1 &amp; 2, MONTROSE</v>
          </cell>
          <cell r="C718" t="str">
            <v>061-REAL ESTATE</v>
          </cell>
        </row>
        <row r="719">
          <cell r="A719">
            <v>13365</v>
          </cell>
          <cell r="B719" t="str">
            <v>SL - 930 15TH STREET, FT. MADISON</v>
          </cell>
          <cell r="C719" t="str">
            <v>061-REAL ESTATE</v>
          </cell>
        </row>
        <row r="720">
          <cell r="A720">
            <v>13366</v>
          </cell>
          <cell r="B720" t="str">
            <v>SALE OF LOTS 1-4, LEE COUNTY, IA</v>
          </cell>
          <cell r="C720" t="str">
            <v>061-REAL ESTATE</v>
          </cell>
        </row>
        <row r="721">
          <cell r="A721">
            <v>13367</v>
          </cell>
          <cell r="B721" t="str">
            <v>SL - TRACT OF LAND - KEOKUK FLOW</v>
          </cell>
          <cell r="C721" t="str">
            <v>061-REAL ESTATE</v>
          </cell>
        </row>
        <row r="722">
          <cell r="A722">
            <v>13370</v>
          </cell>
          <cell r="B722" t="str">
            <v>MAIL &amp; REMITTANCE FACILITY SINGLTN</v>
          </cell>
          <cell r="C722" t="str">
            <v>072-BUILDING SERVICES-MO</v>
          </cell>
        </row>
        <row r="723">
          <cell r="A723">
            <v>13371</v>
          </cell>
          <cell r="B723" t="str">
            <v>BUSINESS CONTINUITY INFRASTRUCTURE</v>
          </cell>
          <cell r="C723" t="str">
            <v>060-SCP - PLANNING</v>
          </cell>
        </row>
        <row r="724">
          <cell r="A724">
            <v>13372</v>
          </cell>
          <cell r="B724" t="str">
            <v>RI U1 GSU XFMR REPL</v>
          </cell>
          <cell r="C724" t="str">
            <v>09M-GENERATION PROJECT ENGINEERING</v>
          </cell>
        </row>
        <row r="725">
          <cell r="A725">
            <v>13374</v>
          </cell>
          <cell r="B725" t="str">
            <v>RI U2 GSU XFMR REPL</v>
          </cell>
          <cell r="C725" t="str">
            <v>09M-GENERATION PROJECT ENGINEERING</v>
          </cell>
        </row>
        <row r="726">
          <cell r="A726">
            <v>13376</v>
          </cell>
          <cell r="B726" t="str">
            <v>RI U1 GEN EXCITATION REPL</v>
          </cell>
          <cell r="C726" t="str">
            <v>09M-GENERATION PROJECT ENGINEERING</v>
          </cell>
        </row>
        <row r="727">
          <cell r="A727">
            <v>13377</v>
          </cell>
          <cell r="B727" t="str">
            <v>RI U2 COAL HANDLING BUS OB45 REPL</v>
          </cell>
          <cell r="C727" t="str">
            <v>09M-GENERATION PROJECT ENGINEERING</v>
          </cell>
        </row>
        <row r="728">
          <cell r="A728">
            <v>13378</v>
          </cell>
          <cell r="B728" t="str">
            <v>RI U2 INTAKE BUSES OB53&amp;54 REPL</v>
          </cell>
          <cell r="C728" t="str">
            <v>09M-GENERATION PROJECT ENGINEERING</v>
          </cell>
        </row>
        <row r="729">
          <cell r="A729">
            <v>13391</v>
          </cell>
          <cell r="B729" t="str">
            <v>VENICE PLANT RETIREMENT</v>
          </cell>
          <cell r="C729" t="str">
            <v>09V-NEW GEN &amp; ENV PROJECTS</v>
          </cell>
        </row>
        <row r="730">
          <cell r="A730">
            <v>13395</v>
          </cell>
          <cell r="B730" t="str">
            <v>KEOKUK U7 TURBINE REPL &amp; UPGRADES</v>
          </cell>
          <cell r="C730" t="str">
            <v>09V-NEW GEN &amp; ENV PROJECTS</v>
          </cell>
        </row>
        <row r="731">
          <cell r="A731">
            <v>13396</v>
          </cell>
          <cell r="B731" t="str">
            <v>KEOKUK 1 TURBINE UPGRADE</v>
          </cell>
          <cell r="C731" t="str">
            <v>09V-NEW GEN &amp; ENV PROJECTS</v>
          </cell>
        </row>
        <row r="732">
          <cell r="A732">
            <v>13398</v>
          </cell>
          <cell r="B732" t="str">
            <v>KEOKUK 3 TURBINE UPGRADE</v>
          </cell>
          <cell r="C732" t="str">
            <v>09V-NEW GEN &amp; ENV PROJECTS</v>
          </cell>
        </row>
        <row r="733">
          <cell r="A733">
            <v>13403</v>
          </cell>
          <cell r="B733" t="str">
            <v>VENICE CTG 3 &amp; 4 - 138KV BRKR.REPL.</v>
          </cell>
          <cell r="C733" t="str">
            <v>09E-ELECTRICAL ENGINEERING</v>
          </cell>
        </row>
        <row r="734">
          <cell r="A734">
            <v>13404</v>
          </cell>
          <cell r="B734" t="str">
            <v>KEOKUK - PLANT VENTILATION UPGRADES</v>
          </cell>
          <cell r="C734" t="str">
            <v>09V-NEW GEN &amp; ENV PROJECTS</v>
          </cell>
        </row>
        <row r="735">
          <cell r="A735">
            <v>13406</v>
          </cell>
          <cell r="B735" t="str">
            <v>VEN COMBINED CYCLE STUDY - PHASE 1</v>
          </cell>
          <cell r="C735" t="str">
            <v>09M-GENERATION PROJECT ENGINEERING</v>
          </cell>
        </row>
        <row r="736">
          <cell r="A736">
            <v>13407</v>
          </cell>
          <cell r="B736" t="str">
            <v>SALE OF ST. JAMES POLE YARD</v>
          </cell>
          <cell r="C736" t="str">
            <v>061-REAL ESTATE</v>
          </cell>
        </row>
        <row r="737">
          <cell r="A737">
            <v>13410</v>
          </cell>
          <cell r="B737" t="str">
            <v>MER U2 ECONOMIZER SIDEWALLS REPL</v>
          </cell>
          <cell r="C737" t="str">
            <v>09M-GENERATION PROJECT ENGINEERING</v>
          </cell>
        </row>
        <row r="738">
          <cell r="A738">
            <v>13414</v>
          </cell>
          <cell r="B738" t="str">
            <v>MOBERLY-UPGR.MOB-OVERTON 161 TERM.</v>
          </cell>
          <cell r="C738" t="str">
            <v>09E-ELECTRICAL ENGINEERING</v>
          </cell>
        </row>
        <row r="739">
          <cell r="A739">
            <v>13421</v>
          </cell>
          <cell r="B739" t="str">
            <v>MER U4  HP &amp; LP TURBINE RETROFIT</v>
          </cell>
          <cell r="C739" t="str">
            <v>09M-GENERATION PROJECT ENGINEERING</v>
          </cell>
        </row>
        <row r="740">
          <cell r="A740">
            <v>13428</v>
          </cell>
          <cell r="B740" t="str">
            <v>SIOUX U#1 SCR RETROFIT</v>
          </cell>
          <cell r="C740" t="str">
            <v>09V-NEW GEN &amp; ENV PROJECTS</v>
          </cell>
        </row>
        <row r="741">
          <cell r="A741">
            <v>13429</v>
          </cell>
          <cell r="B741" t="str">
            <v>SIOUX U#2 SCR RETROFIT</v>
          </cell>
          <cell r="C741" t="str">
            <v>09V-NEW GEN &amp; ENV PROJECTS</v>
          </cell>
        </row>
        <row r="742">
          <cell r="A742">
            <v>13430</v>
          </cell>
          <cell r="B742" t="str">
            <v>SIOUX U2 ECO PILOT</v>
          </cell>
          <cell r="C742" t="str">
            <v>09V-NEW GEN &amp; ENV PROJECTS</v>
          </cell>
        </row>
        <row r="743">
          <cell r="A743">
            <v>13434</v>
          </cell>
          <cell r="B743" t="str">
            <v>LABADIE PLANT MONORAIL EXTENSION</v>
          </cell>
          <cell r="C743" t="str">
            <v>09M-GENERATION PROJECT ENGINEERING</v>
          </cell>
        </row>
        <row r="744">
          <cell r="A744">
            <v>13448</v>
          </cell>
          <cell r="B744" t="str">
            <v>SALE OF BISCHOFF SUB SITE</v>
          </cell>
          <cell r="C744" t="str">
            <v>061-REAL ESTATE</v>
          </cell>
        </row>
        <row r="745">
          <cell r="A745">
            <v>13477</v>
          </cell>
          <cell r="B745" t="str">
            <v>MALINE - REPLACE POSITION F BRKR</v>
          </cell>
          <cell r="C745" t="str">
            <v>09E-ELECTRICAL ENGINEERING</v>
          </cell>
        </row>
        <row r="746">
          <cell r="A746">
            <v>13479</v>
          </cell>
          <cell r="B746" t="str">
            <v>REPLACE UNSUPPORTED PBX UNITS</v>
          </cell>
          <cell r="C746" t="str">
            <v>065-NEO - TELEPHONE SERVICES</v>
          </cell>
        </row>
        <row r="747">
          <cell r="A747">
            <v>13488</v>
          </cell>
          <cell r="B747" t="str">
            <v>OSAGE - FISH BARRIER</v>
          </cell>
          <cell r="C747" t="str">
            <v>09M-GENERATION PROJECT ENGINEERING</v>
          </cell>
        </row>
        <row r="748">
          <cell r="A748">
            <v>13490</v>
          </cell>
          <cell r="B748" t="str">
            <v>OSG LOCKER ROOM,SHOP BUILDING ADD</v>
          </cell>
          <cell r="C748" t="str">
            <v>09M-GENERATION PROJECT ENGINEERING</v>
          </cell>
        </row>
        <row r="749">
          <cell r="A749">
            <v>13493</v>
          </cell>
          <cell r="B749" t="str">
            <v>SX CONST. ENTRANCE SECURITY IMPROV</v>
          </cell>
          <cell r="C749" t="str">
            <v>09M-GENERATION PROJECT ENGINEERING</v>
          </cell>
        </row>
        <row r="750">
          <cell r="A750">
            <v>13497</v>
          </cell>
          <cell r="B750" t="str">
            <v>SX U1&amp;2 CHAR HOPPER ASH REMOVAL SYS</v>
          </cell>
          <cell r="C750" t="str">
            <v>09M-GENERATION PROJECT ENGINEERING</v>
          </cell>
        </row>
        <row r="751">
          <cell r="A751">
            <v>13502</v>
          </cell>
          <cell r="B751" t="str">
            <v>HOLLAND NW-REL.UPGR.FOR CONSTELLTN.</v>
          </cell>
          <cell r="C751" t="str">
            <v>09E-ELECTRICAL ENGINEERING</v>
          </cell>
        </row>
        <row r="752">
          <cell r="A752">
            <v>13503</v>
          </cell>
          <cell r="B752" t="str">
            <v>PAWNEE W.-REL.UPGR.FOR CONSTELLATN.</v>
          </cell>
          <cell r="C752" t="str">
            <v>09E-ELECTRICAL ENGINEERING</v>
          </cell>
        </row>
        <row r="753">
          <cell r="A753">
            <v>13504</v>
          </cell>
          <cell r="B753" t="str">
            <v>TOLONO - NEW 69-12 KV SUBSTATION</v>
          </cell>
          <cell r="C753" t="str">
            <v>09E-ELECTRICAL ENGINEERING</v>
          </cell>
        </row>
        <row r="754">
          <cell r="A754">
            <v>13508</v>
          </cell>
          <cell r="B754" t="str">
            <v>NORTH ASHLAND SUBSTATION</v>
          </cell>
          <cell r="C754" t="str">
            <v>09E-ELECTRICAL ENGINEERING</v>
          </cell>
        </row>
        <row r="755">
          <cell r="A755">
            <v>13516</v>
          </cell>
          <cell r="B755" t="str">
            <v>SAVOY N TO S 69KV UNDERGROUND</v>
          </cell>
          <cell r="C755" t="str">
            <v>2MS-DIVISION IV SUPPORT STAFF</v>
          </cell>
        </row>
        <row r="756">
          <cell r="A756">
            <v>13522</v>
          </cell>
          <cell r="B756" t="str">
            <v>MER DRY ASH HANDLING IMPROV 2003</v>
          </cell>
          <cell r="C756" t="str">
            <v>09M-GENERATION PROJECT ENGINEERING</v>
          </cell>
        </row>
        <row r="757">
          <cell r="A757">
            <v>13544</v>
          </cell>
          <cell r="B757" t="str">
            <v>RI U2 #2 IP HEATER REPL</v>
          </cell>
          <cell r="C757" t="str">
            <v>09M-GENERATION PROJECT ENGINEERING</v>
          </cell>
        </row>
        <row r="758">
          <cell r="A758">
            <v>13551</v>
          </cell>
          <cell r="B758" t="str">
            <v>MER COAL CONVEYOR 4 TO 5 TRANSFER</v>
          </cell>
          <cell r="C758" t="str">
            <v>09M-GENERATION PROJECT ENGINEERING</v>
          </cell>
        </row>
        <row r="759">
          <cell r="A759">
            <v>13552</v>
          </cell>
          <cell r="B759" t="str">
            <v>MERAMEC U4 - BLR FEGT MEASUREMENT</v>
          </cell>
          <cell r="C759" t="str">
            <v>09M-GENERATION PROJECT ENGINEERING</v>
          </cell>
        </row>
        <row r="760">
          <cell r="A760">
            <v>13553</v>
          </cell>
          <cell r="B760" t="str">
            <v>LBD U4 LOWER SLOPE REPL</v>
          </cell>
          <cell r="C760" t="str">
            <v>09M-GENERATION PROJECT ENGINEERING</v>
          </cell>
        </row>
        <row r="761">
          <cell r="A761">
            <v>13558</v>
          </cell>
          <cell r="B761" t="str">
            <v>RI SILO FILL FLOOR,WASHDOWN,DUSTSEA</v>
          </cell>
          <cell r="C761" t="str">
            <v>09M-GENERATION PROJECT ENGINEERING</v>
          </cell>
        </row>
        <row r="762">
          <cell r="A762">
            <v>13560</v>
          </cell>
          <cell r="B762" t="str">
            <v>SX COAL RCV &amp; RCL TUNNEL HEATERS</v>
          </cell>
          <cell r="C762" t="str">
            <v>09M-GENERATION PROJECT ENGINEERING</v>
          </cell>
        </row>
        <row r="763">
          <cell r="A763">
            <v>13562</v>
          </cell>
          <cell r="B763" t="str">
            <v>SX U2 GR FAN ISOLATION DAMPER REPL</v>
          </cell>
          <cell r="C763" t="str">
            <v>09M-GENERATION PROJECT ENGINEERING</v>
          </cell>
        </row>
        <row r="764">
          <cell r="A764">
            <v>13563</v>
          </cell>
          <cell r="B764" t="str">
            <v>MERAMEC WASH DOWN - BUNKER FILL</v>
          </cell>
          <cell r="C764" t="str">
            <v>09M-GENERATION PROJECT ENGINEERING</v>
          </cell>
        </row>
        <row r="765">
          <cell r="A765">
            <v>13564</v>
          </cell>
          <cell r="B765" t="str">
            <v>MER CONDENSATE TESTING SAMPLE HOUSE</v>
          </cell>
          <cell r="C765" t="str">
            <v>09M-GENERATION PROJECT ENGINEERING</v>
          </cell>
        </row>
        <row r="766">
          <cell r="A766">
            <v>13566</v>
          </cell>
          <cell r="B766" t="str">
            <v>SIOUX UNIT 2 SILO FILL COAL FEEDERS</v>
          </cell>
          <cell r="C766" t="str">
            <v>09M-GENERATION PROJECT ENGINEERING</v>
          </cell>
        </row>
        <row r="767">
          <cell r="A767">
            <v>13568</v>
          </cell>
          <cell r="B767" t="str">
            <v>HWY N 3RD SUPPLY, 161KV TRANSM. LN.</v>
          </cell>
          <cell r="C767" t="str">
            <v>09E-ELECTRICAL ENGINEERING</v>
          </cell>
        </row>
        <row r="768">
          <cell r="A768">
            <v>13573</v>
          </cell>
          <cell r="B768" t="str">
            <v>LBD U2 5A&amp;B FEEDWATER HEATER REPL</v>
          </cell>
          <cell r="C768" t="str">
            <v>09M-GENERATION PROJECT ENGINEERING</v>
          </cell>
        </row>
        <row r="769">
          <cell r="A769">
            <v>13575</v>
          </cell>
          <cell r="B769" t="str">
            <v>RI U2 STATOR AUX COOLING WATER MODS</v>
          </cell>
          <cell r="C769" t="str">
            <v>09M-GENERATION PROJECT ENGINEERING</v>
          </cell>
        </row>
        <row r="770">
          <cell r="A770">
            <v>13576</v>
          </cell>
          <cell r="B770" t="str">
            <v>RI U2 GEN EXCITATION REPL</v>
          </cell>
          <cell r="C770" t="str">
            <v>09M-GENERATION PROJECT ENGINEERING</v>
          </cell>
        </row>
        <row r="771">
          <cell r="A771">
            <v>13584</v>
          </cell>
          <cell r="B771" t="str">
            <v>W1W AIRPORT EXPANSION-LINDBERGH REL</v>
          </cell>
          <cell r="C771" t="str">
            <v>055-BERKELEY</v>
          </cell>
        </row>
        <row r="772">
          <cell r="A772">
            <v>13601</v>
          </cell>
          <cell r="B772" t="str">
            <v>DUTZOW FEEDER 650-051 RECONDUCTOR</v>
          </cell>
          <cell r="C772" t="str">
            <v>093-WENTZVILLE DISTRICT</v>
          </cell>
        </row>
        <row r="773">
          <cell r="A773">
            <v>13606</v>
          </cell>
          <cell r="B773" t="str">
            <v>KEOKUK LIGHTING REPLACEMENT</v>
          </cell>
          <cell r="C773" t="str">
            <v>09M-GENERATION PROJECT ENGINEERING</v>
          </cell>
        </row>
        <row r="774">
          <cell r="A774">
            <v>13607</v>
          </cell>
          <cell r="B774" t="str">
            <v>MERAMEC UNIT 3 LIGHTING REPLACEMENT</v>
          </cell>
          <cell r="C774" t="str">
            <v>09M-GENERATION PROJECT ENGINEERING</v>
          </cell>
        </row>
        <row r="775">
          <cell r="A775">
            <v>13609</v>
          </cell>
          <cell r="B775" t="str">
            <v>MERAMEC COAL RECLAIM EXPANSION</v>
          </cell>
          <cell r="C775" t="str">
            <v>09M-GENERATION PROJECT ENGINEERING</v>
          </cell>
        </row>
        <row r="776">
          <cell r="A776">
            <v>13622</v>
          </cell>
          <cell r="B776" t="str">
            <v>LABADIE UNIT 2 GENERATOR REWIND</v>
          </cell>
          <cell r="C776" t="str">
            <v>09M-GENERATION PROJECT ENGINEERING</v>
          </cell>
        </row>
        <row r="777">
          <cell r="A777">
            <v>13625</v>
          </cell>
          <cell r="B777" t="str">
            <v>LABADIE UNIT 1 GENERATOR REWIND</v>
          </cell>
          <cell r="C777" t="str">
            <v>09M-GENERATION PROJECT ENGINEERING</v>
          </cell>
        </row>
        <row r="778">
          <cell r="A778">
            <v>13629</v>
          </cell>
          <cell r="B778" t="str">
            <v>SX U1 CYCLONE INSTRUMENTATION</v>
          </cell>
          <cell r="C778" t="str">
            <v>09M-GENERATION PROJECT ENGINEERING</v>
          </cell>
        </row>
        <row r="779">
          <cell r="A779">
            <v>13631</v>
          </cell>
          <cell r="B779" t="str">
            <v>MER U2 #4 HEATER REPL</v>
          </cell>
          <cell r="C779" t="str">
            <v>09M-GENERATION PROJECT ENGINEERING</v>
          </cell>
        </row>
        <row r="780">
          <cell r="A780">
            <v>13634</v>
          </cell>
          <cell r="B780" t="str">
            <v>MERAMEC #4 LP HEATER REPLACEMENT</v>
          </cell>
          <cell r="C780" t="str">
            <v>09M-GENERATION PROJECT ENGINEERING</v>
          </cell>
        </row>
        <row r="781">
          <cell r="A781">
            <v>13636</v>
          </cell>
          <cell r="B781" t="str">
            <v>SIOUX GSU TRANSFORMER REPLACEMENT</v>
          </cell>
          <cell r="C781" t="str">
            <v>09M-GENERATION PROJECT ENGINEERING</v>
          </cell>
        </row>
        <row r="782">
          <cell r="A782">
            <v>13638</v>
          </cell>
          <cell r="B782" t="str">
            <v>RI WATER TREATMENT CONTROLS REPL</v>
          </cell>
          <cell r="C782" t="str">
            <v>09M-GENERATION PROJECT ENGINEERING</v>
          </cell>
        </row>
        <row r="783">
          <cell r="A783">
            <v>13641</v>
          </cell>
          <cell r="B783" t="str">
            <v>MER U2 LIGHTING REPL 2004</v>
          </cell>
          <cell r="C783" t="str">
            <v>09M-GENERATION PROJECT ENGINEERING</v>
          </cell>
        </row>
        <row r="784">
          <cell r="A784">
            <v>13642</v>
          </cell>
          <cell r="B784" t="str">
            <v>MER U2 LIGHTING REPL 2004</v>
          </cell>
          <cell r="C784" t="str">
            <v>09M-GENERATION PROJECT ENGINEERING</v>
          </cell>
        </row>
        <row r="785">
          <cell r="A785">
            <v>13646</v>
          </cell>
          <cell r="B785" t="str">
            <v>SIOUX UNIT 2 HP GENERATOR REWIND</v>
          </cell>
          <cell r="C785" t="str">
            <v>09M-GENERATION PROJECT ENGINEERING</v>
          </cell>
        </row>
        <row r="786">
          <cell r="A786">
            <v>13649</v>
          </cell>
          <cell r="B786" t="str">
            <v>RI LOAD FLOW STUDY FOR MOTOR START</v>
          </cell>
          <cell r="C786" t="str">
            <v>09M-GENERATION PROJECT ENGINEERING</v>
          </cell>
        </row>
        <row r="787">
          <cell r="A787">
            <v>13650</v>
          </cell>
          <cell r="B787" t="str">
            <v>RI U2 #1HP HEATER REPL</v>
          </cell>
          <cell r="C787" t="str">
            <v>09M-GENERATION PROJECT ENGINEERING</v>
          </cell>
        </row>
        <row r="788">
          <cell r="A788">
            <v>13653</v>
          </cell>
          <cell r="B788" t="str">
            <v>MERAMEC UNIT 3 GENERATOR REWIND</v>
          </cell>
          <cell r="C788" t="str">
            <v>09M-GENERATION PROJECT ENGINEERING</v>
          </cell>
        </row>
        <row r="789">
          <cell r="A789">
            <v>13656</v>
          </cell>
          <cell r="B789" t="str">
            <v>CITY OF WEBSTER GROVES OH-UG CONVER</v>
          </cell>
          <cell r="C789" t="str">
            <v>052-MACKENZIE</v>
          </cell>
        </row>
        <row r="790">
          <cell r="A790">
            <v>13658</v>
          </cell>
          <cell r="B790" t="str">
            <v>MER U1&amp;2 VACUUM PUMP INSTALLATION</v>
          </cell>
          <cell r="C790" t="str">
            <v>09M-GENERATION PROJECT ENGINEERING</v>
          </cell>
        </row>
        <row r="791">
          <cell r="A791">
            <v>13668</v>
          </cell>
          <cell r="B791" t="str">
            <v>KEOKUK MAIN UNIT 1 GENERATOR REWIND</v>
          </cell>
          <cell r="C791" t="str">
            <v>09M-GENERATION PROJECT ENGINEERING</v>
          </cell>
        </row>
        <row r="792">
          <cell r="A792">
            <v>13676</v>
          </cell>
          <cell r="B792" t="str">
            <v>TS OIL VAPOR COLLECTION SYSTEM</v>
          </cell>
          <cell r="C792" t="str">
            <v>09M-GENERATION PROJECT ENGINEERING</v>
          </cell>
        </row>
        <row r="793">
          <cell r="A793">
            <v>13682</v>
          </cell>
          <cell r="B793" t="str">
            <v>MODOT HWY 179 &amp; RTE B HWY RELOCATIO</v>
          </cell>
          <cell r="C793" t="str">
            <v>5JS-CAPITAL DIST SUPPORT</v>
          </cell>
        </row>
        <row r="794">
          <cell r="A794">
            <v>13700</v>
          </cell>
          <cell r="B794" t="str">
            <v>MER U1 WALL BLOWER REPL</v>
          </cell>
          <cell r="C794" t="str">
            <v>09M-GENERATION PROJECT ENGINEERING</v>
          </cell>
        </row>
        <row r="795">
          <cell r="A795">
            <v>13711</v>
          </cell>
          <cell r="B795" t="str">
            <v>SIOUX - REPLACE 2B GR FAN ROTOR</v>
          </cell>
          <cell r="C795" t="str">
            <v>09M-GENERATION PROJECT ENGINEERING</v>
          </cell>
        </row>
        <row r="796">
          <cell r="A796">
            <v>13712</v>
          </cell>
          <cell r="B796" t="str">
            <v>CALIF.-BARNETT 161-INCR. CLEARANCES</v>
          </cell>
          <cell r="C796" t="str">
            <v>09E-ELECTRICAL ENGINEERING</v>
          </cell>
        </row>
        <row r="797">
          <cell r="A797">
            <v>13714</v>
          </cell>
          <cell r="B797" t="str">
            <v>MAS-MER-1&amp;2 138-TAP FOR BARRETT ST.</v>
          </cell>
          <cell r="C797" t="str">
            <v>09E-ELECTRICAL ENGINEERING</v>
          </cell>
        </row>
        <row r="798">
          <cell r="A798">
            <v>13722</v>
          </cell>
          <cell r="B798" t="str">
            <v>Saddle Creek Bulk Sub 138kV Supply</v>
          </cell>
          <cell r="C798" t="str">
            <v>09E-ELECTRICAL ENGINEERING</v>
          </cell>
        </row>
        <row r="799">
          <cell r="A799">
            <v>13730</v>
          </cell>
          <cell r="B799" t="str">
            <v>FOUNTAIN LAKES 138 KV SUPPLY LINES</v>
          </cell>
          <cell r="C799" t="str">
            <v>09E-ELECTRICAL ENGINEERING</v>
          </cell>
        </row>
        <row r="800">
          <cell r="A800">
            <v>13732</v>
          </cell>
          <cell r="B800" t="str">
            <v>GOOSE PD.-TAP PALMYRA-VIELE/ALLIANT</v>
          </cell>
          <cell r="C800" t="str">
            <v>09E-ELECTRICAL ENGINEERING</v>
          </cell>
        </row>
        <row r="801">
          <cell r="A801">
            <v>13745</v>
          </cell>
          <cell r="B801" t="str">
            <v>RI U1 ECONOMIZER REPL</v>
          </cell>
          <cell r="C801" t="str">
            <v>09M-GENERATION PROJECT ENGINEERING</v>
          </cell>
        </row>
        <row r="802">
          <cell r="A802">
            <v>13764</v>
          </cell>
          <cell r="B802" t="str">
            <v>MER U1&amp;2 ECONOMIZER SOOTBLOWER ADDI</v>
          </cell>
          <cell r="C802" t="str">
            <v>09M-GENERATION PROJECT ENGINEERING</v>
          </cell>
        </row>
        <row r="803">
          <cell r="A803">
            <v>13767</v>
          </cell>
          <cell r="B803" t="str">
            <v>REWIND STATOR UNIT 2 GENERATOR</v>
          </cell>
          <cell r="C803" t="str">
            <v>CFG-COFFEEN - GENERAL</v>
          </cell>
        </row>
        <row r="804">
          <cell r="A804">
            <v>13769</v>
          </cell>
          <cell r="B804" t="str">
            <v>OSAGE GSU REPLACEMENTS</v>
          </cell>
          <cell r="C804" t="str">
            <v>09M-GENERATION PROJECT ENGINEERING</v>
          </cell>
        </row>
        <row r="805">
          <cell r="A805">
            <v>13771</v>
          </cell>
          <cell r="B805" t="str">
            <v>ENON SUB 345 KV TAP FOR AECI -REIMB</v>
          </cell>
          <cell r="C805" t="str">
            <v>09E-ELECTRICAL ENGINEERING</v>
          </cell>
        </row>
        <row r="806">
          <cell r="A806">
            <v>13772</v>
          </cell>
          <cell r="B806" t="str">
            <v>MER U4 AIR PREHEATER REBASKETING</v>
          </cell>
          <cell r="C806" t="str">
            <v>09M-GENERATION PROJECT ENGINEERING</v>
          </cell>
        </row>
        <row r="807">
          <cell r="A807">
            <v>13774</v>
          </cell>
          <cell r="B807" t="str">
            <v>MER U1,2&amp;4 AIR INLEAKAGE METERS</v>
          </cell>
          <cell r="C807" t="str">
            <v>09M-GENERATION PROJECT ENGINEERING</v>
          </cell>
        </row>
        <row r="808">
          <cell r="A808">
            <v>13775</v>
          </cell>
          <cell r="B808" t="str">
            <v>RI U2 RHEAT,ECON &amp; LWR SLP REPL</v>
          </cell>
          <cell r="C808" t="str">
            <v>09M-GENERATION PROJECT ENGINEERING</v>
          </cell>
        </row>
        <row r="809">
          <cell r="A809">
            <v>13778</v>
          </cell>
          <cell r="B809" t="str">
            <v>PIKE-PALM.161 -TAP FOR HANNIBAL W.</v>
          </cell>
          <cell r="C809" t="str">
            <v>09E-ELECTRICAL ENGINEERING</v>
          </cell>
        </row>
        <row r="810">
          <cell r="A810">
            <v>13780</v>
          </cell>
          <cell r="B810" t="str">
            <v>BELLEAU 345KV IN-OUT SUPPLY-SX-MTGY</v>
          </cell>
          <cell r="C810" t="str">
            <v>09E-ELECTRICAL ENGINEERING</v>
          </cell>
        </row>
        <row r="811">
          <cell r="A811">
            <v>13781</v>
          </cell>
          <cell r="B811" t="str">
            <v>SYSTEM SPARE 161/69KV TRANSFORMER</v>
          </cell>
          <cell r="C811" t="str">
            <v>09E-ELECTRICAL ENGINEERING</v>
          </cell>
        </row>
        <row r="812">
          <cell r="A812">
            <v>13795</v>
          </cell>
          <cell r="B812" t="str">
            <v>RIVERM.-REBLD,INCL.NEW SF-RIV TERM</v>
          </cell>
          <cell r="C812" t="str">
            <v>09E-ELECTRICAL ENGINEERING</v>
          </cell>
        </row>
        <row r="813">
          <cell r="A813">
            <v>13807</v>
          </cell>
          <cell r="B813" t="str">
            <v>LBD U2 - #2 IP HEATER REPL</v>
          </cell>
          <cell r="C813" t="str">
            <v>09M-GENERATION PROJECT ENGINEERING</v>
          </cell>
        </row>
        <row r="814">
          <cell r="A814">
            <v>13809</v>
          </cell>
          <cell r="B814" t="str">
            <v>GUTHRIE - ADD 2 BRKRS, SW, &amp; REL.</v>
          </cell>
          <cell r="C814" t="str">
            <v>09E-ELECTRICAL ENGINEERING</v>
          </cell>
        </row>
        <row r="815">
          <cell r="A815">
            <v>13830</v>
          </cell>
          <cell r="B815" t="str">
            <v>LEFARTH - MOD. HI-SIDE XFER CTRL</v>
          </cell>
          <cell r="C815" t="str">
            <v>09E-ELECTRICAL ENGINEERING</v>
          </cell>
        </row>
        <row r="816">
          <cell r="A816">
            <v>13833</v>
          </cell>
          <cell r="B816" t="str">
            <v>JEFF.CITY-ELM ST.-RAISE XFMR, ETC.</v>
          </cell>
          <cell r="C816" t="str">
            <v>09E-ELECTRICAL ENGINEERING</v>
          </cell>
        </row>
        <row r="817">
          <cell r="A817">
            <v>13834</v>
          </cell>
          <cell r="B817" t="str">
            <v>MCKINLEY ST. - UNIT D REPLACEMENT</v>
          </cell>
          <cell r="C817" t="str">
            <v>09E-ELECTRICAL ENGINEERING</v>
          </cell>
        </row>
        <row r="818">
          <cell r="A818">
            <v>13837</v>
          </cell>
          <cell r="B818" t="str">
            <v>SIOUX - FIRE WATER SUPPLY</v>
          </cell>
          <cell r="C818" t="str">
            <v>09M-GENERATION PROJECT ENGINEERING</v>
          </cell>
        </row>
        <row r="819">
          <cell r="A819">
            <v>13838</v>
          </cell>
          <cell r="B819" t="str">
            <v>SIOUX POTABLE WATER SYSTEMUPGRADE</v>
          </cell>
          <cell r="C819" t="str">
            <v>09M-GENERATION PROJECT ENGINEERING</v>
          </cell>
        </row>
        <row r="820">
          <cell r="A820">
            <v>13839</v>
          </cell>
          <cell r="B820" t="str">
            <v>SX WATER TREATMENT SYSTEM STUDY</v>
          </cell>
          <cell r="C820" t="str">
            <v>09M-GENERATION PROJECT ENGINEERING</v>
          </cell>
        </row>
        <row r="821">
          <cell r="A821">
            <v>13843</v>
          </cell>
          <cell r="B821" t="str">
            <v>MER TURB GENERATOR FIRE PROTECTION</v>
          </cell>
          <cell r="C821" t="str">
            <v>09M-GENERATION PROJECT ENGINEERING</v>
          </cell>
        </row>
        <row r="822">
          <cell r="A822">
            <v>13846</v>
          </cell>
          <cell r="B822" t="str">
            <v>MER WATER TREATMENT SYSTEM STUDY</v>
          </cell>
          <cell r="C822" t="str">
            <v>09M-GENERATION PROJECT ENGINEERING</v>
          </cell>
        </row>
        <row r="823">
          <cell r="A823">
            <v>13847</v>
          </cell>
          <cell r="B823" t="str">
            <v>LABADIE - CONDENSATE POLISHERS</v>
          </cell>
          <cell r="C823" t="str">
            <v>09M-GENERATION PROJECT ENGINEERING</v>
          </cell>
        </row>
        <row r="824">
          <cell r="A824">
            <v>13851</v>
          </cell>
          <cell r="B824" t="str">
            <v>LABADIE - FIRE WATER SUPPLY</v>
          </cell>
          <cell r="C824" t="str">
            <v>09M-GENERATION PROJECT ENGINEERING</v>
          </cell>
        </row>
        <row r="825">
          <cell r="A825">
            <v>13853</v>
          </cell>
          <cell r="B825" t="str">
            <v>RUSH ISLAND - FIRE WATER SUPPLY</v>
          </cell>
          <cell r="C825" t="str">
            <v>09M-GENERATION PROJECT ENGINEERING</v>
          </cell>
        </row>
        <row r="826">
          <cell r="A826">
            <v>13854</v>
          </cell>
          <cell r="B826" t="str">
            <v>RI BOILER FIRE PROTECTION</v>
          </cell>
          <cell r="C826" t="str">
            <v>09M-GENERATION PROJECT ENGINEERING</v>
          </cell>
        </row>
        <row r="827">
          <cell r="A827">
            <v>13856</v>
          </cell>
          <cell r="B827" t="str">
            <v>KEO OIL FILLED XMFR FIRE PROTECTION</v>
          </cell>
          <cell r="C827" t="str">
            <v>09M-GENERATION PROJECT ENGINEERING</v>
          </cell>
        </row>
        <row r="828">
          <cell r="A828">
            <v>13878</v>
          </cell>
          <cell r="B828" t="str">
            <v>GKN CUST SUB-TWO 34-4KV,14MVA,UNITS</v>
          </cell>
          <cell r="C828" t="str">
            <v>09E-ELECTRICAL ENGINEERING</v>
          </cell>
        </row>
        <row r="829">
          <cell r="A829">
            <v>13879</v>
          </cell>
          <cell r="B829" t="str">
            <v>SPARKS SUB. - 69KV CONVERSION</v>
          </cell>
          <cell r="C829" t="str">
            <v>09E-ELECTRICAL ENGINEERING</v>
          </cell>
        </row>
        <row r="830">
          <cell r="A830">
            <v>13880</v>
          </cell>
          <cell r="B830" t="str">
            <v>NEWPORT - ADD 2ND UNIT, W-MOD.HI-LO</v>
          </cell>
          <cell r="C830" t="str">
            <v>09E-ELECTRICAL ENGINEERING</v>
          </cell>
        </row>
        <row r="831">
          <cell r="A831">
            <v>13883</v>
          </cell>
          <cell r="B831" t="str">
            <v>VENICE CTG 2 - GAS LINE LATERAL</v>
          </cell>
          <cell r="C831" t="str">
            <v>09M-GENERATION PROJECT ENGINEERING</v>
          </cell>
        </row>
        <row r="832">
          <cell r="A832">
            <v>13888</v>
          </cell>
          <cell r="B832" t="str">
            <v>MOREAU - ADD ONE 161KV LN POSITION</v>
          </cell>
          <cell r="C832" t="str">
            <v>09E-ELECTRICAL ENGINEERING</v>
          </cell>
        </row>
        <row r="833">
          <cell r="A833">
            <v>13894</v>
          </cell>
          <cell r="B833" t="str">
            <v>SYSTEM SPARE 138/34KV XFMR</v>
          </cell>
          <cell r="C833" t="str">
            <v>09E-ELECTRICAL ENGINEERING</v>
          </cell>
        </row>
        <row r="834">
          <cell r="A834">
            <v>13913</v>
          </cell>
          <cell r="B834" t="str">
            <v>OVERTON-161 -ADD 161KV CAP BANK</v>
          </cell>
          <cell r="C834" t="str">
            <v>09E-ELECTRICAL ENGINEERING</v>
          </cell>
        </row>
        <row r="835">
          <cell r="A835">
            <v>13919</v>
          </cell>
          <cell r="B835" t="str">
            <v>MITCHELL -2ND UNIT, 34-12, 22MVA</v>
          </cell>
          <cell r="C835" t="str">
            <v>09E-ELECTRICAL ENGINEERING</v>
          </cell>
        </row>
        <row r="836">
          <cell r="A836">
            <v>13920</v>
          </cell>
          <cell r="B836" t="str">
            <v>EATHERTON 138-12 - ADD 2ND UNIT</v>
          </cell>
          <cell r="C836" t="str">
            <v>09E-ELECTRICAL ENGINEERING</v>
          </cell>
        </row>
        <row r="837">
          <cell r="A837">
            <v>13921</v>
          </cell>
          <cell r="B837" t="str">
            <v>FOUNTAIN LAKES -NEW 138-12 DIST.SUB</v>
          </cell>
          <cell r="C837" t="str">
            <v>09E-ELECTRICAL ENGINEERING</v>
          </cell>
        </row>
        <row r="838">
          <cell r="A838">
            <v>13922</v>
          </cell>
          <cell r="B838" t="str">
            <v>BOYD BRANCH 138-12- 33MVA, 4 FDRS</v>
          </cell>
          <cell r="C838" t="str">
            <v>09E-ELECTRICAL ENGINEERING</v>
          </cell>
        </row>
        <row r="839">
          <cell r="A839">
            <v>13940</v>
          </cell>
          <cell r="B839" t="str">
            <v>Mariosa Delta - 345kV Addition</v>
          </cell>
          <cell r="C839" t="str">
            <v>09E-ELECTRICAL ENGINEERING</v>
          </cell>
        </row>
        <row r="840">
          <cell r="A840">
            <v>13942</v>
          </cell>
          <cell r="B840" t="str">
            <v>BELLEAU 345BRKR.POS.-FOR ENON-REIMB</v>
          </cell>
          <cell r="C840" t="str">
            <v>09E-ELECTRICAL ENGINEERING</v>
          </cell>
        </row>
        <row r="841">
          <cell r="A841">
            <v>13946</v>
          </cell>
          <cell r="B841" t="str">
            <v>ZION-161KV BUS., DISC. SWITCHES</v>
          </cell>
          <cell r="C841" t="str">
            <v>09E-ELECTRICAL ENGINEERING</v>
          </cell>
        </row>
        <row r="842">
          <cell r="A842">
            <v>13953</v>
          </cell>
          <cell r="B842" t="str">
            <v>NEWTON -REPL 2-138 PCBS, BUS COND.</v>
          </cell>
          <cell r="C842" t="str">
            <v>09E-ELECTRICAL ENGINEERING</v>
          </cell>
        </row>
        <row r="843">
          <cell r="A843">
            <v>13955</v>
          </cell>
          <cell r="B843" t="str">
            <v>MONTGMRY 345 REL.MODS-FOR ENON-AECI</v>
          </cell>
          <cell r="C843" t="str">
            <v>09E-ELECTRICAL ENGINEERING</v>
          </cell>
        </row>
        <row r="844">
          <cell r="A844">
            <v>13965</v>
          </cell>
          <cell r="B844" t="str">
            <v>HANNIBAL WEST SWITCHING STATION</v>
          </cell>
          <cell r="C844" t="str">
            <v>09E-ELECTRICAL ENGINEERING</v>
          </cell>
        </row>
        <row r="845">
          <cell r="A845">
            <v>13980</v>
          </cell>
          <cell r="B845" t="str">
            <v>W.FRANKF.&amp; W.FRKF.E. -UPGR LN.POSNS</v>
          </cell>
          <cell r="C845" t="str">
            <v>09E-ELECTRICAL ENGINEERING</v>
          </cell>
        </row>
        <row r="846">
          <cell r="A846">
            <v>13987</v>
          </cell>
          <cell r="B846" t="str">
            <v>TAZEW-E.SPRINGF.138KV - RECOND 58MI</v>
          </cell>
          <cell r="C846" t="str">
            <v>09E-ELECTRICAL ENGINEERING</v>
          </cell>
        </row>
        <row r="847">
          <cell r="A847">
            <v>13989</v>
          </cell>
          <cell r="B847" t="str">
            <v>CAPE GIR. AREA SUBST REPORTING CTR.</v>
          </cell>
          <cell r="C847" t="str">
            <v>09E-ELECTRICAL ENGINEERING</v>
          </cell>
        </row>
        <row r="848">
          <cell r="A848">
            <v>13992</v>
          </cell>
          <cell r="B848" t="str">
            <v>ESOS COMPUTER EXPANSION FOR CILCO M</v>
          </cell>
          <cell r="C848" t="str">
            <v>042-TRANSMISSION OPERATIONS</v>
          </cell>
        </row>
        <row r="849">
          <cell r="A849">
            <v>13993</v>
          </cell>
          <cell r="B849" t="str">
            <v>CNG STATION - WENTZVILLE, MO</v>
          </cell>
          <cell r="C849" t="str">
            <v>0G2-GAS TECH SERVICES - AMS</v>
          </cell>
        </row>
        <row r="850">
          <cell r="A850">
            <v>14009</v>
          </cell>
          <cell r="B850" t="str">
            <v>KEOKUK REL.REPL.-K-HAM-2,K-31,K-MES</v>
          </cell>
          <cell r="C850" t="str">
            <v>09E-ELECTRICAL ENGINEERING</v>
          </cell>
        </row>
        <row r="851">
          <cell r="A851">
            <v>14010</v>
          </cell>
          <cell r="B851" t="str">
            <v>KEOKUK U1-9 POWER SYSTEM STABILIZ.</v>
          </cell>
          <cell r="C851" t="str">
            <v>09E-ELECTRICAL ENGINEERING</v>
          </cell>
        </row>
        <row r="852">
          <cell r="A852">
            <v>14024</v>
          </cell>
          <cell r="B852" t="str">
            <v>MER U1&amp;2 SAFETY VALVE CAPACITY INCR</v>
          </cell>
          <cell r="C852" t="str">
            <v>09M-GENERATION PROJECT ENGINEERING</v>
          </cell>
        </row>
        <row r="853">
          <cell r="A853">
            <v>14036</v>
          </cell>
          <cell r="B853" t="str">
            <v>OSAGE - D.O. ENHAMCEMENT STUDY</v>
          </cell>
          <cell r="C853" t="str">
            <v>44B-OSAGE PLANT OPERATIONS&amp;ENGINEER</v>
          </cell>
        </row>
        <row r="854">
          <cell r="A854">
            <v>14039</v>
          </cell>
          <cell r="B854" t="str">
            <v>SIOUX 2 LOWER LOOP IMPROVEMENT</v>
          </cell>
          <cell r="C854" t="str">
            <v>09M-GENERATION PROJECT ENGINEERING</v>
          </cell>
        </row>
        <row r="855">
          <cell r="A855">
            <v>14041</v>
          </cell>
          <cell r="B855" t="str">
            <v>SIOUX 1 LOWER LOOP IMPROVEMENT</v>
          </cell>
          <cell r="C855" t="str">
            <v>09M-GENERATION PROJECT ENGINEERING</v>
          </cell>
        </row>
        <row r="856">
          <cell r="A856">
            <v>14045</v>
          </cell>
          <cell r="B856" t="str">
            <v>RI U1 HWAH SYSTEM RETROFIT</v>
          </cell>
          <cell r="C856" t="str">
            <v>09M-GENERATION PROJECT ENGINEERING</v>
          </cell>
        </row>
        <row r="857">
          <cell r="A857">
            <v>14057</v>
          </cell>
          <cell r="B857" t="str">
            <v>UEC 2002  800 MHZ RADIO INFRASTRUCR</v>
          </cell>
          <cell r="C857" t="str">
            <v>065-NEO - TELEPHONE SERVICES</v>
          </cell>
        </row>
        <row r="858">
          <cell r="A858">
            <v>14058</v>
          </cell>
          <cell r="B858" t="str">
            <v>LBD U4 CONDENSER CLEANING SYSTEM</v>
          </cell>
          <cell r="C858" t="str">
            <v>09M-GENERATION PROJECT ENGINEERING</v>
          </cell>
        </row>
        <row r="859">
          <cell r="A859">
            <v>14091</v>
          </cell>
          <cell r="B859" t="str">
            <v>VENICE CTG #3 &amp; #4 - 138KV SWYD.</v>
          </cell>
          <cell r="C859" t="str">
            <v>09E-ELECTRICAL ENGINEERING</v>
          </cell>
        </row>
        <row r="860">
          <cell r="A860">
            <v>14109</v>
          </cell>
          <cell r="B860" t="str">
            <v>TELECOM TRANSPORT FOR CILCO</v>
          </cell>
          <cell r="C860" t="str">
            <v>065-NEO - TELEPHONE SERVICES</v>
          </cell>
        </row>
        <row r="861">
          <cell r="A861">
            <v>14114</v>
          </cell>
          <cell r="B861" t="str">
            <v>KEOKUK SCADA REPLACEMENT</v>
          </cell>
          <cell r="C861" t="str">
            <v>09M-GENERATION PROJECT ENGINEERING</v>
          </cell>
        </row>
        <row r="862">
          <cell r="A862">
            <v>14115</v>
          </cell>
          <cell r="B862" t="str">
            <v>VENICE CTG 5</v>
          </cell>
          <cell r="C862" t="str">
            <v>09M-GENERATION PROJECT ENGINEERING</v>
          </cell>
        </row>
        <row r="863">
          <cell r="A863">
            <v>14117</v>
          </cell>
          <cell r="B863" t="str">
            <v>OSAGE SCADA REPLACEMENT</v>
          </cell>
          <cell r="C863" t="str">
            <v>09M-GENERATION PROJECT ENGINEERING</v>
          </cell>
        </row>
        <row r="864">
          <cell r="A864">
            <v>14119</v>
          </cell>
          <cell r="B864" t="str">
            <v>TAUM SAUK SCADA REPLACEMENT</v>
          </cell>
          <cell r="C864" t="str">
            <v>09M-GENERATION PROJECT ENGINEERING</v>
          </cell>
        </row>
        <row r="865">
          <cell r="A865">
            <v>14120</v>
          </cell>
          <cell r="B865" t="str">
            <v>SALE OF PITTSFIELD LAND AND OFFICE</v>
          </cell>
          <cell r="C865" t="str">
            <v>061-REAL ESTATE</v>
          </cell>
        </row>
        <row r="866">
          <cell r="A866">
            <v>14121</v>
          </cell>
          <cell r="B866" t="str">
            <v>NEWTON-REPL.345KV BRKR - POSN #3497</v>
          </cell>
          <cell r="C866" t="str">
            <v>09E-ELECTRICAL ENGINEERING</v>
          </cell>
        </row>
        <row r="867">
          <cell r="A867">
            <v>14130</v>
          </cell>
          <cell r="B867" t="str">
            <v>LANESVILLE SUB - NEW 345/138KV SUB</v>
          </cell>
          <cell r="C867" t="str">
            <v>09E-ELECTRICAL ENGINEERING</v>
          </cell>
        </row>
        <row r="868">
          <cell r="A868">
            <v>14133</v>
          </cell>
          <cell r="B868" t="str">
            <v>COFFEEN CEMS UPGRADE</v>
          </cell>
          <cell r="C868" t="str">
            <v>131-EFFINGHAM RESOURCE CENTER</v>
          </cell>
        </row>
        <row r="869">
          <cell r="A869">
            <v>14142</v>
          </cell>
          <cell r="B869" t="str">
            <v>MERAMEC-WATSON-2 RELOCATION FOR MSD</v>
          </cell>
          <cell r="C869" t="str">
            <v>037-TRANSMISSION</v>
          </cell>
        </row>
        <row r="870">
          <cell r="A870">
            <v>14149</v>
          </cell>
          <cell r="B870" t="str">
            <v>CROOKED CREEK POWER PLANT LAND ACQU</v>
          </cell>
          <cell r="C870" t="str">
            <v>09M-GENERATION PROJECT ENGINEERING</v>
          </cell>
        </row>
        <row r="871">
          <cell r="A871">
            <v>14160</v>
          </cell>
          <cell r="B871" t="str">
            <v>SL - PORTION OF ASHLEY-VENICE-CAMP</v>
          </cell>
          <cell r="C871" t="str">
            <v>061-REAL ESTATE</v>
          </cell>
        </row>
        <row r="872">
          <cell r="A872">
            <v>14163</v>
          </cell>
          <cell r="B872" t="str">
            <v>UNIT 1 STATOR REWIND</v>
          </cell>
          <cell r="C872" t="str">
            <v>NAD-NEWTON - TRAINING &amp; BENEFIT ADM</v>
          </cell>
        </row>
        <row r="873">
          <cell r="A873">
            <v>14170</v>
          </cell>
          <cell r="B873" t="str">
            <v>CILCO AREA CALL CENTER</v>
          </cell>
          <cell r="C873" t="str">
            <v>065-NEO - TELEPHONE SERVICES</v>
          </cell>
        </row>
        <row r="874">
          <cell r="A874">
            <v>14174</v>
          </cell>
          <cell r="B874" t="str">
            <v>GOB PART OF  CILCO CALL CENTER</v>
          </cell>
          <cell r="C874" t="str">
            <v>065-NEO - TELEPHONE SERVICES</v>
          </cell>
        </row>
        <row r="875">
          <cell r="A875">
            <v>14175</v>
          </cell>
          <cell r="B875" t="str">
            <v>GOB CILCO MOBILE DATA</v>
          </cell>
          <cell r="C875" t="str">
            <v>065-NEO - TELEPHONE SERVICES</v>
          </cell>
        </row>
        <row r="876">
          <cell r="A876">
            <v>14179</v>
          </cell>
          <cell r="B876" t="str">
            <v>PALESTINE ETHANOL PLANT</v>
          </cell>
          <cell r="C876" t="str">
            <v>3RB-ROBINSON</v>
          </cell>
        </row>
        <row r="877">
          <cell r="A877">
            <v>14181</v>
          </cell>
          <cell r="B877" t="str">
            <v>ENVIRONMENTAL COMPLIANCE STUDY</v>
          </cell>
          <cell r="C877" t="str">
            <v>09V-NEW GEN &amp; ENV PROJECTS</v>
          </cell>
        </row>
        <row r="878">
          <cell r="A878">
            <v>14192</v>
          </cell>
          <cell r="B878" t="str">
            <v>ILLINOIS DISTRIBUTION PROJECT</v>
          </cell>
          <cell r="C878" t="str">
            <v>087-FOSSIL FUELS</v>
          </cell>
        </row>
        <row r="879">
          <cell r="A879">
            <v>14202</v>
          </cell>
          <cell r="B879" t="str">
            <v>CENTRALIZED ENERGY OPERATIONS CTR</v>
          </cell>
          <cell r="C879" t="str">
            <v>09M-GENERATION PROJECT ENGINEERING</v>
          </cell>
        </row>
        <row r="880">
          <cell r="A880">
            <v>14206</v>
          </cell>
          <cell r="B880" t="str">
            <v>ZUMBEHL RD PHASE 2</v>
          </cell>
          <cell r="C880" t="str">
            <v>069-ST CHARLES DISTRICT</v>
          </cell>
        </row>
        <row r="881">
          <cell r="A881">
            <v>14212</v>
          </cell>
          <cell r="B881" t="str">
            <v>PORTABLE SUB. Q - MODIFY 7 SUBS.</v>
          </cell>
          <cell r="C881" t="str">
            <v>09E-ELECTRICAL ENGINEERING</v>
          </cell>
        </row>
        <row r="882">
          <cell r="A882">
            <v>14216</v>
          </cell>
          <cell r="B882" t="str">
            <v>SALE PART OF SIOUX PLANT PROPERTY</v>
          </cell>
          <cell r="C882" t="str">
            <v>061-REAL ESTATE</v>
          </cell>
        </row>
        <row r="883">
          <cell r="A883">
            <v>14218</v>
          </cell>
          <cell r="B883" t="str">
            <v>RUSH ISLAND U2 HWAH SYSTEM RETROFIT</v>
          </cell>
          <cell r="C883" t="str">
            <v>09M-GENERATION PROJECT ENGINEERING</v>
          </cell>
        </row>
        <row r="884">
          <cell r="A884">
            <v>14224</v>
          </cell>
          <cell r="B884" t="str">
            <v>COFFEEN PLANT PROPERTY ADDITION</v>
          </cell>
          <cell r="C884" t="str">
            <v>CFG-COFFEEN - GENERAL</v>
          </cell>
        </row>
        <row r="885">
          <cell r="A885">
            <v>14226</v>
          </cell>
          <cell r="B885" t="str">
            <v>CORPORATE COMPUTER ROOM EXPANSION</v>
          </cell>
          <cell r="C885" t="str">
            <v>072-BUILDING SERVICES-MO</v>
          </cell>
        </row>
        <row r="886">
          <cell r="A886">
            <v>14229</v>
          </cell>
          <cell r="B886" t="str">
            <v>SALE OF CARBONDALE LAND &amp; BUILDING</v>
          </cell>
          <cell r="C886" t="str">
            <v>061-REAL ESTATE</v>
          </cell>
        </row>
        <row r="887">
          <cell r="A887">
            <v>14252</v>
          </cell>
          <cell r="B887" t="str">
            <v>SALE OF ALBION STOREROOM</v>
          </cell>
          <cell r="C887" t="str">
            <v>061-REAL ESTATE</v>
          </cell>
        </row>
        <row r="888">
          <cell r="A888">
            <v>14253</v>
          </cell>
          <cell r="B888" t="str">
            <v>ESO MAPBOARD EXPANSION - PHASE 1 -</v>
          </cell>
          <cell r="C888" t="str">
            <v>042-TRANSMISSION OPERATIONS</v>
          </cell>
        </row>
        <row r="889">
          <cell r="A889">
            <v>14263</v>
          </cell>
          <cell r="B889" t="str">
            <v>UEC MOBILE DATA LAPTOP REPLACEMENT</v>
          </cell>
          <cell r="C889" t="str">
            <v>06M-CSF - TELECOM FIELD OPS</v>
          </cell>
        </row>
        <row r="890">
          <cell r="A890">
            <v>14264</v>
          </cell>
          <cell r="B890" t="str">
            <v>UEC 800 MHZ INFRASTRUCTURE</v>
          </cell>
          <cell r="C890" t="str">
            <v>065-NEO - TELEPHONE SERVICES</v>
          </cell>
        </row>
        <row r="891">
          <cell r="A891">
            <v>14269</v>
          </cell>
          <cell r="B891" t="str">
            <v>GDTWR U3 REPLACE OCB 544 GEN BREAKR</v>
          </cell>
          <cell r="C891" t="str">
            <v>09M-GENERATION PROJECT ENGINEERING</v>
          </cell>
        </row>
        <row r="892">
          <cell r="A892">
            <v>14278</v>
          </cell>
          <cell r="B892" t="str">
            <v>I74 STERLING AVE 69KV LNS</v>
          </cell>
          <cell r="C892" t="str">
            <v>668-IL OPS ADMIN DIV I II III</v>
          </cell>
        </row>
        <row r="893">
          <cell r="A893">
            <v>14279</v>
          </cell>
          <cell r="B893" t="str">
            <v>WILLIAMSON CO PAVILION</v>
          </cell>
          <cell r="C893" t="str">
            <v>4MS-DIVISION VII SUPPORT STAFF</v>
          </cell>
        </row>
        <row r="894">
          <cell r="A894">
            <v>14281</v>
          </cell>
          <cell r="B894" t="str">
            <v>RAIL MODIFICATIONS - EDWARDS</v>
          </cell>
          <cell r="C894" t="str">
            <v>62A-EDWARDS PLANT GENERAL</v>
          </cell>
        </row>
        <row r="895">
          <cell r="A895">
            <v>14289</v>
          </cell>
          <cell r="B895" t="str">
            <v>SALE OF CARTHAGE POLE STORAGE YARD</v>
          </cell>
          <cell r="C895" t="str">
            <v>061-REAL ESTATE</v>
          </cell>
        </row>
        <row r="896">
          <cell r="A896">
            <v>14291</v>
          </cell>
          <cell r="B896" t="str">
            <v>I74 GLENDALE 26 BERKLEY</v>
          </cell>
          <cell r="C896" t="str">
            <v>668-IL OPS ADMIN DIV I II III</v>
          </cell>
        </row>
        <row r="897">
          <cell r="A897">
            <v>14292</v>
          </cell>
          <cell r="B897" t="str">
            <v>I74 STERLING DUCT REIMBURSIBLE</v>
          </cell>
          <cell r="C897" t="str">
            <v>668-IL OPS ADMIN DIV I II III</v>
          </cell>
        </row>
        <row r="898">
          <cell r="A898">
            <v>14295</v>
          </cell>
          <cell r="B898" t="str">
            <v>SL - KEOKUK FLOWAGE - D L ALLEY</v>
          </cell>
          <cell r="C898" t="str">
            <v>061-REAL ESTATE</v>
          </cell>
        </row>
        <row r="899">
          <cell r="A899">
            <v>14300</v>
          </cell>
          <cell r="B899" t="str">
            <v>2004-05 U1 DCS CONTROLS UPGRADE</v>
          </cell>
          <cell r="C899" t="str">
            <v>NAD-NEWTON - TRAINING &amp; BENEFIT ADM</v>
          </cell>
        </row>
        <row r="900">
          <cell r="A900">
            <v>14303</v>
          </cell>
          <cell r="B900" t="str">
            <v>NPS U1 BOILER MODIFICATIONS</v>
          </cell>
          <cell r="C900" t="str">
            <v>09M-GENERATION PROJECT ENGINEERING</v>
          </cell>
        </row>
        <row r="901">
          <cell r="A901">
            <v>14304</v>
          </cell>
          <cell r="B901" t="str">
            <v>PALESTINE W- 69-12 SUB -LINCOLNLAND</v>
          </cell>
          <cell r="C901" t="str">
            <v>09E-ELECTRICAL ENGINEERING</v>
          </cell>
        </row>
        <row r="902">
          <cell r="A902">
            <v>14308</v>
          </cell>
          <cell r="B902" t="str">
            <v>DUCK CREEK NEW POND CONSTRUCTION</v>
          </cell>
          <cell r="C902" t="str">
            <v>61A-DUCK CREEK PLANT GENERAL</v>
          </cell>
        </row>
        <row r="903">
          <cell r="A903">
            <v>14309</v>
          </cell>
          <cell r="B903" t="str">
            <v>DUCK CREEK  LANDFILL CONSTRUCTION</v>
          </cell>
          <cell r="C903" t="str">
            <v>61A-DUCK CREEK PLANT GENERAL</v>
          </cell>
        </row>
        <row r="904">
          <cell r="A904">
            <v>14314</v>
          </cell>
          <cell r="B904" t="str">
            <v>CALLAWAY EMPRV PROJECT</v>
          </cell>
          <cell r="C904" t="str">
            <v>202-DEV - OPERATIONS</v>
          </cell>
        </row>
        <row r="905">
          <cell r="A905">
            <v>14318</v>
          </cell>
          <cell r="B905" t="str">
            <v>NORTH FARMINGTON -138/34KV SUB&amp;SITE</v>
          </cell>
          <cell r="C905" t="str">
            <v>09E-ELECTRICAL ENGINEERING</v>
          </cell>
        </row>
        <row r="906">
          <cell r="A906">
            <v>14319</v>
          </cell>
          <cell r="B906" t="str">
            <v>SELMA-INST.CARRIER EQ-REIMB-IP,VALM</v>
          </cell>
          <cell r="C906" t="str">
            <v>09E-ELECTRICAL ENGINEERING</v>
          </cell>
        </row>
        <row r="907">
          <cell r="A907">
            <v>14320</v>
          </cell>
          <cell r="B907" t="str">
            <v>LANESVILLE SUB - TRANSMISSION TAPS</v>
          </cell>
          <cell r="C907" t="str">
            <v>09E-ELECTRICAL ENGINEERING</v>
          </cell>
        </row>
        <row r="908">
          <cell r="A908">
            <v>14326</v>
          </cell>
          <cell r="B908" t="str">
            <v>SALE OF OLD WELLSVILLE HEADQUARTERS</v>
          </cell>
          <cell r="C908" t="str">
            <v>061-REAL ESTATE</v>
          </cell>
        </row>
        <row r="909">
          <cell r="A909">
            <v>14328</v>
          </cell>
          <cell r="B909" t="str">
            <v>OSAGE HOUSE UNIT TURB REPL&amp;UPGRADES</v>
          </cell>
          <cell r="C909" t="str">
            <v>09V-NEW GEN &amp; ENV PROJECTS</v>
          </cell>
        </row>
        <row r="910">
          <cell r="A910">
            <v>14332</v>
          </cell>
          <cell r="B910" t="str">
            <v>SALE OF OLD WELLSVILLE POLE YARD</v>
          </cell>
          <cell r="C910" t="str">
            <v>061-REAL ESTATE</v>
          </cell>
        </row>
        <row r="911">
          <cell r="A911">
            <v>14334</v>
          </cell>
          <cell r="B911" t="str">
            <v>NEWTON-REPL.345KV BRKR - POSN #3499</v>
          </cell>
          <cell r="C911" t="str">
            <v>09E-ELECTRICAL ENGINEERING</v>
          </cell>
        </row>
        <row r="912">
          <cell r="A912">
            <v>14336</v>
          </cell>
          <cell r="B912" t="str">
            <v>SX U1 CONDENSER VACUUM PUMP INSTALL</v>
          </cell>
          <cell r="C912" t="str">
            <v>09M-GENERATION PROJECT ENGINEERING</v>
          </cell>
        </row>
        <row r="913">
          <cell r="A913">
            <v>14337</v>
          </cell>
          <cell r="B913" t="str">
            <v>SX U2 CONDENSER VACUUM PUMP RETROFI</v>
          </cell>
          <cell r="C913" t="str">
            <v>09M-GENERATION PROJECT ENGINEERING</v>
          </cell>
        </row>
        <row r="914">
          <cell r="A914">
            <v>14339</v>
          </cell>
          <cell r="B914" t="str">
            <v>LBD U2 K LINE BREAKER REPL</v>
          </cell>
          <cell r="C914" t="str">
            <v>09M-GENERATION PROJECT ENGINEERING</v>
          </cell>
        </row>
        <row r="915">
          <cell r="A915">
            <v>14343</v>
          </cell>
          <cell r="B915" t="str">
            <v>LBD U4 4160V BREAKER REPL</v>
          </cell>
          <cell r="C915" t="str">
            <v>09M-GENERATION PROJECT ENGINEERING</v>
          </cell>
        </row>
        <row r="916">
          <cell r="A916">
            <v>14345</v>
          </cell>
          <cell r="B916" t="str">
            <v>LBD U3 BOILER CAMERA INSTALLATION</v>
          </cell>
          <cell r="C916" t="str">
            <v>09M-GENERATION PROJECT ENGINEERING</v>
          </cell>
        </row>
        <row r="917">
          <cell r="A917">
            <v>14351</v>
          </cell>
          <cell r="B917" t="str">
            <v>KEO 13.8KV ACB REPL &amp; BUS C UPRATE</v>
          </cell>
          <cell r="C917" t="str">
            <v>09M-GENERATION PROJECT ENGINEERING</v>
          </cell>
        </row>
        <row r="918">
          <cell r="A918">
            <v>14354</v>
          </cell>
          <cell r="B918" t="str">
            <v>KEOKUK MAIN UNIT 3 GENERATOR REWIND</v>
          </cell>
          <cell r="C918" t="str">
            <v>09M-GENERATION PROJECT ENGINEERING</v>
          </cell>
        </row>
        <row r="919">
          <cell r="A919">
            <v>14362</v>
          </cell>
          <cell r="B919" t="str">
            <v>MERAMEC UNIT 4 GSU REPLACEMENT</v>
          </cell>
          <cell r="C919" t="str">
            <v>09M-GENERATION PROJECT ENGINEERING</v>
          </cell>
        </row>
        <row r="920">
          <cell r="A920">
            <v>14363</v>
          </cell>
          <cell r="B920" t="str">
            <v>MER U1&amp;2 LTSH LOWER BANK REMOV,DSH</v>
          </cell>
          <cell r="C920" t="str">
            <v>09M-GENERATION PROJECT ENGINEERING</v>
          </cell>
        </row>
        <row r="921">
          <cell r="A921">
            <v>14367</v>
          </cell>
          <cell r="B921" t="str">
            <v>RUSH ISLAND UNIT 1 BOILER CAMERAS</v>
          </cell>
          <cell r="C921" t="str">
            <v>09M-GENERATION PROJECT ENGINEERING</v>
          </cell>
        </row>
        <row r="922">
          <cell r="A922">
            <v>14377</v>
          </cell>
          <cell r="B922" t="str">
            <v>SIOUX - UNIT 2 BOILER CAMERAS</v>
          </cell>
          <cell r="C922" t="str">
            <v>09M-GENERATION PROJECT ENGINEERING</v>
          </cell>
        </row>
        <row r="923">
          <cell r="A923">
            <v>14379</v>
          </cell>
          <cell r="B923" t="str">
            <v>VENICE - CTG 1 MCC REPLACEMENT</v>
          </cell>
          <cell r="C923" t="str">
            <v>09M-GENERATION PROJECT ENGINEERING</v>
          </cell>
        </row>
        <row r="924">
          <cell r="A924">
            <v>14380</v>
          </cell>
          <cell r="B924" t="str">
            <v>WILLIAMSON CO AIRPORT 34.5KV RELOC</v>
          </cell>
          <cell r="C924" t="str">
            <v>4MS-DIVISION VII SUPPORT STAFF</v>
          </cell>
        </row>
        <row r="925">
          <cell r="A925">
            <v>14381</v>
          </cell>
          <cell r="B925" t="str">
            <v>SALE OF QUINCY PROPERTY</v>
          </cell>
          <cell r="C925" t="str">
            <v>061-REAL ESTATE</v>
          </cell>
        </row>
        <row r="926">
          <cell r="A926">
            <v>14384</v>
          </cell>
          <cell r="B926" t="str">
            <v>SX U2 BOILER NATURAL CIRC VALVE RPL</v>
          </cell>
          <cell r="C926" t="str">
            <v>09M-GENERATION PROJECT ENGINEERING</v>
          </cell>
        </row>
        <row r="927">
          <cell r="A927">
            <v>14385</v>
          </cell>
          <cell r="B927" t="str">
            <v>SX U1 BOILER NATURAL CIRC VALVE RPL</v>
          </cell>
          <cell r="C927" t="str">
            <v>09M-GENERATION PROJECT ENGINEERING</v>
          </cell>
        </row>
        <row r="928">
          <cell r="A928">
            <v>14390</v>
          </cell>
          <cell r="B928" t="str">
            <v>KELSO-STODDARD-3 STR. 249 REPAIR</v>
          </cell>
          <cell r="C928" t="str">
            <v>037-TRANSMISSION</v>
          </cell>
        </row>
        <row r="929">
          <cell r="A929">
            <v>14402</v>
          </cell>
          <cell r="B929" t="str">
            <v>MERAMEC U3 4.16KV BREAKER REPL</v>
          </cell>
          <cell r="C929" t="str">
            <v>09M-GENERATION PROJECT ENGINEERING</v>
          </cell>
        </row>
        <row r="930">
          <cell r="A930">
            <v>14403</v>
          </cell>
          <cell r="B930" t="str">
            <v>MERAMEC U4 4.16KV BREAKER REPL</v>
          </cell>
          <cell r="C930" t="str">
            <v>09M-GENERATION PROJECT ENGINEERING</v>
          </cell>
        </row>
        <row r="931">
          <cell r="A931">
            <v>14405</v>
          </cell>
          <cell r="B931" t="str">
            <v>MER U1-4 FLOW &amp; OPACITY MONITOR REP</v>
          </cell>
          <cell r="C931" t="str">
            <v>09M-GENERATION PROJECT ENGINEERING</v>
          </cell>
        </row>
        <row r="932">
          <cell r="A932">
            <v>14406</v>
          </cell>
          <cell r="B932" t="str">
            <v>RI OB33, OB43,OB63,OB65 MCC REPL</v>
          </cell>
          <cell r="C932" t="str">
            <v>09M-GENERATION PROJECT ENGINEERING</v>
          </cell>
        </row>
        <row r="933">
          <cell r="A933">
            <v>14407</v>
          </cell>
          <cell r="B933" t="str">
            <v>RI U1 IB13-14, IB17-18,OB35&amp;44 MCC</v>
          </cell>
          <cell r="C933" t="str">
            <v>09M-GENERATION PROJECT ENGINEERING</v>
          </cell>
        </row>
        <row r="934">
          <cell r="A934">
            <v>14408</v>
          </cell>
          <cell r="B934" t="str">
            <v>RUSH ISL. MCC REPL OF OB34,63,66,71</v>
          </cell>
          <cell r="C934" t="str">
            <v>09M-GENERATION PROJECT ENGINEERING</v>
          </cell>
        </row>
        <row r="935">
          <cell r="A935">
            <v>14409</v>
          </cell>
          <cell r="B935" t="str">
            <v>RUSH U2 MCC REPL 2B13,14,17,18,OB36</v>
          </cell>
          <cell r="C935" t="str">
            <v>09M-GENERATION PROJECT ENGINEERING</v>
          </cell>
        </row>
        <row r="936">
          <cell r="A936">
            <v>14410</v>
          </cell>
          <cell r="B936" t="str">
            <v>RUSH MCC REPL OF OB13,23,25,27</v>
          </cell>
          <cell r="C936" t="str">
            <v>09M-GENERATION PROJECT ENGINEERING</v>
          </cell>
        </row>
        <row r="937">
          <cell r="A937">
            <v>14411</v>
          </cell>
          <cell r="B937" t="str">
            <v>RUSH MCC REPL OF OB14,24,26,67</v>
          </cell>
          <cell r="C937" t="str">
            <v>09M-GENERATION PROJECT ENGINEERING</v>
          </cell>
        </row>
        <row r="938">
          <cell r="A938">
            <v>14412</v>
          </cell>
          <cell r="B938" t="str">
            <v>RI BF BOOSTER PP MOTOR REPL</v>
          </cell>
          <cell r="C938" t="str">
            <v>09M-GENERATION PROJECT ENGINEERING</v>
          </cell>
        </row>
        <row r="939">
          <cell r="A939">
            <v>14413</v>
          </cell>
          <cell r="B939" t="str">
            <v>SX U1 PRECIP BUS 2A &amp; 2B SWGR REPL</v>
          </cell>
          <cell r="C939" t="str">
            <v>09M-GENERATION PROJECT ENGINEERING</v>
          </cell>
        </row>
        <row r="940">
          <cell r="A940">
            <v>14414</v>
          </cell>
          <cell r="B940" t="str">
            <v>SX U2 PRECIP BUS 2A &amp; 2B SWGR REPL</v>
          </cell>
          <cell r="C940" t="str">
            <v>09M-GENERATION PROJECT ENGINEERING</v>
          </cell>
        </row>
        <row r="941">
          <cell r="A941">
            <v>14416</v>
          </cell>
          <cell r="B941" t="str">
            <v>SIOUX U2 LIGHTING BUS REPLACEMENT</v>
          </cell>
          <cell r="C941" t="str">
            <v>09M-GENERATION PROJECT ENGINEERING</v>
          </cell>
        </row>
        <row r="942">
          <cell r="A942">
            <v>14418</v>
          </cell>
          <cell r="B942" t="str">
            <v>Y STAT TO N NEOGA INTRCTY MAIN REPL</v>
          </cell>
          <cell r="C942" t="str">
            <v>0G1-GAS TECH SERVICES - CIP</v>
          </cell>
        </row>
        <row r="943">
          <cell r="A943">
            <v>14421</v>
          </cell>
          <cell r="B943" t="str">
            <v>MER U3 "A" LEVEL WALL BLOWER VENTIL</v>
          </cell>
          <cell r="C943" t="str">
            <v>09M-GENERATION PROJECT ENGINEERING</v>
          </cell>
        </row>
        <row r="944">
          <cell r="A944">
            <v>14429</v>
          </cell>
          <cell r="B944" t="str">
            <v>SIOUX 1 GSU TRANSFORMER REPLACEMENT</v>
          </cell>
          <cell r="C944" t="str">
            <v>09M-GENERATION PROJECT ENGINEERING</v>
          </cell>
        </row>
        <row r="945">
          <cell r="A945">
            <v>14434</v>
          </cell>
          <cell r="B945" t="str">
            <v>SALE PORTION BRUSH CREEK SUB SITE</v>
          </cell>
          <cell r="C945" t="str">
            <v>061-REAL ESTATE</v>
          </cell>
        </row>
        <row r="946">
          <cell r="A946">
            <v>14454</v>
          </cell>
          <cell r="B946" t="str">
            <v>LBD U2 FURNACE NOSE REPL</v>
          </cell>
          <cell r="C946" t="str">
            <v>09M-GENERATION PROJECT ENGINEERING</v>
          </cell>
        </row>
        <row r="947">
          <cell r="A947">
            <v>14464</v>
          </cell>
          <cell r="B947" t="str">
            <v>LABADIE UNIT 1 BOILER CAMERAS</v>
          </cell>
          <cell r="C947" t="str">
            <v>09M-GENERATION PROJECT ENGINEERING</v>
          </cell>
        </row>
        <row r="948">
          <cell r="A948">
            <v>14465</v>
          </cell>
          <cell r="B948" t="str">
            <v>LABADIE UNIT 2 BOILER CAMERAS</v>
          </cell>
          <cell r="C948" t="str">
            <v>09M-GENERATION PROJECT ENGINEERING</v>
          </cell>
        </row>
        <row r="949">
          <cell r="A949">
            <v>14467</v>
          </cell>
          <cell r="B949" t="str">
            <v>SIOUX - UNIT 1 BOILER CAMERAS</v>
          </cell>
          <cell r="C949" t="str">
            <v>09M-GENERATION PROJECT ENGINEERING</v>
          </cell>
        </row>
        <row r="950">
          <cell r="A950">
            <v>14468</v>
          </cell>
          <cell r="B950" t="str">
            <v>RUSH ISLAND UNIT 2 - BOILER CAMERAS</v>
          </cell>
          <cell r="C950" t="str">
            <v>09M-GENERATION PROJECT ENGINEERING</v>
          </cell>
        </row>
        <row r="951">
          <cell r="A951">
            <v>14478</v>
          </cell>
          <cell r="B951" t="str">
            <v>SIOUX U1 REPL A&amp;B FD FAN LUBE OIL</v>
          </cell>
          <cell r="C951" t="str">
            <v>09M-GENERATION PROJECT ENGINEERING</v>
          </cell>
        </row>
        <row r="952">
          <cell r="A952">
            <v>14479</v>
          </cell>
          <cell r="B952" t="str">
            <v>SIOUX U2 A&amp;B FD FAN LUBE OIL SKID</v>
          </cell>
          <cell r="C952" t="str">
            <v>09M-GENERATION PROJECT ENGINEERING</v>
          </cell>
        </row>
        <row r="953">
          <cell r="A953">
            <v>14483</v>
          </cell>
          <cell r="B953" t="str">
            <v>SIOUX U2 OFA MODIFICATIONS</v>
          </cell>
          <cell r="C953" t="str">
            <v>09V-NEW GEN &amp; ENV PROJECTS</v>
          </cell>
        </row>
        <row r="954">
          <cell r="A954">
            <v>14489</v>
          </cell>
          <cell r="B954" t="str">
            <v>HAVANA-IPAVA LINE REBUILD</v>
          </cell>
          <cell r="C954" t="str">
            <v>09E-ELECTRICAL ENGINEERING</v>
          </cell>
        </row>
        <row r="955">
          <cell r="A955">
            <v>14490</v>
          </cell>
          <cell r="B955" t="str">
            <v>NORTH FARMINGTON- IN-OUT CONNECTION</v>
          </cell>
          <cell r="C955" t="str">
            <v>09E-ELECTRICAL ENGINEERING</v>
          </cell>
        </row>
        <row r="956">
          <cell r="A956">
            <v>14491</v>
          </cell>
          <cell r="B956" t="str">
            <v>BOURBEUSE -REPL.14 MVA UNIT W-22MVA</v>
          </cell>
          <cell r="C956" t="str">
            <v>09E-ELECTRICAL ENGINEERING</v>
          </cell>
        </row>
        <row r="957">
          <cell r="A957">
            <v>14501</v>
          </cell>
          <cell r="B957" t="str">
            <v>SAVOY SO.-ADD 69KV SW., BUSW.,SCADA</v>
          </cell>
          <cell r="C957" t="str">
            <v>09E-ELECTRICAL ENGINEERING</v>
          </cell>
        </row>
        <row r="958">
          <cell r="A958">
            <v>14502</v>
          </cell>
          <cell r="B958" t="str">
            <v>QUINCY-36TH&amp;COLLEGE- 2ND 34-12 XFMR</v>
          </cell>
          <cell r="C958" t="str">
            <v>09E-ELECTRICAL ENGINEERING</v>
          </cell>
        </row>
        <row r="959">
          <cell r="A959">
            <v>14503</v>
          </cell>
          <cell r="B959" t="str">
            <v>FISHER - NEW 69-12KV SUB &amp; SITE</v>
          </cell>
          <cell r="C959" t="str">
            <v>09E-ELECTRICAL ENGINEERING</v>
          </cell>
        </row>
        <row r="960">
          <cell r="A960">
            <v>14504</v>
          </cell>
          <cell r="B960" t="str">
            <v>FLINT - CONSTRUCT NEW 138-12KV SUB</v>
          </cell>
          <cell r="C960" t="str">
            <v>09E-ELECTRICAL ENGINEERING</v>
          </cell>
        </row>
        <row r="961">
          <cell r="A961">
            <v>14506</v>
          </cell>
          <cell r="B961" t="str">
            <v>Alta - Construct New 138-13.8kV Sub</v>
          </cell>
          <cell r="C961" t="str">
            <v>09E-ELECTRICAL ENGINEERING</v>
          </cell>
        </row>
        <row r="962">
          <cell r="A962">
            <v>14508</v>
          </cell>
          <cell r="B962" t="str">
            <v>MOSS HOLLOW- 22MVA UNIT &amp; 15KV SWGR</v>
          </cell>
          <cell r="C962" t="str">
            <v>09E-ELECTRICAL ENGINEERING</v>
          </cell>
        </row>
        <row r="963">
          <cell r="A963">
            <v>14509</v>
          </cell>
          <cell r="B963" t="str">
            <v>HWY N SUPPLY (FROM AECI)</v>
          </cell>
          <cell r="C963" t="str">
            <v>09E-ELECTRICAL ENGINEERING</v>
          </cell>
        </row>
        <row r="964">
          <cell r="A964">
            <v>14514</v>
          </cell>
          <cell r="B964" t="str">
            <v>VENICE CTG (SO.SIDE) 138KV LINE EXT</v>
          </cell>
          <cell r="C964" t="str">
            <v>09E-ELECTRICAL ENGINEERING</v>
          </cell>
        </row>
        <row r="965">
          <cell r="A965">
            <v>14519</v>
          </cell>
          <cell r="B965" t="str">
            <v>MONTGOMERY-RELAY MODS-CALLAWAY-PH.2</v>
          </cell>
          <cell r="C965" t="str">
            <v>09E-ELECTRICAL ENGINEERING</v>
          </cell>
        </row>
        <row r="966">
          <cell r="A966">
            <v>14520</v>
          </cell>
          <cell r="B966" t="str">
            <v>CALLAW.PH.2B-REPL.RELAYG-LOOSE CRK</v>
          </cell>
          <cell r="C966" t="str">
            <v>09E-ELECTRICAL ENGINEERING</v>
          </cell>
        </row>
        <row r="967">
          <cell r="A967">
            <v>14521</v>
          </cell>
          <cell r="B967" t="str">
            <v>N NEOGA TO MATT INTRCTY MAIN REPL</v>
          </cell>
          <cell r="C967" t="str">
            <v>0G1-GAS TECH SERVICES - CIP</v>
          </cell>
        </row>
        <row r="968">
          <cell r="A968">
            <v>14525</v>
          </cell>
          <cell r="B968" t="str">
            <v>PT. PRAIRIE-34KV, 28.8MVAR CAP BANK</v>
          </cell>
          <cell r="C968" t="str">
            <v>09E-ELECTRICAL ENGINEERING</v>
          </cell>
        </row>
        <row r="969">
          <cell r="A969">
            <v>14535</v>
          </cell>
          <cell r="B969" t="str">
            <v>UNICITY FDR 53 RPL 10 AAC W 556 AA</v>
          </cell>
          <cell r="C969" t="str">
            <v>071-ST. FRANCOIS</v>
          </cell>
        </row>
        <row r="970">
          <cell r="A970">
            <v>14537</v>
          </cell>
          <cell r="B970" t="str">
            <v>KNOB LICK FDR 53 RPL 4 ACSR W 10 AA</v>
          </cell>
          <cell r="C970" t="str">
            <v>071-ST. FRANCOIS</v>
          </cell>
        </row>
        <row r="971">
          <cell r="A971">
            <v>14540</v>
          </cell>
          <cell r="B971" t="str">
            <v>LOY MARTIN (ASHLAND)-161-12KV SUB.</v>
          </cell>
          <cell r="C971" t="str">
            <v>09E-ELECTRICAL ENGINEERING</v>
          </cell>
        </row>
        <row r="972">
          <cell r="A972">
            <v>14541</v>
          </cell>
          <cell r="B972" t="str">
            <v>PORTABLE SUB R -34.4-13.2X4.36,7MVA</v>
          </cell>
          <cell r="C972" t="str">
            <v>09E-ELECTRICAL ENGINEERING</v>
          </cell>
        </row>
        <row r="973">
          <cell r="A973">
            <v>14546</v>
          </cell>
          <cell r="B973" t="str">
            <v>HWY.N -NEW 161-34KV SUB, 2-112MVA</v>
          </cell>
          <cell r="C973" t="str">
            <v>09E-ELECTRICAL ENGINEERING</v>
          </cell>
        </row>
        <row r="974">
          <cell r="A974">
            <v>14548</v>
          </cell>
          <cell r="B974" t="str">
            <v>Joachim (Bailey Area) 345-138kV Sub</v>
          </cell>
          <cell r="C974" t="str">
            <v>09E-ELECTRICAL ENGINEERING</v>
          </cell>
        </row>
        <row r="975">
          <cell r="A975">
            <v>14549</v>
          </cell>
          <cell r="B975" t="str">
            <v>HARMON -INSTALL 69 KV LINE BREAKERS</v>
          </cell>
          <cell r="C975" t="str">
            <v>09E-ELECTRICAL ENGINEERING</v>
          </cell>
        </row>
        <row r="976">
          <cell r="A976">
            <v>14551</v>
          </cell>
          <cell r="B976" t="str">
            <v>HINES - CONVERT 138 KV LINE TERM.</v>
          </cell>
          <cell r="C976" t="str">
            <v>09E-ELECTRICAL ENGINEERING</v>
          </cell>
        </row>
        <row r="977">
          <cell r="A977">
            <v>14552</v>
          </cell>
          <cell r="B977" t="str">
            <v>R.S.WALLACE SUB. - RELOCATE TO 69KV</v>
          </cell>
          <cell r="C977" t="str">
            <v>09E-ELECTRICAL ENGINEERING</v>
          </cell>
        </row>
        <row r="978">
          <cell r="A978">
            <v>14554</v>
          </cell>
          <cell r="B978" t="str">
            <v>E. Springfield - 3rd 138-34kV Xfmr</v>
          </cell>
          <cell r="C978" t="str">
            <v>09E-ELECTRICAL ENGINEERING</v>
          </cell>
        </row>
        <row r="979">
          <cell r="A979">
            <v>14555</v>
          </cell>
          <cell r="B979" t="str">
            <v>KICKAPOO- INST.34.5KV SPARING BRKR</v>
          </cell>
          <cell r="C979" t="str">
            <v>09E-ELECTRICAL ENGINEERING</v>
          </cell>
        </row>
        <row r="980">
          <cell r="A980">
            <v>14556</v>
          </cell>
          <cell r="B980" t="str">
            <v>KICKAPOO-INST. 3-138 KV TRANSRUPTRS</v>
          </cell>
          <cell r="C980" t="str">
            <v>09E-ELECTRICAL ENGINEERING</v>
          </cell>
        </row>
        <row r="981">
          <cell r="A981">
            <v>14557</v>
          </cell>
          <cell r="B981" t="str">
            <v>E.SPRINGF.-UPGR.TAZEWELL POSN-1200A</v>
          </cell>
          <cell r="C981" t="str">
            <v>09E-ELECTRICAL ENGINEERING</v>
          </cell>
        </row>
        <row r="982">
          <cell r="A982">
            <v>14558</v>
          </cell>
          <cell r="B982" t="str">
            <v>KANSAS W.-INST.NEW 345 SIDNEY TERM.</v>
          </cell>
          <cell r="C982" t="str">
            <v>09E-ELECTRICAL ENGINEERING</v>
          </cell>
        </row>
        <row r="983">
          <cell r="A983">
            <v>14559</v>
          </cell>
          <cell r="B983" t="str">
            <v>E.QUINCY - REPLACE 3 PCBS (TAMS04)</v>
          </cell>
          <cell r="C983" t="str">
            <v>09E-ELECTRICAL ENGINEERING</v>
          </cell>
        </row>
        <row r="984">
          <cell r="A984">
            <v>14560</v>
          </cell>
          <cell r="B984" t="str">
            <v>SELMA - REPL BUS-TIE PCB (TAMS04)</v>
          </cell>
          <cell r="C984" t="str">
            <v>09E-ELECTRICAL ENGINEERING</v>
          </cell>
        </row>
        <row r="985">
          <cell r="A985">
            <v>14561</v>
          </cell>
          <cell r="B985" t="str">
            <v>MASON-REPL.REL.-MAS-MER-1&amp;2-TAMS04</v>
          </cell>
          <cell r="C985" t="str">
            <v>09E-ELECTRICAL ENGINEERING</v>
          </cell>
        </row>
        <row r="986">
          <cell r="A986">
            <v>14565</v>
          </cell>
          <cell r="B986" t="str">
            <v>FRANKLIN-REPL 2-138KV PCBS (TAMS04)</v>
          </cell>
          <cell r="C986" t="str">
            <v>09E-ELECTRICAL ENGINEERING</v>
          </cell>
        </row>
        <row r="987">
          <cell r="A987">
            <v>14566</v>
          </cell>
          <cell r="B987" t="str">
            <v>HUSTER-RPL 2-138KV PCB(TAM06)6-06</v>
          </cell>
          <cell r="C987" t="str">
            <v>09E-ELECTRICAL ENGINEERING</v>
          </cell>
        </row>
        <row r="988">
          <cell r="A988">
            <v>14568</v>
          </cell>
          <cell r="B988" t="str">
            <v>BOWLES 34-12KV, 22MVA UNIT D</v>
          </cell>
          <cell r="C988" t="str">
            <v>09E-ELECTRICAL ENGINEERING</v>
          </cell>
        </row>
        <row r="989">
          <cell r="A989">
            <v>14569</v>
          </cell>
          <cell r="B989" t="str">
            <v>PROJECT PD</v>
          </cell>
          <cell r="C989" t="str">
            <v>012-CORPORATE PLANNING</v>
          </cell>
        </row>
        <row r="990">
          <cell r="A990">
            <v>14572</v>
          </cell>
          <cell r="B990" t="str">
            <v>FEISE- 34-12, 22MVA UNIT, 15KV SWGR</v>
          </cell>
          <cell r="C990" t="str">
            <v>09E-ELECTRICAL ENGINEERING</v>
          </cell>
        </row>
        <row r="991">
          <cell r="A991">
            <v>14574</v>
          </cell>
          <cell r="B991" t="str">
            <v>UNICITY-REPL. W-22MVA &amp; 15KV SWGR</v>
          </cell>
          <cell r="C991" t="str">
            <v>09E-ELECTRICAL ENGINEERING</v>
          </cell>
        </row>
        <row r="992">
          <cell r="A992">
            <v>14575</v>
          </cell>
          <cell r="B992" t="str">
            <v>SUNNEN LAKE-REPL XFMR W-7MVA LTC</v>
          </cell>
          <cell r="C992" t="str">
            <v>09E-ELECTRICAL ENGINEERING</v>
          </cell>
        </row>
        <row r="993">
          <cell r="A993">
            <v>14576</v>
          </cell>
          <cell r="B993" t="str">
            <v>SPARE 2004 XFMR - 34-4KV, 11-14MVA</v>
          </cell>
          <cell r="C993" t="str">
            <v>09E-ELECTRICAL ENGINEERING</v>
          </cell>
        </row>
        <row r="994">
          <cell r="A994">
            <v>14578</v>
          </cell>
          <cell r="B994" t="str">
            <v>SIOUX UNIT 2 LP GENERATOR REWIND</v>
          </cell>
          <cell r="C994" t="str">
            <v>09M-GENERATION PROJECT ENGINEERING</v>
          </cell>
        </row>
        <row r="995">
          <cell r="A995">
            <v>14579</v>
          </cell>
          <cell r="B995" t="str">
            <v>SIOUX UNIT 1 HP GENERATOR REWIND</v>
          </cell>
          <cell r="C995" t="str">
            <v>09M-GENERATION PROJECT ENGINEERING</v>
          </cell>
        </row>
        <row r="996">
          <cell r="A996">
            <v>14580</v>
          </cell>
          <cell r="B996" t="str">
            <v>SIOUX UNIT 1 LP GENERATOR REWIND</v>
          </cell>
          <cell r="C996" t="str">
            <v>09M-GENERATION PROJECT ENGINEERING</v>
          </cell>
        </row>
        <row r="997">
          <cell r="A997">
            <v>14581</v>
          </cell>
          <cell r="B997" t="str">
            <v>MOREAU-APACHE FLATS 69KV ROW</v>
          </cell>
          <cell r="C997" t="str">
            <v>5JS-CAPITAL DIST SUPPORT</v>
          </cell>
        </row>
        <row r="998">
          <cell r="A998">
            <v>14589</v>
          </cell>
          <cell r="B998" t="str">
            <v>MERAMEC-VAR.138KV REL.REPL.-TAMS04</v>
          </cell>
          <cell r="C998" t="str">
            <v>09E-ELECTRICAL ENGINEERING</v>
          </cell>
        </row>
        <row r="999">
          <cell r="A999">
            <v>14590</v>
          </cell>
          <cell r="B999" t="str">
            <v>MARSHALL-RPL.REL-MAS-MER-1&amp;2-TAMS04</v>
          </cell>
          <cell r="C999" t="str">
            <v>09E-ELECTRICAL ENGINEERING</v>
          </cell>
        </row>
        <row r="1000">
          <cell r="A1000">
            <v>14594</v>
          </cell>
          <cell r="B1000" t="str">
            <v>Osage -Repl 3-138 PCBs-Ph.1 (TAM06)</v>
          </cell>
          <cell r="C1000" t="str">
            <v>09E-ELECTRICAL ENGINEERING</v>
          </cell>
        </row>
        <row r="1001">
          <cell r="A1001">
            <v>14608</v>
          </cell>
          <cell r="B1001" t="str">
            <v>Mason-345kV PCB, Rly Rpl, Sx-MASN-7</v>
          </cell>
          <cell r="C1001" t="str">
            <v>09E-ELECTRICAL ENGINEERING</v>
          </cell>
        </row>
        <row r="1002">
          <cell r="A1002">
            <v>14611</v>
          </cell>
          <cell r="B1002" t="str">
            <v>NORTHLAND-NEW 2-UNIT SUB-REMOVE OLD</v>
          </cell>
          <cell r="C1002" t="str">
            <v>09E-ELECTRICAL ENGINEERING</v>
          </cell>
        </row>
        <row r="1003">
          <cell r="A1003">
            <v>14613</v>
          </cell>
          <cell r="B1003" t="str">
            <v>Loy Martin- NEW 161-12KV, 22MVA SUB</v>
          </cell>
          <cell r="C1003" t="str">
            <v>09E-ELECTRICAL ENGINEERING</v>
          </cell>
        </row>
        <row r="1004">
          <cell r="A1004">
            <v>14614</v>
          </cell>
          <cell r="B1004" t="str">
            <v>MAY ROAD - REPL UNIT W W-22MVA UNIT</v>
          </cell>
          <cell r="C1004" t="str">
            <v>09E-ELECTRICAL ENGINEERING</v>
          </cell>
        </row>
        <row r="1005">
          <cell r="A1005">
            <v>14616</v>
          </cell>
          <cell r="B1005" t="str">
            <v>LINE 1326 NEAR HINES - REPL UG W-OH</v>
          </cell>
          <cell r="C1005" t="str">
            <v>09E-ELECTRICAL ENGINEERING</v>
          </cell>
        </row>
        <row r="1006">
          <cell r="A1006">
            <v>14617</v>
          </cell>
          <cell r="B1006" t="str">
            <v>Duck Crk-Tazew.-Repl 345kV SF6 Duct</v>
          </cell>
          <cell r="C1006" t="str">
            <v>09E-ELECTRICAL ENGINEERING</v>
          </cell>
        </row>
        <row r="1007">
          <cell r="A1007">
            <v>14672</v>
          </cell>
          <cell r="B1007" t="str">
            <v>FISHER SUBSTATION NEW 69-12KV SUB</v>
          </cell>
          <cell r="C1007" t="str">
            <v>2MS-DIVISION IV SUPPORT STAFF</v>
          </cell>
        </row>
        <row r="1008">
          <cell r="A1008">
            <v>14683</v>
          </cell>
          <cell r="B1008" t="str">
            <v>Babler 138-34-Repl 2-83MVA XFMRS</v>
          </cell>
          <cell r="C1008" t="str">
            <v>09E-ELECTRICAL ENGINEERING</v>
          </cell>
        </row>
        <row r="1009">
          <cell r="A1009">
            <v>14686</v>
          </cell>
          <cell r="B1009" t="str">
            <v>UE RECOND 559-51 2.0 MILES</v>
          </cell>
          <cell r="C1009" t="str">
            <v>070-JEFFERSON</v>
          </cell>
        </row>
        <row r="1010">
          <cell r="A1010">
            <v>14689</v>
          </cell>
          <cell r="B1010" t="str">
            <v>MODOT-RELO HWY MM NEAR MILLER RD</v>
          </cell>
          <cell r="C1010" t="str">
            <v>070-JEFFERSON</v>
          </cell>
        </row>
        <row r="1011">
          <cell r="A1011">
            <v>14690</v>
          </cell>
          <cell r="B1011" t="str">
            <v>JEFFERSON COUNTY HIGHWAY DEPT</v>
          </cell>
          <cell r="C1011" t="str">
            <v>070-JEFFERSON</v>
          </cell>
        </row>
        <row r="1012">
          <cell r="A1012">
            <v>14722</v>
          </cell>
          <cell r="B1012" t="str">
            <v>MER U4 BACKPASS &amp; BOTTOM ASH SYS UP</v>
          </cell>
          <cell r="C1012" t="str">
            <v>09M-GENERATION PROJECT ENGINEERING</v>
          </cell>
        </row>
        <row r="1013">
          <cell r="A1013">
            <v>14725</v>
          </cell>
          <cell r="B1013" t="str">
            <v>MER U3 BACKPASS &amp; BOTTOM ASH SYS UP</v>
          </cell>
          <cell r="C1013" t="str">
            <v>09M-GENERATION PROJECT ENGINEERING</v>
          </cell>
        </row>
        <row r="1014">
          <cell r="A1014">
            <v>14740</v>
          </cell>
          <cell r="B1014" t="str">
            <v>SX U1 1ST PANEL OF CONVECTION PASS</v>
          </cell>
          <cell r="C1014" t="str">
            <v>09M-GENERATION PROJECT ENGINEERING</v>
          </cell>
        </row>
        <row r="1015">
          <cell r="A1015">
            <v>14742</v>
          </cell>
          <cell r="B1015" t="str">
            <v>SX U1 BACKPASS SOOTBLOWING IMPROV</v>
          </cell>
          <cell r="C1015" t="str">
            <v>09M-GENERATION PROJECT ENGINEERING</v>
          </cell>
        </row>
        <row r="1016">
          <cell r="A1016">
            <v>14745</v>
          </cell>
          <cell r="B1016" t="str">
            <v>I-74 IDOT GAS FACILITIES RELOCATION</v>
          </cell>
          <cell r="C1016" t="str">
            <v>628-PEORIA GAS CONSTRUCTION</v>
          </cell>
        </row>
        <row r="1017">
          <cell r="A1017">
            <v>14746</v>
          </cell>
          <cell r="B1017" t="str">
            <v>RI U1 AIR PREHEATER REPL</v>
          </cell>
          <cell r="C1017" t="str">
            <v>09M-GENERATION PROJECT ENGINEERING</v>
          </cell>
        </row>
        <row r="1018">
          <cell r="A1018">
            <v>14747</v>
          </cell>
          <cell r="B1018" t="str">
            <v>RI U2 AIR PREHEATER REPL</v>
          </cell>
          <cell r="C1018" t="str">
            <v>09M-GENERATION PROJECT ENGINEERING</v>
          </cell>
        </row>
        <row r="1019">
          <cell r="A1019">
            <v>14762</v>
          </cell>
          <cell r="B1019" t="str">
            <v>MERAMEC 3 LOW NOX BURNERS W OFA</v>
          </cell>
          <cell r="C1019" t="str">
            <v>09V-NEW GEN &amp; ENV PROJECTS</v>
          </cell>
        </row>
        <row r="1020">
          <cell r="A1020">
            <v>14777</v>
          </cell>
          <cell r="B1020" t="str">
            <v>SPRING BAY FEEDER #2 PART 1</v>
          </cell>
          <cell r="C1020" t="str">
            <v>618-CENTRAL ELECTRIC</v>
          </cell>
        </row>
        <row r="1021">
          <cell r="A1021">
            <v>14779</v>
          </cell>
          <cell r="B1021" t="str">
            <v>SAND PRAIRE #1 RECONDUCTOR</v>
          </cell>
          <cell r="C1021" t="str">
            <v>618-CENTRAL ELECTRIC</v>
          </cell>
        </row>
        <row r="1022">
          <cell r="A1022">
            <v>14780</v>
          </cell>
          <cell r="B1022" t="str">
            <v>RADNOR FEEDER 6</v>
          </cell>
          <cell r="C1022" t="str">
            <v>619-PEORIA ELEC UNDERGROUND</v>
          </cell>
        </row>
        <row r="1023">
          <cell r="A1023">
            <v>14781</v>
          </cell>
          <cell r="B1023" t="str">
            <v>UNDERGROUND CABLE REPLACEMENTS</v>
          </cell>
          <cell r="C1023" t="str">
            <v>668-IL OPS ADMIN DIV I II III</v>
          </cell>
        </row>
        <row r="1024">
          <cell r="A1024">
            <v>14792</v>
          </cell>
          <cell r="B1024" t="str">
            <v>CENTENNIAL DR GOV RELO REIMBURSABLE</v>
          </cell>
          <cell r="C1024" t="str">
            <v>618-CENTRAL ELECTRIC</v>
          </cell>
        </row>
        <row r="1025">
          <cell r="A1025">
            <v>14798</v>
          </cell>
          <cell r="B1025" t="str">
            <v>MER U4 ADD 2 LONG LANCES IN PLATENS</v>
          </cell>
          <cell r="C1025" t="str">
            <v>09M-GENERATION PROJECT ENGINEERING</v>
          </cell>
        </row>
        <row r="1026">
          <cell r="A1026">
            <v>14801</v>
          </cell>
          <cell r="B1026" t="str">
            <v>KIRKSVILLE WHQ- ROOF REPLACEMENT</v>
          </cell>
          <cell r="C1026" t="str">
            <v>072-BUILDING SERVICES-MO</v>
          </cell>
        </row>
        <row r="1027">
          <cell r="A1027">
            <v>14804</v>
          </cell>
          <cell r="B1027" t="str">
            <v>RAIL MODIFICATIONS - DUCK CREEK</v>
          </cell>
          <cell r="C1027" t="str">
            <v>61A-DUCK CREEK PLANT GENERAL</v>
          </cell>
        </row>
        <row r="1028">
          <cell r="A1028">
            <v>14808</v>
          </cell>
          <cell r="B1028" t="str">
            <v>PHELPS -RESTOR.AFTER XFMR FIRE-2003</v>
          </cell>
          <cell r="C1028" t="str">
            <v>09E-ELECTRICAL ENGINEERING</v>
          </cell>
        </row>
        <row r="1029">
          <cell r="A1029">
            <v>14809</v>
          </cell>
          <cell r="B1029" t="str">
            <v>LABADIE UNIT 2 TSI UPGRADE</v>
          </cell>
          <cell r="C1029" t="str">
            <v>09M-GENERATION PROJECT ENGINEERING</v>
          </cell>
        </row>
        <row r="1030">
          <cell r="A1030">
            <v>14810</v>
          </cell>
          <cell r="B1030" t="str">
            <v>RUSH ISLAND UNIT 1 TSI UPGRADE</v>
          </cell>
          <cell r="C1030" t="str">
            <v>09M-GENERATION PROJECT ENGINEERING</v>
          </cell>
        </row>
        <row r="1031">
          <cell r="A1031">
            <v>14818</v>
          </cell>
          <cell r="B1031" t="str">
            <v>MER U1&amp;2 ADD LTSH SOOTBLOWERS</v>
          </cell>
          <cell r="C1031" t="str">
            <v>09M-GENERATION PROJECT ENGINEERING</v>
          </cell>
        </row>
        <row r="1032">
          <cell r="A1032">
            <v>14825</v>
          </cell>
          <cell r="B1032" t="str">
            <v>NORTHLAND SUB OH</v>
          </cell>
          <cell r="C1032" t="str">
            <v>056-GERALDINE</v>
          </cell>
        </row>
        <row r="1033">
          <cell r="A1033">
            <v>14832</v>
          </cell>
          <cell r="B1033" t="str">
            <v>JENNINGS STATION ROAD WIDENING</v>
          </cell>
          <cell r="C1033" t="str">
            <v>056-GERALDINE</v>
          </cell>
        </row>
        <row r="1034">
          <cell r="A1034">
            <v>14835</v>
          </cell>
          <cell r="B1034" t="str">
            <v>W FLORISSANT ROAD WIDENING  AR-782</v>
          </cell>
          <cell r="C1034" t="str">
            <v>056-GERALDINE</v>
          </cell>
        </row>
        <row r="1035">
          <cell r="A1035">
            <v>14858</v>
          </cell>
          <cell r="B1035" t="str">
            <v>RUSH ISLAND CRITICAL MOTORS</v>
          </cell>
          <cell r="C1035" t="str">
            <v>09M-GENERATION PROJECT ENGINEERING</v>
          </cell>
        </row>
        <row r="1036">
          <cell r="A1036">
            <v>14884</v>
          </cell>
          <cell r="B1036" t="str">
            <v>OSG TAINTER GATE STRENGTHEN-SPILLWY</v>
          </cell>
          <cell r="C1036" t="str">
            <v>09M-GENERATION PROJECT ENGINEERING</v>
          </cell>
        </row>
        <row r="1037">
          <cell r="A1037">
            <v>14885</v>
          </cell>
          <cell r="B1037" t="str">
            <v>DORSETT 15KV SWGR NO.1 REPL.</v>
          </cell>
          <cell r="C1037" t="str">
            <v>09E-ELECTRICAL ENGINEERING</v>
          </cell>
        </row>
        <row r="1038">
          <cell r="A1038">
            <v>14894</v>
          </cell>
          <cell r="B1038" t="str">
            <v>PORTABLE SWGR #2 -15KV,3000A,750MVA</v>
          </cell>
          <cell r="C1038" t="str">
            <v>09E-ELECTRICAL ENGINEERING</v>
          </cell>
        </row>
        <row r="1039">
          <cell r="A1039">
            <v>14963</v>
          </cell>
          <cell r="B1039" t="str">
            <v>CEM MOVE TO STACK - UNITS 1 &amp; 2</v>
          </cell>
          <cell r="C1039" t="str">
            <v>62A-EDWARDS PLANT GENERAL</v>
          </cell>
        </row>
        <row r="1040">
          <cell r="A1040">
            <v>14964</v>
          </cell>
          <cell r="B1040" t="str">
            <v>CEM MOVE TO STACK - UNIT 3</v>
          </cell>
          <cell r="C1040" t="str">
            <v>62A-EDWARDS PLANT GENERAL</v>
          </cell>
        </row>
        <row r="1041">
          <cell r="A1041">
            <v>14971</v>
          </cell>
          <cell r="B1041" t="str">
            <v>GRAND TOWER CEMS UPGRADES</v>
          </cell>
          <cell r="C1041" t="str">
            <v>131-EFFINGHAM RESOURCE CENTER</v>
          </cell>
        </row>
        <row r="1042">
          <cell r="A1042">
            <v>14979</v>
          </cell>
          <cell r="B1042" t="str">
            <v>RI ADMIN BLDG HVAC REPL</v>
          </cell>
          <cell r="C1042" t="str">
            <v>09M-GENERATION PROJECT ENGINEERING</v>
          </cell>
        </row>
        <row r="1043">
          <cell r="A1043">
            <v>14980</v>
          </cell>
          <cell r="B1043" t="str">
            <v>RT 45 69KV LINE RELOCATION</v>
          </cell>
          <cell r="C1043" t="str">
            <v>3EF-EFFINGHAM</v>
          </cell>
        </row>
        <row r="1044">
          <cell r="A1044">
            <v>14997</v>
          </cell>
          <cell r="B1044" t="str">
            <v>REBLD 3463 1.1 MILES MECHBURG RD</v>
          </cell>
          <cell r="C1044" t="str">
            <v>605-SPRINGFIELD ELECTRIC OPS</v>
          </cell>
        </row>
        <row r="1045">
          <cell r="A1045">
            <v>14999</v>
          </cell>
          <cell r="B1045" t="str">
            <v>HUTSONVILLE CEMS UPGRADES</v>
          </cell>
          <cell r="C1045" t="str">
            <v>131-EFFINGHAM RESOURCE CENTER</v>
          </cell>
        </row>
        <row r="1046">
          <cell r="A1046">
            <v>15000</v>
          </cell>
          <cell r="B1046" t="str">
            <v>MEREDOSIA CEMS UPGRADES</v>
          </cell>
          <cell r="C1046" t="str">
            <v>131-EFFINGHAM RESOURCE CENTER</v>
          </cell>
        </row>
        <row r="1047">
          <cell r="A1047">
            <v>15002</v>
          </cell>
          <cell r="B1047" t="str">
            <v>NEWTON CEMS UPGRADES</v>
          </cell>
          <cell r="C1047" t="str">
            <v>131-EFFINGHAM RESOURCE CENTER</v>
          </cell>
        </row>
        <row r="1048">
          <cell r="A1048">
            <v>15021</v>
          </cell>
          <cell r="B1048" t="str">
            <v>LBD U2 RECLAIM CHUTES REPL</v>
          </cell>
          <cell r="C1048" t="str">
            <v>09M-GENERATION PROJECT ENGINEERING</v>
          </cell>
        </row>
        <row r="1049">
          <cell r="A1049">
            <v>15057</v>
          </cell>
          <cell r="B1049" t="str">
            <v>SL - TRACT OF LAND MONTROSE</v>
          </cell>
          <cell r="C1049" t="str">
            <v>061-REAL ESTATE</v>
          </cell>
        </row>
        <row r="1050">
          <cell r="A1050">
            <v>15058</v>
          </cell>
          <cell r="B1050" t="str">
            <v>ENERGY CONTROL CTR IMPROVEMENTS</v>
          </cell>
          <cell r="C1050" t="str">
            <v>07W-BLDG SVCS-CIL</v>
          </cell>
        </row>
        <row r="1051">
          <cell r="A1051">
            <v>15059</v>
          </cell>
          <cell r="B1051" t="str">
            <v>SALES OF BEARDSTOWN PARKING LOT</v>
          </cell>
          <cell r="C1051" t="str">
            <v>061-REAL ESTATE</v>
          </cell>
        </row>
        <row r="1052">
          <cell r="A1052">
            <v>15060</v>
          </cell>
          <cell r="B1052" t="str">
            <v>SALE OF BLAND SUBSTATION</v>
          </cell>
          <cell r="C1052" t="str">
            <v>061-REAL ESTATE</v>
          </cell>
        </row>
        <row r="1053">
          <cell r="A1053">
            <v>15065</v>
          </cell>
          <cell r="B1053" t="str">
            <v>8TH &amp; 9TH FLOOR RENOVATION-IL BLDG</v>
          </cell>
          <cell r="C1053" t="str">
            <v>07N-BUILDING SERVICES-IL</v>
          </cell>
        </row>
        <row r="1054">
          <cell r="A1054">
            <v>15070</v>
          </cell>
          <cell r="B1054" t="str">
            <v>FF DC-PHASE 2-FUTURE TRACK WORK</v>
          </cell>
          <cell r="C1054" t="str">
            <v>61A-DUCK CREEK PLANT GENERAL</v>
          </cell>
        </row>
        <row r="1055">
          <cell r="A1055">
            <v>15071</v>
          </cell>
          <cell r="B1055" t="str">
            <v>DRY FLYASH SYSTEM - DUCK CREEK</v>
          </cell>
          <cell r="C1055" t="str">
            <v>61A-DUCK CREEK PLANT GENERAL</v>
          </cell>
        </row>
        <row r="1056">
          <cell r="A1056">
            <v>15073</v>
          </cell>
          <cell r="B1056" t="str">
            <v>BOURBEUSE-REPL 14MVA UNIT D W-22MVA</v>
          </cell>
          <cell r="C1056" t="str">
            <v>09E-ELECTRICAL ENGINEERING</v>
          </cell>
        </row>
        <row r="1057">
          <cell r="A1057">
            <v>15080</v>
          </cell>
          <cell r="B1057" t="str">
            <v>DC  RECYCLE POND BYPASS LINE</v>
          </cell>
          <cell r="C1057" t="str">
            <v>61A-DUCK CREEK PLANT GENERAL</v>
          </cell>
        </row>
        <row r="1058">
          <cell r="A1058">
            <v>15081</v>
          </cell>
          <cell r="B1058" t="str">
            <v>AMEREN CILCO MOBILE DATA</v>
          </cell>
          <cell r="C1058" t="str">
            <v>065-NEO - TELEPHONE SERVICES</v>
          </cell>
        </row>
        <row r="1059">
          <cell r="A1059">
            <v>15087</v>
          </cell>
          <cell r="B1059" t="str">
            <v>LBD U3 COLD REHEAT VENT STACK MODS</v>
          </cell>
          <cell r="C1059" t="str">
            <v>09M-GENERATION PROJECT ENGINEERING</v>
          </cell>
        </row>
        <row r="1060">
          <cell r="A1060">
            <v>15089</v>
          </cell>
          <cell r="B1060" t="str">
            <v>MISSOURI POWER PLANT</v>
          </cell>
          <cell r="C1060" t="str">
            <v>09V-NEW GEN &amp; ENV PROJECTS</v>
          </cell>
        </row>
        <row r="1061">
          <cell r="A1061">
            <v>15091</v>
          </cell>
          <cell r="B1061" t="str">
            <v>RI CONVEYOR 5 TO 6 COAL TRANS CHUTE</v>
          </cell>
          <cell r="C1061" t="str">
            <v>09M-GENERATION PROJECT ENGINEERING</v>
          </cell>
        </row>
        <row r="1062">
          <cell r="A1062">
            <v>15094</v>
          </cell>
          <cell r="B1062" t="str">
            <v>METHODIST HOSP. SWITCH GEAR</v>
          </cell>
          <cell r="C1062" t="str">
            <v>619-PEORIA ELEC UNDERGROUND</v>
          </cell>
        </row>
        <row r="1063">
          <cell r="A1063">
            <v>15099</v>
          </cell>
          <cell r="B1063" t="str">
            <v>SL - TRACT OF LAND KK FLO HALL TOW</v>
          </cell>
          <cell r="C1063" t="str">
            <v>061-REAL ESTATE</v>
          </cell>
        </row>
        <row r="1064">
          <cell r="A1064">
            <v>15100</v>
          </cell>
          <cell r="B1064" t="str">
            <v>SL - PEORIA DISTRICT ELEC. SRVC PPK</v>
          </cell>
          <cell r="C1064" t="str">
            <v>061-REAL ESTATE</v>
          </cell>
        </row>
        <row r="1065">
          <cell r="A1065">
            <v>15101</v>
          </cell>
          <cell r="B1065" t="str">
            <v>SALE OF GARFIELD SUBSTATION</v>
          </cell>
          <cell r="C1065" t="str">
            <v>061-REAL ESTATE</v>
          </cell>
        </row>
        <row r="1066">
          <cell r="A1066">
            <v>15105</v>
          </cell>
          <cell r="B1066" t="str">
            <v>R.S.WALLACE-T&amp;D LN.RELOC.-STL POLES</v>
          </cell>
          <cell r="C1066" t="str">
            <v>09E-ELECTRICAL ENGINEERING</v>
          </cell>
        </row>
        <row r="1067">
          <cell r="A1067">
            <v>15106</v>
          </cell>
          <cell r="B1067" t="str">
            <v>FF DC PHASE 4 FALL 2003 SPRING 2004</v>
          </cell>
          <cell r="C1067" t="str">
            <v>61A-DUCK CREEK PLANT GENERAL</v>
          </cell>
        </row>
        <row r="1068">
          <cell r="A1068">
            <v>15107</v>
          </cell>
          <cell r="B1068" t="str">
            <v>FF DC PHASE 5 PROJ COMPLETION</v>
          </cell>
          <cell r="C1068" t="str">
            <v>61A-DUCK CREEK PLANT GENERAL</v>
          </cell>
        </row>
        <row r="1069">
          <cell r="A1069">
            <v>15108</v>
          </cell>
          <cell r="B1069" t="str">
            <v>FUEL FLEX CONV-EDE-PHASE ED3-SP</v>
          </cell>
          <cell r="C1069" t="str">
            <v>62A-EDWARDS PLANT GENERAL</v>
          </cell>
        </row>
        <row r="1070">
          <cell r="A1070">
            <v>15109</v>
          </cell>
          <cell r="B1070" t="str">
            <v>FUEL FLEX CONV-EDE-PHASE ED4-UN</v>
          </cell>
          <cell r="C1070" t="str">
            <v>62A-EDWARDS PLANT GENERAL</v>
          </cell>
        </row>
        <row r="1071">
          <cell r="A1071">
            <v>15110</v>
          </cell>
          <cell r="B1071" t="str">
            <v>ROBINSON 8 INCH STEEL PROJECT</v>
          </cell>
          <cell r="C1071" t="str">
            <v>0G1-GAS TECH SERVICES - CIP</v>
          </cell>
        </row>
        <row r="1072">
          <cell r="A1072">
            <v>15111</v>
          </cell>
          <cell r="B1072" t="str">
            <v>FUEL FLEX CONV-EDE-PHASE ED5-CA</v>
          </cell>
          <cell r="C1072" t="str">
            <v>62A-EDWARDS PLANT GENERAL</v>
          </cell>
        </row>
        <row r="1073">
          <cell r="A1073">
            <v>15114</v>
          </cell>
          <cell r="B1073" t="str">
            <v>AMERENCILCO SECURITY SYSTEMS</v>
          </cell>
          <cell r="C1073" t="str">
            <v>668-IL OPS ADMIN DIV I II III</v>
          </cell>
        </row>
        <row r="1074">
          <cell r="A1074">
            <v>15117</v>
          </cell>
          <cell r="B1074" t="str">
            <v>US 67 RELOCATION 0F 8 IN STEEL MAIN</v>
          </cell>
          <cell r="C1074" t="str">
            <v>0G1-GAS TECH SERVICES - CIP</v>
          </cell>
        </row>
        <row r="1075">
          <cell r="A1075">
            <v>15129</v>
          </cell>
          <cell r="B1075" t="str">
            <v>MER U4 HOT PA FANS REPL</v>
          </cell>
          <cell r="C1075" t="str">
            <v>09M-GENERATION PROJECT ENGINEERING</v>
          </cell>
        </row>
        <row r="1076">
          <cell r="A1076">
            <v>15132</v>
          </cell>
          <cell r="B1076" t="str">
            <v>LABADIE PEGASUS COMPUTER UPGRADE</v>
          </cell>
          <cell r="C1076" t="str">
            <v>81E-GENERATION PERFORMANCE ENGRNG</v>
          </cell>
        </row>
        <row r="1077">
          <cell r="A1077">
            <v>15136</v>
          </cell>
          <cell r="B1077" t="str">
            <v>WINDSONG ESTATES PHASE 1</v>
          </cell>
          <cell r="C1077" t="str">
            <v>618-CENTRAL ELECTRIC</v>
          </cell>
        </row>
        <row r="1078">
          <cell r="A1078">
            <v>15140</v>
          </cell>
          <cell r="B1078" t="str">
            <v>SIOUX UNIT 1 SILO FILL FEEDERS</v>
          </cell>
          <cell r="C1078" t="str">
            <v>09M-GENERATION PROJECT ENGINEERING</v>
          </cell>
        </row>
        <row r="1079">
          <cell r="A1079">
            <v>15142</v>
          </cell>
          <cell r="B1079" t="str">
            <v>COFFEEN BUILD OUT OF RAIL LOOP</v>
          </cell>
          <cell r="C1079" t="str">
            <v>087-FOSSIL FUELS</v>
          </cell>
        </row>
        <row r="1080">
          <cell r="A1080">
            <v>15153</v>
          </cell>
          <cell r="B1080" t="str">
            <v>MACYS PLACE SUBDIVISION</v>
          </cell>
          <cell r="C1080" t="str">
            <v>618-CENTRAL ELECTRIC</v>
          </cell>
        </row>
        <row r="1081">
          <cell r="A1081">
            <v>15159</v>
          </cell>
          <cell r="B1081" t="str">
            <v>HUNTER'S RIDGE SUBDIVISION</v>
          </cell>
          <cell r="C1081" t="str">
            <v>619-PEORIA ELEC UNDERGROUND</v>
          </cell>
        </row>
        <row r="1082">
          <cell r="A1082">
            <v>15161</v>
          </cell>
          <cell r="B1082" t="str">
            <v>PIONEER 7</v>
          </cell>
          <cell r="C1082" t="str">
            <v>619-PEORIA ELEC UNDERGROUND</v>
          </cell>
        </row>
        <row r="1083">
          <cell r="A1083">
            <v>15165</v>
          </cell>
          <cell r="B1083" t="str">
            <v>SPRINGFIELD RD --GROVELAND</v>
          </cell>
          <cell r="C1083" t="str">
            <v>618-CENTRAL ELECTRIC</v>
          </cell>
        </row>
        <row r="1084">
          <cell r="A1084">
            <v>15180</v>
          </cell>
          <cell r="B1084" t="str">
            <v>EFFINGHAM IDOT RELOC HWY 32/33</v>
          </cell>
          <cell r="C1084" t="str">
            <v>3EF-EFFINGHAM</v>
          </cell>
        </row>
        <row r="1085">
          <cell r="A1085">
            <v>15182</v>
          </cell>
          <cell r="B1085" t="str">
            <v>THORNRIDGE SUBDIVISION</v>
          </cell>
          <cell r="C1085" t="str">
            <v>618-CENTRAL ELECTRIC</v>
          </cell>
        </row>
        <row r="1086">
          <cell r="A1086">
            <v>15199</v>
          </cell>
          <cell r="B1086" t="str">
            <v>KEOKUK -RELAY UPGR- KEO-K31 -REIMB.</v>
          </cell>
          <cell r="C1086" t="str">
            <v>09E-ELECTRICAL ENGINEERING</v>
          </cell>
        </row>
        <row r="1087">
          <cell r="A1087">
            <v>15201</v>
          </cell>
          <cell r="B1087" t="str">
            <v>EDWARDS RAIL MODS.-TRANS LINE RELOC</v>
          </cell>
          <cell r="C1087" t="str">
            <v>03B-TRANSMISSION - CILCO</v>
          </cell>
        </row>
        <row r="1088">
          <cell r="A1088">
            <v>15202</v>
          </cell>
          <cell r="B1088" t="str">
            <v>PURCHASE PROPERTY AT EDWARDS POWER</v>
          </cell>
          <cell r="C1088" t="str">
            <v>087-FOSSIL FUELS</v>
          </cell>
        </row>
        <row r="1089">
          <cell r="A1089">
            <v>15204</v>
          </cell>
          <cell r="B1089" t="str">
            <v>LAKESIDE BUSINESS PARK</v>
          </cell>
          <cell r="C1089" t="str">
            <v>037-TRANSMISSION</v>
          </cell>
        </row>
        <row r="1090">
          <cell r="A1090">
            <v>15212</v>
          </cell>
          <cell r="B1090" t="str">
            <v>W OF MACOMB IDOT RELOCATION</v>
          </cell>
          <cell r="C1090" t="str">
            <v>0G1-GAS TECH SERVICES - CIP</v>
          </cell>
        </row>
        <row r="1091">
          <cell r="A1091">
            <v>15216</v>
          </cell>
          <cell r="B1091" t="str">
            <v>LAKESHIRE-REPL 138KV CAPBANK BRKRS</v>
          </cell>
          <cell r="C1091" t="str">
            <v>09E-ELECTRICAL ENGINEERING</v>
          </cell>
        </row>
        <row r="1092">
          <cell r="A1092">
            <v>15218</v>
          </cell>
          <cell r="B1092" t="str">
            <v>HAMILTON -K-HAM-3 TRM.CON.UPG-REIMB</v>
          </cell>
          <cell r="C1092" t="str">
            <v>09E-ELECTRICAL ENGINEERING</v>
          </cell>
        </row>
        <row r="1093">
          <cell r="A1093">
            <v>15219</v>
          </cell>
          <cell r="B1093" t="str">
            <v>MONTGOMERY -REPL 345 BRKR POSN V15</v>
          </cell>
          <cell r="C1093" t="str">
            <v>09E-ELECTRICAL ENGINEERING</v>
          </cell>
        </row>
        <row r="1094">
          <cell r="A1094">
            <v>15220</v>
          </cell>
          <cell r="B1094" t="str">
            <v>SALE OF VIRDEN MICROWAVE SITE</v>
          </cell>
          <cell r="C1094" t="str">
            <v>061-REAL ESTATE</v>
          </cell>
        </row>
        <row r="1095">
          <cell r="A1095">
            <v>15222</v>
          </cell>
          <cell r="B1095" t="str">
            <v>MARION FEEDER TO REDCO INDUST DEV</v>
          </cell>
          <cell r="C1095" t="str">
            <v>4MS-DIVISION VII SUPPORT STAFF</v>
          </cell>
        </row>
        <row r="1096">
          <cell r="A1096">
            <v>15229</v>
          </cell>
          <cell r="B1096" t="str">
            <v>LABADIE DEBRIS MANAGMENT</v>
          </cell>
          <cell r="C1096" t="str">
            <v>09M-GENERATION PROJECT ENGINEERING</v>
          </cell>
        </row>
        <row r="1097">
          <cell r="A1097">
            <v>15242</v>
          </cell>
          <cell r="B1097" t="str">
            <v>HAMILTON- K-HAM-1&amp;2 BRKR-DIS.SW.RPL</v>
          </cell>
          <cell r="C1097" t="str">
            <v>09E-ELECTRICAL ENGINEERING</v>
          </cell>
        </row>
        <row r="1098">
          <cell r="A1098">
            <v>15244</v>
          </cell>
          <cell r="B1098" t="str">
            <v>SX CRUSHER HOUSE DUST COLLECTION</v>
          </cell>
          <cell r="C1098" t="str">
            <v>09M-GENERATION PROJECT ENGINEERING</v>
          </cell>
        </row>
        <row r="1099">
          <cell r="A1099">
            <v>15245</v>
          </cell>
          <cell r="B1099" t="str">
            <v>MER U1&amp;2 EXCITER ENCLOSURE</v>
          </cell>
          <cell r="C1099" t="str">
            <v>09M-GENERATION PROJECT ENGINEERING</v>
          </cell>
        </row>
        <row r="1100">
          <cell r="A1100">
            <v>15249</v>
          </cell>
          <cell r="B1100" t="str">
            <v>HERRIN HOSPITAL 4KV RELOCATE</v>
          </cell>
          <cell r="C1100" t="str">
            <v>4MA-MARION</v>
          </cell>
        </row>
        <row r="1101">
          <cell r="A1101">
            <v>15250</v>
          </cell>
          <cell r="B1101" t="str">
            <v>DORANS S.- 69KV SW.,BUS WK.,UG TERM</v>
          </cell>
          <cell r="C1101" t="str">
            <v>09E-ELECTRICAL ENGINEERING</v>
          </cell>
        </row>
        <row r="1102">
          <cell r="A1102">
            <v>15253</v>
          </cell>
          <cell r="B1102" t="str">
            <v>UE RECOND 3.0 MILES 516-52 W/556AA</v>
          </cell>
          <cell r="C1102" t="str">
            <v>070-JEFFERSON</v>
          </cell>
        </row>
        <row r="1103">
          <cell r="A1103">
            <v>15257</v>
          </cell>
          <cell r="B1103" t="str">
            <v>UE CEDAR HILL 553-55 ADD ONE PHASE</v>
          </cell>
          <cell r="C1103" t="str">
            <v>070-JEFFERSON</v>
          </cell>
        </row>
        <row r="1104">
          <cell r="A1104">
            <v>15261</v>
          </cell>
          <cell r="B1104" t="str">
            <v>BOYD BRANCH SUBSTATION 13812KV STAT</v>
          </cell>
          <cell r="C1104" t="str">
            <v>070-JEFFERSON</v>
          </cell>
        </row>
        <row r="1105">
          <cell r="A1105">
            <v>15262</v>
          </cell>
          <cell r="B1105" t="str">
            <v>CALHOUN CO MAIN RELOCATION</v>
          </cell>
          <cell r="C1105" t="str">
            <v>0G1-GAS TECH SERVICES - CIP</v>
          </cell>
        </row>
        <row r="1106">
          <cell r="A1106">
            <v>15264</v>
          </cell>
          <cell r="B1106" t="str">
            <v>STL GOB - 5TH FLOOR REMODELING (POT</v>
          </cell>
          <cell r="C1106" t="str">
            <v>072-BUILDING SERVICES-MO</v>
          </cell>
        </row>
        <row r="1107">
          <cell r="A1107">
            <v>15267</v>
          </cell>
          <cell r="B1107" t="str">
            <v>JOPPA S.-UPGR.METER.-LAFARGE-REIMB</v>
          </cell>
          <cell r="C1107" t="str">
            <v>09E-ELECTRICAL ENGINEERING</v>
          </cell>
        </row>
        <row r="1108">
          <cell r="A1108">
            <v>15270</v>
          </cell>
          <cell r="B1108" t="str">
            <v>STORM DAMAGE MAY 2003</v>
          </cell>
          <cell r="C1108" t="str">
            <v>03B-TRANSMISSION - CILCO</v>
          </cell>
        </row>
        <row r="1109">
          <cell r="A1109">
            <v>15271</v>
          </cell>
          <cell r="B1109" t="str">
            <v>MER CTG1 EXHAUST DUCT REPL</v>
          </cell>
          <cell r="C1109" t="str">
            <v>09M-GENERATION PROJECT ENGINEERING</v>
          </cell>
        </row>
        <row r="1110">
          <cell r="A1110">
            <v>15272</v>
          </cell>
          <cell r="B1110" t="str">
            <v>NESTLE-RAL.CUST.SUB.REPL.XFMR PURCH</v>
          </cell>
          <cell r="C1110" t="str">
            <v>09E-ELECTRICAL ENGINEERING</v>
          </cell>
        </row>
        <row r="1111">
          <cell r="A1111">
            <v>15277</v>
          </cell>
          <cell r="B1111" t="str">
            <v>ILL POWER ACQUISITION INTEGRATION</v>
          </cell>
          <cell r="C1111" t="str">
            <v>012-CORPORATE PLANNING</v>
          </cell>
        </row>
        <row r="1112">
          <cell r="A1112">
            <v>15282</v>
          </cell>
          <cell r="B1112" t="str">
            <v>LBD U1,2&amp;4 WATER CANNON PUMP REPL</v>
          </cell>
          <cell r="C1112" t="str">
            <v>09M-GENERATION PROJECT ENGINEERING</v>
          </cell>
        </row>
        <row r="1113">
          <cell r="A1113">
            <v>15289</v>
          </cell>
          <cell r="B1113" t="str">
            <v>FAP RTE 774 IDOT RELOCATION</v>
          </cell>
          <cell r="C1113" t="str">
            <v>0G1-GAS TECH SERVICES - CIP</v>
          </cell>
        </row>
        <row r="1114">
          <cell r="A1114">
            <v>15291</v>
          </cell>
          <cell r="B1114" t="str">
            <v>SALE PART OF HOOVER SUB</v>
          </cell>
          <cell r="C1114" t="str">
            <v>061-REAL ESTATE</v>
          </cell>
        </row>
        <row r="1115">
          <cell r="A1115">
            <v>15293</v>
          </cell>
          <cell r="B1115" t="str">
            <v>NEW COAL PREPARATION ROOM</v>
          </cell>
          <cell r="C1115" t="str">
            <v>072-BUILDING SERVICES-MO</v>
          </cell>
        </row>
        <row r="1116">
          <cell r="A1116">
            <v>15294</v>
          </cell>
          <cell r="B1116" t="str">
            <v>PIONEER SEEDS - ST. JOSEPH</v>
          </cell>
          <cell r="C1116" t="str">
            <v>0G4-GAS TECH SERVICES - CIL</v>
          </cell>
        </row>
        <row r="1117">
          <cell r="A1117">
            <v>15295</v>
          </cell>
          <cell r="B1117" t="str">
            <v>CHARTER OAK ROAD GAS MAIN EXTENSION</v>
          </cell>
          <cell r="C1117" t="str">
            <v>628-PEORIA GAS CONSTRUCTION</v>
          </cell>
        </row>
        <row r="1118">
          <cell r="A1118">
            <v>15297</v>
          </cell>
          <cell r="B1118" t="str">
            <v>EDWARDS UNIT 2 DCS</v>
          </cell>
          <cell r="C1118" t="str">
            <v>09M-GENERATION PROJECT ENGINEERING</v>
          </cell>
        </row>
        <row r="1119">
          <cell r="A1119">
            <v>15299</v>
          </cell>
          <cell r="B1119" t="str">
            <v>EDWARDS U3 EXCITER REPL</v>
          </cell>
          <cell r="C1119" t="str">
            <v>09M-GENERATION PROJECT ENGINEERING</v>
          </cell>
        </row>
        <row r="1120">
          <cell r="A1120">
            <v>15301</v>
          </cell>
          <cell r="B1120" t="str">
            <v>RETUBE #2 CONDENSER RETUBE</v>
          </cell>
          <cell r="C1120" t="str">
            <v>09M-GENERATION PROJECT ENGINEERING</v>
          </cell>
        </row>
        <row r="1121">
          <cell r="A1121">
            <v>15310</v>
          </cell>
          <cell r="B1121" t="str">
            <v>CRUGER RD RELOCATION PART 2</v>
          </cell>
          <cell r="C1121" t="str">
            <v>618-CENTRAL ELECTRIC</v>
          </cell>
        </row>
        <row r="1122">
          <cell r="A1122">
            <v>15311</v>
          </cell>
          <cell r="B1122" t="str">
            <v>SYSTEM SPARE 34-4KV XFMR-CIP-GR.RIV</v>
          </cell>
          <cell r="C1122" t="str">
            <v>09E-ELECTRICAL ENGINEERING</v>
          </cell>
        </row>
        <row r="1123">
          <cell r="A1123">
            <v>15321</v>
          </cell>
          <cell r="B1123" t="str">
            <v>DUCK CREEK BOILER UPGRADE</v>
          </cell>
          <cell r="C1123" t="str">
            <v>09M-GENERATION PROJECT ENGINEERING</v>
          </cell>
        </row>
        <row r="1124">
          <cell r="A1124">
            <v>15341</v>
          </cell>
          <cell r="B1124" t="str">
            <v>CARTHAGE - PURCHASE LOT</v>
          </cell>
          <cell r="C1124" t="str">
            <v>8MS-DIVISION II SUPPORT STAFF</v>
          </cell>
        </row>
        <row r="1125">
          <cell r="A1125">
            <v>15342</v>
          </cell>
          <cell r="B1125" t="str">
            <v>MUDDY SIPC TAP LINE 603</v>
          </cell>
          <cell r="C1125" t="str">
            <v>4MS-DIVISION VII SUPPORT STAFF</v>
          </cell>
        </row>
        <row r="1126">
          <cell r="A1126">
            <v>15355</v>
          </cell>
          <cell r="B1126" t="str">
            <v>LEWIS &amp; CLARK TRACT 9 - PARTIAL</v>
          </cell>
          <cell r="C1126" t="str">
            <v>061-REAL ESTATE</v>
          </cell>
        </row>
        <row r="1127">
          <cell r="A1127">
            <v>15369</v>
          </cell>
          <cell r="B1127" t="str">
            <v>EDWARDS U3  MERCURY CONTROL</v>
          </cell>
          <cell r="C1127" t="str">
            <v>09V-NEW GEN &amp; ENV PROJECTS</v>
          </cell>
        </row>
        <row r="1128">
          <cell r="A1128">
            <v>15370</v>
          </cell>
          <cell r="B1128" t="str">
            <v>DUCK CREEK  MERCURY CONTROL</v>
          </cell>
          <cell r="C1128" t="str">
            <v>09V-NEW GEN &amp; ENV PROJECTS</v>
          </cell>
        </row>
        <row r="1129">
          <cell r="A1129">
            <v>15373</v>
          </cell>
          <cell r="B1129" t="str">
            <v>NEWTON U1 &amp; U2 FGD</v>
          </cell>
          <cell r="C1129" t="str">
            <v>09V-NEW GEN &amp; ENV PROJECTS</v>
          </cell>
        </row>
        <row r="1130">
          <cell r="A1130">
            <v>15375</v>
          </cell>
          <cell r="B1130" t="str">
            <v>COFF U1&amp;2 WET FLUE GAS DESULFUR</v>
          </cell>
          <cell r="C1130" t="str">
            <v>09V-NEW GEN &amp; ENV PROJECTS</v>
          </cell>
        </row>
        <row r="1131">
          <cell r="A1131">
            <v>15378</v>
          </cell>
          <cell r="B1131" t="str">
            <v>MEREDOSIA U3 NOX CONTROL</v>
          </cell>
          <cell r="C1131" t="str">
            <v>09V-NEW GEN &amp; ENV PROJECTS</v>
          </cell>
        </row>
        <row r="1132">
          <cell r="A1132">
            <v>15389</v>
          </cell>
          <cell r="B1132" t="str">
            <v>SECOND FLOOR WEST CEILING, STL GOB</v>
          </cell>
          <cell r="C1132" t="str">
            <v>072-BUILDING SERVICES-MO</v>
          </cell>
        </row>
        <row r="1133">
          <cell r="A1133">
            <v>15396</v>
          </cell>
          <cell r="B1133" t="str">
            <v>PROVIDENCE SUBD PH 1</v>
          </cell>
          <cell r="C1133" t="str">
            <v>070-JEFFERSON</v>
          </cell>
        </row>
        <row r="1134">
          <cell r="A1134">
            <v>15398</v>
          </cell>
          <cell r="B1134" t="str">
            <v>U2 REPLACE CYCLONES</v>
          </cell>
          <cell r="C1134" t="str">
            <v>09M-GENERATION PROJECT ENGINEERING</v>
          </cell>
        </row>
        <row r="1135">
          <cell r="A1135">
            <v>15425</v>
          </cell>
          <cell r="B1135" t="str">
            <v>ANNA JCT TO CAIRO POLE REPL RELIAB</v>
          </cell>
          <cell r="C1135" t="str">
            <v>4MS-DIVISION VII SUPPORT STAFF</v>
          </cell>
        </row>
        <row r="1136">
          <cell r="A1136">
            <v>15428</v>
          </cell>
          <cell r="B1136" t="str">
            <v>LABADIE U4 MERCURY CONTROL</v>
          </cell>
          <cell r="C1136" t="str">
            <v>09V-NEW GEN &amp; ENV PROJECTS</v>
          </cell>
        </row>
        <row r="1137">
          <cell r="A1137">
            <v>15430</v>
          </cell>
          <cell r="B1137" t="str">
            <v>MERAMEC U2 MERCURY MACT</v>
          </cell>
          <cell r="C1137" t="str">
            <v>09V-NEW GEN &amp; ENV PROJECTS</v>
          </cell>
        </row>
        <row r="1138">
          <cell r="A1138">
            <v>15431</v>
          </cell>
          <cell r="B1138" t="str">
            <v>MERAMEC U3 MERCURY CONTROL</v>
          </cell>
          <cell r="C1138" t="str">
            <v>09V-NEW GEN &amp; ENV PROJECTS</v>
          </cell>
        </row>
        <row r="1139">
          <cell r="A1139">
            <v>15432</v>
          </cell>
          <cell r="B1139" t="str">
            <v>MERAMEC U4 MERCURY CONTROL</v>
          </cell>
          <cell r="C1139" t="str">
            <v>09V-NEW GEN &amp; ENV PROJECTS</v>
          </cell>
        </row>
        <row r="1140">
          <cell r="A1140">
            <v>15436</v>
          </cell>
          <cell r="B1140" t="str">
            <v>COFFEEN U1 EXCITER REPLACEMENT</v>
          </cell>
          <cell r="C1140" t="str">
            <v>09M-GENERATION PROJECT ENGINEERING</v>
          </cell>
        </row>
        <row r="1141">
          <cell r="A1141">
            <v>15443</v>
          </cell>
          <cell r="B1141" t="str">
            <v>SIOUX U1 &amp; U2 WET FLUE GAS DESULFUR</v>
          </cell>
          <cell r="C1141" t="str">
            <v>09V-NEW GEN &amp; ENV PROJECTS</v>
          </cell>
        </row>
        <row r="1142">
          <cell r="A1142">
            <v>15447</v>
          </cell>
          <cell r="B1142" t="str">
            <v>HORINE 195-52 RECONDUCTOR</v>
          </cell>
          <cell r="C1142" t="str">
            <v>070-JEFFERSON</v>
          </cell>
        </row>
        <row r="1143">
          <cell r="A1143">
            <v>15449</v>
          </cell>
          <cell r="B1143" t="str">
            <v>LBD 5 TO 6 BELT TRANSFER CHUTE REPL</v>
          </cell>
          <cell r="C1143" t="str">
            <v>09M-GENERATION PROJECT ENGINEERING</v>
          </cell>
        </row>
        <row r="1144">
          <cell r="A1144">
            <v>15451</v>
          </cell>
          <cell r="B1144" t="str">
            <v>INSTALL 2 SUB EXITS FROM SECOND BAN</v>
          </cell>
          <cell r="C1144" t="str">
            <v>4MS-DIVISION VII SUPPORT STAFF</v>
          </cell>
        </row>
        <row r="1145">
          <cell r="A1145">
            <v>15452</v>
          </cell>
          <cell r="B1145" t="str">
            <v>CONVERT TOWN 4/12 KV</v>
          </cell>
          <cell r="C1145" t="str">
            <v>4MS-DIVISION VII SUPPORT STAFF</v>
          </cell>
        </row>
        <row r="1146">
          <cell r="A1146">
            <v>15475</v>
          </cell>
          <cell r="B1146" t="str">
            <v>KEOKUK STAY VANE ADDITION (1 OF 3)</v>
          </cell>
          <cell r="C1146" t="str">
            <v>09V-NEW GEN &amp; ENV PROJECTS</v>
          </cell>
        </row>
        <row r="1147">
          <cell r="A1147">
            <v>15477</v>
          </cell>
          <cell r="B1147" t="str">
            <v>KEOKUK UPGR STAY VANE ADD (2 OF 3)</v>
          </cell>
          <cell r="C1147" t="str">
            <v>09V-NEW GEN &amp; ENV PROJECTS</v>
          </cell>
        </row>
        <row r="1148">
          <cell r="A1148">
            <v>15478</v>
          </cell>
          <cell r="B1148" t="str">
            <v>KEOKUK UPGR STAY VANE ADD (3 OF 3)</v>
          </cell>
          <cell r="C1148" t="str">
            <v>09V-NEW GEN &amp; ENV PROJECTS</v>
          </cell>
        </row>
        <row r="1149">
          <cell r="A1149">
            <v>15481</v>
          </cell>
          <cell r="B1149" t="str">
            <v>NEWTON 1 HP/IP TURBINE UPGRADE</v>
          </cell>
          <cell r="C1149" t="str">
            <v>09M-GENERATION PROJECT ENGINEERING</v>
          </cell>
        </row>
        <row r="1150">
          <cell r="A1150">
            <v>15496</v>
          </cell>
          <cell r="B1150" t="str">
            <v>FRONTENAC SUBSTATION 2ND TRANSFORME</v>
          </cell>
          <cell r="C1150" t="str">
            <v>027-DORSETT</v>
          </cell>
        </row>
        <row r="1151">
          <cell r="A1151">
            <v>15519</v>
          </cell>
          <cell r="B1151" t="str">
            <v>TS TRANSFORMER FIRE PROTECTION</v>
          </cell>
          <cell r="C1151" t="str">
            <v>09M-GENERATION PROJECT ENGINEERING</v>
          </cell>
        </row>
        <row r="1152">
          <cell r="A1152">
            <v>15520</v>
          </cell>
          <cell r="B1152" t="str">
            <v>RUSH ISLAND-RAISE CONST PARKING LOT</v>
          </cell>
          <cell r="C1152" t="str">
            <v>087-FOSSIL FUELS</v>
          </cell>
        </row>
        <row r="1153">
          <cell r="A1153">
            <v>15522</v>
          </cell>
          <cell r="B1153" t="str">
            <v>UTILITY WASTE LANDFILL - PROPERTY</v>
          </cell>
          <cell r="C1153" t="str">
            <v>09M-GENERATION PROJECT ENGINEERING</v>
          </cell>
        </row>
        <row r="1154">
          <cell r="A1154">
            <v>15526</v>
          </cell>
          <cell r="B1154" t="str">
            <v>LABADIE PLANT 316B COMPLIANCE</v>
          </cell>
          <cell r="C1154" t="str">
            <v>09V-NEW GEN &amp; ENV PROJECTS</v>
          </cell>
        </row>
        <row r="1155">
          <cell r="A1155">
            <v>15527</v>
          </cell>
          <cell r="B1155" t="str">
            <v>LBD INTAKE DEBRIS CLEANING SYSTEM</v>
          </cell>
          <cell r="C1155" t="str">
            <v>09M-GENERATION PROJECT ENGINEERING</v>
          </cell>
        </row>
        <row r="1156">
          <cell r="A1156">
            <v>15528</v>
          </cell>
          <cell r="B1156" t="str">
            <v>MERAMEC PLANT 316B COMPLIANCE</v>
          </cell>
          <cell r="C1156" t="str">
            <v>09V-NEW GEN &amp; ENV PROJECTS</v>
          </cell>
        </row>
        <row r="1157">
          <cell r="A1157">
            <v>15529</v>
          </cell>
          <cell r="B1157" t="str">
            <v>KEOKUK STATION SERVICE BUS A &amp; B RE</v>
          </cell>
          <cell r="C1157" t="str">
            <v>09M-GENERATION PROJECT ENGINEERING</v>
          </cell>
        </row>
        <row r="1158">
          <cell r="A1158">
            <v>15531</v>
          </cell>
          <cell r="B1158" t="str">
            <v>SIOUX-316B COMPLIANCE</v>
          </cell>
          <cell r="C1158" t="str">
            <v>09V-NEW GEN &amp; ENV PROJECTS</v>
          </cell>
        </row>
        <row r="1159">
          <cell r="A1159">
            <v>15538</v>
          </cell>
          <cell r="B1159" t="str">
            <v>CIP MOBILE DATA MODEM REPLACEMENT</v>
          </cell>
          <cell r="C1159" t="str">
            <v>06M-CSF - TELECOM FIELD OPS</v>
          </cell>
        </row>
        <row r="1160">
          <cell r="A1160">
            <v>15546</v>
          </cell>
          <cell r="B1160" t="str">
            <v>AMERENUE 2005 PROJECT #15546</v>
          </cell>
          <cell r="C1160" t="str">
            <v>070-JEFFERSON</v>
          </cell>
        </row>
        <row r="1161">
          <cell r="A1161">
            <v>15547</v>
          </cell>
          <cell r="B1161" t="str">
            <v>RECNDCTR FEEDER 572-54 ALONG KNEFF</v>
          </cell>
          <cell r="C1161" t="str">
            <v>070-JEFFERSON</v>
          </cell>
        </row>
        <row r="1162">
          <cell r="A1162">
            <v>15548</v>
          </cell>
          <cell r="B1162" t="str">
            <v>LABADIE ASH BENEFICIAL USEWEST FACI</v>
          </cell>
          <cell r="C1162" t="str">
            <v>087-FOSSIL FUELS</v>
          </cell>
        </row>
        <row r="1163">
          <cell r="A1163">
            <v>15549</v>
          </cell>
          <cell r="B1163" t="str">
            <v>COFFEEN TRACK EXPANSION</v>
          </cell>
          <cell r="C1163" t="str">
            <v>087-FOSSIL FUELS</v>
          </cell>
        </row>
        <row r="1164">
          <cell r="A1164">
            <v>15552</v>
          </cell>
          <cell r="B1164" t="str">
            <v>RECONDUCTOR FDR 545-53 ALONG SALINE</v>
          </cell>
          <cell r="C1164" t="str">
            <v>070-JEFFERSON</v>
          </cell>
        </row>
        <row r="1165">
          <cell r="A1165">
            <v>15556</v>
          </cell>
          <cell r="B1165" t="str">
            <v>SPRING FOREST FEEDER 575-52 RECONDU</v>
          </cell>
          <cell r="C1165" t="str">
            <v>070-JEFFERSON</v>
          </cell>
        </row>
        <row r="1166">
          <cell r="A1166">
            <v>15558</v>
          </cell>
          <cell r="B1166" t="str">
            <v>EAGER 12KV FEEDER EXTENSION TO NORT</v>
          </cell>
          <cell r="C1166" t="str">
            <v>056-GERALDINE</v>
          </cell>
        </row>
        <row r="1167">
          <cell r="A1167">
            <v>15559</v>
          </cell>
          <cell r="B1167" t="str">
            <v>PARK EAST</v>
          </cell>
          <cell r="C1167" t="str">
            <v>056-GERALDINE</v>
          </cell>
        </row>
        <row r="1168">
          <cell r="A1168">
            <v>15560</v>
          </cell>
          <cell r="B1168" t="str">
            <v>BLAIR SUBSTATION</v>
          </cell>
          <cell r="C1168" t="str">
            <v>056-GERALDINE</v>
          </cell>
        </row>
        <row r="1169">
          <cell r="A1169">
            <v>15561</v>
          </cell>
          <cell r="B1169" t="str">
            <v>RELOCATION LINE 6936 FORREST HILL</v>
          </cell>
          <cell r="C1169" t="str">
            <v>617-NORTHERN ELECTRIC</v>
          </cell>
        </row>
        <row r="1170">
          <cell r="A1170">
            <v>15564</v>
          </cell>
          <cell r="B1170" t="str">
            <v>REMOVAL OF CLAYTON D 4KV UNIT</v>
          </cell>
          <cell r="C1170" t="str">
            <v>056-GERALDINE</v>
          </cell>
        </row>
        <row r="1171">
          <cell r="A1171">
            <v>15567</v>
          </cell>
          <cell r="B1171" t="str">
            <v>LBD U1 BOILER CLEANING IMPROVE</v>
          </cell>
          <cell r="C1171" t="str">
            <v>09M-GENERATION PROJECT ENGINEERING</v>
          </cell>
        </row>
        <row r="1172">
          <cell r="A1172">
            <v>15568</v>
          </cell>
          <cell r="B1172" t="str">
            <v>LBD U2 BOILER CLEAN IMPRV LOW.HYDRO</v>
          </cell>
          <cell r="C1172" t="str">
            <v>09M-GENERATION PROJECT ENGINEERING</v>
          </cell>
        </row>
        <row r="1173">
          <cell r="A1173">
            <v>15569</v>
          </cell>
          <cell r="B1173" t="str">
            <v>LBD U4 BOILER CLEANING IMPROVE</v>
          </cell>
          <cell r="C1173" t="str">
            <v>09M-GENERATION PROJECT ENGINEERING</v>
          </cell>
        </row>
        <row r="1174">
          <cell r="A1174">
            <v>15578</v>
          </cell>
          <cell r="B1174" t="str">
            <v>LBD U4 RECLAIM CHUTES REPL</v>
          </cell>
          <cell r="C1174" t="str">
            <v>09M-GENERATION PROJECT ENGINEERING</v>
          </cell>
        </row>
        <row r="1175">
          <cell r="A1175">
            <v>15579</v>
          </cell>
          <cell r="B1175" t="str">
            <v>LBD U1 RECLAIM CHUTES REPL</v>
          </cell>
          <cell r="C1175" t="str">
            <v>09M-GENERATION PROJECT ENGINEERING</v>
          </cell>
        </row>
        <row r="1176">
          <cell r="A1176">
            <v>15580</v>
          </cell>
          <cell r="B1176" t="str">
            <v>LBD U3 RECLAIM CHUTES REPL</v>
          </cell>
          <cell r="C1176" t="str">
            <v>09M-GENERATION PROJECT ENGINEERING</v>
          </cell>
        </row>
        <row r="1177">
          <cell r="A1177">
            <v>15588</v>
          </cell>
          <cell r="B1177" t="str">
            <v>MERAMEC U3 - 480V BUS REPLACEMENTS</v>
          </cell>
          <cell r="C1177" t="str">
            <v>09M-GENERATION PROJECT ENGINEERING</v>
          </cell>
        </row>
        <row r="1178">
          <cell r="A1178">
            <v>15590</v>
          </cell>
          <cell r="B1178" t="str">
            <v>MERAMEC U4C&amp;D- 480V PRECIP BUS REPL</v>
          </cell>
          <cell r="C1178" t="str">
            <v>09M-GENERATION PROJECT ENGINEERING</v>
          </cell>
        </row>
        <row r="1179">
          <cell r="A1179">
            <v>15604</v>
          </cell>
          <cell r="B1179" t="str">
            <v>MER U3 DA TANK REPL</v>
          </cell>
          <cell r="C1179" t="str">
            <v>09M-GENERATION PROJECT ENGINEERING</v>
          </cell>
        </row>
        <row r="1180">
          <cell r="A1180">
            <v>15605</v>
          </cell>
          <cell r="B1180" t="str">
            <v>BOURBEUSE 12KV FDRS BUILD 3.7 MI</v>
          </cell>
          <cell r="C1180" t="str">
            <v>068-FRANKLIN DISTRICT</v>
          </cell>
        </row>
        <row r="1181">
          <cell r="A1181">
            <v>15607</v>
          </cell>
          <cell r="B1181" t="str">
            <v>NEW PATTERSON FEEDER 229-53</v>
          </cell>
          <cell r="C1181" t="str">
            <v>055-BERKELEY</v>
          </cell>
        </row>
        <row r="1182">
          <cell r="A1182">
            <v>15610</v>
          </cell>
          <cell r="B1182" t="str">
            <v>BOSCHERT CREEK IMPROVEMENTS</v>
          </cell>
          <cell r="C1182" t="str">
            <v>037-TRANSMISSION</v>
          </cell>
        </row>
        <row r="1183">
          <cell r="A1183">
            <v>15617</v>
          </cell>
          <cell r="B1183" t="str">
            <v>RI U2 HWAH SYSTEM DEMO</v>
          </cell>
          <cell r="C1183" t="str">
            <v>09M-GENERATION PROJECT ENGINEERING</v>
          </cell>
        </row>
        <row r="1184">
          <cell r="A1184">
            <v>15629</v>
          </cell>
          <cell r="B1184" t="str">
            <v>MER U3 CABLE REPL - END OF LIFE</v>
          </cell>
          <cell r="C1184" t="str">
            <v>09M-GENERATION PROJECT ENGINEERING</v>
          </cell>
        </row>
        <row r="1185">
          <cell r="A1185">
            <v>15630</v>
          </cell>
          <cell r="B1185" t="str">
            <v>MERAMEC PLC NETWORK HISTORIAN</v>
          </cell>
          <cell r="C1185" t="str">
            <v>81D-GEN PERF MONITOR &amp; ASSESS</v>
          </cell>
        </row>
        <row r="1186">
          <cell r="A1186">
            <v>15659</v>
          </cell>
          <cell r="B1186" t="str">
            <v>RI Potable Water Upgrades</v>
          </cell>
          <cell r="C1186" t="str">
            <v>09M-GENERATION PROJECT ENGINEERING</v>
          </cell>
        </row>
        <row r="1187">
          <cell r="A1187">
            <v>15665</v>
          </cell>
          <cell r="B1187" t="str">
            <v>Labadie 4 Isophase Bus Duct Cooling</v>
          </cell>
          <cell r="C1187" t="str">
            <v>09M-GENERATION PROJECT ENGINEERING</v>
          </cell>
        </row>
        <row r="1188">
          <cell r="A1188">
            <v>15673</v>
          </cell>
          <cell r="B1188" t="str">
            <v>OSAGE - HOUSE GENERATOR UPGRADES</v>
          </cell>
          <cell r="C1188" t="str">
            <v>09M-GENERATION PROJECT ENGINEERING</v>
          </cell>
        </row>
        <row r="1189">
          <cell r="A1189">
            <v>15680</v>
          </cell>
          <cell r="B1189" t="str">
            <v>RI CONVEYOR 4 TO 5 TRANSFER CHUTES</v>
          </cell>
          <cell r="C1189" t="str">
            <v>09M-GENERATION PROJECT ENGINEERING</v>
          </cell>
        </row>
        <row r="1190">
          <cell r="A1190">
            <v>15682</v>
          </cell>
          <cell r="B1190" t="str">
            <v>SIOUX PET COKE BLENDING SYSTEM</v>
          </cell>
          <cell r="C1190" t="str">
            <v>09V-NEW GEN &amp; ENV PROJECTS</v>
          </cell>
        </row>
        <row r="1191">
          <cell r="A1191">
            <v>15686</v>
          </cell>
          <cell r="B1191" t="str">
            <v>LOOSE CREEK TRANSMISS  LINE 800 MHZ</v>
          </cell>
          <cell r="C1191" t="str">
            <v>06H-NEO - ENTERPRISE NETWORKING</v>
          </cell>
        </row>
        <row r="1192">
          <cell r="A1192">
            <v>15692</v>
          </cell>
          <cell r="B1192" t="str">
            <v>STATE HIGHWAY 367 WIDENING</v>
          </cell>
          <cell r="C1192" t="str">
            <v>055-BERKELEY</v>
          </cell>
        </row>
        <row r="1193">
          <cell r="A1193">
            <v>15694</v>
          </cell>
          <cell r="B1193" t="str">
            <v>SALE OF HWY 54 PROPERTY</v>
          </cell>
          <cell r="C1193" t="str">
            <v>061-REAL ESTATE</v>
          </cell>
        </row>
        <row r="1194">
          <cell r="A1194">
            <v>15700</v>
          </cell>
          <cell r="B1194" t="str">
            <v>RUSH ISLAND BOILER ROOM VENTILATION</v>
          </cell>
          <cell r="C1194" t="str">
            <v>09M-GENERATION PROJECT ENGINEERING</v>
          </cell>
        </row>
        <row r="1195">
          <cell r="A1195">
            <v>15718</v>
          </cell>
          <cell r="B1195" t="str">
            <v>PUMPED HYDRO</v>
          </cell>
          <cell r="C1195" t="str">
            <v>09V-NEW GEN &amp; ENV PROJECTS</v>
          </cell>
        </row>
        <row r="1196">
          <cell r="A1196">
            <v>15723</v>
          </cell>
          <cell r="B1196" t="str">
            <v>LABADIE - INST.345KV BUS POT. XFMRS</v>
          </cell>
          <cell r="C1196" t="str">
            <v>09E-ELECTRICAL ENGINEERING</v>
          </cell>
        </row>
        <row r="1197">
          <cell r="A1197">
            <v>15733</v>
          </cell>
          <cell r="B1197" t="str">
            <v>MER U3 MIDDLE BANK REHEATER REPL</v>
          </cell>
          <cell r="C1197" t="str">
            <v>09M-GENERATION PROJECT ENGINEERING</v>
          </cell>
        </row>
        <row r="1198">
          <cell r="A1198">
            <v>15736</v>
          </cell>
          <cell r="B1198" t="str">
            <v>MID RIVERS 161-12KV - ADD 2ND UNIT</v>
          </cell>
          <cell r="C1198" t="str">
            <v>09E-ELECTRICAL ENGINEERING</v>
          </cell>
        </row>
        <row r="1199">
          <cell r="A1199">
            <v>15739</v>
          </cell>
          <cell r="B1199" t="str">
            <v>2005 UEC 800 MHZ RADIO REPLACEMENT</v>
          </cell>
          <cell r="C1199" t="str">
            <v>06H-NEO - ENTERPRISE NETWORKING</v>
          </cell>
        </row>
        <row r="1200">
          <cell r="A1200">
            <v>15758</v>
          </cell>
          <cell r="B1200" t="str">
            <v>ANNA QUARRIES RELOCATION</v>
          </cell>
          <cell r="C1200" t="str">
            <v>4MS-DIVISION VII SUPPORT STAFF</v>
          </cell>
        </row>
        <row r="1201">
          <cell r="A1201">
            <v>15764</v>
          </cell>
          <cell r="B1201" t="str">
            <v>SL - TRACT - KEOKUK FLOWAGE (BOX)</v>
          </cell>
          <cell r="C1201" t="str">
            <v>061-REAL ESTATE</v>
          </cell>
        </row>
        <row r="1202">
          <cell r="A1202">
            <v>15782</v>
          </cell>
          <cell r="B1202" t="str">
            <v>IP ACQUISITION INTEGRATION-NONLABOR</v>
          </cell>
          <cell r="C1202" t="str">
            <v>012-CORPORATE PLANNING</v>
          </cell>
        </row>
        <row r="1203">
          <cell r="A1203">
            <v>15784</v>
          </cell>
          <cell r="B1203" t="str">
            <v>BELLEFOUNTAINE 53, RECONDUCTOR 4.54</v>
          </cell>
          <cell r="C1203" t="str">
            <v>0PT-POTOSI</v>
          </cell>
        </row>
        <row r="1204">
          <cell r="A1204">
            <v>15790</v>
          </cell>
          <cell r="B1204" t="str">
            <v>HORSESHOE BEND -SCADA INSTALLATION</v>
          </cell>
          <cell r="C1204" t="str">
            <v>09E-ELECTRICAL ENGINEERING</v>
          </cell>
        </row>
        <row r="1205">
          <cell r="A1205">
            <v>15792</v>
          </cell>
          <cell r="B1205" t="str">
            <v>SL - PORTION OF EFFINGHAM DIST SRV</v>
          </cell>
          <cell r="C1205" t="str">
            <v>061-REAL ESTATE</v>
          </cell>
        </row>
        <row r="1206">
          <cell r="A1206">
            <v>15804</v>
          </cell>
          <cell r="B1206" t="str">
            <v>COFFEEN PLANT 316B COMPLIANCE</v>
          </cell>
          <cell r="C1206" t="str">
            <v>09V-NEW GEN &amp; ENV PROJECTS</v>
          </cell>
        </row>
        <row r="1207">
          <cell r="A1207">
            <v>15805</v>
          </cell>
          <cell r="B1207" t="str">
            <v>EDWARDS PLANT 316B COMPLIANCE</v>
          </cell>
          <cell r="C1207" t="str">
            <v>09V-NEW GEN &amp; ENV PROJECTS</v>
          </cell>
        </row>
        <row r="1208">
          <cell r="A1208">
            <v>15806</v>
          </cell>
          <cell r="B1208" t="str">
            <v>GRAND TOWER PLANT 316B COMPLIANCE</v>
          </cell>
          <cell r="C1208" t="str">
            <v>09V-NEW GEN &amp; ENV PROJECTS</v>
          </cell>
        </row>
        <row r="1209">
          <cell r="A1209">
            <v>15807</v>
          </cell>
          <cell r="B1209" t="str">
            <v>HUTSONVILLE PLANT 316B COMPLIANCE</v>
          </cell>
          <cell r="C1209" t="str">
            <v>09V-NEW GEN &amp; ENV PROJECTS</v>
          </cell>
        </row>
        <row r="1210">
          <cell r="A1210">
            <v>15808</v>
          </cell>
          <cell r="B1210" t="str">
            <v>MEREDOSIA PLANT 316B COMPLIANCE</v>
          </cell>
          <cell r="C1210" t="str">
            <v>09V-NEW GEN &amp; ENV PROJECTS</v>
          </cell>
        </row>
        <row r="1211">
          <cell r="A1211">
            <v>15809</v>
          </cell>
          <cell r="B1211" t="str">
            <v>NEWTON PLANT 316B COMPLIANCE</v>
          </cell>
          <cell r="C1211" t="str">
            <v>09V-NEW GEN &amp; ENV PROJECTS</v>
          </cell>
        </row>
        <row r="1212">
          <cell r="A1212">
            <v>15837</v>
          </cell>
          <cell r="B1212" t="str">
            <v>CALLAWAY ROUTERSWITCH REPLACEMENT</v>
          </cell>
          <cell r="C1212" t="str">
            <v>06C-INF - STL CENTRAL SERVER OPS</v>
          </cell>
        </row>
        <row r="1213">
          <cell r="A1213">
            <v>15845</v>
          </cell>
          <cell r="B1213" t="str">
            <v>BONNE TERRE FDR 54 RECONDUCTOR</v>
          </cell>
          <cell r="C1213" t="str">
            <v>071-ST. FRANCOIS</v>
          </cell>
        </row>
        <row r="1214">
          <cell r="A1214">
            <v>15850</v>
          </cell>
          <cell r="B1214" t="str">
            <v>RUSH ISLAND COAL RECEIVING FEEDER R</v>
          </cell>
          <cell r="C1214" t="str">
            <v>09M-GENERATION PROJECT ENGINEERING</v>
          </cell>
        </row>
        <row r="1215">
          <cell r="A1215">
            <v>15867</v>
          </cell>
          <cell r="B1215" t="str">
            <v>RT.29 SHARPSBURG</v>
          </cell>
          <cell r="C1215" t="str">
            <v>2MS-DIVISION IV SUPPORT STAFF</v>
          </cell>
        </row>
        <row r="1216">
          <cell r="A1216">
            <v>15870</v>
          </cell>
          <cell r="B1216" t="str">
            <v>RI TURB GENERATOR MONITORING</v>
          </cell>
          <cell r="C1216" t="str">
            <v>09M-GENERATION PROJECT ENGINEERING</v>
          </cell>
        </row>
        <row r="1217">
          <cell r="A1217">
            <v>15871</v>
          </cell>
          <cell r="B1217" t="str">
            <v>SIOUX TURBINE GENERATOR MONITORING</v>
          </cell>
          <cell r="C1217" t="str">
            <v>09M-GENERATION PROJECT ENGINEERING</v>
          </cell>
        </row>
        <row r="1218">
          <cell r="A1218">
            <v>15885</v>
          </cell>
          <cell r="B1218" t="str">
            <v>NPS U1 BFP TURBINES RETROFIT</v>
          </cell>
          <cell r="C1218" t="str">
            <v>09M-GENERATION PROJECT ENGINEERING</v>
          </cell>
        </row>
        <row r="1219">
          <cell r="A1219">
            <v>15897</v>
          </cell>
          <cell r="B1219" t="str">
            <v>ST. CLAIR 179-53 REBUILD HWY AB</v>
          </cell>
          <cell r="C1219" t="str">
            <v>068-FRANKLIN DISTRICT</v>
          </cell>
        </row>
        <row r="1220">
          <cell r="A1220">
            <v>15909</v>
          </cell>
          <cell r="B1220" t="str">
            <v>BELGRADE SUB CONNECTION</v>
          </cell>
          <cell r="C1220" t="str">
            <v>09E-ELECTRICAL ENGINEERING</v>
          </cell>
        </row>
        <row r="1221">
          <cell r="A1221">
            <v>15915</v>
          </cell>
          <cell r="B1221" t="str">
            <v>Line 3468 Rebuild</v>
          </cell>
          <cell r="C1221" t="str">
            <v>604-LINCOLN ELEC OPS</v>
          </cell>
        </row>
        <row r="1222">
          <cell r="A1222">
            <v>15917</v>
          </cell>
          <cell r="B1222" t="str">
            <v>BOWLES 2ND UNIT</v>
          </cell>
          <cell r="C1222" t="str">
            <v>052-MACKENZIE</v>
          </cell>
        </row>
        <row r="1223">
          <cell r="A1223">
            <v>15921</v>
          </cell>
          <cell r="B1223" t="str">
            <v>JFFRSON COUNTY HWY DEPT-PROJ #15921</v>
          </cell>
          <cell r="C1223" t="str">
            <v>070-JEFFERSON</v>
          </cell>
        </row>
        <row r="1224">
          <cell r="A1224">
            <v>15922</v>
          </cell>
          <cell r="B1224" t="str">
            <v>JFRSN CNTY HWY DPT-3TH PARTPJ#15922</v>
          </cell>
          <cell r="C1224" t="str">
            <v>070-JEFFERSON</v>
          </cell>
        </row>
        <row r="1225">
          <cell r="A1225">
            <v>15931</v>
          </cell>
          <cell r="B1225" t="str">
            <v>Robinson-Marath.-Upgr. 138kV Cap.Bk</v>
          </cell>
          <cell r="C1225" t="str">
            <v>09E-ELECTRICAL ENGINEERING</v>
          </cell>
        </row>
        <row r="1226">
          <cell r="A1226">
            <v>15932</v>
          </cell>
          <cell r="B1226" t="str">
            <v>Lakeshire-Rly Rpl Mer-Wat-2 (TAM07)</v>
          </cell>
          <cell r="C1226" t="str">
            <v>09E-ELECTRICAL ENGINEERING</v>
          </cell>
        </row>
        <row r="1227">
          <cell r="A1227">
            <v>15933</v>
          </cell>
          <cell r="B1227" t="str">
            <v>Watson-Relay Rpl Mer-Wat-2 (TAM07)</v>
          </cell>
          <cell r="C1227" t="str">
            <v>09E-ELECTRICAL ENGINEERING</v>
          </cell>
        </row>
        <row r="1228">
          <cell r="A1228">
            <v>15936</v>
          </cell>
          <cell r="B1228" t="str">
            <v>VENICE - REPL 6-69KV PCBS</v>
          </cell>
          <cell r="C1228" t="str">
            <v>09E-ELECTRICAL ENGINEERING</v>
          </cell>
        </row>
        <row r="1229">
          <cell r="A1229">
            <v>15937</v>
          </cell>
          <cell r="B1229" t="str">
            <v>CANTON ETHANOL PLANT GAS MAIN EXT</v>
          </cell>
          <cell r="C1229" t="str">
            <v>0G1-GAS TECH SERVICES - CIP</v>
          </cell>
        </row>
        <row r="1230">
          <cell r="A1230">
            <v>15938</v>
          </cell>
          <cell r="B1230" t="str">
            <v>WENTZVILLE CAPACITY ADD - PHASE I</v>
          </cell>
          <cell r="C1230" t="str">
            <v>0G3-GAS TECH SERVICES - UEC</v>
          </cell>
        </row>
        <row r="1231">
          <cell r="A1231">
            <v>15961</v>
          </cell>
          <cell r="B1231" t="str">
            <v>Purchase of property for Illinois B</v>
          </cell>
          <cell r="C1231" t="str">
            <v>07N-BUILDING SERVICES-IL</v>
          </cell>
        </row>
        <row r="1232">
          <cell r="A1232">
            <v>15964</v>
          </cell>
          <cell r="B1232" t="str">
            <v>DUCK CREEK WFGD UPGRADE</v>
          </cell>
          <cell r="C1232" t="str">
            <v>09V-NEW GEN &amp; ENV PROJECTS</v>
          </cell>
        </row>
        <row r="1233">
          <cell r="A1233">
            <v>15966</v>
          </cell>
          <cell r="B1233" t="str">
            <v>ADAIR - 161KV, 1200A BUS-TIE PCB</v>
          </cell>
          <cell r="C1233" t="str">
            <v>09E-ELECTRICAL ENGINEERING</v>
          </cell>
        </row>
        <row r="1234">
          <cell r="A1234">
            <v>15971</v>
          </cell>
          <cell r="B1234" t="str">
            <v>Labadie -Rpl 4-345, 41kA PCB w-50kA</v>
          </cell>
          <cell r="C1234" t="str">
            <v>09E-ELECTRICAL ENGINEERING</v>
          </cell>
        </row>
        <row r="1235">
          <cell r="A1235">
            <v>15973</v>
          </cell>
          <cell r="B1235" t="str">
            <v>Hampton - Rebuild Sub - Phase 1</v>
          </cell>
          <cell r="C1235" t="str">
            <v>09E-ELECTRICAL ENGINEERING</v>
          </cell>
        </row>
        <row r="1236">
          <cell r="A1236">
            <v>15974</v>
          </cell>
          <cell r="B1236" t="str">
            <v>Friedens - New 34-12kV Sub. 22MVA</v>
          </cell>
          <cell r="C1236" t="str">
            <v>09E-ELECTRICAL ENGINEERING</v>
          </cell>
        </row>
        <row r="1237">
          <cell r="A1237">
            <v>15975</v>
          </cell>
          <cell r="B1237" t="str">
            <v>FENTON FLOOD SITE-PREP.FOR MOBILE</v>
          </cell>
          <cell r="C1237" t="str">
            <v>09E-ELECTRICAL ENGINEERING</v>
          </cell>
        </row>
        <row r="1238">
          <cell r="A1238">
            <v>15978</v>
          </cell>
          <cell r="B1238" t="str">
            <v>FRONTENAC -UNIT D (34-12KV, 22MVA)</v>
          </cell>
          <cell r="C1238" t="str">
            <v>09E-ELECTRICAL ENGINEERING</v>
          </cell>
        </row>
        <row r="1239">
          <cell r="A1239">
            <v>15979</v>
          </cell>
          <cell r="B1239" t="str">
            <v>Maxville - 34-12kV, 22MVA, Unit D</v>
          </cell>
          <cell r="C1239" t="str">
            <v>09E-ELECTRICAL ENGINEERING</v>
          </cell>
        </row>
        <row r="1240">
          <cell r="A1240">
            <v>15980</v>
          </cell>
          <cell r="B1240" t="str">
            <v>JC STORAGE INJECTIONWITHDRAWAL WELL</v>
          </cell>
          <cell r="C1240" t="str">
            <v>0G6-GAS STORAGE</v>
          </cell>
        </row>
        <row r="1241">
          <cell r="A1241">
            <v>15982</v>
          </cell>
          <cell r="B1241" t="str">
            <v>PEORIA GOB - REPLACE CURTAIN WALL</v>
          </cell>
          <cell r="C1241" t="str">
            <v>07W-BLDG SVCS-CIL</v>
          </cell>
        </row>
        <row r="1242">
          <cell r="A1242">
            <v>15983</v>
          </cell>
          <cell r="B1242" t="str">
            <v>COFFEEN U1 PHASE 1 CAIR</v>
          </cell>
          <cell r="C1242" t="str">
            <v>09V-NEW GEN &amp; ENV PROJECTS</v>
          </cell>
        </row>
        <row r="1243">
          <cell r="A1243">
            <v>15984</v>
          </cell>
          <cell r="B1243" t="str">
            <v>MEPPEN NORTH - 138KV LINE BREAKER</v>
          </cell>
          <cell r="C1243" t="str">
            <v>09E-ELECTRICAL ENGINEERING</v>
          </cell>
        </row>
        <row r="1244">
          <cell r="A1244">
            <v>15989</v>
          </cell>
          <cell r="B1244" t="str">
            <v>Carb-Univ Mall -Rpl 34-12 Xfmr &amp; CR</v>
          </cell>
          <cell r="C1244" t="str">
            <v>09E-ELECTRICAL ENGINEERING</v>
          </cell>
        </row>
        <row r="1245">
          <cell r="A1245">
            <v>15993</v>
          </cell>
          <cell r="B1245" t="str">
            <v>MARION-RPL 34-12 10MVA XFMR W-14MVA</v>
          </cell>
          <cell r="C1245" t="str">
            <v>09E-ELECTRICAL ENGINEERING</v>
          </cell>
        </row>
        <row r="1246">
          <cell r="A1246">
            <v>15996</v>
          </cell>
          <cell r="B1246" t="str">
            <v>CARRIER MILLS - CONVERT 4KV TO 12KV</v>
          </cell>
          <cell r="C1246" t="str">
            <v>09E-ELECTRICAL ENGINEERING</v>
          </cell>
        </row>
        <row r="1247">
          <cell r="A1247">
            <v>15997</v>
          </cell>
          <cell r="B1247" t="str">
            <v>Belgrade - New 161-25kV Sub.</v>
          </cell>
          <cell r="C1247" t="str">
            <v>09E-ELECTRICAL ENGINEERING</v>
          </cell>
        </row>
        <row r="1248">
          <cell r="A1248">
            <v>15998</v>
          </cell>
          <cell r="B1248" t="str">
            <v>HOWARD BEND - SITE PURCHASE</v>
          </cell>
          <cell r="C1248" t="str">
            <v>09E-ELECTRICAL ENGINEERING</v>
          </cell>
        </row>
        <row r="1249">
          <cell r="A1249">
            <v>16001</v>
          </cell>
          <cell r="B1249" t="str">
            <v>BLAIR SUB REPLACEMENT</v>
          </cell>
          <cell r="C1249" t="str">
            <v>09E-ELECTRICAL ENGINEERING</v>
          </cell>
        </row>
        <row r="1250">
          <cell r="A1250">
            <v>16002</v>
          </cell>
          <cell r="B1250" t="str">
            <v>BELLEFNTN.-RPL W-5.6-7MVA LTC XFMR</v>
          </cell>
          <cell r="C1250" t="str">
            <v>09E-ELECTRICAL ENGINEERING</v>
          </cell>
        </row>
        <row r="1251">
          <cell r="A1251">
            <v>16003</v>
          </cell>
          <cell r="B1251" t="str">
            <v>ELM GROVE - FEEDER POSN. #4</v>
          </cell>
          <cell r="C1251" t="str">
            <v>09E-ELECTRICAL ENGINEERING</v>
          </cell>
        </row>
        <row r="1252">
          <cell r="A1252">
            <v>16026</v>
          </cell>
          <cell r="B1252" t="str">
            <v>DORSETT TRAINING FACILITY EXPANSION</v>
          </cell>
          <cell r="C1252" t="str">
            <v>072-BUILDING SERVICES-MO</v>
          </cell>
        </row>
        <row r="1253">
          <cell r="A1253">
            <v>16029</v>
          </cell>
          <cell r="B1253" t="str">
            <v>STL Underground - Replace roof</v>
          </cell>
          <cell r="C1253" t="str">
            <v>072-BUILDING SERVICES-MO</v>
          </cell>
        </row>
        <row r="1254">
          <cell r="A1254">
            <v>16030</v>
          </cell>
          <cell r="B1254" t="str">
            <v>DORSETT SUBSTATION REPORTING CENTER</v>
          </cell>
          <cell r="C1254" t="str">
            <v>072-BUILDING SERVICES-MO</v>
          </cell>
        </row>
        <row r="1255">
          <cell r="A1255">
            <v>16031</v>
          </cell>
          <cell r="B1255" t="str">
            <v>NEWTON TURB. FLOOR FIRE PROT-U1&amp;2</v>
          </cell>
          <cell r="C1255" t="str">
            <v>09M-GENERATION PROJECT ENGINEERING</v>
          </cell>
        </row>
        <row r="1256">
          <cell r="A1256">
            <v>16053</v>
          </cell>
          <cell r="B1256" t="str">
            <v>Cape Girardeau - New Garage</v>
          </cell>
          <cell r="C1256" t="str">
            <v>072-BUILDING SERVICES-MO</v>
          </cell>
        </row>
        <row r="1257">
          <cell r="A1257">
            <v>16070</v>
          </cell>
          <cell r="B1257" t="str">
            <v>CI Repl - Boonville - 6th, 7th, Mor</v>
          </cell>
          <cell r="C1257" t="str">
            <v>4MX-LITTLE DIXIE SUPPORT STAFF</v>
          </cell>
        </row>
        <row r="1258">
          <cell r="A1258">
            <v>16074</v>
          </cell>
          <cell r="B1258" t="str">
            <v>CI Repl - Moberly - Franklin, Bertl</v>
          </cell>
          <cell r="C1258" t="str">
            <v>4MX-LITTLE DIXIE SUPPORT STAFF</v>
          </cell>
        </row>
        <row r="1259">
          <cell r="A1259">
            <v>16076</v>
          </cell>
          <cell r="B1259" t="str">
            <v>CI Repl - Mexico - Jackson, Liberty</v>
          </cell>
          <cell r="C1259" t="str">
            <v>4MX-LITTLE DIXIE SUPPORT STAFF</v>
          </cell>
        </row>
        <row r="1260">
          <cell r="A1260">
            <v>16088</v>
          </cell>
          <cell r="B1260" t="str">
            <v>Jennings - Unit W Removal</v>
          </cell>
          <cell r="C1260" t="str">
            <v>09E-ELECTRICAL ENGINEERING</v>
          </cell>
        </row>
        <row r="1261">
          <cell r="A1261">
            <v>16090</v>
          </cell>
          <cell r="B1261" t="str">
            <v>HALL ST. - ADD 3RD XFMR POSITION</v>
          </cell>
          <cell r="C1261" t="str">
            <v>09E-ELECTRICAL ENGINEERING</v>
          </cell>
        </row>
        <row r="1262">
          <cell r="A1262">
            <v>16095</v>
          </cell>
          <cell r="B1262" t="str">
            <v>MEREDOSIA -RPL 50MVA XFMRS W-112MVA</v>
          </cell>
          <cell r="C1262" t="str">
            <v>09E-ELECTRICAL ENGINEERING</v>
          </cell>
        </row>
        <row r="1263">
          <cell r="A1263">
            <v>16106</v>
          </cell>
          <cell r="B1263" t="str">
            <v>KINMUNDY-LOUISV. -INCR.GRD.CLEAR.</v>
          </cell>
          <cell r="C1263" t="str">
            <v>09E-ELECTRICAL ENGINEERING</v>
          </cell>
        </row>
        <row r="1264">
          <cell r="A1264">
            <v>16107</v>
          </cell>
          <cell r="B1264" t="str">
            <v>GR.TOWER-CARBOND. - INCR.GRD.CLEAR.</v>
          </cell>
          <cell r="C1264" t="str">
            <v>09E-ELECTRICAL ENGINEERING</v>
          </cell>
        </row>
        <row r="1265">
          <cell r="A1265">
            <v>16108</v>
          </cell>
          <cell r="B1265" t="str">
            <v>KINMUNDY-SALEM W. - INCR.GRD.CLEAR.</v>
          </cell>
          <cell r="C1265" t="str">
            <v>09E-ELECTRICAL ENGINEERING</v>
          </cell>
        </row>
        <row r="1266">
          <cell r="A1266">
            <v>16109</v>
          </cell>
          <cell r="B1266" t="str">
            <v>MEREDOSIA-FREDERICK-INCR.GRD.CLEAR.</v>
          </cell>
          <cell r="C1266" t="str">
            <v>09E-ELECTRICAL ENGINEERING</v>
          </cell>
        </row>
        <row r="1267">
          <cell r="A1267">
            <v>16113</v>
          </cell>
          <cell r="B1267" t="str">
            <v>NEW ERA ROAD RELOCATION</v>
          </cell>
          <cell r="C1267" t="str">
            <v>0G1-GAS TECH SERVICES - CIP</v>
          </cell>
        </row>
        <row r="1268">
          <cell r="A1268">
            <v>16114</v>
          </cell>
          <cell r="B1268" t="str">
            <v>CASEY-BREED -RECOND.WABASH RIV.XING</v>
          </cell>
          <cell r="C1268" t="str">
            <v>09E-ELECTRICAL ENGINEERING</v>
          </cell>
        </row>
        <row r="1269">
          <cell r="A1269">
            <v>16116</v>
          </cell>
          <cell r="B1269" t="str">
            <v>L1436 - RECOND. 8.25 MILE</v>
          </cell>
          <cell r="C1269" t="str">
            <v>09E-ELECTRICAL ENGINEERING</v>
          </cell>
        </row>
        <row r="1270">
          <cell r="A1270">
            <v>16117</v>
          </cell>
          <cell r="B1270" t="str">
            <v>KELSO-STOD-INOUT-MORLEY-AECI-REIMB</v>
          </cell>
          <cell r="C1270" t="str">
            <v>09E-ELECTRICAL ENGINEERING</v>
          </cell>
        </row>
        <row r="1271">
          <cell r="A1271">
            <v>16118</v>
          </cell>
          <cell r="B1271" t="str">
            <v>RIV-CAPE-INOUT-BURFORDV.AECI-REIMB</v>
          </cell>
          <cell r="C1271" t="str">
            <v>09E-ELECTRICAL ENGINEERING</v>
          </cell>
        </row>
        <row r="1272">
          <cell r="A1272">
            <v>16119</v>
          </cell>
          <cell r="B1272" t="str">
            <v>Venice CTG 3-4 Related CIP Swyd Wk</v>
          </cell>
          <cell r="C1272" t="str">
            <v>09E-ELECTRICAL ENGINEERING</v>
          </cell>
        </row>
        <row r="1273">
          <cell r="A1273">
            <v>16120</v>
          </cell>
          <cell r="B1273" t="str">
            <v>ELDON WHQ &amp; WAREHOUSE SALE</v>
          </cell>
          <cell r="C1273" t="str">
            <v>061-REAL ESTATE</v>
          </cell>
        </row>
        <row r="1274">
          <cell r="A1274">
            <v>16129</v>
          </cell>
          <cell r="B1274" t="str">
            <v>MERCURY BASELINE TESTING - UEC</v>
          </cell>
          <cell r="C1274" t="str">
            <v>09V-NEW GEN &amp; ENV PROJECTS</v>
          </cell>
        </row>
        <row r="1275">
          <cell r="A1275">
            <v>16130</v>
          </cell>
          <cell r="B1275" t="str">
            <v>MERCURY BASELINE TESTING - GEN</v>
          </cell>
          <cell r="C1275" t="str">
            <v>09V-NEW GEN &amp; ENV PROJECTS</v>
          </cell>
        </row>
        <row r="1276">
          <cell r="A1276">
            <v>16134</v>
          </cell>
          <cell r="B1276" t="str">
            <v>FUEL FLEXIBILITY 20% WESTERN FUEL H</v>
          </cell>
          <cell r="C1276" t="str">
            <v>145-HUTSONVILLE</v>
          </cell>
        </row>
        <row r="1277">
          <cell r="A1277">
            <v>16143</v>
          </cell>
          <cell r="B1277" t="str">
            <v>ALTON BULK SUB SITE ACQUISITION</v>
          </cell>
          <cell r="C1277" t="str">
            <v>09E-ELECTRICAL ENGINEERING</v>
          </cell>
        </row>
        <row r="1278">
          <cell r="A1278">
            <v>16145</v>
          </cell>
          <cell r="B1278" t="str">
            <v>COFFEEN FIRE PROTECTION-TURBINE &amp; B</v>
          </cell>
          <cell r="C1278" t="str">
            <v>09M-GENERATION PROJECT ENGINEERING</v>
          </cell>
        </row>
        <row r="1279">
          <cell r="A1279">
            <v>16147</v>
          </cell>
          <cell r="B1279" t="str">
            <v>SIOUX U2 NORTH MSV REPLACEMENT</v>
          </cell>
          <cell r="C1279" t="str">
            <v>09M-GENERATION PROJECT ENGINEERING</v>
          </cell>
        </row>
        <row r="1280">
          <cell r="A1280">
            <v>16159</v>
          </cell>
          <cell r="B1280" t="str">
            <v>SLU MEDICAL RESEARCH BLDG - RELOCS</v>
          </cell>
          <cell r="C1280" t="str">
            <v>056-GERALDINE</v>
          </cell>
        </row>
        <row r="1281">
          <cell r="A1281">
            <v>16162</v>
          </cell>
          <cell r="B1281" t="str">
            <v>ALBION SO-138KV PCB-FAIRFIELD-REIMB</v>
          </cell>
          <cell r="C1281" t="str">
            <v>09E-ELECTRICAL ENGINEERING</v>
          </cell>
        </row>
        <row r="1282">
          <cell r="A1282">
            <v>16179</v>
          </cell>
          <cell r="B1282" t="str">
            <v>NEWTON 2 HPIP TURBINE RETROFIT</v>
          </cell>
          <cell r="C1282" t="str">
            <v>09M-GENERATION PROJECT ENGINEERING</v>
          </cell>
        </row>
        <row r="1283">
          <cell r="A1283">
            <v>16185</v>
          </cell>
          <cell r="B1283" t="str">
            <v>KANSAS WEST - 345 KV AUTO REPLACEMT</v>
          </cell>
          <cell r="C1283" t="str">
            <v>09E-ELECTRICAL ENGINEERING</v>
          </cell>
        </row>
        <row r="1284">
          <cell r="A1284">
            <v>16189</v>
          </cell>
          <cell r="B1284" t="str">
            <v>PIONEER PARK PARKING LOT RELO</v>
          </cell>
          <cell r="C1284" t="str">
            <v>668-IL OPS ADMIN DIV I II III</v>
          </cell>
        </row>
        <row r="1285">
          <cell r="A1285">
            <v>16190</v>
          </cell>
          <cell r="B1285" t="str">
            <v>SL - LAWRENCEVILLE PROP</v>
          </cell>
          <cell r="C1285" t="str">
            <v>061-REAL ESTATE</v>
          </cell>
        </row>
        <row r="1286">
          <cell r="A1286">
            <v>16193</v>
          </cell>
          <cell r="B1286" t="str">
            <v>MERAMEC 1&amp;2 RET &amp; REM MILL INERTING</v>
          </cell>
          <cell r="C1286" t="str">
            <v>09M-GENERATION PROJECT ENGINEERING</v>
          </cell>
        </row>
        <row r="1287">
          <cell r="A1287">
            <v>16195</v>
          </cell>
          <cell r="B1287" t="str">
            <v>MRD ID FAN ROTOR REPLACEMENTS</v>
          </cell>
          <cell r="C1287" t="str">
            <v>09M-GENERATION PROJECT ENGINEERING</v>
          </cell>
        </row>
        <row r="1288">
          <cell r="A1288">
            <v>16217</v>
          </cell>
          <cell r="B1288" t="str">
            <v>COFFEEN - SWITCHGEAR UPGRADES</v>
          </cell>
          <cell r="C1288" t="str">
            <v>09M-GENERATION PROJECT ENGINEERING</v>
          </cell>
        </row>
        <row r="1289">
          <cell r="A1289">
            <v>16218</v>
          </cell>
          <cell r="B1289" t="str">
            <v>GRAND TOWER SWITCHGEAR UPGRD STUDY</v>
          </cell>
          <cell r="C1289" t="str">
            <v>09M-GENERATION PROJECT ENGINEERING</v>
          </cell>
        </row>
        <row r="1290">
          <cell r="A1290">
            <v>16219</v>
          </cell>
          <cell r="B1290" t="str">
            <v>MEREDOSIA SWITCHGEAR UPGRD STUDY</v>
          </cell>
          <cell r="C1290" t="str">
            <v>09M-GENERATION PROJECT ENGINEERING</v>
          </cell>
        </row>
        <row r="1291">
          <cell r="A1291">
            <v>16220</v>
          </cell>
          <cell r="B1291" t="str">
            <v>NEWTON - SWITCHGEAR UPGRADES</v>
          </cell>
          <cell r="C1291" t="str">
            <v>09M-GENERATION PROJECT ENGINEERING</v>
          </cell>
        </row>
        <row r="1292">
          <cell r="A1292">
            <v>16221</v>
          </cell>
          <cell r="B1292" t="str">
            <v>HUTSONVILLE SWITCHGEAR UPGRD STUDY</v>
          </cell>
          <cell r="C1292" t="str">
            <v>09M-GENERATION PROJECT ENGINEERING</v>
          </cell>
        </row>
        <row r="1293">
          <cell r="A1293">
            <v>16222</v>
          </cell>
          <cell r="B1293" t="str">
            <v>DUCK CREEK SWITCHGEAR UPGRD STUDY</v>
          </cell>
          <cell r="C1293" t="str">
            <v>09M-GENERATION PROJECT ENGINEERING</v>
          </cell>
        </row>
        <row r="1294">
          <cell r="A1294">
            <v>16223</v>
          </cell>
          <cell r="B1294" t="str">
            <v>EDWARDS- SWITCHGEAR UPGRADES</v>
          </cell>
          <cell r="C1294" t="str">
            <v>09M-GENERATION PROJECT ENGINEERING</v>
          </cell>
        </row>
        <row r="1295">
          <cell r="A1295">
            <v>16226</v>
          </cell>
          <cell r="B1295" t="str">
            <v>RUSH ISLAND - REPLACE 345KV SWITCHY</v>
          </cell>
          <cell r="C1295" t="str">
            <v>09M-GENERATION PROJECT ENGINEERING</v>
          </cell>
        </row>
        <row r="1296">
          <cell r="A1296">
            <v>16229</v>
          </cell>
          <cell r="B1296" t="str">
            <v>REPLACE SWITCHYARD BATTERIES</v>
          </cell>
          <cell r="C1296" t="str">
            <v>88B-NUCL - ENG SYS - ELECT I &amp; C</v>
          </cell>
        </row>
        <row r="1297">
          <cell r="A1297">
            <v>16231</v>
          </cell>
          <cell r="B1297" t="str">
            <v>MSD-MERAMEC, 2-UNIT CUST.SUB,34-4KV</v>
          </cell>
          <cell r="C1297" t="str">
            <v>09E-ELECTRICAL ENGINEERING</v>
          </cell>
        </row>
        <row r="1298">
          <cell r="A1298">
            <v>16232</v>
          </cell>
          <cell r="B1298" t="str">
            <v>AB TECHNOLOGY CENTER</v>
          </cell>
          <cell r="C1298" t="str">
            <v>052-MACKENZIE</v>
          </cell>
        </row>
        <row r="1299">
          <cell r="A1299">
            <v>16234</v>
          </cell>
          <cell r="B1299" t="str">
            <v>JOST FARMS SUBDIVISION</v>
          </cell>
          <cell r="C1299" t="str">
            <v>055-BERKELEY</v>
          </cell>
        </row>
        <row r="1300">
          <cell r="A1300">
            <v>16246</v>
          </cell>
          <cell r="B1300" t="str">
            <v>GROSSMAN IRON CUST. SUB, 34-13.2KV</v>
          </cell>
          <cell r="C1300" t="str">
            <v>09E-ELECTRICAL ENGINEERING</v>
          </cell>
        </row>
        <row r="1301">
          <cell r="A1301">
            <v>16268</v>
          </cell>
          <cell r="B1301" t="str">
            <v>PROPERTY ACQUISITION</v>
          </cell>
          <cell r="C1301" t="str">
            <v>131-EFFINGHAM RESOURCE CENTER</v>
          </cell>
        </row>
        <row r="1302">
          <cell r="A1302">
            <v>16269</v>
          </cell>
          <cell r="B1302" t="str">
            <v>UPGRADE IP GAS STORAGE FIELDS</v>
          </cell>
          <cell r="C1302" t="str">
            <v>0G6-GAS STORAGE</v>
          </cell>
        </row>
        <row r="1303">
          <cell r="A1303">
            <v>16270</v>
          </cell>
          <cell r="B1303" t="str">
            <v>IP INTEGR PROJ - PURCH OF GAS METRS</v>
          </cell>
          <cell r="C1303" t="str">
            <v>0G2-GAS TECH SERVICES - AMS</v>
          </cell>
        </row>
        <row r="1304">
          <cell r="A1304">
            <v>16278</v>
          </cell>
          <cell r="B1304" t="str">
            <v>NEWTON CBM WELL PROJECT</v>
          </cell>
          <cell r="C1304" t="str">
            <v>09M-GENERATION PROJECT ENGINEERING</v>
          </cell>
        </row>
        <row r="1305">
          <cell r="A1305">
            <v>16281</v>
          </cell>
          <cell r="B1305" t="str">
            <v>LOWE'S OF MAPLEWOOD</v>
          </cell>
          <cell r="C1305" t="str">
            <v>056-GERALDINE</v>
          </cell>
        </row>
        <row r="1306">
          <cell r="A1306">
            <v>16282</v>
          </cell>
          <cell r="B1306" t="str">
            <v>PEABODY - BALDWIN-R.I. RIVXG.345 LN</v>
          </cell>
          <cell r="C1306" t="str">
            <v>09E-ELECTRICAL ENGINEERING</v>
          </cell>
        </row>
        <row r="1307">
          <cell r="A1307">
            <v>16283</v>
          </cell>
          <cell r="B1307" t="str">
            <v>PEABODY - PR.STATE-IP LN4541 IN-OUT</v>
          </cell>
          <cell r="C1307" t="str">
            <v>09E-ELECTRICAL ENGINEERING</v>
          </cell>
        </row>
        <row r="1308">
          <cell r="A1308">
            <v>16284</v>
          </cell>
          <cell r="B1308" t="str">
            <v>PEABODY - PR.STATE-IP LN4531 IN-OUT</v>
          </cell>
          <cell r="C1308" t="str">
            <v>09E-ELECTRICAL ENGINEERING</v>
          </cell>
        </row>
        <row r="1309">
          <cell r="A1309">
            <v>16292</v>
          </cell>
          <cell r="B1309" t="str">
            <v>IP INTEGRATION GMS SYSTEM</v>
          </cell>
          <cell r="C1309" t="str">
            <v>043-NAT GAS SUPPLY-TRANSPORT/CONTRO</v>
          </cell>
        </row>
        <row r="1310">
          <cell r="A1310">
            <v>16295</v>
          </cell>
          <cell r="B1310" t="str">
            <v>SIOUX REPLACE CONVEYOR 101A</v>
          </cell>
          <cell r="C1310" t="str">
            <v>09M-GENERATION PROJECT ENGINEERING</v>
          </cell>
        </row>
        <row r="1311">
          <cell r="A1311">
            <v>16299</v>
          </cell>
          <cell r="B1311" t="str">
            <v>GKN AEROSPACE</v>
          </cell>
          <cell r="C1311" t="str">
            <v>055-BERKELEY</v>
          </cell>
        </row>
        <row r="1312">
          <cell r="A1312">
            <v>16303</v>
          </cell>
          <cell r="B1312" t="str">
            <v>N.LASALLE-FOX RIVER-OTTAWA 138KV LN</v>
          </cell>
          <cell r="C1312" t="str">
            <v>09E-ELECTRICAL ENGINEERING</v>
          </cell>
        </row>
        <row r="1313">
          <cell r="A1313">
            <v>16304</v>
          </cell>
          <cell r="B1313" t="str">
            <v>CHAMPAIGN BONDVILLE-RISING 138KV</v>
          </cell>
          <cell r="C1313" t="str">
            <v>09E-ELECTRICAL ENGINEERING</v>
          </cell>
        </row>
        <row r="1314">
          <cell r="A1314">
            <v>16305</v>
          </cell>
          <cell r="B1314" t="str">
            <v>SIOUX U1 RRI SNCR</v>
          </cell>
          <cell r="C1314" t="str">
            <v>09V-NEW GEN &amp; ENV PROJECTS</v>
          </cell>
        </row>
        <row r="1315">
          <cell r="A1315">
            <v>16306</v>
          </cell>
          <cell r="B1315" t="str">
            <v>L1502 -Recond.Wood Riv-Roxford, 4mi</v>
          </cell>
          <cell r="C1315" t="str">
            <v>09E-ELECTRICAL ENGINEERING</v>
          </cell>
        </row>
        <row r="1316">
          <cell r="A1316">
            <v>16310</v>
          </cell>
          <cell r="B1316" t="str">
            <v>1342 - RECONDUCTOR</v>
          </cell>
          <cell r="C1316" t="str">
            <v>09E-ELECTRICAL ENGINEERING</v>
          </cell>
        </row>
        <row r="1317">
          <cell r="A1317">
            <v>16313</v>
          </cell>
          <cell r="B1317" t="str">
            <v>L1526E - REPLACE STRS AND POLES</v>
          </cell>
          <cell r="C1317" t="str">
            <v>09E-ELECTRICAL ENGINEERING</v>
          </cell>
        </row>
        <row r="1318">
          <cell r="A1318">
            <v>16314</v>
          </cell>
          <cell r="B1318" t="str">
            <v>L1326 AND 1364 - NEWREROUTE</v>
          </cell>
          <cell r="C1318" t="str">
            <v>09E-ELECTRICAL ENGINEERING</v>
          </cell>
        </row>
        <row r="1319">
          <cell r="A1319">
            <v>16319</v>
          </cell>
          <cell r="B1319" t="str">
            <v>L1456 - HTO</v>
          </cell>
          <cell r="C1319" t="str">
            <v>09E-ELECTRICAL ENGINEERING</v>
          </cell>
        </row>
        <row r="1320">
          <cell r="A1320">
            <v>16321</v>
          </cell>
          <cell r="B1320" t="str">
            <v>L4511 - COLUMBIA QUARRY REROUTE</v>
          </cell>
          <cell r="C1320" t="str">
            <v>09E-ELECTRICAL ENGINEERING</v>
          </cell>
        </row>
        <row r="1321">
          <cell r="A1321">
            <v>16322</v>
          </cell>
          <cell r="B1321" t="str">
            <v>L1336 RELOC FOR CTY OF MT VERNON</v>
          </cell>
          <cell r="C1321" t="str">
            <v>09E-ELECTRICAL ENGINEERING</v>
          </cell>
        </row>
        <row r="1322">
          <cell r="A1322">
            <v>16330</v>
          </cell>
          <cell r="B1322" t="str">
            <v>REPL TELEMETRY ODORIZER SAVOY  PEPL</v>
          </cell>
          <cell r="C1322" t="str">
            <v>0G5-GAS TECH SERVICES - IPC</v>
          </cell>
        </row>
        <row r="1323">
          <cell r="A1323">
            <v>16331</v>
          </cell>
          <cell r="B1323" t="str">
            <v>REPL TELEMETRY ODORIZER ANNAWAN</v>
          </cell>
          <cell r="C1323" t="str">
            <v>0G5-GAS TECH SERVICES - IPC</v>
          </cell>
        </row>
        <row r="1324">
          <cell r="A1324">
            <v>16336</v>
          </cell>
          <cell r="B1324" t="str">
            <v>PRAIRIE ST. SYS. UPG. WRK. BPS</v>
          </cell>
          <cell r="C1324" t="str">
            <v>09E-ELECTRICAL ENGINEERING</v>
          </cell>
        </row>
        <row r="1325">
          <cell r="A1325">
            <v>16337</v>
          </cell>
          <cell r="B1325" t="str">
            <v>KEWANEE S.- INSTALL CAP BANK</v>
          </cell>
          <cell r="C1325" t="str">
            <v>09E-ELECTRICAL ENGINEERING</v>
          </cell>
        </row>
        <row r="1326">
          <cell r="A1326">
            <v>16338</v>
          </cell>
          <cell r="B1326" t="str">
            <v>S. OTTAWA SUB. - INSTALL MVARS</v>
          </cell>
          <cell r="C1326" t="str">
            <v>09E-ELECTRICAL ENGINEERING</v>
          </cell>
        </row>
        <row r="1327">
          <cell r="A1327">
            <v>16339</v>
          </cell>
          <cell r="B1327" t="str">
            <v>OGLESBY SUB. - INST CAP BANK</v>
          </cell>
          <cell r="C1327" t="str">
            <v>09E-ELECTRICAL ENGINEERING</v>
          </cell>
        </row>
        <row r="1328">
          <cell r="A1328">
            <v>16340</v>
          </cell>
          <cell r="B1328" t="str">
            <v>GALES MON BLVD SUB - BREAKER</v>
          </cell>
          <cell r="C1328" t="str">
            <v>09E-ELECTRICAL ENGINEERING</v>
          </cell>
        </row>
        <row r="1329">
          <cell r="A1329">
            <v>16342</v>
          </cell>
          <cell r="B1329" t="str">
            <v>LASALLE - INSTALL CAP BANK</v>
          </cell>
          <cell r="C1329" t="str">
            <v>09E-ELECTRICAL ENGINEERING</v>
          </cell>
        </row>
        <row r="1330">
          <cell r="A1330">
            <v>16344</v>
          </cell>
          <cell r="B1330" t="str">
            <v>SPRING VALLEY SUB - CAP BANK</v>
          </cell>
          <cell r="C1330" t="str">
            <v>09E-ELECTRICAL ENGINEERING</v>
          </cell>
        </row>
        <row r="1331">
          <cell r="A1331">
            <v>16347</v>
          </cell>
          <cell r="B1331" t="str">
            <v>BONDVILLE RT.10 -138-69,112MVA XFMR</v>
          </cell>
          <cell r="C1331" t="str">
            <v>09E-ELECTRICAL ENGINEERING</v>
          </cell>
        </row>
        <row r="1332">
          <cell r="A1332">
            <v>16348</v>
          </cell>
          <cell r="B1332" t="str">
            <v>BLOOM.BROKAW ADD STA PWR 138KV</v>
          </cell>
          <cell r="C1332" t="str">
            <v>09E-ELECTRICAL ENGINEERING</v>
          </cell>
        </row>
        <row r="1333">
          <cell r="A1333">
            <v>16349</v>
          </cell>
          <cell r="B1333" t="str">
            <v>LATHAM -STATION POWER OFF OF L1342</v>
          </cell>
          <cell r="C1333" t="str">
            <v>09E-ELECTRICAL ENGINEERING</v>
          </cell>
        </row>
        <row r="1334">
          <cell r="A1334">
            <v>16350</v>
          </cell>
          <cell r="B1334" t="str">
            <v>OTTAWA SW STA - PROCURE LAND</v>
          </cell>
          <cell r="C1334" t="str">
            <v>09E-ELECTRICAL ENGINEERING</v>
          </cell>
        </row>
        <row r="1335">
          <cell r="A1335">
            <v>16354</v>
          </cell>
          <cell r="B1335" t="str">
            <v>BLOOM WASHINGTON ST INSTALLTRF</v>
          </cell>
          <cell r="C1335" t="str">
            <v>09E-ELECTRICAL ENGINEERING</v>
          </cell>
        </row>
        <row r="1336">
          <cell r="A1336">
            <v>16355</v>
          </cell>
          <cell r="B1336" t="str">
            <v>S BELLEVILLE REPLACE TRF BK1</v>
          </cell>
          <cell r="C1336" t="str">
            <v>09E-ELECTRICAL ENGINEERING</v>
          </cell>
        </row>
        <row r="1337">
          <cell r="A1337">
            <v>16356</v>
          </cell>
          <cell r="B1337" t="str">
            <v>WEST SALEM REPLACE TRANSF #1</v>
          </cell>
          <cell r="C1337" t="str">
            <v>09E-ELECTRICAL ENGINEERING</v>
          </cell>
        </row>
        <row r="1338">
          <cell r="A1338">
            <v>16357</v>
          </cell>
          <cell r="B1338" t="str">
            <v>STEELEVILLE SUB - REPL TRF 3</v>
          </cell>
          <cell r="C1338" t="str">
            <v>09E-ELECTRICAL ENGINEERING</v>
          </cell>
        </row>
        <row r="1339">
          <cell r="A1339">
            <v>16358</v>
          </cell>
          <cell r="B1339" t="str">
            <v>Fox River-New 138-34kV Sub (Wedron)</v>
          </cell>
          <cell r="C1339" t="str">
            <v>09E-ELECTRICAL ENGINEERING</v>
          </cell>
        </row>
        <row r="1340">
          <cell r="A1340">
            <v>16360</v>
          </cell>
          <cell r="B1340" t="str">
            <v>STEELEVILLE SUB REPLACE TRF#1</v>
          </cell>
          <cell r="C1340" t="str">
            <v>09E-ELECTRICAL ENGINEERING</v>
          </cell>
        </row>
        <row r="1341">
          <cell r="A1341">
            <v>16361</v>
          </cell>
          <cell r="B1341" t="str">
            <v>BLOOMINGTON DOWNS NEW SUB</v>
          </cell>
          <cell r="C1341" t="str">
            <v>09E-ELECTRICAL ENGINEERING</v>
          </cell>
        </row>
        <row r="1342">
          <cell r="A1342">
            <v>16362</v>
          </cell>
          <cell r="B1342" t="str">
            <v>N. CHAMPAIGN - REPL. SWITCHES</v>
          </cell>
          <cell r="C1342" t="str">
            <v>09E-ELECTRICAL ENGINEERING</v>
          </cell>
        </row>
        <row r="1343">
          <cell r="A1343">
            <v>16363</v>
          </cell>
          <cell r="B1343" t="str">
            <v>NORMAL E.-INST 34KV LINE BRKR</v>
          </cell>
          <cell r="C1343" t="str">
            <v>09E-ELECTRICAL ENGINEERING</v>
          </cell>
        </row>
        <row r="1344">
          <cell r="A1344">
            <v>16364</v>
          </cell>
          <cell r="B1344" t="str">
            <v>COLLINSVILLE REESE - ADD CKT</v>
          </cell>
          <cell r="C1344" t="str">
            <v>09E-ELECTRICAL ENGINEERING</v>
          </cell>
        </row>
        <row r="1345">
          <cell r="A1345">
            <v>16365</v>
          </cell>
          <cell r="B1345" t="str">
            <v>MONMOUTH -NEW CTRL.BLDG.-REMOVE OLD</v>
          </cell>
          <cell r="C1345" t="str">
            <v>09E-ELECTRICAL ENGINEERING</v>
          </cell>
        </row>
        <row r="1346">
          <cell r="A1346">
            <v>16366</v>
          </cell>
          <cell r="B1346" t="str">
            <v>LATHAM - ADD 138KV BRKR-NEW PTS</v>
          </cell>
          <cell r="C1346" t="str">
            <v>09E-ELECTRICAL ENGINEERING</v>
          </cell>
        </row>
        <row r="1347">
          <cell r="A1347">
            <v>16367</v>
          </cell>
          <cell r="B1347" t="str">
            <v>W.LEXBGTB SUB-ADD CAP BANK</v>
          </cell>
          <cell r="C1347" t="str">
            <v>09E-ELECTRICAL ENGINEERING</v>
          </cell>
        </row>
        <row r="1348">
          <cell r="A1348">
            <v>16371</v>
          </cell>
          <cell r="B1348" t="str">
            <v>OGLESBY B010 REPLACE BRKR</v>
          </cell>
          <cell r="C1348" t="str">
            <v>09E-ELECTRICAL ENGINEERING</v>
          </cell>
        </row>
        <row r="1349">
          <cell r="A1349">
            <v>16373</v>
          </cell>
          <cell r="B1349" t="str">
            <v>COLLINSVILLE CLOVERLEAF TRF#2</v>
          </cell>
          <cell r="C1349" t="str">
            <v>09E-ELECTRICAL ENGINEERING</v>
          </cell>
        </row>
        <row r="1350">
          <cell r="A1350">
            <v>16374</v>
          </cell>
          <cell r="B1350" t="str">
            <v>Alpha Sub -Repl.ATO Scheme, Cabinet</v>
          </cell>
          <cell r="C1350" t="str">
            <v>09E-ELECTRICAL ENGINEERING</v>
          </cell>
        </row>
        <row r="1351">
          <cell r="A1351">
            <v>16375</v>
          </cell>
          <cell r="B1351" t="str">
            <v>Aledo Sub -Repl.ATO Scheme, Cabinet</v>
          </cell>
          <cell r="C1351" t="str">
            <v>09E-ELECTRICAL ENGINEERING</v>
          </cell>
        </row>
        <row r="1352">
          <cell r="A1352">
            <v>16377</v>
          </cell>
          <cell r="B1352" t="str">
            <v>S.CENTRALIA - SWITCH.DEVICE ON CAP.</v>
          </cell>
          <cell r="C1352" t="str">
            <v>09E-ELECTRICAL ENGINEERING</v>
          </cell>
        </row>
        <row r="1353">
          <cell r="A1353">
            <v>16378</v>
          </cell>
          <cell r="B1353" t="str">
            <v>E GALESBURG REPLACE SWITCH</v>
          </cell>
          <cell r="C1353" t="str">
            <v>09E-ELECTRICAL ENGINEERING</v>
          </cell>
        </row>
        <row r="1354">
          <cell r="A1354">
            <v>16379</v>
          </cell>
          <cell r="B1354" t="str">
            <v>WEDRON REPLACE 34 KV BRK 3359</v>
          </cell>
          <cell r="C1354" t="str">
            <v>09E-ELECTRICAL ENGINEERING</v>
          </cell>
        </row>
        <row r="1355">
          <cell r="A1355">
            <v>16380</v>
          </cell>
          <cell r="B1355" t="str">
            <v>NEW WEDRON AREA - PROCURE LAND</v>
          </cell>
          <cell r="C1355" t="str">
            <v>09E-ELECTRICAL ENGINEERING</v>
          </cell>
        </row>
        <row r="1356">
          <cell r="A1356">
            <v>16381</v>
          </cell>
          <cell r="B1356" t="str">
            <v>GALESBURG PWR HSE 2 BREAKERS</v>
          </cell>
          <cell r="C1356" t="str">
            <v>09E-ELECTRICAL ENGINEERING</v>
          </cell>
        </row>
        <row r="1357">
          <cell r="A1357">
            <v>16384</v>
          </cell>
          <cell r="B1357" t="str">
            <v>URBANA 5 POINTS -ADD BRKR -69KV BUS</v>
          </cell>
          <cell r="C1357" t="str">
            <v>09E-ELECTRICAL ENGINEERING</v>
          </cell>
        </row>
        <row r="1358">
          <cell r="A1358">
            <v>16388</v>
          </cell>
          <cell r="B1358" t="str">
            <v>CORTEX RELOC - HVY CONDUIT JOB</v>
          </cell>
          <cell r="C1358" t="str">
            <v>056-GERALDINE</v>
          </cell>
        </row>
        <row r="1359">
          <cell r="A1359">
            <v>16419</v>
          </cell>
          <cell r="B1359" t="str">
            <v>SIOUX CONTROL ROOM OFFICE ADDITION</v>
          </cell>
          <cell r="C1359" t="str">
            <v>09M-GENERATION PROJECT ENGINEERING</v>
          </cell>
        </row>
        <row r="1360">
          <cell r="A1360">
            <v>16420</v>
          </cell>
          <cell r="B1360" t="str">
            <v>BASELINE MERCURY TESTING - ARG</v>
          </cell>
          <cell r="C1360" t="str">
            <v>09V-NEW GEN &amp; ENV PROJECTS</v>
          </cell>
        </row>
        <row r="1361">
          <cell r="A1361">
            <v>16421</v>
          </cell>
          <cell r="B1361" t="str">
            <v>BAY - OLD HALLS FERRY WIDENING JOB</v>
          </cell>
          <cell r="C1361" t="str">
            <v>055-BERKELEY</v>
          </cell>
        </row>
        <row r="1362">
          <cell r="A1362">
            <v>16422</v>
          </cell>
          <cell r="B1362" t="str">
            <v>GROSSMAN SHREDDER CUSTOMER SUB</v>
          </cell>
          <cell r="C1362" t="str">
            <v>056-GERALDINE</v>
          </cell>
        </row>
        <row r="1363">
          <cell r="A1363">
            <v>16424</v>
          </cell>
          <cell r="B1363" t="str">
            <v>SL - MOSQUITO BOAT SITE</v>
          </cell>
          <cell r="C1363" t="str">
            <v>061-REAL ESTATE</v>
          </cell>
        </row>
        <row r="1364">
          <cell r="A1364">
            <v>16427</v>
          </cell>
          <cell r="B1364" t="str">
            <v>RT.51 IDOT</v>
          </cell>
          <cell r="C1364" t="str">
            <v>2MS-DIVISION IV SUPPORT STAFF</v>
          </cell>
        </row>
        <row r="1365">
          <cell r="A1365">
            <v>16428</v>
          </cell>
          <cell r="B1365" t="str">
            <v>RUSH ISLAND PLANT 316B COMPLIANCE</v>
          </cell>
          <cell r="C1365" t="str">
            <v>09V-NEW GEN &amp; ENV PROJECTS</v>
          </cell>
        </row>
        <row r="1366">
          <cell r="A1366">
            <v>16429</v>
          </cell>
          <cell r="B1366" t="str">
            <v>AMERENIP METER READING REPLACEMENT</v>
          </cell>
          <cell r="C1366" t="str">
            <v>204-DEV - ENERGY DELIVERY</v>
          </cell>
        </row>
        <row r="1367">
          <cell r="A1367">
            <v>16430</v>
          </cell>
          <cell r="B1367" t="str">
            <v>COFFEEN 2 GSU REPLACEMENT</v>
          </cell>
          <cell r="C1367" t="str">
            <v>09M-GENERATION PROJECT ENGINEERING</v>
          </cell>
        </row>
        <row r="1368">
          <cell r="A1368">
            <v>16431</v>
          </cell>
          <cell r="B1368" t="str">
            <v>GLENDALE -ENTRANCE MODS.-IDOT-REIMB</v>
          </cell>
          <cell r="C1368" t="str">
            <v>09E-ELECTRICAL ENGINEERING</v>
          </cell>
        </row>
        <row r="1369">
          <cell r="A1369">
            <v>16432</v>
          </cell>
          <cell r="B1369" t="str">
            <v>TAUM SAUK DIGITAL CONTROLS PHASE 2</v>
          </cell>
          <cell r="C1369" t="str">
            <v>09M-GENERATION PROJECT ENGINEERING</v>
          </cell>
        </row>
        <row r="1370">
          <cell r="A1370">
            <v>16434</v>
          </cell>
          <cell r="B1370" t="str">
            <v>SL - WEST FRANKFORT</v>
          </cell>
          <cell r="C1370" t="str">
            <v>061-REAL ESTATE</v>
          </cell>
        </row>
        <row r="1371">
          <cell r="A1371">
            <v>16435</v>
          </cell>
          <cell r="B1371" t="str">
            <v>SL - CANTON NORTHEAST</v>
          </cell>
          <cell r="C1371" t="str">
            <v>061-REAL ESTATE</v>
          </cell>
        </row>
        <row r="1372">
          <cell r="A1372">
            <v>16437</v>
          </cell>
          <cell r="B1372" t="str">
            <v>AIRPORT RUNWAY EXTENSION RELOCATION</v>
          </cell>
          <cell r="C1372" t="str">
            <v>4BE-BENTON</v>
          </cell>
        </row>
        <row r="1373">
          <cell r="A1373">
            <v>16438</v>
          </cell>
          <cell r="B1373" t="str">
            <v>SL - ADAMS STREET SUB</v>
          </cell>
          <cell r="C1373" t="str">
            <v>061-REAL ESTATE</v>
          </cell>
        </row>
        <row r="1374">
          <cell r="A1374">
            <v>16439</v>
          </cell>
          <cell r="B1374" t="str">
            <v>METROLINK MO-03 - NEW TRACTION STAT</v>
          </cell>
          <cell r="C1374" t="str">
            <v>036-UNDERGROUND</v>
          </cell>
        </row>
        <row r="1375">
          <cell r="A1375">
            <v>16448</v>
          </cell>
          <cell r="B1375" t="str">
            <v>SL - ABINGTON SUB</v>
          </cell>
          <cell r="C1375" t="str">
            <v>061-REAL ESTATE</v>
          </cell>
        </row>
        <row r="1376">
          <cell r="A1376">
            <v>16449</v>
          </cell>
          <cell r="B1376" t="str">
            <v>SL - LYNCH AVE.</v>
          </cell>
          <cell r="C1376" t="str">
            <v>061-REAL ESTATE</v>
          </cell>
        </row>
        <row r="1377">
          <cell r="A1377">
            <v>16453</v>
          </cell>
          <cell r="B1377" t="str">
            <v>STODDARD-RELAY MODS. FOR AECI-REIMB</v>
          </cell>
          <cell r="C1377" t="str">
            <v>09E-ELECTRICAL ENGINEERING</v>
          </cell>
        </row>
        <row r="1378">
          <cell r="A1378">
            <v>16455</v>
          </cell>
          <cell r="B1378" t="str">
            <v>RT 45-ELDORADO</v>
          </cell>
          <cell r="C1378" t="str">
            <v>4MS-DIVISION VII SUPPORT STAFF</v>
          </cell>
        </row>
        <row r="1379">
          <cell r="A1379">
            <v>16456</v>
          </cell>
          <cell r="B1379" t="str">
            <v>RUSH BARGE UNLOADER SYSTEM IMPRV.</v>
          </cell>
          <cell r="C1379" t="str">
            <v>09M-GENERATION PROJECT ENGINEERING</v>
          </cell>
        </row>
        <row r="1380">
          <cell r="A1380">
            <v>16459</v>
          </cell>
          <cell r="B1380" t="str">
            <v>EDWARDS U1 DCS CONTROLS</v>
          </cell>
          <cell r="C1380" t="str">
            <v>09M-GENERATION PROJECT ENGINEERING</v>
          </cell>
        </row>
        <row r="1381">
          <cell r="A1381">
            <v>16462</v>
          </cell>
          <cell r="B1381" t="str">
            <v>HUTSONVILLE U1&amp;2 BOILER ROOF REPL</v>
          </cell>
          <cell r="C1381" t="str">
            <v>09M-GENERATION PROJECT ENGINEERING</v>
          </cell>
        </row>
        <row r="1382">
          <cell r="A1382">
            <v>16470</v>
          </cell>
          <cell r="B1382" t="str">
            <v>SIOUX-ROXFORD-RECOND-CIP PORTION</v>
          </cell>
          <cell r="C1382" t="str">
            <v>09E-ELECTRICAL ENGINEERING</v>
          </cell>
        </row>
        <row r="1383">
          <cell r="A1383">
            <v>16472</v>
          </cell>
          <cell r="B1383" t="str">
            <v>EDWARDS U2 OFA STUDY</v>
          </cell>
          <cell r="C1383" t="str">
            <v>09V-NEW GEN &amp; ENV PROJECTS</v>
          </cell>
        </row>
        <row r="1384">
          <cell r="A1384">
            <v>16473</v>
          </cell>
          <cell r="B1384" t="str">
            <v>SIOUX 1 INTELLIGENT SOOTBLOWING</v>
          </cell>
          <cell r="C1384" t="str">
            <v>09M-GENERATION PROJECT ENGINEERING</v>
          </cell>
        </row>
        <row r="1385">
          <cell r="A1385">
            <v>16478</v>
          </cell>
          <cell r="B1385" t="str">
            <v>EDWARDS U1 &amp; U2 SPARE GSU</v>
          </cell>
          <cell r="C1385" t="str">
            <v>09M-GENERATION PROJECT ENGINEERING</v>
          </cell>
        </row>
        <row r="1386">
          <cell r="A1386">
            <v>16479</v>
          </cell>
          <cell r="B1386" t="str">
            <v>EDWARDS 3,MEREDOSIA 3 &amp; 4 SPARE GSU</v>
          </cell>
          <cell r="C1386" t="str">
            <v>09M-GENERATION PROJECT ENGINEERING</v>
          </cell>
        </row>
        <row r="1387">
          <cell r="A1387">
            <v>16480</v>
          </cell>
          <cell r="B1387" t="str">
            <v>TAUM SAUK SPARE GSU</v>
          </cell>
          <cell r="C1387" t="str">
            <v>09M-GENERATION PROJECT ENGINEERING</v>
          </cell>
        </row>
        <row r="1388">
          <cell r="A1388">
            <v>16481</v>
          </cell>
          <cell r="B1388" t="str">
            <v>COFFEEN, NEWT, DUCK CRK 1 SPARE GSU</v>
          </cell>
          <cell r="C1388" t="str">
            <v>09M-GENERATION PROJECT ENGINEERING</v>
          </cell>
        </row>
        <row r="1389">
          <cell r="A1389">
            <v>16489</v>
          </cell>
          <cell r="B1389" t="str">
            <v>DUCK CREEK  RAIL SPUR - GAS RELOC</v>
          </cell>
          <cell r="C1389" t="str">
            <v>0G1-GAS TECH SERVICES - CIP</v>
          </cell>
        </row>
        <row r="1390">
          <cell r="A1390">
            <v>16492</v>
          </cell>
          <cell r="B1390" t="str">
            <v>COFFEEN MISO POWER FACTOR CHANGES</v>
          </cell>
          <cell r="C1390" t="str">
            <v>09M-GENERATION PROJECT ENGINEERING</v>
          </cell>
        </row>
        <row r="1391">
          <cell r="A1391">
            <v>16493</v>
          </cell>
          <cell r="B1391" t="str">
            <v>NEWTON MISO POWER FACTOR REQMT</v>
          </cell>
          <cell r="C1391" t="str">
            <v>09M-GENERATION PROJECT ENGINEERING</v>
          </cell>
        </row>
        <row r="1392">
          <cell r="A1392">
            <v>16496</v>
          </cell>
          <cell r="B1392" t="str">
            <v>REPLACE HILLSBORO GS REBOILER SKID</v>
          </cell>
          <cell r="C1392" t="str">
            <v>0G6-GAS STORAGE</v>
          </cell>
        </row>
        <row r="1393">
          <cell r="A1393">
            <v>16503</v>
          </cell>
          <cell r="B1393" t="str">
            <v>LABADIE CIRC WATER SYSTEM</v>
          </cell>
          <cell r="C1393" t="str">
            <v>09M-GENERATION PROJECT ENGINEERING</v>
          </cell>
        </row>
        <row r="1394">
          <cell r="A1394">
            <v>16505</v>
          </cell>
          <cell r="B1394" t="str">
            <v>SCOTT AVENUE RELOCATION</v>
          </cell>
          <cell r="C1394" t="str">
            <v>056-GERALDINE</v>
          </cell>
        </row>
        <row r="1395">
          <cell r="A1395">
            <v>16506</v>
          </cell>
          <cell r="B1395" t="str">
            <v>WEATHERBY PLACE SUBDIVISION</v>
          </cell>
          <cell r="C1395" t="str">
            <v>055-BERKELEY</v>
          </cell>
        </row>
        <row r="1396">
          <cell r="A1396">
            <v>16507</v>
          </cell>
          <cell r="B1396" t="str">
            <v>POPLAR - REPL. 138-13.8KV XFMR #1</v>
          </cell>
          <cell r="C1396" t="str">
            <v>09E-ELECTRICAL ENGINEERING</v>
          </cell>
        </row>
        <row r="1397">
          <cell r="A1397">
            <v>16508</v>
          </cell>
          <cell r="B1397" t="str">
            <v>DUCK CREEK -REPL. 2-345KV ATB BRKRS</v>
          </cell>
          <cell r="C1397" t="str">
            <v>09E-ELECTRICAL ENGINEERING</v>
          </cell>
        </row>
        <row r="1398">
          <cell r="A1398">
            <v>16516</v>
          </cell>
          <cell r="B1398" t="str">
            <v>Sioux Conveyor Catwalks</v>
          </cell>
          <cell r="C1398" t="str">
            <v>09M-GENERATION PROJECT ENGINEERING</v>
          </cell>
        </row>
        <row r="1399">
          <cell r="A1399">
            <v>16520</v>
          </cell>
          <cell r="B1399" t="str">
            <v>RESIDENCE INN LINE EXTENSION - COND</v>
          </cell>
          <cell r="C1399" t="str">
            <v>036-UNDERGROUND</v>
          </cell>
        </row>
        <row r="1400">
          <cell r="A1400">
            <v>16521</v>
          </cell>
          <cell r="B1400" t="str">
            <v>N. CHAMPAIGN-OIL SPILL CONTAINMENT</v>
          </cell>
          <cell r="C1400" t="str">
            <v>09E-ELECTRICAL ENGINEERING</v>
          </cell>
        </row>
        <row r="1401">
          <cell r="A1401">
            <v>16522</v>
          </cell>
          <cell r="B1401" t="str">
            <v>CHAMPAIGN OAK ST. OIL SPILL CONT</v>
          </cell>
          <cell r="C1401" t="str">
            <v>09E-ELECTRICAL ENGINEERING</v>
          </cell>
        </row>
        <row r="1402">
          <cell r="A1402">
            <v>16527</v>
          </cell>
          <cell r="B1402" t="str">
            <v>TAUM SAUK REPL AIR COMPRESSOR &amp; BLD</v>
          </cell>
          <cell r="C1402" t="str">
            <v>09M-GENERATION PROJECT ENGINEERING</v>
          </cell>
        </row>
        <row r="1403">
          <cell r="A1403">
            <v>16532</v>
          </cell>
          <cell r="B1403" t="str">
            <v>BELLEFONTAINE ESTATES</v>
          </cell>
          <cell r="C1403" t="str">
            <v>055-BERKELEY</v>
          </cell>
        </row>
        <row r="1404">
          <cell r="A1404">
            <v>16533</v>
          </cell>
          <cell r="B1404" t="str">
            <v>IT - REPLACE U1 ECONOMIZER</v>
          </cell>
          <cell r="C1404" t="str">
            <v>09M-GENERATION PROJECT ENGINEERING</v>
          </cell>
        </row>
        <row r="1405">
          <cell r="A1405">
            <v>16534</v>
          </cell>
          <cell r="B1405" t="str">
            <v>IT - REPLACE U1 SUPERHEATER</v>
          </cell>
          <cell r="C1405" t="str">
            <v>09M-GENERATION PROJECT ENGINEERING</v>
          </cell>
        </row>
        <row r="1406">
          <cell r="A1406">
            <v>16535</v>
          </cell>
          <cell r="B1406" t="str">
            <v>IT - REPLACE U2 ECONOMIZER</v>
          </cell>
          <cell r="C1406" t="str">
            <v>09M-GENERATION PROJECT ENGINEERING</v>
          </cell>
        </row>
        <row r="1407">
          <cell r="A1407">
            <v>16536</v>
          </cell>
          <cell r="B1407" t="str">
            <v>IT - REPLACE U2 SUPERHEATER</v>
          </cell>
          <cell r="C1407" t="str">
            <v>09M-GENERATION PROJECT ENGINEERING</v>
          </cell>
        </row>
        <row r="1408">
          <cell r="A1408">
            <v>16543</v>
          </cell>
          <cell r="B1408" t="str">
            <v>CARLE WEST - CAPACITY UPGR.-22.4MVA</v>
          </cell>
          <cell r="C1408" t="str">
            <v>09E-ELECTRICAL ENGINEERING</v>
          </cell>
        </row>
        <row r="1409">
          <cell r="A1409">
            <v>16544</v>
          </cell>
          <cell r="B1409" t="str">
            <v>CARLE EAST - CAPACITY UPGR.-22.4MVA</v>
          </cell>
          <cell r="C1409" t="str">
            <v>09E-ELECTRICAL ENGINEERING</v>
          </cell>
        </row>
        <row r="1410">
          <cell r="A1410">
            <v>16545</v>
          </cell>
          <cell r="B1410" t="str">
            <v>CARLE - SPARE XFMR, 22.4MVA</v>
          </cell>
          <cell r="C1410" t="str">
            <v>09E-ELECTRICAL ENGINEERING</v>
          </cell>
        </row>
        <row r="1411">
          <cell r="A1411">
            <v>16547</v>
          </cell>
          <cell r="B1411" t="str">
            <v>LITCHFIELD-OIL SPILL CONTAINMENT</v>
          </cell>
          <cell r="C1411" t="str">
            <v>09E-ELECTRICAL ENGINEERING</v>
          </cell>
        </row>
        <row r="1412">
          <cell r="A1412">
            <v>16548</v>
          </cell>
          <cell r="B1412" t="str">
            <v>E. COLLINSVILLE-OIL SPILL CONTAIN</v>
          </cell>
          <cell r="C1412" t="str">
            <v>09E-ELECTRICAL ENGINEERING</v>
          </cell>
        </row>
        <row r="1413">
          <cell r="A1413">
            <v>16557</v>
          </cell>
          <cell r="B1413" t="str">
            <v>PROJECT PG</v>
          </cell>
          <cell r="C1413" t="str">
            <v>012-CORPORATE PLANNING</v>
          </cell>
        </row>
        <row r="1414">
          <cell r="A1414">
            <v>16558</v>
          </cell>
          <cell r="B1414" t="str">
            <v>SL - WALLACE SUB</v>
          </cell>
          <cell r="C1414" t="str">
            <v>061-REAL ESTATE</v>
          </cell>
        </row>
        <row r="1415">
          <cell r="A1415">
            <v>16559</v>
          </cell>
          <cell r="B1415" t="str">
            <v>METROLINK SKINKER STA.-2ND 34KV SUP</v>
          </cell>
          <cell r="C1415" t="str">
            <v>056-GERALDINE</v>
          </cell>
        </row>
        <row r="1416">
          <cell r="A1416">
            <v>16560</v>
          </cell>
          <cell r="B1416" t="str">
            <v>METROLINK BIG BEND STA. SECOND FEED</v>
          </cell>
          <cell r="C1416" t="str">
            <v>056-GERALDINE</v>
          </cell>
        </row>
        <row r="1417">
          <cell r="A1417">
            <v>16561</v>
          </cell>
          <cell r="B1417" t="str">
            <v>AVISTON OIL SPILL CONTAINMENT</v>
          </cell>
          <cell r="C1417" t="str">
            <v>09E-ELECTRICAL ENGINEERING</v>
          </cell>
        </row>
        <row r="1418">
          <cell r="A1418">
            <v>16562</v>
          </cell>
          <cell r="B1418" t="str">
            <v>DUPO FERRY RD OIL SPILL CONTAINMENT</v>
          </cell>
          <cell r="C1418" t="str">
            <v>09E-ELECTRICAL ENGINEERING</v>
          </cell>
        </row>
        <row r="1419">
          <cell r="A1419">
            <v>16563</v>
          </cell>
          <cell r="B1419" t="str">
            <v>GRANITE CITY 23RD ST OIL SPILL CONT</v>
          </cell>
          <cell r="C1419" t="str">
            <v>09E-ELECTRICAL ENGINEERING</v>
          </cell>
        </row>
        <row r="1420">
          <cell r="A1420">
            <v>16564</v>
          </cell>
          <cell r="B1420" t="str">
            <v>STALLINGS OIL SPILL CONTAINMENT</v>
          </cell>
          <cell r="C1420" t="str">
            <v>09E-ELECTRICAL ENGINEERING</v>
          </cell>
        </row>
        <row r="1421">
          <cell r="A1421">
            <v>16565</v>
          </cell>
          <cell r="B1421" t="str">
            <v>WILDWOOD - REPLACE FAILED XFMR</v>
          </cell>
          <cell r="C1421" t="str">
            <v>09E-ELECTRICAL ENGINEERING</v>
          </cell>
        </row>
        <row r="1422">
          <cell r="A1422">
            <v>16566</v>
          </cell>
          <cell r="B1422" t="str">
            <v>CTG REMOTE MONITORING &amp; AUTOMATION</v>
          </cell>
          <cell r="C1422" t="str">
            <v>09M-GENERATION PROJECT ENGINEERING</v>
          </cell>
        </row>
        <row r="1423">
          <cell r="A1423">
            <v>16567</v>
          </cell>
          <cell r="B1423" t="str">
            <v>REPLACE FACILITY METERS TILDEN</v>
          </cell>
          <cell r="C1423" t="str">
            <v>0G6-GAS STORAGE</v>
          </cell>
        </row>
        <row r="1424">
          <cell r="A1424">
            <v>16570</v>
          </cell>
          <cell r="B1424" t="str">
            <v>UPGRADE NEWTON FOR 140-CAR TRAINS</v>
          </cell>
          <cell r="C1424" t="str">
            <v>087-FOSSIL FUELS</v>
          </cell>
        </row>
        <row r="1425">
          <cell r="A1425">
            <v>16574</v>
          </cell>
          <cell r="B1425" t="str">
            <v>MASON - SECURITY IMPROVEMENTS</v>
          </cell>
          <cell r="C1425" t="str">
            <v>09E-ELECTRICAL ENGINEERING</v>
          </cell>
        </row>
        <row r="1426">
          <cell r="A1426">
            <v>16575</v>
          </cell>
          <cell r="B1426" t="str">
            <v>CAHOKIA - SECURITY IMPROVEMENTS</v>
          </cell>
          <cell r="C1426" t="str">
            <v>09E-ELECTRICAL ENGINEERING</v>
          </cell>
        </row>
        <row r="1427">
          <cell r="A1427">
            <v>16577</v>
          </cell>
          <cell r="B1427" t="str">
            <v>PROJECT PORCUPINE</v>
          </cell>
          <cell r="C1427" t="str">
            <v>012-CORPORATE PLANNING</v>
          </cell>
        </row>
        <row r="1428">
          <cell r="A1428">
            <v>16581</v>
          </cell>
          <cell r="B1428" t="str">
            <v xml:space="preserve">ELGIN - INSTL COMB DYN PROT SYS </v>
          </cell>
          <cell r="C1428" t="str">
            <v>355-ELGIN CTG</v>
          </cell>
        </row>
        <row r="1429">
          <cell r="A1429">
            <v>16582</v>
          </cell>
          <cell r="B1429" t="str">
            <v>KINMUNDY INSTL COMB DYN PROT SYS</v>
          </cell>
          <cell r="C1429" t="str">
            <v>351-KINMUNDY CTG</v>
          </cell>
        </row>
        <row r="1430">
          <cell r="A1430">
            <v>16583</v>
          </cell>
          <cell r="B1430" t="str">
            <v>KINMUNDY CEMS DAHS UPGRADE</v>
          </cell>
          <cell r="C1430" t="str">
            <v>351-KINMUNDY CTG</v>
          </cell>
        </row>
        <row r="1431">
          <cell r="A1431">
            <v>16584</v>
          </cell>
          <cell r="B1431" t="str">
            <v>PINCKNEYVILLE CEMS DAHS UPGRADE</v>
          </cell>
          <cell r="C1431" t="str">
            <v>352-PINCKNEYVILLE CTG</v>
          </cell>
        </row>
        <row r="1432">
          <cell r="A1432">
            <v>16585</v>
          </cell>
          <cell r="B1432" t="str">
            <v>COLUMBIA CEMS DAHS UPGRADE</v>
          </cell>
          <cell r="C1432" t="str">
            <v>356-COLUMBIA CTG</v>
          </cell>
        </row>
        <row r="1433">
          <cell r="A1433">
            <v>16587</v>
          </cell>
          <cell r="B1433" t="str">
            <v>GIBSON CITY INSTL COMB DYN PROT SYS</v>
          </cell>
          <cell r="C1433" t="str">
            <v>350-GIBSON CTG</v>
          </cell>
        </row>
        <row r="1434">
          <cell r="A1434">
            <v>16588</v>
          </cell>
          <cell r="B1434" t="str">
            <v>GIBSON CITY CEMS DAHS UPGRADE</v>
          </cell>
          <cell r="C1434" t="str">
            <v>350-GIBSON CTG</v>
          </cell>
        </row>
        <row r="1435">
          <cell r="A1435">
            <v>16589</v>
          </cell>
          <cell r="B1435" t="str">
            <v>MERAMEC-REPL. 138KV RLY (TAMS 05)</v>
          </cell>
          <cell r="C1435" t="str">
            <v>09E-ELECTRICAL ENGINEERING</v>
          </cell>
        </row>
        <row r="1436">
          <cell r="A1436">
            <v>16590</v>
          </cell>
          <cell r="B1436" t="str">
            <v>CAHOKIA-REPL. 138KV RLY (TAMS 05)</v>
          </cell>
          <cell r="C1436" t="str">
            <v>09E-ELECTRICAL ENGINEERING</v>
          </cell>
        </row>
        <row r="1437">
          <cell r="A1437">
            <v>16609</v>
          </cell>
          <cell r="B1437" t="str">
            <v>WAGNER MOTOR - REL 4 IN TRANS MAIN</v>
          </cell>
          <cell r="C1437" t="str">
            <v>0G5-GAS TECH SERVICES - IPC</v>
          </cell>
        </row>
        <row r="1438">
          <cell r="A1438">
            <v>16610</v>
          </cell>
          <cell r="B1438" t="str">
            <v>IPAVA SOUTH - 138KV TERMINAL UPGR.</v>
          </cell>
          <cell r="C1438" t="str">
            <v>09E-ELECTRICAL ENGINEERING</v>
          </cell>
        </row>
        <row r="1439">
          <cell r="A1439">
            <v>16626</v>
          </cell>
          <cell r="B1439" t="str">
            <v>SIOUX - UTILITY WASTE LANDFILL</v>
          </cell>
          <cell r="C1439" t="str">
            <v>09V-NEW GEN &amp; ENV PROJECTS</v>
          </cell>
        </row>
        <row r="1440">
          <cell r="A1440">
            <v>16628</v>
          </cell>
          <cell r="B1440" t="str">
            <v>COFFEEN - UTILITY WASTE LANDFILL</v>
          </cell>
          <cell r="C1440" t="str">
            <v>09M-GENERATION PROJECT ENGINEERING</v>
          </cell>
        </row>
        <row r="1441">
          <cell r="A1441">
            <v>16632</v>
          </cell>
          <cell r="B1441" t="str">
            <v>Sulfur Pumps (6 pumps motors piping</v>
          </cell>
          <cell r="C1441" t="str">
            <v>62A-EDWARDS PLANT GENERAL</v>
          </cell>
        </row>
        <row r="1442">
          <cell r="A1442">
            <v>16639</v>
          </cell>
          <cell r="B1442" t="str">
            <v>DUCK CREEK U1  HP-IP TURBINE REPL</v>
          </cell>
          <cell r="C1442" t="str">
            <v>09M-GENERATION PROJECT ENGINEERING</v>
          </cell>
        </row>
        <row r="1443">
          <cell r="A1443">
            <v>16645</v>
          </cell>
          <cell r="B1443" t="str">
            <v>MARYLAND HEIGHTS</v>
          </cell>
          <cell r="C1443" t="str">
            <v>027-DORSETT</v>
          </cell>
        </row>
        <row r="1444">
          <cell r="A1444">
            <v>16650</v>
          </cell>
          <cell r="B1444" t="str">
            <v>OSAGE - D.O. OPTIMIZATION SYSTEM</v>
          </cell>
          <cell r="C1444" t="str">
            <v>44A-OSAGE PLANT GENERAL &amp; BUD</v>
          </cell>
        </row>
        <row r="1445">
          <cell r="A1445">
            <v>16653</v>
          </cell>
          <cell r="B1445" t="str">
            <v>BALDWIN - SWYD. UPGRADES - Phase 2</v>
          </cell>
          <cell r="C1445" t="str">
            <v>09E-ELECTRICAL ENGINEERING</v>
          </cell>
        </row>
        <row r="1446">
          <cell r="A1446">
            <v>16654</v>
          </cell>
          <cell r="B1446" t="str">
            <v>Baldwin - Swyd. Upgrades - Phase 3</v>
          </cell>
          <cell r="C1446" t="str">
            <v>09E-ELECTRICAL ENGINEERING</v>
          </cell>
        </row>
        <row r="1447">
          <cell r="A1447">
            <v>16655</v>
          </cell>
          <cell r="B1447" t="str">
            <v>Prairie State Swyd</v>
          </cell>
          <cell r="C1447" t="str">
            <v>09E-ELECTRICAL ENGINEERING</v>
          </cell>
        </row>
        <row r="1448">
          <cell r="A1448">
            <v>16656</v>
          </cell>
          <cell r="B1448" t="str">
            <v>PRAIRIE STATES - REMOTE RELAY UPGR.</v>
          </cell>
          <cell r="C1448" t="str">
            <v>09E-ELECTRICAL ENGINEERING</v>
          </cell>
        </row>
        <row r="1449">
          <cell r="A1449">
            <v>16657</v>
          </cell>
          <cell r="B1449" t="str">
            <v>RUSH ISLAND TO IPC 345KV RIV. XING</v>
          </cell>
          <cell r="C1449" t="str">
            <v>09E-ELECTRICAL ENGINEERING</v>
          </cell>
        </row>
        <row r="1450">
          <cell r="A1450">
            <v>16684</v>
          </cell>
          <cell r="B1450" t="str">
            <v>Coffeen 2 HPIP Turbine Retrofit</v>
          </cell>
          <cell r="C1450" t="str">
            <v>09M-GENERATION PROJECT ENGINEERING</v>
          </cell>
        </row>
        <row r="1451">
          <cell r="A1451">
            <v>16688</v>
          </cell>
          <cell r="B1451" t="str">
            <v>U1 Deluge System Valves &amp; Controls</v>
          </cell>
          <cell r="C1451" t="str">
            <v>CFG-COFFEEN - GENERAL</v>
          </cell>
        </row>
        <row r="1452">
          <cell r="A1452">
            <v>16690</v>
          </cell>
          <cell r="B1452" t="str">
            <v>SIOUX U2 STEAM COIL AIR HEATER VENT</v>
          </cell>
          <cell r="C1452" t="str">
            <v>09M-GENERATION PROJECT ENGINEERING</v>
          </cell>
        </row>
        <row r="1453">
          <cell r="A1453">
            <v>16697</v>
          </cell>
          <cell r="B1453" t="str">
            <v>*Tripper Room Vent System Install</v>
          </cell>
          <cell r="C1453" t="str">
            <v>CFG-COFFEEN - GENERAL</v>
          </cell>
        </row>
        <row r="1454">
          <cell r="A1454">
            <v>16699</v>
          </cell>
          <cell r="B1454" t="str">
            <v>Duck Creek - Replace CEMS Equipment</v>
          </cell>
          <cell r="C1454" t="str">
            <v>61A-DUCK CREEK PLANT GENERAL</v>
          </cell>
        </row>
        <row r="1455">
          <cell r="A1455">
            <v>16721</v>
          </cell>
          <cell r="B1455" t="str">
            <v>OAK WOODS SUBD-PRICE CO. (OH)</v>
          </cell>
          <cell r="C1455" t="str">
            <v>070-JEFFERSON</v>
          </cell>
        </row>
        <row r="1456">
          <cell r="A1456">
            <v>16724</v>
          </cell>
          <cell r="B1456" t="str">
            <v>COFFEEN - 480V CRUSHER BUS A AND B</v>
          </cell>
          <cell r="C1456" t="str">
            <v>09M-GENERATION PROJECT ENGINEERING</v>
          </cell>
        </row>
        <row r="1457">
          <cell r="A1457">
            <v>16725</v>
          </cell>
          <cell r="B1457" t="str">
            <v>COFFEEN - 480V BUS LCA AND LCB REPL</v>
          </cell>
          <cell r="C1457" t="str">
            <v>09M-GENERATION PROJECT ENGINEERING</v>
          </cell>
        </row>
        <row r="1458">
          <cell r="A1458">
            <v>16733</v>
          </cell>
          <cell r="B1458" t="str">
            <v>U2 Vertical Reheat Pendants Replace</v>
          </cell>
          <cell r="C1458" t="str">
            <v>09M-GENERATION PROJECT ENGINEERING</v>
          </cell>
        </row>
        <row r="1459">
          <cell r="A1459">
            <v>16736</v>
          </cell>
          <cell r="B1459" t="str">
            <v>SL - TUSCOLA CTG SITE</v>
          </cell>
          <cell r="C1459" t="str">
            <v>061-REAL ESTATE</v>
          </cell>
        </row>
        <row r="1460">
          <cell r="A1460">
            <v>16744</v>
          </cell>
          <cell r="B1460" t="str">
            <v>MERAMEC - U3 CNTRL RM HVAC UPGRADE</v>
          </cell>
          <cell r="C1460" t="str">
            <v>09M-GENERATION PROJECT ENGINEERING</v>
          </cell>
        </row>
        <row r="1461">
          <cell r="A1461">
            <v>16749</v>
          </cell>
          <cell r="B1461" t="str">
            <v>COFFEEN REPL 4KV BREAKERS BUS C-F</v>
          </cell>
          <cell r="C1461" t="str">
            <v>09M-GENERATION PROJECT ENGINEERING</v>
          </cell>
        </row>
        <row r="1462">
          <cell r="A1462">
            <v>16757</v>
          </cell>
          <cell r="B1462" t="str">
            <v>JOACHIM - 138KV OUTLETS, INCL. ROW</v>
          </cell>
          <cell r="C1462" t="str">
            <v>09E-ELECTRICAL ENGINEERING</v>
          </cell>
        </row>
        <row r="1463">
          <cell r="A1463">
            <v>16758</v>
          </cell>
          <cell r="B1463" t="str">
            <v>COFFEEN U1 CYCLONE REPLACEMENT</v>
          </cell>
          <cell r="C1463" t="str">
            <v>09M-GENERATION PROJECT ENGINEERING</v>
          </cell>
        </row>
        <row r="1464">
          <cell r="A1464">
            <v>16759</v>
          </cell>
          <cell r="B1464" t="str">
            <v>ALBION, ASHLAND OIL-UPG SUB CUST</v>
          </cell>
          <cell r="C1464" t="str">
            <v>09E-ELECTRICAL ENGINEERING</v>
          </cell>
        </row>
        <row r="1465">
          <cell r="A1465">
            <v>16761</v>
          </cell>
          <cell r="B1465" t="str">
            <v>DUCK CREEK UNIT 1  CONTROLS UPGRADE</v>
          </cell>
          <cell r="C1465" t="str">
            <v>09M-GENERATION PROJECT ENGINEERING</v>
          </cell>
        </row>
        <row r="1466">
          <cell r="A1466">
            <v>16763</v>
          </cell>
          <cell r="B1466" t="str">
            <v>UC FUEL FLEX PHASE I</v>
          </cell>
          <cell r="C1466" t="str">
            <v>145-HUTSONVILLE</v>
          </cell>
        </row>
        <row r="1467">
          <cell r="A1467">
            <v>16764</v>
          </cell>
          <cell r="B1467" t="str">
            <v>MARKET AT MCKNIGHT - 2</v>
          </cell>
          <cell r="C1467" t="str">
            <v>027-DORSETT</v>
          </cell>
        </row>
        <row r="1468">
          <cell r="A1468">
            <v>16775</v>
          </cell>
          <cell r="B1468" t="str">
            <v>LBD, MER, DC, COF SPARE EXCITER</v>
          </cell>
          <cell r="C1468" t="str">
            <v>09M-GENERATION PROJECT ENGINEERING</v>
          </cell>
        </row>
        <row r="1469">
          <cell r="A1469">
            <v>16788</v>
          </cell>
          <cell r="B1469" t="str">
            <v>MEREDOSIA UNIT 3 EMULATOR</v>
          </cell>
          <cell r="C1469" t="str">
            <v>40E-GENERATION TRAIN &amp; DEV SRVCS</v>
          </cell>
        </row>
        <row r="1470">
          <cell r="A1470">
            <v>16789</v>
          </cell>
          <cell r="B1470" t="str">
            <v>GTS EMULATOR INSTALLATION</v>
          </cell>
          <cell r="C1470" t="str">
            <v>40E-GENERATION TRAIN &amp; DEV SRVCS</v>
          </cell>
        </row>
        <row r="1471">
          <cell r="A1471">
            <v>16797</v>
          </cell>
          <cell r="B1471" t="str">
            <v>PERFORMANCE MONITORING CENTER</v>
          </cell>
          <cell r="C1471" t="str">
            <v>09M-GENERATION PROJECT ENGINEERING</v>
          </cell>
        </row>
        <row r="1472">
          <cell r="A1472">
            <v>16801</v>
          </cell>
          <cell r="B1472" t="str">
            <v>SIOUX U 1 FACE COIL VENT RPL</v>
          </cell>
          <cell r="C1472" t="str">
            <v>09M-GENERATION PROJECT ENGINEERING</v>
          </cell>
        </row>
        <row r="1473">
          <cell r="A1473">
            <v>16802</v>
          </cell>
          <cell r="B1473" t="str">
            <v>MUELLER PLT #4 - UPGR. BANK 4 XFMR</v>
          </cell>
          <cell r="C1473" t="str">
            <v>09E-ELECTRICAL ENGINEERING</v>
          </cell>
        </row>
        <row r="1474">
          <cell r="A1474">
            <v>16817</v>
          </cell>
          <cell r="B1474" t="str">
            <v>GRANITEVILLE 475-51 RECONDUCTOR 336</v>
          </cell>
          <cell r="C1474" t="str">
            <v>0PT-POTOSI</v>
          </cell>
        </row>
        <row r="1475">
          <cell r="A1475">
            <v>16818</v>
          </cell>
          <cell r="B1475" t="str">
            <v>POTOSI 484-52 RECONDUCTOR HWY F</v>
          </cell>
          <cell r="C1475" t="str">
            <v>0PT-POTOSI</v>
          </cell>
        </row>
        <row r="1476">
          <cell r="A1476">
            <v>16819</v>
          </cell>
          <cell r="B1476" t="str">
            <v>ESTR-73 - RECONDUCTOR BELLEFOUNTAIN</v>
          </cell>
          <cell r="C1476" t="str">
            <v>0CS-SEMO SUPPORT STAFF</v>
          </cell>
        </row>
        <row r="1477">
          <cell r="A1477">
            <v>16821</v>
          </cell>
          <cell r="B1477" t="str">
            <v>LEADINGTON 557-53 RECONDUCTOR</v>
          </cell>
          <cell r="C1477" t="str">
            <v>071-ST. FRANCOIS</v>
          </cell>
        </row>
        <row r="1478">
          <cell r="A1478">
            <v>16822</v>
          </cell>
          <cell r="B1478" t="str">
            <v>GTS ST. LOUIS TECH SUPPORT CENTER</v>
          </cell>
          <cell r="C1478" t="str">
            <v>09M-GENERATION PROJECT ENGINEERING</v>
          </cell>
        </row>
        <row r="1479">
          <cell r="A1479">
            <v>16825</v>
          </cell>
          <cell r="B1479" t="str">
            <v>NASH RD 803-52 RECONDUCTOR 556</v>
          </cell>
          <cell r="C1479" t="str">
            <v>0CG-CAPE GIRARDEAU</v>
          </cell>
        </row>
        <row r="1480">
          <cell r="A1480">
            <v>16827</v>
          </cell>
          <cell r="B1480" t="str">
            <v>LABADIE OLD FIRE PUMP REMOVAL</v>
          </cell>
          <cell r="C1480" t="str">
            <v>09M-GENERATION PROJECT ENGINEERING</v>
          </cell>
        </row>
        <row r="1481">
          <cell r="A1481">
            <v>16828</v>
          </cell>
          <cell r="B1481" t="str">
            <v>WOOD RIV.-VENICE 138KV RECOND.L1452</v>
          </cell>
          <cell r="C1481" t="str">
            <v>09E-ELECTRICAL ENGINEERING</v>
          </cell>
        </row>
        <row r="1482">
          <cell r="A1482">
            <v>16831</v>
          </cell>
          <cell r="B1482" t="str">
            <v>L1526 Tap for PSGC Construction Pow</v>
          </cell>
          <cell r="C1482" t="str">
            <v>09E-ELECTRICAL ENGINEERING</v>
          </cell>
        </row>
        <row r="1483">
          <cell r="A1483">
            <v>16832</v>
          </cell>
          <cell r="B1483" t="str">
            <v>SL - BAGNELL DAM LAND</v>
          </cell>
          <cell r="C1483" t="str">
            <v>061-REAL ESTATE</v>
          </cell>
        </row>
        <row r="1484">
          <cell r="A1484">
            <v>16835</v>
          </cell>
          <cell r="B1484" t="str">
            <v>COFFEEN U1 GSU REPLACEMENT</v>
          </cell>
          <cell r="C1484" t="str">
            <v>09M-GENERATION PROJECT ENGINEERING</v>
          </cell>
        </row>
        <row r="1485">
          <cell r="A1485">
            <v>16840</v>
          </cell>
          <cell r="B1485" t="str">
            <v>LABADIE REPLACE MCCS OB46 &amp; UB46</v>
          </cell>
          <cell r="C1485" t="str">
            <v>09M-GENERATION PROJECT ENGINEERING</v>
          </cell>
        </row>
        <row r="1486">
          <cell r="A1486">
            <v>16841</v>
          </cell>
          <cell r="B1486" t="str">
            <v>Central-Watson-1 - Recond. 5.1 mi.</v>
          </cell>
          <cell r="C1486" t="str">
            <v>09E-ELECTRICAL ENGINEERING</v>
          </cell>
        </row>
        <row r="1487">
          <cell r="A1487">
            <v>16843</v>
          </cell>
          <cell r="B1487" t="str">
            <v>CONWAY-ORCH.GARD. -INCR. GRD. CLR.</v>
          </cell>
          <cell r="C1487" t="str">
            <v>09E-ELECTRICAL ENGINEERING</v>
          </cell>
        </row>
        <row r="1488">
          <cell r="A1488">
            <v>16845</v>
          </cell>
          <cell r="B1488" t="str">
            <v>HUTSONVILLE FUEL FLEX COAL HANDLING</v>
          </cell>
          <cell r="C1488" t="str">
            <v>09M-GENERATION PROJECT ENGINEERING</v>
          </cell>
        </row>
        <row r="1489">
          <cell r="A1489">
            <v>16846</v>
          </cell>
          <cell r="B1489" t="str">
            <v>SIOUX BARGE UNLOADING FACILITY UPGR</v>
          </cell>
          <cell r="C1489" t="str">
            <v>09M-GENERATION PROJECT ENGINEERING</v>
          </cell>
        </row>
        <row r="1490">
          <cell r="A1490">
            <v>16847</v>
          </cell>
          <cell r="B1490" t="str">
            <v>HUTSONVILLE FLYASH SYSTEM REPL</v>
          </cell>
          <cell r="C1490" t="str">
            <v>09M-GENERATION PROJECT ENGINEERING</v>
          </cell>
        </row>
        <row r="1491">
          <cell r="A1491">
            <v>16848</v>
          </cell>
          <cell r="B1491" t="str">
            <v>Tazewell - Upgr. Powerton Term. Eq.</v>
          </cell>
          <cell r="C1491" t="str">
            <v>09E-ELECTRICAL ENGINEERING</v>
          </cell>
        </row>
        <row r="1492">
          <cell r="A1492">
            <v>16849</v>
          </cell>
          <cell r="B1492" t="str">
            <v>RELOCATE 34.5 FOR REFUGE ADDING TUR</v>
          </cell>
          <cell r="C1492" t="str">
            <v>4MS-DIVISION VII SUPPORT STAFF</v>
          </cell>
        </row>
        <row r="1493">
          <cell r="A1493">
            <v>16852</v>
          </cell>
          <cell r="B1493" t="str">
            <v>Radnor 138kV Breakers</v>
          </cell>
          <cell r="C1493" t="str">
            <v>09E-ELECTRICAL ENGINEERING</v>
          </cell>
        </row>
        <row r="1494">
          <cell r="A1494">
            <v>16862</v>
          </cell>
          <cell r="B1494" t="str">
            <v>MAY ROAD - UNIT D UPGRADE</v>
          </cell>
          <cell r="C1494" t="str">
            <v>09E-ELECTRICAL ENGINEERING</v>
          </cell>
        </row>
        <row r="1495">
          <cell r="A1495">
            <v>16863</v>
          </cell>
          <cell r="B1495" t="str">
            <v>Lakeside Bus Park 34-12kV MVA</v>
          </cell>
          <cell r="C1495" t="str">
            <v>09E-ELECTRICAL ENGINEERING</v>
          </cell>
        </row>
        <row r="1496">
          <cell r="A1496">
            <v>16864</v>
          </cell>
          <cell r="B1496" t="str">
            <v>Dutzow - Sub Replacement</v>
          </cell>
          <cell r="C1496" t="str">
            <v>09E-ELECTRICAL ENGINEERING</v>
          </cell>
        </row>
        <row r="1497">
          <cell r="A1497">
            <v>16866</v>
          </cell>
          <cell r="B1497" t="str">
            <v>Towers - Replace Xfmr 14 22MVA</v>
          </cell>
          <cell r="C1497" t="str">
            <v>09E-ELECTRICAL ENGINEERING</v>
          </cell>
        </row>
        <row r="1498">
          <cell r="A1498">
            <v>16879</v>
          </cell>
          <cell r="B1498" t="str">
            <v>L3470-clear for 130 deg HTO</v>
          </cell>
          <cell r="C1498" t="str">
            <v>93B-BELLEVILLE</v>
          </cell>
        </row>
        <row r="1499">
          <cell r="A1499">
            <v>16893</v>
          </cell>
          <cell r="B1499" t="str">
            <v>Edgemont Unit W relieve OL</v>
          </cell>
          <cell r="C1499" t="str">
            <v>015-ILLINOIS DISTRICT-E. ST. LOUIS</v>
          </cell>
        </row>
        <row r="1500">
          <cell r="A1500">
            <v>16895</v>
          </cell>
          <cell r="B1500" t="str">
            <v>Alton Cast Iron Main Phase 12</v>
          </cell>
          <cell r="C1500" t="str">
            <v>014-ALTON DISTRICT</v>
          </cell>
        </row>
        <row r="1501">
          <cell r="A1501">
            <v>16897</v>
          </cell>
          <cell r="B1501" t="str">
            <v>Alton Cast Iron Main Phase 13</v>
          </cell>
          <cell r="C1501" t="str">
            <v>014-ALTON DISTRICT</v>
          </cell>
        </row>
        <row r="1502">
          <cell r="A1502">
            <v>16905</v>
          </cell>
          <cell r="B1502" t="str">
            <v>Peoria  Steel  Coupling Renewal 3</v>
          </cell>
          <cell r="C1502" t="str">
            <v>669-DIVISION I SUPPORT STAFF</v>
          </cell>
        </row>
        <row r="1503">
          <cell r="A1503">
            <v>16914</v>
          </cell>
          <cell r="B1503" t="str">
            <v>Key Valve Replacements</v>
          </cell>
          <cell r="C1503" t="str">
            <v>628-PEORIA GAS CONSTRUCTION</v>
          </cell>
        </row>
        <row r="1504">
          <cell r="A1504">
            <v>16915</v>
          </cell>
          <cell r="B1504" t="str">
            <v>L3466-reconductor .72 mi</v>
          </cell>
          <cell r="C1504" t="str">
            <v>92T-HILLSBORO</v>
          </cell>
        </row>
        <row r="1505">
          <cell r="A1505">
            <v>16921</v>
          </cell>
          <cell r="B1505" t="str">
            <v>Romaine-Rpl (2) 14MVA 22MVA Xfmrs</v>
          </cell>
          <cell r="C1505" t="str">
            <v>09E-ELECTRICAL ENGINEERING</v>
          </cell>
        </row>
        <row r="1506">
          <cell r="A1506">
            <v>16922</v>
          </cell>
          <cell r="B1506" t="str">
            <v>Pana E.-Relocate 34-12-4KV Sub</v>
          </cell>
          <cell r="C1506" t="str">
            <v>09E-ELECTRICAL ENGINEERING</v>
          </cell>
        </row>
        <row r="1507">
          <cell r="A1507">
            <v>16927</v>
          </cell>
          <cell r="B1507" t="str">
            <v>EARTH CITY RIVERPORT FEEDER TIE</v>
          </cell>
          <cell r="C1507" t="str">
            <v>027-DORSETT</v>
          </cell>
        </row>
        <row r="1508">
          <cell r="A1508">
            <v>16928</v>
          </cell>
          <cell r="B1508" t="str">
            <v>FOXBORO RELIEF</v>
          </cell>
          <cell r="C1508" t="str">
            <v>027-DORSETT</v>
          </cell>
        </row>
        <row r="1509">
          <cell r="A1509">
            <v>16934</v>
          </cell>
          <cell r="B1509" t="str">
            <v>STATION EMERGENCY VALVE PROJ - 2006</v>
          </cell>
          <cell r="C1509" t="str">
            <v>0G5-GAS TECH SERVICES - IPC</v>
          </cell>
        </row>
        <row r="1510">
          <cell r="A1510">
            <v>16935</v>
          </cell>
          <cell r="B1510" t="str">
            <v>STATION EMERGENCY VALVE PROJ - 2007</v>
          </cell>
          <cell r="C1510" t="str">
            <v>0G5-GAS TECH SERVICES - IPC</v>
          </cell>
        </row>
        <row r="1511">
          <cell r="A1511">
            <v>16937</v>
          </cell>
          <cell r="B1511" t="str">
            <v>DEPUE TELEMETRY AND ODORIZER REPL</v>
          </cell>
          <cell r="C1511" t="str">
            <v>0G5-GAS TECH SERVICES - IPC</v>
          </cell>
        </row>
        <row r="1512">
          <cell r="A1512">
            <v>16938</v>
          </cell>
          <cell r="B1512" t="str">
            <v>TELEMETRY ODORIZATION RPL MANSFIELD</v>
          </cell>
          <cell r="C1512" t="str">
            <v>0G5-GAS TECH SERVICES - IPC</v>
          </cell>
        </row>
        <row r="1513">
          <cell r="A1513">
            <v>16939</v>
          </cell>
          <cell r="B1513" t="str">
            <v>DAVIS ST REG STATION GALESBURG</v>
          </cell>
          <cell r="C1513" t="str">
            <v>0G5-GAS TECH SERVICES - IPC</v>
          </cell>
        </row>
        <row r="1514">
          <cell r="A1514">
            <v>16940</v>
          </cell>
          <cell r="B1514" t="str">
            <v>Cadet - Repl 3 - 500kva 1 Phase</v>
          </cell>
          <cell r="C1514" t="str">
            <v>09E-ELECTRICAL ENGINEERING</v>
          </cell>
        </row>
        <row r="1515">
          <cell r="A1515">
            <v>16941</v>
          </cell>
          <cell r="B1515" t="str">
            <v>Fenton-Non Flood Site-Move Equip</v>
          </cell>
          <cell r="C1515" t="str">
            <v>09E-ELECTRICAL ENGINEERING</v>
          </cell>
        </row>
        <row r="1516">
          <cell r="A1516">
            <v>16944</v>
          </cell>
          <cell r="B1516" t="str">
            <v>Blue Spgs-34 - 12KV, 22MVA Unit D</v>
          </cell>
          <cell r="C1516" t="str">
            <v>09E-ELECTRICAL ENGINEERING</v>
          </cell>
        </row>
        <row r="1517">
          <cell r="A1517">
            <v>16952</v>
          </cell>
          <cell r="B1517" t="str">
            <v>MERAMEC PLANT VENTILATION UPGRADES</v>
          </cell>
          <cell r="C1517" t="str">
            <v>09M-GENERATION PROJECT ENGINEERING</v>
          </cell>
        </row>
        <row r="1518">
          <cell r="A1518">
            <v>16953</v>
          </cell>
          <cell r="B1518" t="str">
            <v>Cincinnati-Add Sel-321 Relays</v>
          </cell>
          <cell r="C1518" t="str">
            <v>09E-ELECTRICAL ENGINEERING</v>
          </cell>
        </row>
        <row r="1519">
          <cell r="A1519">
            <v>16955</v>
          </cell>
          <cell r="B1519" t="str">
            <v>GLASFORD - REPL DISPOSAL PIT</v>
          </cell>
          <cell r="C1519" t="str">
            <v>0G6-GAS STORAGE</v>
          </cell>
        </row>
        <row r="1520">
          <cell r="A1520">
            <v>16956</v>
          </cell>
          <cell r="B1520" t="str">
            <v>SHANGHAI - NEW H20 DISPOSAL WELL</v>
          </cell>
          <cell r="C1520" t="str">
            <v>0G6-GAS STORAGE</v>
          </cell>
        </row>
        <row r="1521">
          <cell r="A1521">
            <v>16957</v>
          </cell>
          <cell r="B1521" t="str">
            <v>HILLSBORO - FIELD METER PROJECT</v>
          </cell>
          <cell r="C1521" t="str">
            <v>0G6-GAS STORAGE</v>
          </cell>
        </row>
        <row r="1522">
          <cell r="A1522">
            <v>16959</v>
          </cell>
          <cell r="B1522" t="str">
            <v>SHANGHAI - 3-D SEISMIC</v>
          </cell>
          <cell r="C1522" t="str">
            <v>0G6-GAS STORAGE</v>
          </cell>
        </row>
        <row r="1523">
          <cell r="A1523">
            <v>16961</v>
          </cell>
          <cell r="B1523" t="str">
            <v>SCIOTA - REPL PLC &amp; HMI CONTROLS</v>
          </cell>
          <cell r="C1523" t="str">
            <v>0G6-GAS STORAGE</v>
          </cell>
        </row>
        <row r="1524">
          <cell r="A1524">
            <v>16962</v>
          </cell>
          <cell r="B1524" t="str">
            <v>SHANGHAI - FACILITY METERING REPL</v>
          </cell>
          <cell r="C1524" t="str">
            <v>0G6-GAS STORAGE</v>
          </cell>
        </row>
        <row r="1525">
          <cell r="A1525">
            <v>16964</v>
          </cell>
          <cell r="B1525" t="str">
            <v>HOOKDALE - REPL COMP S&amp;D SCRUBBERS</v>
          </cell>
          <cell r="C1525" t="str">
            <v>0G6-GAS STORAGE</v>
          </cell>
        </row>
        <row r="1526">
          <cell r="A1526">
            <v>16966</v>
          </cell>
          <cell r="B1526" t="str">
            <v>SHANGHAI - DRILL NEW WELL</v>
          </cell>
          <cell r="C1526" t="str">
            <v>0G6-GAS STORAGE</v>
          </cell>
        </row>
        <row r="1527">
          <cell r="A1527">
            <v>16967</v>
          </cell>
          <cell r="B1527" t="str">
            <v>JOHNSTON CTY - ULTRASONIC METER</v>
          </cell>
          <cell r="C1527" t="str">
            <v>0G6-GAS STORAGE</v>
          </cell>
        </row>
        <row r="1528">
          <cell r="A1528">
            <v>16973</v>
          </cell>
          <cell r="B1528" t="str">
            <v>CENTRALIA - REPL FACILITY METER RUN</v>
          </cell>
          <cell r="C1528" t="str">
            <v>0G6-GAS STORAGE</v>
          </cell>
        </row>
        <row r="1529">
          <cell r="A1529">
            <v>16974</v>
          </cell>
          <cell r="B1529" t="str">
            <v>FREEBURG - REPL FACILITY METER RUN</v>
          </cell>
          <cell r="C1529" t="str">
            <v>0G6-GAS STORAGE</v>
          </cell>
        </row>
        <row r="1530">
          <cell r="A1530">
            <v>16975</v>
          </cell>
          <cell r="B1530" t="str">
            <v>HOOKDALE - REPL FACILITY METER RUN</v>
          </cell>
          <cell r="C1530" t="str">
            <v>0G6-GAS STORAGE</v>
          </cell>
        </row>
        <row r="1531">
          <cell r="A1531">
            <v>16977</v>
          </cell>
          <cell r="B1531" t="str">
            <v>TAUM SAUK RAW WATER PIPING MOD</v>
          </cell>
          <cell r="C1531" t="str">
            <v>09M-GENERATION PROJECT ENGINEERING</v>
          </cell>
        </row>
        <row r="1532">
          <cell r="A1532">
            <v>16980</v>
          </cell>
          <cell r="B1532" t="str">
            <v>INDIAN TRAILS BOILER UPGRADE</v>
          </cell>
          <cell r="C1532" t="str">
            <v>09M-GENERATION PROJECT ENGINEERING</v>
          </cell>
        </row>
        <row r="1533">
          <cell r="A1533">
            <v>16983</v>
          </cell>
          <cell r="B1533" t="str">
            <v>Kickapoo-Upgr.Ln.Posn.1346 to 1600A</v>
          </cell>
          <cell r="C1533" t="str">
            <v>09E-ELECTRICAL ENGINEERING</v>
          </cell>
        </row>
        <row r="1534">
          <cell r="A1534">
            <v>16984</v>
          </cell>
          <cell r="B1534" t="str">
            <v>Kickapoo-Repl. Relays- Ln.1384,1346</v>
          </cell>
          <cell r="C1534" t="str">
            <v>09E-ELECTRICAL ENGINEERING</v>
          </cell>
        </row>
        <row r="1535">
          <cell r="A1535">
            <v>16996</v>
          </cell>
          <cell r="B1535" t="str">
            <v>E.D.EDWARDS- 345-138KV, 560MVA XFMR</v>
          </cell>
          <cell r="C1535" t="str">
            <v>09E-ELECTRICAL ENGINEERING</v>
          </cell>
        </row>
        <row r="1536">
          <cell r="A1536">
            <v>17007</v>
          </cell>
          <cell r="B1536" t="str">
            <v>Eldon-34-Reloc.Eldon-72 34kV Term.</v>
          </cell>
          <cell r="C1536" t="str">
            <v>09E-ELECTRICAL ENGINEERING</v>
          </cell>
        </row>
        <row r="1537">
          <cell r="A1537">
            <v>17017</v>
          </cell>
          <cell r="B1537" t="str">
            <v>Clydesdale- Rpl. 14MVA Xfmr w-22MVA</v>
          </cell>
          <cell r="C1537" t="str">
            <v>09E-ELECTRICAL ENGINEERING</v>
          </cell>
        </row>
        <row r="1538">
          <cell r="A1538">
            <v>17020</v>
          </cell>
          <cell r="B1538" t="str">
            <v>Sioux-Huster-1-138Kv Line</v>
          </cell>
          <cell r="C1538" t="str">
            <v>09E-ELECTRICAL ENGINEERING</v>
          </cell>
        </row>
        <row r="1539">
          <cell r="A1539">
            <v>17022</v>
          </cell>
          <cell r="B1539" t="str">
            <v>NEWTON - MTCE POWER SUBSTATION</v>
          </cell>
          <cell r="C1539" t="str">
            <v>09M-GENERATION PROJECT ENGINEERING</v>
          </cell>
        </row>
        <row r="1540">
          <cell r="A1540">
            <v>17027</v>
          </cell>
          <cell r="B1540" t="str">
            <v>MERAMEC U4 EXCITATION FIELD BRKR</v>
          </cell>
          <cell r="C1540" t="str">
            <v>09M-GENERATION PROJECT ENGINEERING</v>
          </cell>
        </row>
        <row r="1541">
          <cell r="A1541">
            <v>17030</v>
          </cell>
          <cell r="B1541" t="str">
            <v>L1386-Recond. 2 Mile to 1600 Amp.</v>
          </cell>
          <cell r="C1541" t="str">
            <v>09E-ELECTRICAL ENGINEERING</v>
          </cell>
        </row>
        <row r="1542">
          <cell r="A1542">
            <v>17032</v>
          </cell>
          <cell r="B1542" t="str">
            <v>L1562 and L1596-Recond. 1.3 Mile</v>
          </cell>
          <cell r="C1542" t="str">
            <v>09E-ELECTRICAL ENGINEERING</v>
          </cell>
        </row>
        <row r="1543">
          <cell r="A1543">
            <v>17038</v>
          </cell>
          <cell r="B1543" t="str">
            <v>LABADIE CONVYR 5-6 NO TRANSF CHUTES</v>
          </cell>
          <cell r="C1543" t="str">
            <v>09M-GENERATION PROJECT ENGINEERING</v>
          </cell>
        </row>
        <row r="1544">
          <cell r="A1544">
            <v>17042</v>
          </cell>
          <cell r="B1544" t="str">
            <v>L1346-In-Out Tap to Latham Sub.</v>
          </cell>
          <cell r="C1544" t="str">
            <v>09E-ELECTRICAL ENGINEERING</v>
          </cell>
        </row>
        <row r="1545">
          <cell r="A1545">
            <v>17044</v>
          </cell>
          <cell r="B1545" t="str">
            <v>Ashley (IP) Rpl 5 Ln Relay Panels</v>
          </cell>
          <cell r="C1545" t="str">
            <v>09E-ELECTRICAL ENGINEERING</v>
          </cell>
        </row>
        <row r="1546">
          <cell r="A1546">
            <v>17045</v>
          </cell>
          <cell r="B1546" t="str">
            <v>BONDVILLE 69-12- 12MVA BASE XFMR</v>
          </cell>
          <cell r="C1546" t="str">
            <v>09E-ELECTRICAL ENGINEERING</v>
          </cell>
        </row>
        <row r="1547">
          <cell r="A1547">
            <v>17049</v>
          </cell>
          <cell r="B1547" t="str">
            <v>Pekin Wms.Energy-2nd Feed(Aventine)</v>
          </cell>
          <cell r="C1547" t="str">
            <v>09E-ELECTRICAL ENGINEERING</v>
          </cell>
        </row>
        <row r="1548">
          <cell r="A1548">
            <v>17055</v>
          </cell>
          <cell r="B1548" t="str">
            <v>S.Bloom-138Kv Bus Tie Upg to 2000A</v>
          </cell>
          <cell r="C1548" t="str">
            <v>09E-ELECTRICAL ENGINEERING</v>
          </cell>
        </row>
        <row r="1549">
          <cell r="A1549">
            <v>17059</v>
          </cell>
          <cell r="B1549" t="str">
            <v>R.S.Wallace - 20MVAR, 69kV Cap Bank</v>
          </cell>
          <cell r="C1549" t="str">
            <v>09E-ELECTRICAL ENGINEERING</v>
          </cell>
        </row>
        <row r="1550">
          <cell r="A1550">
            <v>17060</v>
          </cell>
          <cell r="B1550" t="str">
            <v>Eastern - New 20MVAR, 69kV Cap Bank</v>
          </cell>
          <cell r="C1550" t="str">
            <v>09E-ELECTRICAL ENGINEERING</v>
          </cell>
        </row>
        <row r="1551">
          <cell r="A1551">
            <v>17075</v>
          </cell>
          <cell r="B1551" t="str">
            <v>CNV-REPLACE TELEMETRY AND ODORIZER</v>
          </cell>
          <cell r="C1551" t="str">
            <v>91A-IL OPS ADMIN</v>
          </cell>
        </row>
        <row r="1552">
          <cell r="A1552">
            <v>17221</v>
          </cell>
          <cell r="B1552" t="str">
            <v>Leroy Sub Create Two New Circuits</v>
          </cell>
          <cell r="C1552" t="str">
            <v>09E-ELECTRICAL ENGINEERING</v>
          </cell>
        </row>
        <row r="1553">
          <cell r="A1553">
            <v>17226</v>
          </cell>
          <cell r="B1553" t="str">
            <v>L1362 -HAV-MONM.RECOND.138KV RVXING</v>
          </cell>
          <cell r="C1553" t="str">
            <v>09E-ELECTRICAL ENGINEERING</v>
          </cell>
        </row>
        <row r="1554">
          <cell r="A1554">
            <v>17232</v>
          </cell>
          <cell r="B1554" t="str">
            <v>L1362-HAV-MONM.-INCR.GR.CL. -.72MI</v>
          </cell>
          <cell r="C1554" t="str">
            <v>09E-ELECTRICAL ENGINEERING</v>
          </cell>
        </row>
        <row r="1555">
          <cell r="A1555">
            <v>17233</v>
          </cell>
          <cell r="B1555" t="str">
            <v>L1356-HAV.-IPAVA RV.XING TO HAV.SUB</v>
          </cell>
          <cell r="C1555" t="str">
            <v>09E-ELECTRICAL ENGINEERING</v>
          </cell>
        </row>
        <row r="1556">
          <cell r="A1556">
            <v>17244</v>
          </cell>
          <cell r="B1556" t="str">
            <v>NEW EAGER FEEDER</v>
          </cell>
          <cell r="C1556" t="str">
            <v>056-GERALDINE</v>
          </cell>
        </row>
        <row r="1557">
          <cell r="A1557">
            <v>17248</v>
          </cell>
          <cell r="B1557" t="str">
            <v>PATTERSON SUBSTATION UNIT W OFFLOAD</v>
          </cell>
          <cell r="C1557" t="str">
            <v>055-BERKELEY</v>
          </cell>
        </row>
        <row r="1558">
          <cell r="A1558">
            <v>17287</v>
          </cell>
          <cell r="B1558" t="str">
            <v>BELLEV. PONTIAC - UPGR. XFMR #2</v>
          </cell>
          <cell r="C1558" t="str">
            <v>09E-ELECTRICAL ENGINEERING</v>
          </cell>
        </row>
        <row r="1559">
          <cell r="A1559">
            <v>17309</v>
          </cell>
          <cell r="B1559" t="str">
            <v>MAROA CHESTNUT - UPGR. XFMR</v>
          </cell>
          <cell r="C1559" t="str">
            <v>09E-ELECTRICAL ENGINEERING</v>
          </cell>
        </row>
        <row r="1560">
          <cell r="A1560">
            <v>17310</v>
          </cell>
          <cell r="B1560" t="str">
            <v>Champ. SW Campus - Repl. Xfmr #1</v>
          </cell>
          <cell r="C1560" t="str">
            <v>09E-ELECTRICAL ENGINEERING</v>
          </cell>
        </row>
        <row r="1561">
          <cell r="A1561">
            <v>17311</v>
          </cell>
          <cell r="B1561" t="str">
            <v>Bellev.17th St. - Repl. OCB 3470</v>
          </cell>
          <cell r="C1561" t="str">
            <v>09E-ELECTRICAL ENGINEERING</v>
          </cell>
        </row>
        <row r="1562">
          <cell r="A1562">
            <v>17328</v>
          </cell>
          <cell r="B1562" t="str">
            <v>Latham-Install New 138kV Line Term</v>
          </cell>
          <cell r="C1562" t="str">
            <v>09E-ELECTRICAL ENGINEERING</v>
          </cell>
        </row>
        <row r="1563">
          <cell r="A1563">
            <v>17409</v>
          </cell>
          <cell r="B1563" t="str">
            <v>W.Tilton 2nd Xfmr and Bus Tie</v>
          </cell>
          <cell r="C1563" t="str">
            <v>09E-ELECTRICAL ENGINEERING</v>
          </cell>
        </row>
        <row r="1564">
          <cell r="A1564">
            <v>17415</v>
          </cell>
          <cell r="B1564" t="str">
            <v>N.LASALLE-2ND 138-34KV XFMR. 34 BUS</v>
          </cell>
          <cell r="C1564" t="str">
            <v>09E-ELECTRICAL ENGINEERING</v>
          </cell>
        </row>
        <row r="1565">
          <cell r="A1565">
            <v>17521</v>
          </cell>
          <cell r="B1565" t="str">
            <v>E.Kewanee - Repl. OCB 1366</v>
          </cell>
          <cell r="C1565" t="str">
            <v>09E-ELECTRICAL ENGINEERING</v>
          </cell>
        </row>
        <row r="1566">
          <cell r="A1566">
            <v>17532</v>
          </cell>
          <cell r="B1566" t="str">
            <v>Cherokee-Convert to 2-unit &amp; 1-unit</v>
          </cell>
          <cell r="C1566" t="str">
            <v>09E-ELECTRICAL ENGINEERING</v>
          </cell>
        </row>
        <row r="1567">
          <cell r="A1567">
            <v>17561</v>
          </cell>
          <cell r="B1567" t="str">
            <v>Nashville - Upgr. 69kV Cap. Bank</v>
          </cell>
          <cell r="C1567" t="str">
            <v>09E-ELECTRICAL ENGINEERING</v>
          </cell>
        </row>
        <row r="1568">
          <cell r="A1568">
            <v>17565</v>
          </cell>
          <cell r="B1568" t="str">
            <v>OFALLON PORTER RD-2ND 34-12KV XFMR</v>
          </cell>
          <cell r="C1568" t="str">
            <v>09E-ELECTRICAL ENGINEERING</v>
          </cell>
        </row>
        <row r="1569">
          <cell r="A1569">
            <v>17799</v>
          </cell>
          <cell r="B1569" t="str">
            <v>MEXICO 2006 CI - SOUTH LP SYSTEM</v>
          </cell>
          <cell r="C1569" t="str">
            <v>4MX-LITTLE DIXIE SUPPORT STAFF</v>
          </cell>
        </row>
        <row r="1570">
          <cell r="A1570">
            <v>17805</v>
          </cell>
          <cell r="B1570" t="str">
            <v>CENTRALIA 2006 CI RENEWAL</v>
          </cell>
          <cell r="C1570" t="str">
            <v>4MX-LITTLE DIXIE SUPPORT STAFF</v>
          </cell>
        </row>
        <row r="1571">
          <cell r="A1571">
            <v>17807</v>
          </cell>
          <cell r="B1571" t="str">
            <v>2006 Ashland - PVC Main and Service</v>
          </cell>
          <cell r="C1571" t="str">
            <v>5JS-CAPITAL DIST SUPPORT</v>
          </cell>
        </row>
        <row r="1572">
          <cell r="A1572">
            <v>17808</v>
          </cell>
          <cell r="B1572" t="str">
            <v>High StBenton REnewal</v>
          </cell>
          <cell r="C1572" t="str">
            <v>5JS-CAPITAL DIST SUPPORT</v>
          </cell>
        </row>
        <row r="1573">
          <cell r="A1573">
            <v>17809</v>
          </cell>
          <cell r="B1573" t="str">
            <v>Chestnut  East Elm Renewal</v>
          </cell>
          <cell r="C1573" t="str">
            <v>5JS-CAPITAL DIST SUPPORT</v>
          </cell>
        </row>
        <row r="1574">
          <cell r="A1574">
            <v>17813</v>
          </cell>
          <cell r="B1574" t="str">
            <v>HWY CC Renewal</v>
          </cell>
          <cell r="C1574" t="str">
            <v>5JS-CAPITAL DIST SUPPORT</v>
          </cell>
        </row>
        <row r="1575">
          <cell r="A1575">
            <v>17817</v>
          </cell>
          <cell r="B1575" t="str">
            <v>Christy Drive Renewal</v>
          </cell>
          <cell r="C1575" t="str">
            <v>5JS-CAPITAL DIST SUPPORT</v>
          </cell>
        </row>
        <row r="1576">
          <cell r="A1576">
            <v>17840</v>
          </cell>
          <cell r="B1576" t="str">
            <v>SIOUX U2 RRI  SNCR</v>
          </cell>
          <cell r="C1576" t="str">
            <v>09V-NEW GEN &amp; ENV PROJECTS</v>
          </cell>
        </row>
        <row r="1577">
          <cell r="A1577">
            <v>17879</v>
          </cell>
          <cell r="B1577" t="str">
            <v>BOONVILLE 2006 CI - NORTH LP SYSTEM</v>
          </cell>
          <cell r="C1577" t="str">
            <v>4MX-LITTLE DIXIE SUPPORT STAFF</v>
          </cell>
        </row>
        <row r="1578">
          <cell r="A1578">
            <v>17908</v>
          </cell>
          <cell r="B1578" t="str">
            <v>MOBERLY 2006 CI - NORTH SYSTEM</v>
          </cell>
          <cell r="C1578" t="str">
            <v>4MX-LITTLE DIXIE SUPPORT STAFF</v>
          </cell>
        </row>
        <row r="1579">
          <cell r="A1579">
            <v>17909</v>
          </cell>
          <cell r="B1579" t="str">
            <v>MEXICO 2006 CI - SOUTH HP SYSTEM</v>
          </cell>
          <cell r="C1579" t="str">
            <v>4MX-LITTLE DIXIE SUPPORT STAFF</v>
          </cell>
        </row>
        <row r="1580">
          <cell r="A1580">
            <v>17925</v>
          </cell>
          <cell r="B1580" t="str">
            <v>COLUMBIA 2007 CI - NE SYSTEM</v>
          </cell>
          <cell r="C1580" t="str">
            <v>4MX-LITTLE DIXIE SUPPORT STAFF</v>
          </cell>
        </row>
        <row r="1581">
          <cell r="A1581">
            <v>17928</v>
          </cell>
          <cell r="B1581" t="str">
            <v>COLUMBIA 2006 CI - SE SYSTEM</v>
          </cell>
          <cell r="C1581" t="str">
            <v>4MX-LITTLE DIXIE SUPPORT STAFF</v>
          </cell>
        </row>
        <row r="1582">
          <cell r="A1582">
            <v>17947</v>
          </cell>
          <cell r="B1582" t="str">
            <v>SIOUX ACCESS ROAD &amp; FILL FOR WFGD</v>
          </cell>
          <cell r="C1582" t="str">
            <v>09V-NEW GEN &amp; ENV PROJECTS</v>
          </cell>
        </row>
        <row r="1583">
          <cell r="A1583">
            <v>17957</v>
          </cell>
          <cell r="B1583" t="str">
            <v>CISSNA PARK CIRCUIT 542</v>
          </cell>
          <cell r="C1583" t="str">
            <v>2MS-DIVISION IV SUPPORT STAFF</v>
          </cell>
        </row>
        <row r="1584">
          <cell r="A1584">
            <v>17976</v>
          </cell>
          <cell r="B1584" t="str">
            <v>SIBLEY &amp; FORREST JUNCTION</v>
          </cell>
          <cell r="C1584" t="str">
            <v>2MS-DIVISION IV SUPPORT STAFF</v>
          </cell>
        </row>
        <row r="1585">
          <cell r="A1585">
            <v>17991</v>
          </cell>
          <cell r="B1585" t="str">
            <v>ASSUMPTION-MOWEAQUA 12KV TIE</v>
          </cell>
          <cell r="C1585" t="str">
            <v>2MS-DIVISION IV SUPPORT STAFF</v>
          </cell>
        </row>
        <row r="1586">
          <cell r="A1586">
            <v>18062</v>
          </cell>
          <cell r="B1586" t="str">
            <v>MERAMEC U4 UPS BATTERY REPLACEMENT</v>
          </cell>
          <cell r="C1586" t="str">
            <v>09M-GENERATION PROJECT ENGINEERING</v>
          </cell>
        </row>
        <row r="1587">
          <cell r="A1587">
            <v>18063</v>
          </cell>
          <cell r="B1587" t="str">
            <v>INTERCTY MAIN RPL ETNA TO CO RD 400</v>
          </cell>
          <cell r="C1587" t="str">
            <v>0G1-GAS TECH SERVICES - CIP</v>
          </cell>
        </row>
        <row r="1588">
          <cell r="A1588">
            <v>18064</v>
          </cell>
          <cell r="B1588" t="str">
            <v>INTERCTY MAIN RPL CO RD 400 TO MATT</v>
          </cell>
          <cell r="C1588" t="str">
            <v>0G1-GAS TECH SERVICES - CIP</v>
          </cell>
        </row>
        <row r="1589">
          <cell r="A1589">
            <v>18166</v>
          </cell>
          <cell r="B1589" t="str">
            <v>CNV-W MT VERNON-REPLACE TERMINAL</v>
          </cell>
          <cell r="C1589" t="str">
            <v>91A-IL OPS ADMIN</v>
          </cell>
        </row>
        <row r="1590">
          <cell r="A1590">
            <v>18197</v>
          </cell>
          <cell r="B1590" t="str">
            <v>EFFINGHAM-REPLACE 3700 STEEL MAIN</v>
          </cell>
          <cell r="C1590" t="str">
            <v>2MS-DIVISION IV SUPPORT STAFF</v>
          </cell>
        </row>
        <row r="1591">
          <cell r="A1591">
            <v>18238</v>
          </cell>
          <cell r="B1591" t="str">
            <v>RELOCATE 2 IN LINE FOR IDOT WELDON</v>
          </cell>
          <cell r="C1591" t="str">
            <v>0G5-GAS TECH SERVICES - IPC</v>
          </cell>
        </row>
        <row r="1592">
          <cell r="A1592">
            <v>18261</v>
          </cell>
          <cell r="B1592" t="str">
            <v>CLINTON SWYD.-REPL. CT &amp; BRKR.4522</v>
          </cell>
          <cell r="C1592" t="str">
            <v>09E-ELECTRICAL ENGINEERING</v>
          </cell>
        </row>
        <row r="1593">
          <cell r="A1593">
            <v>18307</v>
          </cell>
          <cell r="B1593" t="str">
            <v>CNV-L1556A - RELOCATE 1/2 MILE</v>
          </cell>
          <cell r="C1593" t="str">
            <v>91H-TRANSMISSION - IPC</v>
          </cell>
        </row>
        <row r="1594">
          <cell r="A1594">
            <v>18310</v>
          </cell>
          <cell r="B1594" t="str">
            <v>L1542-REPL STRUCTURES XARMS POLES</v>
          </cell>
          <cell r="C1594" t="str">
            <v>91A-IL OPS ADMIN</v>
          </cell>
        </row>
        <row r="1595">
          <cell r="A1595">
            <v>18314</v>
          </cell>
          <cell r="B1595" t="str">
            <v>CNV-BALDWIN SWITCHYARD - BUS CCPD</v>
          </cell>
          <cell r="C1595" t="str">
            <v>09E-ELECTRICAL ENGINEERING</v>
          </cell>
        </row>
        <row r="1596">
          <cell r="A1596">
            <v>18315</v>
          </cell>
          <cell r="B1596" t="str">
            <v>CNV-SIDNEY - INSTALL 345 BREAKER</v>
          </cell>
          <cell r="C1596" t="str">
            <v>09E-ELECTRICAL ENGINEERING</v>
          </cell>
        </row>
        <row r="1597">
          <cell r="A1597">
            <v>18316</v>
          </cell>
          <cell r="B1597" t="str">
            <v>CNV-TURKEY HILL - INSTALL AC</v>
          </cell>
          <cell r="C1597" t="str">
            <v>09E-ELECTRICAL ENGINEERING</v>
          </cell>
        </row>
        <row r="1598">
          <cell r="A1598">
            <v>18317</v>
          </cell>
          <cell r="B1598" t="str">
            <v>PRAIRIE STATE PP SUB WORK</v>
          </cell>
          <cell r="C1598" t="str">
            <v>09E-ELECTRICAL ENGINEERING</v>
          </cell>
        </row>
        <row r="1599">
          <cell r="A1599">
            <v>18385</v>
          </cell>
          <cell r="B1599" t="str">
            <v>SL - PT CAHOKIA-CENTRAL</v>
          </cell>
          <cell r="C1599" t="str">
            <v>061-REAL ESTATE</v>
          </cell>
        </row>
        <row r="1600">
          <cell r="A1600">
            <v>18423</v>
          </cell>
          <cell r="B1600" t="str">
            <v>CNV-S. BLOOMINGTON 2ND TRF.</v>
          </cell>
          <cell r="C1600" t="str">
            <v>09E-ELECTRICAL ENGINEERING</v>
          </cell>
        </row>
        <row r="1601">
          <cell r="A1601">
            <v>18441</v>
          </cell>
          <cell r="B1601" t="str">
            <v>Meramec U3 SH Furnace Casing Repl</v>
          </cell>
          <cell r="C1601" t="str">
            <v>09M-GENERATION PROJECT ENGINEERING</v>
          </cell>
        </row>
        <row r="1602">
          <cell r="A1602">
            <v>18443</v>
          </cell>
          <cell r="B1602" t="str">
            <v>CNV-STEELEVILLE OILSPILL CONTNMT</v>
          </cell>
          <cell r="C1602" t="str">
            <v>09E-ELECTRICAL ENGINEERING</v>
          </cell>
        </row>
        <row r="1603">
          <cell r="A1603">
            <v>18445</v>
          </cell>
          <cell r="B1603" t="str">
            <v>CNV-DOWNS SUB. - SPCC WORK</v>
          </cell>
          <cell r="C1603" t="str">
            <v>91A-IL OPS ADMIN</v>
          </cell>
        </row>
        <row r="1604">
          <cell r="A1604">
            <v>18447</v>
          </cell>
          <cell r="B1604" t="str">
            <v>CNV-JACKSONVILLE CONCORD CKT 102</v>
          </cell>
          <cell r="C1604" t="str">
            <v>09E-ELECTRICAL ENGINEERING</v>
          </cell>
        </row>
        <row r="1605">
          <cell r="A1605">
            <v>18449</v>
          </cell>
          <cell r="B1605" t="str">
            <v>CNV-GALESB.LOMAX CKT 179 REPLACE</v>
          </cell>
          <cell r="C1605" t="str">
            <v>09E-ELECTRICAL ENGINEERING</v>
          </cell>
        </row>
        <row r="1606">
          <cell r="A1606">
            <v>18450</v>
          </cell>
          <cell r="B1606" t="str">
            <v>CNV-MTVERNON ASHLEY CKT140 REMOVE</v>
          </cell>
          <cell r="C1606" t="str">
            <v>09E-ELECTRICAL ENGINEERING</v>
          </cell>
        </row>
        <row r="1607">
          <cell r="A1607">
            <v>18451</v>
          </cell>
          <cell r="B1607" t="str">
            <v>CNV-PRINCETON CKT 161 REPLAC RECLS</v>
          </cell>
          <cell r="C1607" t="str">
            <v>09E-ELECTRICAL ENGINEERING</v>
          </cell>
        </row>
        <row r="1608">
          <cell r="A1608">
            <v>18452</v>
          </cell>
          <cell r="B1608" t="str">
            <v>Meramec U3 RH Furnace Casing Repl</v>
          </cell>
          <cell r="C1608" t="str">
            <v>09M-GENERATION PROJECT ENGINEERING</v>
          </cell>
        </row>
        <row r="1609">
          <cell r="A1609">
            <v>18453</v>
          </cell>
          <cell r="B1609" t="str">
            <v>CNV-MARSEILLES SUB. - REPLACE COND</v>
          </cell>
          <cell r="C1609" t="str">
            <v>09E-ELECTRICAL ENGINEERING</v>
          </cell>
        </row>
        <row r="1610">
          <cell r="A1610">
            <v>18457</v>
          </cell>
          <cell r="B1610" t="str">
            <v>CNV-RIDGEFARM WEST-REPL REGULATORS</v>
          </cell>
          <cell r="C1610" t="str">
            <v>09E-ELECTRICAL ENGINEERING</v>
          </cell>
        </row>
        <row r="1611">
          <cell r="A1611">
            <v>18458</v>
          </cell>
          <cell r="B1611" t="str">
            <v>CNV-DEC. BALT.-REPLACE REGULATORS</v>
          </cell>
          <cell r="C1611" t="str">
            <v>09E-ELECTRICAL ENGINEERING</v>
          </cell>
        </row>
        <row r="1612">
          <cell r="A1612">
            <v>18461</v>
          </cell>
          <cell r="B1612" t="str">
            <v>CNV-MARSEILLES CKT281 REPLC REGS</v>
          </cell>
          <cell r="C1612" t="str">
            <v>09E-ELECTRICAL ENGINEERING</v>
          </cell>
        </row>
        <row r="1613">
          <cell r="A1613">
            <v>18462</v>
          </cell>
          <cell r="B1613" t="str">
            <v>CNV-MARSEILLES L3411 RELAYINGPANEL</v>
          </cell>
          <cell r="C1613" t="str">
            <v>09E-ELECTRICAL ENGINEERING</v>
          </cell>
        </row>
        <row r="1614">
          <cell r="A1614">
            <v>18501</v>
          </cell>
          <cell r="B1614" t="str">
            <v>CNV-MONTICELLO RT. 105 - NEW TERM</v>
          </cell>
          <cell r="C1614" t="str">
            <v>09E-ELECTRICAL ENGINEERING</v>
          </cell>
        </row>
        <row r="1615">
          <cell r="A1615">
            <v>18502</v>
          </cell>
          <cell r="B1615" t="str">
            <v>CNV-GALESBURG GAVLA SUB</v>
          </cell>
          <cell r="C1615" t="str">
            <v>09E-ELECTRICAL ENGINEERING</v>
          </cell>
        </row>
        <row r="1616">
          <cell r="A1616">
            <v>18503</v>
          </cell>
          <cell r="B1616" t="str">
            <v>CNV-SEATON SUB. - ADD 2.4 CAP BANK</v>
          </cell>
          <cell r="C1616" t="str">
            <v>09E-ELECTRICAL ENGINEERING</v>
          </cell>
        </row>
        <row r="1617">
          <cell r="A1617">
            <v>18542</v>
          </cell>
          <cell r="B1617" t="str">
            <v>CNV-DISTRIBUTION LAND RIGHTS</v>
          </cell>
          <cell r="C1617" t="str">
            <v>91A-IL OPS ADMIN</v>
          </cell>
        </row>
        <row r="1618">
          <cell r="A1618">
            <v>18562</v>
          </cell>
          <cell r="B1618" t="str">
            <v>CANTON CONVERSION 2006</v>
          </cell>
          <cell r="C1618" t="str">
            <v>7KS-GREEN HILLS DIST SUPPORT</v>
          </cell>
        </row>
        <row r="1619">
          <cell r="A1619">
            <v>18629</v>
          </cell>
          <cell r="B1619" t="str">
            <v>CNV-NORTH LASALLE OIL CONTAIN</v>
          </cell>
          <cell r="C1619" t="str">
            <v>09E-ELECTRICAL ENGINEERING</v>
          </cell>
        </row>
        <row r="1620">
          <cell r="A1620">
            <v>18634</v>
          </cell>
          <cell r="B1620" t="str">
            <v>CNV-POWER HOUSE SUB. OIL CONTAIN</v>
          </cell>
          <cell r="C1620" t="str">
            <v>91A-IL OPS ADMIN</v>
          </cell>
        </row>
        <row r="1621">
          <cell r="A1621">
            <v>18650</v>
          </cell>
          <cell r="B1621" t="str">
            <v>CNV-NORMAL E. L3428 SDG RLY REPLC.</v>
          </cell>
          <cell r="C1621" t="str">
            <v>09E-ELECTRICAL ENGINEERING</v>
          </cell>
        </row>
        <row r="1622">
          <cell r="A1622">
            <v>18679</v>
          </cell>
          <cell r="B1622" t="str">
            <v>CNV-W MT VERNON REPLACE SYS DFR</v>
          </cell>
          <cell r="C1622" t="str">
            <v>09E-ELECTRICAL ENGINEERING</v>
          </cell>
        </row>
        <row r="1623">
          <cell r="A1623">
            <v>18684</v>
          </cell>
          <cell r="B1623" t="str">
            <v>CNV-WOOD RIVER NEW RTU-TASNET SYS</v>
          </cell>
          <cell r="C1623" t="str">
            <v>09E-ELECTRICAL ENGINEERING</v>
          </cell>
        </row>
        <row r="1624">
          <cell r="A1624">
            <v>18685</v>
          </cell>
          <cell r="B1624" t="str">
            <v>ChampUrb Infrastructure Improvement</v>
          </cell>
          <cell r="C1624" t="str">
            <v>91L-CHAMPAIGN/URBANA GAS OPS</v>
          </cell>
        </row>
        <row r="1625">
          <cell r="A1625">
            <v>18688</v>
          </cell>
          <cell r="B1625" t="str">
            <v>CNV-LATHAM SUB OCB 1342 SYN RELAY</v>
          </cell>
          <cell r="C1625" t="str">
            <v>09E-ELECTRICAL ENGINEERING</v>
          </cell>
        </row>
        <row r="1626">
          <cell r="A1626">
            <v>18692</v>
          </cell>
          <cell r="B1626" t="str">
            <v>CNV-DECATUR E.MAIN INSTALL RTU</v>
          </cell>
          <cell r="C1626" t="str">
            <v>09E-ELECTRICAL ENGINEERING</v>
          </cell>
        </row>
        <row r="1627">
          <cell r="A1627">
            <v>18695</v>
          </cell>
          <cell r="B1627" t="str">
            <v>CNV-KEWANEE N MAIN ST BRKR 3408</v>
          </cell>
          <cell r="C1627" t="str">
            <v>09E-ELECTRICAL ENGINEERING</v>
          </cell>
        </row>
        <row r="1628">
          <cell r="A1628">
            <v>18698</v>
          </cell>
          <cell r="B1628" t="str">
            <v>CNV-OGLESBY SUB REPLACE BRKER 3363</v>
          </cell>
          <cell r="C1628" t="str">
            <v>09E-ELECTRICAL ENGINEERING</v>
          </cell>
        </row>
        <row r="1629">
          <cell r="A1629">
            <v>18699</v>
          </cell>
          <cell r="B1629" t="str">
            <v>CNV-E GALESBURG REPLACE 138KV BRKR</v>
          </cell>
          <cell r="C1629" t="str">
            <v>09E-ELECTRICAL ENGINEERING</v>
          </cell>
        </row>
        <row r="1630">
          <cell r="A1630">
            <v>18708</v>
          </cell>
          <cell r="B1630" t="str">
            <v>CNV-E GALESBURG BRKR 6623 AND B100</v>
          </cell>
          <cell r="C1630" t="str">
            <v>09E-ELECTRICAL ENGINEERING</v>
          </cell>
        </row>
        <row r="1631">
          <cell r="A1631">
            <v>18709</v>
          </cell>
          <cell r="B1631" t="str">
            <v>CNV-E GALESBURG BRKRS 6626 AND 6627</v>
          </cell>
          <cell r="C1631" t="str">
            <v>09E-ELECTRICAL ENGINEERING</v>
          </cell>
        </row>
        <row r="1632">
          <cell r="A1632">
            <v>18710</v>
          </cell>
          <cell r="B1632" t="str">
            <v>CNV-MONMOUTH REPLACE BATTERY CHRGR</v>
          </cell>
          <cell r="C1632" t="str">
            <v>09E-ELECTRICAL ENGINEERING</v>
          </cell>
        </row>
        <row r="1633">
          <cell r="A1633">
            <v>18729</v>
          </cell>
          <cell r="B1633" t="str">
            <v>CNV-BLOOMINGTON WASH ST. SUB SPCC</v>
          </cell>
          <cell r="C1633" t="str">
            <v>91A-IL OPS ADMIN</v>
          </cell>
        </row>
        <row r="1634">
          <cell r="A1634">
            <v>18732</v>
          </cell>
          <cell r="B1634" t="str">
            <v>N.LASALLE-OTTAWA-NEW WEDRON LINE</v>
          </cell>
          <cell r="C1634" t="str">
            <v>09E-ELECTRICAL ENGINEERING</v>
          </cell>
        </row>
        <row r="1635">
          <cell r="A1635">
            <v>18734</v>
          </cell>
          <cell r="B1635" t="str">
            <v>CNV-CHAMPGN LEVERETT RD TRF#2 CRKT</v>
          </cell>
          <cell r="C1635" t="str">
            <v>09E-ELECTRICAL ENGINEERING</v>
          </cell>
        </row>
        <row r="1636">
          <cell r="A1636">
            <v>18736</v>
          </cell>
          <cell r="B1636" t="str">
            <v>CNV-DUPO CKT 214 REPLACE REGULATRS</v>
          </cell>
          <cell r="C1636" t="str">
            <v>09E-ELECTRICAL ENGINEERING</v>
          </cell>
        </row>
        <row r="1637">
          <cell r="A1637">
            <v>18737</v>
          </cell>
          <cell r="B1637" t="str">
            <v>CNV-GRANVILLE CKT 172 REPLACE REGS</v>
          </cell>
          <cell r="C1637" t="str">
            <v>09E-ELECTRICAL ENGINEERING</v>
          </cell>
        </row>
        <row r="1638">
          <cell r="A1638">
            <v>18738</v>
          </cell>
          <cell r="B1638" t="str">
            <v>CNV-S OTTAWA CKT 381 REPLAC REGS</v>
          </cell>
          <cell r="C1638" t="str">
            <v>09E-ELECTRICAL ENGINEERING</v>
          </cell>
        </row>
        <row r="1639">
          <cell r="A1639">
            <v>18740</v>
          </cell>
          <cell r="B1639" t="str">
            <v>CNV-NORMAL RT 66 REPLACE REGULATRS</v>
          </cell>
          <cell r="C1639" t="str">
            <v>09E-ELECTRICAL ENGINEERING</v>
          </cell>
        </row>
        <row r="1640">
          <cell r="A1640">
            <v>18741</v>
          </cell>
          <cell r="B1640" t="str">
            <v>CNV-CHAMP.OAK STR CKT 543 REPLACE</v>
          </cell>
          <cell r="C1640" t="str">
            <v>09E-ELECTRICAL ENGINEERING</v>
          </cell>
        </row>
        <row r="1641">
          <cell r="A1641">
            <v>18742</v>
          </cell>
          <cell r="B1641" t="str">
            <v>CNV-URBANA PERKINSRD CKT 552 REPLC</v>
          </cell>
          <cell r="C1641" t="str">
            <v>09E-ELECTRICAL ENGINEERING</v>
          </cell>
        </row>
        <row r="1642">
          <cell r="A1642">
            <v>18755</v>
          </cell>
          <cell r="B1642" t="str">
            <v>CNV-SOUTH CENTRALIA-INSTALL DFR</v>
          </cell>
          <cell r="C1642" t="str">
            <v>09E-ELECTRICAL ENGINEERING</v>
          </cell>
        </row>
        <row r="1643">
          <cell r="A1643">
            <v>18758</v>
          </cell>
          <cell r="B1643" t="str">
            <v>CNV-CPS-UPGRADE SWITCHES</v>
          </cell>
          <cell r="C1643" t="str">
            <v>09E-ELECTRICAL ENGINEERING</v>
          </cell>
        </row>
        <row r="1644">
          <cell r="A1644">
            <v>18800</v>
          </cell>
          <cell r="B1644" t="str">
            <v>L1536-REPL STRUCTURES XARMS VBRA</v>
          </cell>
          <cell r="C1644" t="str">
            <v>91A-IL OPS ADMIN</v>
          </cell>
        </row>
        <row r="1645">
          <cell r="A1645">
            <v>18922</v>
          </cell>
          <cell r="B1645" t="str">
            <v>NEW CIRCUITS FOR LEROY SUBSTATION</v>
          </cell>
          <cell r="C1645" t="str">
            <v>92E-BLOOMINGTON/NORMAL ELEC OPS</v>
          </cell>
        </row>
        <row r="1646">
          <cell r="A1646">
            <v>18946</v>
          </cell>
          <cell r="B1646" t="str">
            <v>EFFINGHAM-DIETERICH 69KV RT 33</v>
          </cell>
          <cell r="C1646" t="str">
            <v>2MS-DIVISION IV SUPPORT STAFF</v>
          </cell>
        </row>
        <row r="1647">
          <cell r="A1647">
            <v>18947</v>
          </cell>
          <cell r="B1647" t="str">
            <v>RISING - NEW 138KV TERM, XFMR BRKR</v>
          </cell>
          <cell r="C1647" t="str">
            <v>09E-ELECTRICAL ENGINEERING</v>
          </cell>
        </row>
        <row r="1648">
          <cell r="A1648">
            <v>18959</v>
          </cell>
          <cell r="B1648" t="str">
            <v>BLOWDOWN VALVE PROJECT - 2006</v>
          </cell>
          <cell r="C1648" t="str">
            <v>0G5-GAS TECH SERVICES - IPC</v>
          </cell>
        </row>
        <row r="1649">
          <cell r="A1649">
            <v>18973</v>
          </cell>
          <cell r="B1649" t="str">
            <v>CNV-DISTRIBUTION LAND RIGHTS</v>
          </cell>
          <cell r="C1649" t="str">
            <v>91A-IL OPS ADMIN</v>
          </cell>
        </row>
        <row r="1650">
          <cell r="A1650">
            <v>19000</v>
          </cell>
          <cell r="B1650" t="str">
            <v>BLOWDOWN VALVE PROJECT - 2007</v>
          </cell>
          <cell r="C1650" t="str">
            <v>0G5-GAS TECH SERVICES - IPC</v>
          </cell>
        </row>
        <row r="1651">
          <cell r="A1651">
            <v>19083</v>
          </cell>
          <cell r="B1651" t="str">
            <v>CNV-L4531X - PRAIRIE STATE-BALDWIN</v>
          </cell>
          <cell r="C1651" t="str">
            <v>09E-ELECTRICAL ENGINEERING</v>
          </cell>
        </row>
        <row r="1652">
          <cell r="A1652">
            <v>19085</v>
          </cell>
          <cell r="B1652" t="str">
            <v>CNV-GALESBURGMONMOUTH BRE</v>
          </cell>
          <cell r="C1652" t="str">
            <v>09E-ELECTRICAL ENGINEERING</v>
          </cell>
        </row>
        <row r="1653">
          <cell r="A1653">
            <v>19089</v>
          </cell>
          <cell r="B1653" t="str">
            <v>Dexter-New Storage  Welding Areas</v>
          </cell>
          <cell r="C1653" t="str">
            <v>072-BUILDING SERVICES-MO</v>
          </cell>
        </row>
        <row r="1654">
          <cell r="A1654">
            <v>19091</v>
          </cell>
          <cell r="B1654" t="str">
            <v>Watson Rprtng Cntr - Parking Lot</v>
          </cell>
          <cell r="C1654" t="str">
            <v>072-BUILDING SERVICES-MO</v>
          </cell>
        </row>
        <row r="1655">
          <cell r="A1655">
            <v>19092</v>
          </cell>
          <cell r="B1655" t="str">
            <v>Jeff City Office-New chiller</v>
          </cell>
          <cell r="C1655" t="str">
            <v>072-BUILDING SERVICES-MO</v>
          </cell>
        </row>
        <row r="1656">
          <cell r="A1656">
            <v>19093</v>
          </cell>
          <cell r="B1656" t="str">
            <v>Moberly WHQ Office-Restroom Rnvtn</v>
          </cell>
          <cell r="C1656" t="str">
            <v>072-BUILDING SERVICES-MO</v>
          </cell>
        </row>
        <row r="1657">
          <cell r="A1657">
            <v>19097</v>
          </cell>
          <cell r="B1657" t="str">
            <v>Mason (CILCO) - Repl. Xfmr w-28MVA</v>
          </cell>
          <cell r="C1657" t="str">
            <v>09E-ELECTRICAL ENGINEERING</v>
          </cell>
        </row>
        <row r="1658">
          <cell r="A1658">
            <v>19098</v>
          </cell>
          <cell r="B1658" t="str">
            <v>GRAND TOWER LOW MISSISSIPPI RIVER I</v>
          </cell>
          <cell r="C1658" t="str">
            <v>09M-GENERATION PROJECT ENGINEERING</v>
          </cell>
        </row>
        <row r="1659">
          <cell r="A1659">
            <v>19099</v>
          </cell>
          <cell r="B1659" t="str">
            <v>N. CHAMPAIGN - INSTALL 69-12KV XFMR</v>
          </cell>
          <cell r="C1659" t="str">
            <v>09E-ELECTRICAL ENGINEERING</v>
          </cell>
        </row>
        <row r="1660">
          <cell r="A1660">
            <v>19100</v>
          </cell>
          <cell r="B1660" t="str">
            <v>CNV-L4541-PRAIRIE STATE-W. MT. VE</v>
          </cell>
          <cell r="C1660" t="str">
            <v>09E-ELECTRICAL ENGINEERING</v>
          </cell>
        </row>
        <row r="1661">
          <cell r="A1661">
            <v>19104</v>
          </cell>
          <cell r="B1661" t="str">
            <v>CNV-OGLESBY SUB - SITE DRAINAGE</v>
          </cell>
          <cell r="C1661" t="str">
            <v>09E-ELECTRICAL ENGINEERING</v>
          </cell>
        </row>
        <row r="1662">
          <cell r="A1662">
            <v>19106</v>
          </cell>
          <cell r="B1662" t="str">
            <v>CNV-HAVANA PS UPGRADE GCB1362 BRKR</v>
          </cell>
          <cell r="C1662" t="str">
            <v>09E-ELECTRICAL ENGINEERING</v>
          </cell>
        </row>
        <row r="1663">
          <cell r="A1663">
            <v>19115</v>
          </cell>
          <cell r="B1663" t="str">
            <v>CNV-COLUMBIA - LAND FOR NEW SUB</v>
          </cell>
          <cell r="C1663" t="str">
            <v>09E-ELECTRICAL ENGINEERING</v>
          </cell>
        </row>
        <row r="1664">
          <cell r="A1664">
            <v>19116</v>
          </cell>
          <cell r="B1664" t="str">
            <v>CNV-DUQUOIN - LAND FOR NEW SUB</v>
          </cell>
          <cell r="C1664" t="str">
            <v>09E-ELECTRICAL ENGINEERING</v>
          </cell>
        </row>
        <row r="1665">
          <cell r="A1665">
            <v>19118</v>
          </cell>
          <cell r="B1665" t="str">
            <v>CHAMP.OAK ST.-REPL.9-69KV SWITCHES</v>
          </cell>
          <cell r="C1665" t="str">
            <v>09E-ELECTRICAL ENGINEERING</v>
          </cell>
        </row>
        <row r="1666">
          <cell r="A1666">
            <v>19126</v>
          </cell>
          <cell r="B1666" t="str">
            <v>CNV-N. LASALLE SUB - REPL BUSHINGS</v>
          </cell>
          <cell r="C1666" t="str">
            <v>09E-ELECTRICAL ENGINEERING</v>
          </cell>
        </row>
        <row r="1667">
          <cell r="A1667">
            <v>19127</v>
          </cell>
          <cell r="B1667" t="str">
            <v>Champ.SW Campus- 69kV Bus Tie Brkr</v>
          </cell>
          <cell r="C1667" t="str">
            <v>09E-ELECTRICAL ENGINEERING</v>
          </cell>
        </row>
        <row r="1668">
          <cell r="A1668">
            <v>19130</v>
          </cell>
          <cell r="B1668" t="str">
            <v>Tuscola Building Addition</v>
          </cell>
          <cell r="C1668" t="str">
            <v>07N-BUILDING SERVICES-IL</v>
          </cell>
        </row>
        <row r="1669">
          <cell r="A1669">
            <v>19137</v>
          </cell>
          <cell r="B1669" t="str">
            <v>RELOC WARRENSBURG TBS STATION 911</v>
          </cell>
          <cell r="C1669" t="str">
            <v>0G5-GAS TECH SERVICES - IPC</v>
          </cell>
        </row>
        <row r="1670">
          <cell r="A1670">
            <v>19156</v>
          </cell>
          <cell r="B1670" t="str">
            <v>Wentzville WHQ-New Locker,Jantr rms</v>
          </cell>
          <cell r="C1670" t="str">
            <v>072-BUILDING SERVICES-MO</v>
          </cell>
        </row>
        <row r="1671">
          <cell r="A1671">
            <v>19157</v>
          </cell>
          <cell r="B1671" t="str">
            <v>PROJECT RB</v>
          </cell>
          <cell r="C1671" t="str">
            <v>012-CORPORATE PLANNING</v>
          </cell>
        </row>
        <row r="1672">
          <cell r="A1672">
            <v>19201</v>
          </cell>
          <cell r="B1672" t="str">
            <v>SL - OLNEY CAMP ST</v>
          </cell>
          <cell r="C1672" t="str">
            <v>061-REAL ESTATE</v>
          </cell>
        </row>
        <row r="1673">
          <cell r="A1673">
            <v>19205</v>
          </cell>
          <cell r="B1673" t="str">
            <v>RUSH ISLAND-345KV PCB REPLACEMENT</v>
          </cell>
          <cell r="C1673" t="str">
            <v>09E-ELECTRICAL ENGINEERING</v>
          </cell>
        </row>
        <row r="1674">
          <cell r="A1674">
            <v>19208</v>
          </cell>
          <cell r="B1674" t="str">
            <v>RI-REPLACE A AIR COMPRESSOR</v>
          </cell>
          <cell r="C1674" t="str">
            <v>78A-RUSH ISLAND PLANT GENERAL &amp; BUD</v>
          </cell>
        </row>
        <row r="1675">
          <cell r="A1675">
            <v>19212</v>
          </cell>
          <cell r="B1675" t="str">
            <v>STONE CREEK #2</v>
          </cell>
          <cell r="C1675" t="str">
            <v>91L-CHAMPAIGN/URBANA GAS OPS</v>
          </cell>
        </row>
        <row r="1676">
          <cell r="A1676">
            <v>19214</v>
          </cell>
          <cell r="B1676" t="str">
            <v>URBANA WASHINGTON ST.-RPL 3 69KV</v>
          </cell>
          <cell r="C1676" t="str">
            <v>09E-ELECTRICAL ENGINEERING</v>
          </cell>
        </row>
        <row r="1677">
          <cell r="A1677">
            <v>19215</v>
          </cell>
          <cell r="B1677" t="str">
            <v>URBANA SOUTH ORCHARD-RPL 69KV</v>
          </cell>
          <cell r="C1677" t="str">
            <v>09E-ELECTRICAL ENGINEERING</v>
          </cell>
        </row>
        <row r="1678">
          <cell r="A1678">
            <v>19216</v>
          </cell>
          <cell r="B1678" t="str">
            <v>CHAMPAIGN MATTIS AVE-RPL TIE SWCH</v>
          </cell>
          <cell r="C1678" t="str">
            <v>09E-ELECTRICAL ENGINEERING</v>
          </cell>
        </row>
        <row r="1679">
          <cell r="A1679">
            <v>19217</v>
          </cell>
          <cell r="B1679" t="str">
            <v>CHAMPAIGN WALNUT ST.-RPL 69KV FUSE</v>
          </cell>
          <cell r="C1679" t="str">
            <v>09E-ELECTRICAL ENGINEERING</v>
          </cell>
        </row>
        <row r="1680">
          <cell r="A1680">
            <v>19218</v>
          </cell>
          <cell r="B1680" t="str">
            <v>URBANA PERKINS RD- RPL. 138KV SWCH</v>
          </cell>
          <cell r="C1680" t="str">
            <v>09E-ELECTRICAL ENGINEERING</v>
          </cell>
        </row>
        <row r="1681">
          <cell r="A1681">
            <v>19223</v>
          </cell>
          <cell r="B1681" t="str">
            <v>IL-40 IDOT Road Work</v>
          </cell>
          <cell r="C1681" t="str">
            <v>669-DIVISION I SUPPORT STAFF</v>
          </cell>
        </row>
        <row r="1682">
          <cell r="A1682">
            <v>19229</v>
          </cell>
          <cell r="B1682" t="str">
            <v>SL - POPLAR BLUFF SUB</v>
          </cell>
          <cell r="C1682" t="str">
            <v>061-REAL ESTATE</v>
          </cell>
        </row>
        <row r="1683">
          <cell r="A1683">
            <v>19234</v>
          </cell>
          <cell r="B1683" t="str">
            <v>SL - FARMER CITY</v>
          </cell>
          <cell r="C1683" t="str">
            <v>061-REAL ESTATE</v>
          </cell>
        </row>
        <row r="1684">
          <cell r="A1684">
            <v>19236</v>
          </cell>
          <cell r="B1684" t="str">
            <v>ST. LOUIS GOB - MASTER PLAN</v>
          </cell>
          <cell r="C1684" t="str">
            <v>072-BUILDING SERVICES-MO</v>
          </cell>
        </row>
        <row r="1685">
          <cell r="A1685">
            <v>19238</v>
          </cell>
          <cell r="B1685" t="str">
            <v>MERAMEC U2 UPS BATTERY REPLACEMENT</v>
          </cell>
          <cell r="C1685" t="str">
            <v>09M-GENERATION PROJECT ENGINEERING</v>
          </cell>
        </row>
        <row r="1686">
          <cell r="A1686">
            <v>19244</v>
          </cell>
          <cell r="B1686" t="str">
            <v>THE GEORGIAN LINE EXT - OH JOB</v>
          </cell>
          <cell r="C1686" t="str">
            <v>036-UNDERGROUND</v>
          </cell>
        </row>
        <row r="1687">
          <cell r="A1687">
            <v>19248</v>
          </cell>
          <cell r="B1687" t="str">
            <v>LAKE OZARK SHORELINE MGMT OFFICE</v>
          </cell>
          <cell r="C1687" t="str">
            <v>061-REAL ESTATE</v>
          </cell>
        </row>
        <row r="1688">
          <cell r="A1688">
            <v>19249</v>
          </cell>
          <cell r="B1688" t="str">
            <v>NEWTON - REPL.345KV BRKR.-POSN.3489</v>
          </cell>
          <cell r="C1688" t="str">
            <v>09E-ELECTRICAL ENGINEERING</v>
          </cell>
        </row>
        <row r="1689">
          <cell r="A1689">
            <v>19254</v>
          </cell>
          <cell r="B1689" t="str">
            <v>COFFEEN U2 SPARE GSU ISOPHASE BUS A</v>
          </cell>
          <cell r="C1689" t="str">
            <v>09M-GENERATION PROJECT ENGINEERING</v>
          </cell>
        </row>
        <row r="1690">
          <cell r="A1690">
            <v>19256</v>
          </cell>
          <cell r="B1690" t="str">
            <v>INTRCTY MAIN RPL IL 336 W OF MACOMB</v>
          </cell>
          <cell r="C1690" t="str">
            <v>0G1-GAS TECH SERVICES - CIP</v>
          </cell>
        </row>
        <row r="1691">
          <cell r="A1691">
            <v>19263</v>
          </cell>
          <cell r="B1691" t="str">
            <v>SLU: OH-UG RELOCATON AT GRAND &amp; LIN</v>
          </cell>
          <cell r="C1691" t="str">
            <v>036-UNDERGROUND</v>
          </cell>
        </row>
        <row r="1692">
          <cell r="A1692">
            <v>19267</v>
          </cell>
          <cell r="B1692" t="str">
            <v>VERMILION -TAP XFMR TT2 -DMG-REIMB</v>
          </cell>
          <cell r="C1692" t="str">
            <v>09E-ELECTRICAL ENGINEERING</v>
          </cell>
        </row>
        <row r="1693">
          <cell r="A1693">
            <v>19272</v>
          </cell>
          <cell r="B1693" t="str">
            <v>QUINCY PROPANE PLANT RETIREMENT</v>
          </cell>
          <cell r="C1693" t="str">
            <v>0G1-GAS TECH SERVICES - CIP</v>
          </cell>
        </row>
        <row r="1694">
          <cell r="A1694">
            <v>19273</v>
          </cell>
          <cell r="B1694" t="str">
            <v>MSD(90022C) BROOKSIDE LN</v>
          </cell>
          <cell r="C1694" t="str">
            <v>053-ELLISVILLE DISTRICT</v>
          </cell>
        </row>
        <row r="1695">
          <cell r="A1695">
            <v>19274</v>
          </cell>
          <cell r="B1695" t="str">
            <v>INCREASE 8400 BTU COAL USAGE</v>
          </cell>
          <cell r="C1695" t="str">
            <v>09M-GENERATION PROJECT ENGINEERING</v>
          </cell>
        </row>
        <row r="1696">
          <cell r="A1696">
            <v>19275</v>
          </cell>
          <cell r="B1696" t="str">
            <v>INCREASE IN FUEL INVENTORY</v>
          </cell>
          <cell r="C1696" t="str">
            <v>09M-GENERATION PROJECT ENGINEERING</v>
          </cell>
        </row>
        <row r="1697">
          <cell r="A1697">
            <v>19284</v>
          </cell>
          <cell r="B1697" t="str">
            <v>CAP Bank Installs</v>
          </cell>
          <cell r="C1697" t="str">
            <v>668-IL OPS ADMIN DIV I II III</v>
          </cell>
        </row>
        <row r="1698">
          <cell r="A1698">
            <v>19290</v>
          </cell>
          <cell r="B1698" t="str">
            <v>RELOC 10 IN UNDER RT 51 AT MOUND</v>
          </cell>
          <cell r="C1698" t="str">
            <v>0G5-GAS TECH SERVICES - IPC</v>
          </cell>
        </row>
        <row r="1699">
          <cell r="A1699">
            <v>19294</v>
          </cell>
          <cell r="B1699" t="str">
            <v>DORSETT ELEC METER SHOP OFFICE ADD.</v>
          </cell>
          <cell r="C1699" t="str">
            <v>03V-DISTRIBUTION SERVICES-AMS</v>
          </cell>
        </row>
        <row r="1700">
          <cell r="A1700">
            <v>19296</v>
          </cell>
          <cell r="B1700" t="str">
            <v>RELOC 10 IN UNDER ICRR MOUND RD</v>
          </cell>
          <cell r="C1700" t="str">
            <v>0G5-GAS TECH SERVICES - IPC</v>
          </cell>
        </row>
        <row r="1701">
          <cell r="A1701">
            <v>19300</v>
          </cell>
          <cell r="B1701" t="str">
            <v>N.CHAMPAIGN CONTROL BLDG IMPROVMTS</v>
          </cell>
          <cell r="C1701" t="str">
            <v>09E-ELECTRICAL ENGINEERING</v>
          </cell>
        </row>
        <row r="1702">
          <cell r="A1702">
            <v>19310</v>
          </cell>
          <cell r="B1702" t="str">
            <v>U1 Precipitator Replacement</v>
          </cell>
          <cell r="C1702" t="str">
            <v>CFG-COFFEEN - GENERAL</v>
          </cell>
        </row>
        <row r="1703">
          <cell r="A1703">
            <v>19311</v>
          </cell>
          <cell r="B1703" t="str">
            <v>U2 Precipitator Replacement</v>
          </cell>
          <cell r="C1703" t="str">
            <v>CFG-COFFEEN - GENERAL</v>
          </cell>
        </row>
        <row r="1704">
          <cell r="A1704">
            <v>19314</v>
          </cell>
          <cell r="B1704" t="str">
            <v>CAHOKIA DIST.SUB.-OIL SPILL CONT.</v>
          </cell>
          <cell r="C1704" t="str">
            <v>09E-ELECTRICAL ENGINEERING</v>
          </cell>
        </row>
        <row r="1705">
          <cell r="A1705">
            <v>19315</v>
          </cell>
          <cell r="B1705" t="str">
            <v>CAHOKIA TRANSM.SUB.-OIL SPILL CONT.</v>
          </cell>
          <cell r="C1705" t="str">
            <v>09E-ELECTRICAL ENGINEERING</v>
          </cell>
        </row>
        <row r="1706">
          <cell r="A1706">
            <v>19321</v>
          </cell>
          <cell r="B1706" t="str">
            <v>DUCK CREEK  LANDFILL CONSTRUCTION</v>
          </cell>
          <cell r="C1706" t="str">
            <v>61A-DUCK CREEK PLANT GENERAL</v>
          </cell>
        </row>
        <row r="1707">
          <cell r="A1707">
            <v>19324</v>
          </cell>
          <cell r="B1707" t="str">
            <v>AMERENUE GENERATION RESOURCE CENTER</v>
          </cell>
          <cell r="C1707" t="str">
            <v>06H-NEO - ENTERPRISE NETWORKING</v>
          </cell>
        </row>
        <row r="1708">
          <cell r="A1708">
            <v>19341</v>
          </cell>
          <cell r="B1708" t="str">
            <v>NEWTON LOAD OUT FACILITY</v>
          </cell>
          <cell r="C1708" t="str">
            <v>09M-GENERATION PROJECT ENGINEERING</v>
          </cell>
        </row>
        <row r="1709">
          <cell r="A1709">
            <v>19343</v>
          </cell>
          <cell r="B1709" t="str">
            <v>SPARE CILCO DIST. XFMR NO. 11</v>
          </cell>
          <cell r="C1709" t="str">
            <v>09E-ELECTRICAL ENGINEERING</v>
          </cell>
        </row>
        <row r="1710">
          <cell r="A1710">
            <v>19346</v>
          </cell>
          <cell r="B1710" t="str">
            <v>DOSH U1&amp;2 LOW SULFUR FUEL CONVERSIO</v>
          </cell>
          <cell r="C1710" t="str">
            <v>140-MEREDOSIA</v>
          </cell>
        </row>
        <row r="1711">
          <cell r="A1711">
            <v>19350</v>
          </cell>
          <cell r="B1711" t="str">
            <v>PSGC CONST. POWER SUB - MARIGOLD</v>
          </cell>
          <cell r="C1711" t="str">
            <v>09E-ELECTRICAL ENGINEERING</v>
          </cell>
        </row>
        <row r="1712">
          <cell r="A1712">
            <v>19354</v>
          </cell>
          <cell r="B1712" t="str">
            <v>SPARE CIPS DIST. XFMR #14, 69-12KV</v>
          </cell>
          <cell r="C1712" t="str">
            <v>09E-ELECTRICAL ENGINEERING</v>
          </cell>
        </row>
        <row r="1713">
          <cell r="A1713">
            <v>19355</v>
          </cell>
          <cell r="B1713" t="str">
            <v>HUSTER-RPL.2-138KV PCB(TAM06)-12-06</v>
          </cell>
          <cell r="C1713" t="str">
            <v>09E-ELECTRICAL ENGINEERING</v>
          </cell>
        </row>
        <row r="1714">
          <cell r="A1714">
            <v>19356</v>
          </cell>
          <cell r="B1714" t="str">
            <v>MERAMEC U4 BOILER ROOF REPLACEMENT</v>
          </cell>
          <cell r="C1714" t="str">
            <v>09M-GENERATION PROJECT ENGINEERING</v>
          </cell>
        </row>
        <row r="1715">
          <cell r="A1715">
            <v>19363</v>
          </cell>
          <cell r="B1715" t="str">
            <v>MER SOOTBLOWING AIR COMPRESSOR</v>
          </cell>
          <cell r="C1715" t="str">
            <v>09M-GENERATION PROJECT ENGINEERING</v>
          </cell>
        </row>
        <row r="1716">
          <cell r="A1716">
            <v>19364</v>
          </cell>
          <cell r="B1716" t="str">
            <v>MER U3 CONDENSATE COOLER</v>
          </cell>
          <cell r="C1716" t="str">
            <v>09M-GENERATION PROJECT ENGINEERING</v>
          </cell>
        </row>
        <row r="1717">
          <cell r="A1717">
            <v>19372</v>
          </cell>
          <cell r="B1717" t="str">
            <v>Osage -Repl 3-138 PCBs-Ph.2 (TAM06)</v>
          </cell>
          <cell r="C1717" t="str">
            <v>09E-ELECTRICAL ENGINEERING</v>
          </cell>
        </row>
        <row r="1718">
          <cell r="A1718">
            <v>19373</v>
          </cell>
          <cell r="B1718" t="str">
            <v>Meramec Life Safety Upgrades</v>
          </cell>
          <cell r="C1718" t="str">
            <v>09M-GENERATION PROJECT ENGINEERING</v>
          </cell>
        </row>
        <row r="1719">
          <cell r="A1719">
            <v>19387</v>
          </cell>
          <cell r="B1719" t="str">
            <v>BRIDGE WATER CONDOS</v>
          </cell>
          <cell r="C1719" t="str">
            <v>052-MACKENZIE</v>
          </cell>
        </row>
        <row r="1720">
          <cell r="A1720">
            <v>19390</v>
          </cell>
          <cell r="B1720" t="str">
            <v>Mason Trans.Sub.- Oil Spill Control</v>
          </cell>
          <cell r="C1720" t="str">
            <v>09E-ELECTRICAL ENGINEERING</v>
          </cell>
        </row>
        <row r="1721">
          <cell r="A1721">
            <v>19393</v>
          </cell>
          <cell r="B1721" t="str">
            <v>Watson-Repl. 3-34kV Brkrs, 6-2006</v>
          </cell>
          <cell r="C1721" t="str">
            <v>09E-ELECTRICAL ENGINEERING</v>
          </cell>
        </row>
        <row r="1722">
          <cell r="A1722">
            <v>19394</v>
          </cell>
          <cell r="B1722" t="str">
            <v>Watson-Repl. 2-34kV Brkrs, 12-2006</v>
          </cell>
          <cell r="C1722" t="str">
            <v>09E-ELECTRICAL ENGINEERING</v>
          </cell>
        </row>
        <row r="1723">
          <cell r="A1723">
            <v>19395</v>
          </cell>
          <cell r="B1723" t="str">
            <v>Page - Repl. 2-34kV Brkrs, 6-2006</v>
          </cell>
          <cell r="C1723" t="str">
            <v>09E-ELECTRICAL ENGINEERING</v>
          </cell>
        </row>
        <row r="1724">
          <cell r="A1724">
            <v>19396</v>
          </cell>
          <cell r="B1724" t="str">
            <v>Page - Repl. 2-34kV Brkrs, 12-2006</v>
          </cell>
          <cell r="C1724" t="str">
            <v>09E-ELECTRICAL ENGINEERING</v>
          </cell>
        </row>
        <row r="1725">
          <cell r="A1725">
            <v>19397</v>
          </cell>
          <cell r="B1725" t="str">
            <v>Pak Mix</v>
          </cell>
          <cell r="C1725" t="str">
            <v>087-FOSSIL FUELS</v>
          </cell>
        </row>
        <row r="1726">
          <cell r="A1726">
            <v>19398</v>
          </cell>
          <cell r="B1726" t="str">
            <v>Belleau-Troy 161kV Reloc.-Developer</v>
          </cell>
          <cell r="C1726" t="str">
            <v>037-TRANSMISSION</v>
          </cell>
        </row>
        <row r="1727">
          <cell r="A1727">
            <v>19399</v>
          </cell>
          <cell r="B1727" t="str">
            <v>Cah-Mer, Lemay Tap-Reloc-Pinnacle</v>
          </cell>
          <cell r="C1727" t="str">
            <v>037-TRANSMISSION</v>
          </cell>
        </row>
        <row r="1728">
          <cell r="A1728">
            <v>19400</v>
          </cell>
          <cell r="B1728" t="str">
            <v>FAIRGROUNDS SPCC FUEL UNLD IMPRV</v>
          </cell>
          <cell r="C1728" t="str">
            <v>09M-GENERATION PROJECT ENGINEERING</v>
          </cell>
        </row>
        <row r="1729">
          <cell r="A1729">
            <v>19403</v>
          </cell>
          <cell r="B1729" t="str">
            <v>EFFINGHAM RT 33 IDOT GAS RELOCATE</v>
          </cell>
          <cell r="C1729" t="str">
            <v>2MS-DIVISION IV SUPPORT STAFF</v>
          </cell>
        </row>
        <row r="1730">
          <cell r="A1730">
            <v>19405</v>
          </cell>
          <cell r="B1730" t="str">
            <v>COFFEEN LANDFILL LAND ACQUISITION</v>
          </cell>
          <cell r="C1730" t="str">
            <v>09V-NEW GEN &amp; ENV PROJECTS</v>
          </cell>
        </row>
        <row r="1731">
          <cell r="A1731">
            <v>19406</v>
          </cell>
          <cell r="B1731" t="str">
            <v>MODOT J6U0808 CLAYTON RD STAGE #1</v>
          </cell>
          <cell r="C1731" t="str">
            <v>053-ELLISVILLE DISTRICT</v>
          </cell>
        </row>
        <row r="1732">
          <cell r="A1732">
            <v>19408</v>
          </cell>
          <cell r="B1732" t="str">
            <v>SRS Building Renovation</v>
          </cell>
          <cell r="C1732" t="str">
            <v>072-BUILDING SERVICES-MO</v>
          </cell>
        </row>
        <row r="1733">
          <cell r="A1733">
            <v>19409</v>
          </cell>
          <cell r="B1733" t="str">
            <v>Newton 2 BFP TSI Upgrade</v>
          </cell>
          <cell r="C1733" t="str">
            <v>09M-GENERATION PROJECT ENGINEERING</v>
          </cell>
        </row>
        <row r="1734">
          <cell r="A1734">
            <v>19410</v>
          </cell>
          <cell r="B1734" t="str">
            <v>INTERCHANGE PROPERERTIES, OH TO UG</v>
          </cell>
          <cell r="C1734" t="str">
            <v>91L-CHAMPAIGN/URBANA GAS OPS</v>
          </cell>
        </row>
        <row r="1735">
          <cell r="A1735">
            <v>19411</v>
          </cell>
          <cell r="B1735" t="str">
            <v>RT 29 &amp; RT 104 RELOCATION</v>
          </cell>
          <cell r="C1735" t="str">
            <v>2MS-DIVISION IV SUPPORT STAFF</v>
          </cell>
        </row>
        <row r="1736">
          <cell r="A1736">
            <v>19429</v>
          </cell>
          <cell r="B1736" t="str">
            <v>MEREDOSIA U3  MERCURY CEMS</v>
          </cell>
          <cell r="C1736" t="str">
            <v>09V-NEW GEN &amp; ENV PROJECTS</v>
          </cell>
        </row>
        <row r="1737">
          <cell r="A1737">
            <v>19436</v>
          </cell>
          <cell r="B1737" t="str">
            <v>GRAND VIEW SUBDIVISION</v>
          </cell>
          <cell r="C1737" t="str">
            <v>052-MACKENZIE</v>
          </cell>
        </row>
        <row r="1738">
          <cell r="A1738">
            <v>19438</v>
          </cell>
          <cell r="B1738" t="str">
            <v>KEOKUK SCADA NERC 1300 COMPLIANCE</v>
          </cell>
          <cell r="C1738" t="str">
            <v>09M-GENERATION PROJECT ENGINEERING</v>
          </cell>
        </row>
        <row r="1739">
          <cell r="A1739">
            <v>19439</v>
          </cell>
          <cell r="B1739" t="str">
            <v>OSAGE SCADA NERC 1300 COMPLIANCE</v>
          </cell>
          <cell r="C1739" t="str">
            <v>09M-GENERATION PROJECT ENGINEERING</v>
          </cell>
        </row>
        <row r="1740">
          <cell r="A1740">
            <v>19441</v>
          </cell>
          <cell r="B1740" t="str">
            <v>Homestead Restraunt Night Lights</v>
          </cell>
          <cell r="C1740" t="str">
            <v>91V-GALESBURG</v>
          </cell>
        </row>
        <row r="1741">
          <cell r="A1741">
            <v>19443</v>
          </cell>
          <cell r="B1741" t="str">
            <v>Relocate elec fac on RTE 162, IDOT</v>
          </cell>
          <cell r="C1741" t="str">
            <v>92J-MARYVILLE</v>
          </cell>
        </row>
        <row r="1742">
          <cell r="A1742">
            <v>19444</v>
          </cell>
          <cell r="B1742" t="str">
            <v xml:space="preserve">OTTAWA INVESTMENT PARTNERS_x000D_
</v>
          </cell>
          <cell r="C1742" t="str">
            <v>92D-LASALLE</v>
          </cell>
        </row>
        <row r="1743">
          <cell r="A1743">
            <v>19445</v>
          </cell>
          <cell r="B1743" t="str">
            <v>REPLACE BO UG ST LITE WIRE RTE 6</v>
          </cell>
          <cell r="C1743" t="str">
            <v>92D-LASALLE</v>
          </cell>
        </row>
        <row r="1744">
          <cell r="A1744">
            <v>19447</v>
          </cell>
          <cell r="B1744" t="str">
            <v>UG ELEC FOR FAIRFIELD MANOR SUBD</v>
          </cell>
          <cell r="C1744" t="str">
            <v>93B-BELLEVILLE</v>
          </cell>
        </row>
        <row r="1745">
          <cell r="A1745">
            <v>19448</v>
          </cell>
          <cell r="B1745" t="str">
            <v>LADDONIA ETHANOL EXTENSION</v>
          </cell>
          <cell r="C1745" t="str">
            <v>4MX-LITTLE DIXIE SUPPORT STAFF</v>
          </cell>
        </row>
        <row r="1746">
          <cell r="A1746">
            <v>19449</v>
          </cell>
          <cell r="B1746" t="str">
            <v>MEXICO ADM BIODIESEL SYSTEM UPGRADE</v>
          </cell>
          <cell r="C1746" t="str">
            <v>4MX-LITTLE DIXIE SUPPORT STAFF</v>
          </cell>
        </row>
        <row r="1747">
          <cell r="A1747">
            <v>19451</v>
          </cell>
          <cell r="B1747" t="str">
            <v>SL - PT HARVESTER SUB</v>
          </cell>
          <cell r="C1747" t="str">
            <v>061-REAL ESTATE</v>
          </cell>
        </row>
        <row r="1748">
          <cell r="A1748">
            <v>19452</v>
          </cell>
          <cell r="B1748" t="str">
            <v>UG ELE FOR HOMESTEAD SUBD PHASE 1</v>
          </cell>
          <cell r="C1748" t="str">
            <v>93B-BELLEVILLE</v>
          </cell>
        </row>
        <row r="1749">
          <cell r="A1749">
            <v>19453</v>
          </cell>
          <cell r="B1749" t="str">
            <v>UPGRADE CKT 172 TO 477SAC</v>
          </cell>
          <cell r="C1749" t="str">
            <v>92D-LASALLE</v>
          </cell>
        </row>
        <row r="1750">
          <cell r="A1750">
            <v>19454</v>
          </cell>
          <cell r="B1750" t="str">
            <v>Meramec U4 Software Upgrade</v>
          </cell>
          <cell r="C1750" t="str">
            <v>09M-GENERATION PROJECT ENGINEERING</v>
          </cell>
        </row>
        <row r="1751">
          <cell r="A1751">
            <v>19455</v>
          </cell>
          <cell r="B1751" t="str">
            <v>Newton - Casey West Terminal Upgr.</v>
          </cell>
          <cell r="C1751" t="str">
            <v>09E-ELECTRICAL ENGINEERING</v>
          </cell>
        </row>
        <row r="1752">
          <cell r="A1752">
            <v>19456</v>
          </cell>
          <cell r="B1752" t="str">
            <v>Boyle Sub - Site Purchase</v>
          </cell>
          <cell r="C1752" t="str">
            <v>09E-ELECTRICAL ENGINEERING</v>
          </cell>
        </row>
        <row r="1753">
          <cell r="A1753">
            <v>19457</v>
          </cell>
          <cell r="B1753" t="str">
            <v>Spare System 138-13.8kV Xfmr - UEC</v>
          </cell>
          <cell r="C1753" t="str">
            <v>09E-ELECTRICAL ENGINEERING</v>
          </cell>
        </row>
        <row r="1754">
          <cell r="A1754">
            <v>19458</v>
          </cell>
          <cell r="B1754" t="str">
            <v>Fulton - Xfmr Addition w-transruptr</v>
          </cell>
          <cell r="C1754" t="str">
            <v>09E-ELECTRICAL ENGINEERING</v>
          </cell>
        </row>
        <row r="1755">
          <cell r="A1755">
            <v>19459</v>
          </cell>
          <cell r="B1755" t="str">
            <v>COFFEEN LAKE MODIFICATIONS</v>
          </cell>
          <cell r="C1755" t="str">
            <v>09V-NEW GEN &amp; ENV PROJECTS</v>
          </cell>
        </row>
        <row r="1756">
          <cell r="A1756">
            <v>19460</v>
          </cell>
          <cell r="B1756" t="str">
            <v xml:space="preserve">VILLAGES OF STONEBRIDGE, RELOCATE_x000D_
</v>
          </cell>
          <cell r="C1756" t="str">
            <v>92J-MARYVILLE</v>
          </cell>
        </row>
        <row r="1757">
          <cell r="A1757">
            <v>19461</v>
          </cell>
          <cell r="B1757" t="str">
            <v>RELOCATE GAS MAIN, IDOT RT 78 &amp; 81</v>
          </cell>
          <cell r="C1757" t="str">
            <v>93C-KEWANEE - LOCAL PRESENCE</v>
          </cell>
        </row>
        <row r="1758">
          <cell r="A1758">
            <v>19467</v>
          </cell>
          <cell r="B1758" t="str">
            <v>LOUGHBOROUGH COMMONS RELOCATION</v>
          </cell>
          <cell r="C1758" t="str">
            <v>052-MACKENZIE</v>
          </cell>
        </row>
        <row r="1759">
          <cell r="A1759">
            <v>19469</v>
          </cell>
          <cell r="B1759" t="str">
            <v>MARTIN MARIETTA AGGREGATES EXTEND 3</v>
          </cell>
          <cell r="C1759" t="str">
            <v>93W-SPARTA - LOCAL PRESENCE</v>
          </cell>
        </row>
        <row r="1760">
          <cell r="A1760">
            <v>19470</v>
          </cell>
          <cell r="B1760" t="str">
            <v>SIMULATOR CENTER</v>
          </cell>
          <cell r="C1760" t="str">
            <v>09M-GENERATION PROJECT ENGINEERING</v>
          </cell>
        </row>
        <row r="1761">
          <cell r="A1761">
            <v>19471</v>
          </cell>
          <cell r="B1761" t="str">
            <v>Spare Xfmr #22- 34-4, 14MVA w-LTC</v>
          </cell>
          <cell r="C1761" t="str">
            <v>09E-ELECTRICAL ENGINEERING</v>
          </cell>
        </row>
        <row r="1762">
          <cell r="A1762">
            <v>19475</v>
          </cell>
          <cell r="B1762" t="str">
            <v>SPIRIT AIRPORT RELO OH PRIMARY</v>
          </cell>
          <cell r="C1762" t="str">
            <v>053-ELLISVILLE DISTRICT</v>
          </cell>
        </row>
        <row r="1763">
          <cell r="A1763">
            <v>19476</v>
          </cell>
          <cell r="B1763" t="str">
            <v>HAWKS LANDING PHASE 1</v>
          </cell>
          <cell r="C1763" t="str">
            <v>070-JEFFERSON</v>
          </cell>
        </row>
        <row r="1764">
          <cell r="A1764">
            <v>19478</v>
          </cell>
          <cell r="B1764" t="str">
            <v>SHOP AND SAVE CHARBONIER ROAD WIDEN</v>
          </cell>
          <cell r="C1764" t="str">
            <v>055-BERKELEY</v>
          </cell>
        </row>
        <row r="1765">
          <cell r="A1765">
            <v>19481</v>
          </cell>
          <cell r="B1765" t="str">
            <v>TS UPR RES FAIL PRELIM INVEST, ENG</v>
          </cell>
          <cell r="C1765" t="str">
            <v>46C-TAUM SAUK PLANT MAINTENANCE</v>
          </cell>
        </row>
        <row r="1766">
          <cell r="A1766">
            <v>19482</v>
          </cell>
          <cell r="B1766" t="str">
            <v>GAS MAIN EXT FOR ARBOR LAKEDEVELOPM</v>
          </cell>
          <cell r="C1766" t="str">
            <v>92J-MARYVILLE</v>
          </cell>
        </row>
        <row r="1767">
          <cell r="A1767">
            <v>19485</v>
          </cell>
          <cell r="B1767" t="str">
            <v>TS - JOHNSON SHUT-INS DISTRIBUTION</v>
          </cell>
          <cell r="C1767" t="str">
            <v>46A-TAUM SAUK PLANT GENERAL &amp; BUD</v>
          </cell>
        </row>
        <row r="1768">
          <cell r="A1768">
            <v>19487</v>
          </cell>
          <cell r="B1768" t="str">
            <v>UG PRI FOR EDWARDSVILLE CROSSING</v>
          </cell>
          <cell r="C1768" t="str">
            <v>92J-MARYVILLE</v>
          </cell>
        </row>
        <row r="1769">
          <cell r="A1769">
            <v>19511</v>
          </cell>
          <cell r="B1769" t="str">
            <v>CNV-SALE OF GALESBURG SA BUILDING</v>
          </cell>
          <cell r="C1769" t="str">
            <v>061-REAL ESTATE</v>
          </cell>
        </row>
        <row r="1770">
          <cell r="A1770">
            <v>19514</v>
          </cell>
          <cell r="B1770" t="str">
            <v>E.Galesburg -Repl. 2 Sw., Relay Pnl</v>
          </cell>
          <cell r="C1770" t="str">
            <v>09E-ELECTRICAL ENGINEERING</v>
          </cell>
        </row>
        <row r="1771">
          <cell r="A1771">
            <v>19520</v>
          </cell>
          <cell r="B1771" t="str">
            <v>CNV-SALE OF DANVILLE BUILDING</v>
          </cell>
          <cell r="C1771" t="str">
            <v>061-REAL ESTATE</v>
          </cell>
        </row>
        <row r="1772">
          <cell r="A1772">
            <v>19527</v>
          </cell>
          <cell r="B1772" t="str">
            <v>INSTALL UG ELEC  WOODBINE PARK EST</v>
          </cell>
          <cell r="C1772" t="str">
            <v>92Q-DECATUR</v>
          </cell>
        </row>
        <row r="1773">
          <cell r="A1773">
            <v>19548</v>
          </cell>
          <cell r="B1773" t="str">
            <v>REL FAC FOR IDOT PROJ. RT 81 &amp; 78</v>
          </cell>
          <cell r="C1773" t="str">
            <v>93C-KEWANEE - LOCAL PRESENCE</v>
          </cell>
        </row>
        <row r="1774">
          <cell r="A1774">
            <v>19552</v>
          </cell>
          <cell r="B1774" t="str">
            <v>BOMPART ROAD WIDENING</v>
          </cell>
          <cell r="C1774" t="str">
            <v>052-MACKENZIE</v>
          </cell>
        </row>
        <row r="1775">
          <cell r="A1775">
            <v>19553</v>
          </cell>
          <cell r="B1775" t="str">
            <v>Jacksonville MGP Property Purchases</v>
          </cell>
          <cell r="C1775" t="str">
            <v>49B-ESH - WASTE</v>
          </cell>
        </row>
        <row r="1776">
          <cell r="A1776">
            <v>19556</v>
          </cell>
          <cell r="B1776" t="str">
            <v>UG ELEC FOR MILBURN ESTATES</v>
          </cell>
          <cell r="C1776" t="str">
            <v>92J-MARYVILLE</v>
          </cell>
        </row>
        <row r="1777">
          <cell r="A1777">
            <v>19557</v>
          </cell>
          <cell r="B1777" t="str">
            <v>METROLINK SKINKER 1ST 34KV SUPPLY</v>
          </cell>
          <cell r="C1777" t="str">
            <v>056-GERALDINE</v>
          </cell>
        </row>
        <row r="1778">
          <cell r="A1778">
            <v>19560</v>
          </cell>
          <cell r="B1778" t="str">
            <v>IRON COUNTY HOSPITAL</v>
          </cell>
          <cell r="C1778" t="str">
            <v>0PT-POTOSI</v>
          </cell>
        </row>
        <row r="1779">
          <cell r="A1779">
            <v>19574</v>
          </cell>
          <cell r="B1779" t="str">
            <v xml:space="preserve">UG ELEC WILLOW WALK SUBD PHASE I_x000D_
</v>
          </cell>
          <cell r="C1779" t="str">
            <v>93B-BELLEVILLE</v>
          </cell>
        </row>
        <row r="1780">
          <cell r="A1780">
            <v>19578</v>
          </cell>
          <cell r="B1780" t="str">
            <v>LAKEVIEW COMMERCE PARK PH.2</v>
          </cell>
          <cell r="C1780" t="str">
            <v>014-ALTON DISTRICT</v>
          </cell>
        </row>
        <row r="1781">
          <cell r="A1781">
            <v>19580</v>
          </cell>
          <cell r="B1781" t="str">
            <v>WINTER AVE/BOWMAN AVE RELOCATION</v>
          </cell>
          <cell r="C1781" t="str">
            <v>91L-CHAMPAIGN/URBANA GAS OPS</v>
          </cell>
        </row>
        <row r="1782">
          <cell r="A1782">
            <v>19586</v>
          </cell>
          <cell r="B1782" t="str">
            <v>Champaign Kirby Ave-Ckt 822 VXE Rcl</v>
          </cell>
          <cell r="C1782" t="str">
            <v>09E-ELECTRICAL ENGINEERING</v>
          </cell>
        </row>
        <row r="1783">
          <cell r="A1783">
            <v>19587</v>
          </cell>
          <cell r="B1783" t="str">
            <v>Roxford-Upg 138kV Posns. E &amp; J</v>
          </cell>
          <cell r="C1783" t="str">
            <v>09E-ELECTRICAL ENGINEERING</v>
          </cell>
        </row>
        <row r="1784">
          <cell r="A1784">
            <v>19588</v>
          </cell>
          <cell r="B1784" t="str">
            <v>MSD-Coldwater, 2-Unit Cust. Sub.</v>
          </cell>
          <cell r="C1784" t="str">
            <v>09E-ELECTRICAL ENGINEERING</v>
          </cell>
        </row>
        <row r="1785">
          <cell r="A1785">
            <v>19592</v>
          </cell>
          <cell r="B1785" t="str">
            <v>ST LOUIS COUNTY - OLD STATE RD</v>
          </cell>
          <cell r="C1785" t="str">
            <v>053-ELLISVILLE DISTRICT</v>
          </cell>
        </row>
        <row r="1786">
          <cell r="A1786">
            <v>19593</v>
          </cell>
          <cell r="B1786" t="str">
            <v>Duck Creek -Repl. 1-345kV ATB Brkr</v>
          </cell>
          <cell r="C1786" t="str">
            <v>09E-ELECTRICAL ENGINEERING</v>
          </cell>
        </row>
        <row r="1787">
          <cell r="A1787">
            <v>19595</v>
          </cell>
          <cell r="B1787" t="str">
            <v>CARB-91 HWY 61 RELOCATION</v>
          </cell>
          <cell r="C1787" t="str">
            <v>7KS-GREEN HILLS DIST SUPPORT</v>
          </cell>
        </row>
        <row r="1788">
          <cell r="A1788">
            <v>19598</v>
          </cell>
          <cell r="B1788" t="str">
            <v>Farmington Rd IDOT Dist 4 Relocate</v>
          </cell>
          <cell r="C1788" t="str">
            <v>628-PEORIA GAS CONSTRUCTION</v>
          </cell>
        </row>
        <row r="1789">
          <cell r="A1789">
            <v>19599</v>
          </cell>
          <cell r="B1789" t="str">
            <v>NEW POWER PLANT DEVELOPMENT ACTIVIT</v>
          </cell>
          <cell r="C1789" t="str">
            <v>09V-NEW GEN &amp; ENV PROJECTS</v>
          </cell>
        </row>
        <row r="1790">
          <cell r="A1790">
            <v>19600</v>
          </cell>
          <cell r="B1790" t="str">
            <v>GRAND TOWER RELOCATE VENICE AUX BLR</v>
          </cell>
          <cell r="C1790" t="str">
            <v>09M-GENERATION PROJECT ENGINEERING</v>
          </cell>
        </row>
        <row r="1791">
          <cell r="A1791">
            <v>19601</v>
          </cell>
          <cell r="B1791" t="str">
            <v>ESTR-73-2ndPART-RECONDUCTOR</v>
          </cell>
          <cell r="C1791" t="str">
            <v>0PT-POTOSI</v>
          </cell>
        </row>
        <row r="1792">
          <cell r="A1792">
            <v>19604</v>
          </cell>
          <cell r="B1792" t="str">
            <v>Shoppes at St Clair Sq - Relocation</v>
          </cell>
          <cell r="C1792" t="str">
            <v>015-ILLINOIS DISTRICT-E. ST. LOUIS</v>
          </cell>
        </row>
        <row r="1793">
          <cell r="A1793">
            <v>19612</v>
          </cell>
          <cell r="B1793" t="str">
            <v>CTG INTEGRATION</v>
          </cell>
          <cell r="C1793" t="str">
            <v>06H-NEO - ENTERPRISE NETWORKING</v>
          </cell>
        </row>
        <row r="1794">
          <cell r="A1794">
            <v>19618</v>
          </cell>
          <cell r="B1794" t="str">
            <v>VENICE - SWITCHGEAR UPGRADES</v>
          </cell>
          <cell r="C1794" t="str">
            <v>09M-GENERATION PROJECT ENGINEERING</v>
          </cell>
        </row>
        <row r="1795">
          <cell r="A1795">
            <v>19623</v>
          </cell>
          <cell r="B1795" t="str">
            <v>PINCKNEYVILLE - SWITCHGEAR UPGRADES</v>
          </cell>
          <cell r="C1795" t="str">
            <v>09M-GENERATION PROJECT ENGINEERING</v>
          </cell>
        </row>
        <row r="1796">
          <cell r="A1796">
            <v>19626</v>
          </cell>
          <cell r="B1796" t="str">
            <v>CNV-OTTAWA SERVICE UNIT</v>
          </cell>
          <cell r="C1796" t="str">
            <v>061-REAL ESTATE</v>
          </cell>
        </row>
        <row r="1797">
          <cell r="A1797">
            <v>19630</v>
          </cell>
          <cell r="B1797" t="str">
            <v>Relocate 34.5kv at switchyards, GC</v>
          </cell>
          <cell r="C1797" t="str">
            <v>92J-MARYVILLE</v>
          </cell>
        </row>
        <row r="1798">
          <cell r="A1798">
            <v>19631</v>
          </cell>
          <cell r="B1798" t="str">
            <v>Troy-Pike Tap -New Hope-AECI -REIMB</v>
          </cell>
          <cell r="C1798" t="str">
            <v>09E-ELECTRICAL ENGINEERING</v>
          </cell>
        </row>
        <row r="1799">
          <cell r="A1799">
            <v>19639</v>
          </cell>
          <cell r="B1799" t="str">
            <v>KEOKUK SPILLWAY APRON INSTALLATIONS</v>
          </cell>
          <cell r="C1799" t="str">
            <v>09M-GENERATION PROJECT ENGINEERING</v>
          </cell>
        </row>
        <row r="1800">
          <cell r="A1800">
            <v>19645</v>
          </cell>
          <cell r="B1800" t="str">
            <v>Truman Parkway Realignment</v>
          </cell>
          <cell r="C1800" t="str">
            <v>072-BUILDING SERVICES-MO</v>
          </cell>
        </row>
        <row r="1801">
          <cell r="A1801">
            <v>19646</v>
          </cell>
          <cell r="B1801" t="str">
            <v>SIOUX WFGD TRANSMISSION UPGRADES</v>
          </cell>
          <cell r="C1801" t="str">
            <v>09V-NEW GEN &amp; ENV PROJECTS</v>
          </cell>
        </row>
        <row r="1802">
          <cell r="A1802">
            <v>19649</v>
          </cell>
          <cell r="B1802" t="str">
            <v>SIOUX WFGD SUBSTATION</v>
          </cell>
          <cell r="C1802" t="str">
            <v>09V-NEW GEN &amp; ENV PROJECTS</v>
          </cell>
        </row>
        <row r="1803">
          <cell r="A1803">
            <v>19650</v>
          </cell>
          <cell r="B1803" t="str">
            <v>Saddle Creek - New 138-34kV Sub</v>
          </cell>
          <cell r="C1803" t="str">
            <v>09E-ELECTRICAL ENGINEERING</v>
          </cell>
        </row>
        <row r="1804">
          <cell r="A1804">
            <v>19651</v>
          </cell>
          <cell r="B1804" t="str">
            <v>HOMESTEAD ESTATES</v>
          </cell>
          <cell r="C1804" t="str">
            <v>053-ELLISVILLE DISTRICT</v>
          </cell>
        </row>
        <row r="1805">
          <cell r="A1805">
            <v>19655</v>
          </cell>
          <cell r="B1805" t="str">
            <v>MACOMB - IL 336 WEST OF MACOMB</v>
          </cell>
          <cell r="C1805" t="str">
            <v>8MS-DIVISION II SUPPORT STAFF</v>
          </cell>
        </row>
        <row r="1806">
          <cell r="A1806">
            <v>19661</v>
          </cell>
          <cell r="B1806" t="str">
            <v>IDOT GAS MAIN RELOCATE, RTE 50</v>
          </cell>
          <cell r="C1806" t="str">
            <v>92A-MT. VERNON</v>
          </cell>
        </row>
        <row r="1807">
          <cell r="A1807">
            <v>19682</v>
          </cell>
          <cell r="B1807" t="str">
            <v>LABADIE INTAKE STRUCT. IMPROVEMENT</v>
          </cell>
          <cell r="C1807" t="str">
            <v>09M-GENERATION PROJECT ENGINEERING</v>
          </cell>
        </row>
        <row r="1808">
          <cell r="A1808">
            <v>19697</v>
          </cell>
          <cell r="B1808" t="str">
            <v>SL - PINCKNEYVILLE CTG SITE</v>
          </cell>
          <cell r="C1808" t="str">
            <v>061-REAL ESTATE</v>
          </cell>
        </row>
        <row r="1809">
          <cell r="A1809">
            <v>19700</v>
          </cell>
          <cell r="B1809" t="str">
            <v>OSAGE SECURITY BARRIER REPLACEMENT</v>
          </cell>
          <cell r="C1809" t="str">
            <v>09M-GENERATION PROJECT ENGINEERING</v>
          </cell>
        </row>
        <row r="1810">
          <cell r="A1810">
            <v>19704</v>
          </cell>
          <cell r="B1810" t="str">
            <v>Fields Crossing Subdivision</v>
          </cell>
          <cell r="C1810" t="str">
            <v>628-PEORIA GAS CONSTRUCTION</v>
          </cell>
        </row>
        <row r="1811">
          <cell r="A1811">
            <v>19705</v>
          </cell>
          <cell r="B1811" t="str">
            <v>EXPRESS SCRIPTS PERMANENT RELOCATIO</v>
          </cell>
          <cell r="C1811" t="str">
            <v>055-BERKELEY</v>
          </cell>
        </row>
        <row r="1812">
          <cell r="A1812">
            <v>19712</v>
          </cell>
          <cell r="B1812" t="str">
            <v>MODOT OLIVE AND 170 INTERCHANGE</v>
          </cell>
          <cell r="C1812" t="str">
            <v>055-BERKELEY</v>
          </cell>
        </row>
        <row r="1813">
          <cell r="A1813">
            <v>19714</v>
          </cell>
          <cell r="B1813" t="str">
            <v>SLU MEDICAL RESEARCH PERMANENT SERV</v>
          </cell>
          <cell r="C1813" t="str">
            <v>036-UNDERGROUND</v>
          </cell>
        </row>
        <row r="1814">
          <cell r="A1814">
            <v>19715</v>
          </cell>
          <cell r="B1814" t="str">
            <v>CITY OF OTTAWA - WEST STEVENSON RD</v>
          </cell>
          <cell r="C1814" t="str">
            <v>92D-LASALLE</v>
          </cell>
        </row>
        <row r="1815">
          <cell r="A1815">
            <v>19725</v>
          </cell>
          <cell r="B1815" t="str">
            <v>THE ESTATES AT DEER HOLLOW</v>
          </cell>
          <cell r="C1815" t="str">
            <v>053-ELLISVILLE DISTRICT</v>
          </cell>
        </row>
        <row r="1816">
          <cell r="A1816">
            <v>19727</v>
          </cell>
          <cell r="B1816" t="str">
            <v>SIOUX WFGD RELOCATIONS</v>
          </cell>
          <cell r="C1816" t="str">
            <v>09V-NEW GEN &amp; ENV PROJECTS</v>
          </cell>
        </row>
        <row r="1817">
          <cell r="A1817">
            <v>19743</v>
          </cell>
          <cell r="B1817" t="str">
            <v>Cullom, SE - Modify 4kV Bus (Reimb)</v>
          </cell>
          <cell r="C1817" t="str">
            <v>09E-ELECTRICAL ENGINEERING</v>
          </cell>
        </row>
        <row r="1818">
          <cell r="A1818">
            <v>19752</v>
          </cell>
          <cell r="B1818" t="str">
            <v>HANLEY STATION OH TO UG RELOCATION</v>
          </cell>
          <cell r="C1818" t="str">
            <v>056-GERALDINE</v>
          </cell>
        </row>
        <row r="1819">
          <cell r="A1819">
            <v>19755</v>
          </cell>
          <cell r="B1819" t="str">
            <v>MANHASSET VILLAGE OH TO UG RELOCATI</v>
          </cell>
          <cell r="C1819" t="str">
            <v>056-GERALDINE</v>
          </cell>
        </row>
        <row r="1820">
          <cell r="A1820">
            <v>19761</v>
          </cell>
          <cell r="B1820" t="str">
            <v>Shelbyville, Chicap-Modify (Reimb)</v>
          </cell>
          <cell r="C1820" t="str">
            <v>09E-ELECTRICAL ENGINEERING</v>
          </cell>
        </row>
        <row r="1821">
          <cell r="A1821">
            <v>19773</v>
          </cell>
          <cell r="B1821" t="str">
            <v>Montgomery - Repl. 345kV ATB - V31</v>
          </cell>
          <cell r="C1821" t="str">
            <v>09E-ELECTRICAL ENGINEERING</v>
          </cell>
        </row>
        <row r="1822">
          <cell r="A1822">
            <v>19774</v>
          </cell>
          <cell r="B1822" t="str">
            <v>MODOT J6P1562 Relocation Hwy 30/47</v>
          </cell>
          <cell r="C1822" t="str">
            <v>068-FRANKLIN DISTRICT</v>
          </cell>
        </row>
        <row r="1823">
          <cell r="A1823">
            <v>19780</v>
          </cell>
          <cell r="B1823" t="str">
            <v>RELOCATE MAIN - BOWMAN &amp; WINTER AVE</v>
          </cell>
          <cell r="C1823" t="str">
            <v>0G5-GAS TECH SERVICES - IPC</v>
          </cell>
        </row>
        <row r="1824">
          <cell r="A1824">
            <v>19790</v>
          </cell>
          <cell r="B1824" t="str">
            <v>LINCOLN - REPL GAS DETECTION SYSTEM</v>
          </cell>
          <cell r="C1824" t="str">
            <v>0G6-GAS STORAGE</v>
          </cell>
        </row>
        <row r="1825">
          <cell r="A1825">
            <v>19797</v>
          </cell>
          <cell r="B1825" t="str">
            <v>CENTRALIA - REPL MOTOR CONTROLS</v>
          </cell>
          <cell r="C1825" t="str">
            <v>0G6-GAS STORAGE</v>
          </cell>
        </row>
        <row r="1826">
          <cell r="A1826">
            <v>19804</v>
          </cell>
          <cell r="B1826" t="str">
            <v>CENTRALIA - REPL GAS COOLING FAN</v>
          </cell>
          <cell r="C1826" t="str">
            <v>0G6-GAS STORAGE</v>
          </cell>
        </row>
        <row r="1827">
          <cell r="A1827">
            <v>19805</v>
          </cell>
          <cell r="B1827" t="str">
            <v>CENTRALIA - REPL MOTOR STARTERS</v>
          </cell>
          <cell r="C1827" t="str">
            <v>0G6-GAS STORAGE</v>
          </cell>
        </row>
        <row r="1828">
          <cell r="A1828">
            <v>19806</v>
          </cell>
          <cell r="B1828" t="str">
            <v>CENTRALIA - INSTALL GAS GENERATOR</v>
          </cell>
          <cell r="C1828" t="str">
            <v>0G6-GAS STORAGE</v>
          </cell>
        </row>
        <row r="1829">
          <cell r="A1829">
            <v>19807</v>
          </cell>
          <cell r="B1829" t="str">
            <v>HOOKDALE - STORAGE BLDG ADDITION</v>
          </cell>
          <cell r="C1829" t="str">
            <v>0G6-GAS STORAGE</v>
          </cell>
        </row>
        <row r="1830">
          <cell r="A1830">
            <v>19808</v>
          </cell>
          <cell r="B1830" t="str">
            <v>New CTG Gas SCADA</v>
          </cell>
          <cell r="C1830" t="str">
            <v>361-AUDRAIN CTG</v>
          </cell>
        </row>
        <row r="1831">
          <cell r="A1831">
            <v>19809</v>
          </cell>
          <cell r="B1831" t="str">
            <v>REPAIRS - PIPELINE INTEG - IP</v>
          </cell>
          <cell r="C1831" t="str">
            <v>0G5-GAS TECH SERVICES - IPC</v>
          </cell>
        </row>
        <row r="1832">
          <cell r="A1832">
            <v>19827</v>
          </cell>
          <cell r="B1832" t="str">
            <v>REPAIRS - PIPELINE INTEG - UE</v>
          </cell>
          <cell r="C1832" t="str">
            <v>0G3-GAS TECH SERVICES - UEC</v>
          </cell>
        </row>
        <row r="1833">
          <cell r="A1833">
            <v>19828</v>
          </cell>
          <cell r="B1833" t="str">
            <v>REPAIRS - PIPELINE INTEG - CIPS</v>
          </cell>
          <cell r="C1833" t="str">
            <v>0G1-GAS TECH SERVICES - CIP</v>
          </cell>
        </row>
        <row r="1834">
          <cell r="A1834">
            <v>19829</v>
          </cell>
          <cell r="B1834" t="str">
            <v>INSTALL TRANS BLOW DOWN VALVES CIP</v>
          </cell>
          <cell r="C1834" t="str">
            <v>0G1-GAS TECH SERVICES - CIP</v>
          </cell>
        </row>
        <row r="1835">
          <cell r="A1835">
            <v>19838</v>
          </cell>
          <cell r="B1835" t="str">
            <v>REPAIRS - PIPELINE INTEG - CILCO</v>
          </cell>
          <cell r="C1835" t="str">
            <v>0G4-GAS TECH SERVICES - CIL</v>
          </cell>
        </row>
        <row r="1836">
          <cell r="A1836">
            <v>19839</v>
          </cell>
          <cell r="B1836" t="str">
            <v>INSTALL TRANS BLOW DOWN VALVES CIL</v>
          </cell>
          <cell r="C1836" t="str">
            <v>0G4-GAS TECH SERVICES - CIL</v>
          </cell>
        </row>
        <row r="1837">
          <cell r="A1837">
            <v>19841</v>
          </cell>
          <cell r="B1837" t="str">
            <v>ODORIZER ENCLOSURES</v>
          </cell>
          <cell r="C1837" t="str">
            <v>0G4-GAS TECH SERVICES - CIL</v>
          </cell>
        </row>
        <row r="1838">
          <cell r="A1838">
            <v>19843</v>
          </cell>
          <cell r="B1838" t="str">
            <v>MoDot Bridge Replacement Iron Co.</v>
          </cell>
          <cell r="C1838" t="str">
            <v>0PT-POTOSI</v>
          </cell>
        </row>
        <row r="1839">
          <cell r="A1839">
            <v>19844</v>
          </cell>
          <cell r="B1839" t="str">
            <v>MoDot Bridge Replacement Wash Co.</v>
          </cell>
          <cell r="C1839" t="str">
            <v>0PT-POTOSI</v>
          </cell>
        </row>
        <row r="1840">
          <cell r="A1840">
            <v>19852</v>
          </cell>
          <cell r="B1840" t="str">
            <v>Route 29 Improvement</v>
          </cell>
          <cell r="C1840" t="str">
            <v>618-CENTRAL ELECTRIC</v>
          </cell>
        </row>
        <row r="1841">
          <cell r="A1841">
            <v>19853</v>
          </cell>
          <cell r="B1841" t="str">
            <v>CHAIN OF ROCKS LEVEE - VEN-76</v>
          </cell>
          <cell r="C1841" t="str">
            <v>015-ILLINOIS DISTRICT-E. ST. LOUIS</v>
          </cell>
        </row>
        <row r="1842">
          <cell r="A1842">
            <v>19859</v>
          </cell>
          <cell r="B1842" t="str">
            <v>EDE U3 ID Fan Damper Drives</v>
          </cell>
          <cell r="C1842" t="str">
            <v>62A-EDWARDS PLANT GENERAL</v>
          </cell>
        </row>
        <row r="1843">
          <cell r="A1843">
            <v>19864</v>
          </cell>
          <cell r="B1843" t="str">
            <v>RELOC 4 IN PIPE RT 159 RICHLAND SUB</v>
          </cell>
          <cell r="C1843" t="str">
            <v>0G5-GAS TECH SERVICES - IPC</v>
          </cell>
        </row>
        <row r="1844">
          <cell r="A1844">
            <v>19867</v>
          </cell>
          <cell r="B1844" t="str">
            <v>CNV-E1830 - E GALESBURG - REPLACE</v>
          </cell>
          <cell r="C1844" t="str">
            <v>09E-ELECTRICAL ENGINEERING</v>
          </cell>
        </row>
        <row r="1845">
          <cell r="A1845">
            <v>19877</v>
          </cell>
          <cell r="B1845" t="str">
            <v>CNV-LILLY - CKT 260LINE 3390</v>
          </cell>
          <cell r="C1845" t="str">
            <v>09E-ELECTRICAL ENGINEERING</v>
          </cell>
        </row>
        <row r="1846">
          <cell r="A1846">
            <v>19878</v>
          </cell>
          <cell r="B1846" t="str">
            <v>CNV-3359 AND 3360 - UPGRADES</v>
          </cell>
          <cell r="C1846" t="str">
            <v>09E-ELECTRICAL ENGINEERING</v>
          </cell>
        </row>
        <row r="1847">
          <cell r="A1847">
            <v>19882</v>
          </cell>
          <cell r="B1847" t="str">
            <v>SL - Osage Property</v>
          </cell>
          <cell r="C1847" t="str">
            <v>061-REAL ESTATE</v>
          </cell>
        </row>
        <row r="1848">
          <cell r="A1848">
            <v>19883</v>
          </cell>
          <cell r="B1848" t="str">
            <v>HAZELWOOD COMMERCE OH</v>
          </cell>
          <cell r="C1848" t="str">
            <v>055-BERKELEY</v>
          </cell>
        </row>
        <row r="1849">
          <cell r="A1849">
            <v>19884</v>
          </cell>
          <cell r="B1849" t="str">
            <v>URBANA PERKINS RD SUB-ADD CKT SWCH</v>
          </cell>
          <cell r="C1849" t="str">
            <v>09E-ELECTRICAL ENGINEERING</v>
          </cell>
        </row>
        <row r="1850">
          <cell r="A1850">
            <v>19902</v>
          </cell>
          <cell r="B1850" t="str">
            <v>CNV-SELL OF DECATUR HEADQUARTERS</v>
          </cell>
          <cell r="C1850" t="str">
            <v>061-REAL ESTATE</v>
          </cell>
        </row>
        <row r="1851">
          <cell r="A1851">
            <v>19905</v>
          </cell>
          <cell r="B1851" t="str">
            <v>INTERCTY MAIN RPL NORTH OF MATTOON</v>
          </cell>
          <cell r="C1851" t="str">
            <v>0G1-GAS TECH SERVICES - CIP</v>
          </cell>
        </row>
        <row r="1852">
          <cell r="A1852">
            <v>19918</v>
          </cell>
          <cell r="B1852" t="str">
            <v>CNV-2890 - COLLINSVILLE FAIRMOUNT</v>
          </cell>
          <cell r="C1852" t="str">
            <v>91A-IL OPS ADMIN</v>
          </cell>
        </row>
        <row r="1853">
          <cell r="A1853">
            <v>19919</v>
          </cell>
          <cell r="B1853" t="str">
            <v>CNV-HAVANA STA UPGRADE OCB 1422BRK</v>
          </cell>
          <cell r="C1853" t="str">
            <v>09E-ELECTRICAL ENGINEERING</v>
          </cell>
        </row>
        <row r="1854">
          <cell r="A1854">
            <v>19921</v>
          </cell>
          <cell r="B1854" t="str">
            <v>CNV-RELOCATE 8 IN. STEEL GAS MAIN</v>
          </cell>
          <cell r="C1854" t="str">
            <v>91A-IL OPS ADMIN</v>
          </cell>
        </row>
        <row r="1855">
          <cell r="A1855">
            <v>19923</v>
          </cell>
          <cell r="B1855" t="str">
            <v>CNV-BUILD NEW GAS DIST. STATION</v>
          </cell>
          <cell r="C1855" t="str">
            <v>91A-IL OPS ADMIN</v>
          </cell>
        </row>
        <row r="1856">
          <cell r="A1856">
            <v>19924</v>
          </cell>
          <cell r="B1856" t="str">
            <v>CNV-WEDRON SUB - ADD CAP BANK</v>
          </cell>
          <cell r="C1856" t="str">
            <v>09E-ELECTRICAL ENGINEERING</v>
          </cell>
        </row>
        <row r="1857">
          <cell r="A1857">
            <v>19932</v>
          </cell>
          <cell r="B1857" t="str">
            <v>CNV-BLOOM NORMAL EAST - SPCC</v>
          </cell>
          <cell r="C1857" t="str">
            <v>91A-IL OPS ADMIN</v>
          </cell>
        </row>
        <row r="1858">
          <cell r="A1858">
            <v>19934</v>
          </cell>
          <cell r="B1858" t="str">
            <v>CNV-E. BELLEVILLE (2844) SPCC</v>
          </cell>
          <cell r="C1858" t="str">
            <v>91A-IL OPS ADMIN</v>
          </cell>
        </row>
        <row r="1859">
          <cell r="A1859">
            <v>19938</v>
          </cell>
          <cell r="B1859" t="str">
            <v>CNV-BRUSH COLLEGE (2798) SPCC</v>
          </cell>
          <cell r="C1859" t="str">
            <v>09E-ELECTRICAL ENGINEERING</v>
          </cell>
        </row>
        <row r="1860">
          <cell r="A1860">
            <v>19939</v>
          </cell>
          <cell r="B1860" t="str">
            <v>CNV-CHAMPAIGN OAK ST (2021) - UPGR</v>
          </cell>
          <cell r="C1860" t="str">
            <v>09E-ELECTRICAL ENGINEERING</v>
          </cell>
        </row>
        <row r="1861">
          <cell r="A1861">
            <v>19940</v>
          </cell>
          <cell r="B1861" t="str">
            <v>CNV-GALVA SUB (2060) - REPL REGS</v>
          </cell>
          <cell r="C1861" t="str">
            <v>09E-ELECTRICAL ENGINEERING</v>
          </cell>
        </row>
        <row r="1862">
          <cell r="A1862">
            <v>19941</v>
          </cell>
          <cell r="B1862" t="str">
            <v>CNV-WAMAC SWAN - INCREASE CAPACITY</v>
          </cell>
          <cell r="C1862" t="str">
            <v>09E-ELECTRICAL ENGINEERING</v>
          </cell>
        </row>
        <row r="1863">
          <cell r="A1863">
            <v>19984</v>
          </cell>
          <cell r="B1863" t="str">
            <v>CNV-S PLEASANT (2019) - REPL REGS</v>
          </cell>
          <cell r="C1863" t="str">
            <v>09E-ELECTRICAL ENGINEERING</v>
          </cell>
        </row>
        <row r="1864">
          <cell r="A1864">
            <v>19990</v>
          </cell>
          <cell r="B1864" t="str">
            <v>CITY OF VALLEY PARK 0006-01-4</v>
          </cell>
          <cell r="C1864" t="str">
            <v>027-DORSETT</v>
          </cell>
        </row>
        <row r="1865">
          <cell r="A1865">
            <v>20007</v>
          </cell>
          <cell r="B1865" t="str">
            <v>Champaign Kirby Ave-Rpl Hookstick</v>
          </cell>
          <cell r="C1865" t="str">
            <v>09E-ELECTRICAL ENGINEERING</v>
          </cell>
        </row>
        <row r="1866">
          <cell r="A1866">
            <v>20008</v>
          </cell>
          <cell r="B1866" t="str">
            <v>Urbana Goodwin Ave-Rpl Hookstick</v>
          </cell>
          <cell r="C1866" t="str">
            <v>09E-ELECTRICAL ENGINEERING</v>
          </cell>
        </row>
        <row r="1867">
          <cell r="A1867">
            <v>20009</v>
          </cell>
          <cell r="B1867" t="str">
            <v>Urbana Philo Road-Rpl Hookstick</v>
          </cell>
          <cell r="C1867" t="str">
            <v>09E-ELECTRICAL ENGINEERING</v>
          </cell>
        </row>
        <row r="1868">
          <cell r="A1868">
            <v>20013</v>
          </cell>
          <cell r="B1868" t="str">
            <v>RELOCATE ,GREEN MOUNT RD &amp; RTE#161</v>
          </cell>
          <cell r="C1868" t="str">
            <v>93B-BELLEVILLE</v>
          </cell>
        </row>
        <row r="1869">
          <cell r="A1869">
            <v>20015</v>
          </cell>
          <cell r="B1869" t="str">
            <v>LBD STATOR LEAK MON SYS AND CT REPL</v>
          </cell>
          <cell r="C1869" t="str">
            <v>09M-GENERATION PROJECT ENGINEERING</v>
          </cell>
        </row>
        <row r="1870">
          <cell r="A1870">
            <v>20017</v>
          </cell>
          <cell r="B1870" t="str">
            <v>SL - WASHINGTON SUB</v>
          </cell>
          <cell r="C1870" t="str">
            <v>061-REAL ESTATE</v>
          </cell>
        </row>
        <row r="1871">
          <cell r="A1871">
            <v>20018</v>
          </cell>
          <cell r="B1871" t="str">
            <v>IDOT 310 WOLF ROAD RELOCATIONS</v>
          </cell>
          <cell r="C1871" t="str">
            <v>014-ALTON DISTRICT</v>
          </cell>
        </row>
        <row r="1872">
          <cell r="A1872">
            <v>20019</v>
          </cell>
          <cell r="B1872" t="str">
            <v>Tennessee - IL 336 Road Improvement</v>
          </cell>
          <cell r="C1872" t="str">
            <v>8MS-DIVISION II SUPPORT STAFF</v>
          </cell>
        </row>
        <row r="1873">
          <cell r="A1873">
            <v>20020</v>
          </cell>
          <cell r="B1873" t="str">
            <v>SLU HIGH SCHOOL RELOCATIONS</v>
          </cell>
          <cell r="C1873" t="str">
            <v>056-GERALDINE</v>
          </cell>
        </row>
        <row r="1874">
          <cell r="A1874">
            <v>20021</v>
          </cell>
          <cell r="B1874" t="str">
            <v>Replace 6 in steel main Madden Crk</v>
          </cell>
          <cell r="C1874" t="str">
            <v>0G5-GAS TECH SERVICES - IPC</v>
          </cell>
        </row>
        <row r="1875">
          <cell r="A1875">
            <v>20022</v>
          </cell>
          <cell r="B1875" t="str">
            <v>CIL Storm 3-12,13-06 Springfld- Gas</v>
          </cell>
          <cell r="C1875" t="str">
            <v>608-SPFLD GAS CONSTRUCTION</v>
          </cell>
        </row>
        <row r="1876">
          <cell r="A1876">
            <v>20023</v>
          </cell>
          <cell r="B1876" t="str">
            <v>Danville Alcoa Oil Spill Containmnt</v>
          </cell>
          <cell r="C1876" t="str">
            <v>09E-ELECTRICAL ENGINEERING</v>
          </cell>
        </row>
        <row r="1877">
          <cell r="A1877">
            <v>20028</v>
          </cell>
          <cell r="B1877" t="str">
            <v>TRUMAN PARKWAY RELOCATIONS, PHASE I</v>
          </cell>
          <cell r="C1877" t="str">
            <v>036-UNDERGROUND</v>
          </cell>
        </row>
        <row r="1878">
          <cell r="A1878">
            <v>20030</v>
          </cell>
          <cell r="B1878" t="str">
            <v>TILDEN - BUILDING ADDITION</v>
          </cell>
          <cell r="C1878" t="str">
            <v>0G6-GAS STORAGE</v>
          </cell>
        </row>
        <row r="1879">
          <cell r="A1879">
            <v>20031</v>
          </cell>
          <cell r="B1879" t="str">
            <v>NEWTON PERMITS &amp; WATER SOURCE OPTNS</v>
          </cell>
          <cell r="C1879" t="str">
            <v>09V-NEW GEN &amp; ENV PROJECTS</v>
          </cell>
        </row>
        <row r="1880">
          <cell r="A1880">
            <v>20042</v>
          </cell>
          <cell r="B1880" t="str">
            <v>CHAMP-URB SETTLEMENT TRACKING</v>
          </cell>
          <cell r="C1880" t="str">
            <v>91L-CHAMPAIGN/URBANA GAS OPS</v>
          </cell>
        </row>
        <row r="1881">
          <cell r="A1881">
            <v>20043</v>
          </cell>
          <cell r="B1881" t="str">
            <v>DUCK CREEK FUEL FLEX PH. 3</v>
          </cell>
          <cell r="C1881" t="str">
            <v>09M-GENERATION PROJECT ENGINEERING</v>
          </cell>
        </row>
        <row r="1882">
          <cell r="A1882">
            <v>20044</v>
          </cell>
          <cell r="B1882" t="str">
            <v>STONEWATER PHS 1 - 124 LOTS</v>
          </cell>
          <cell r="C1882" t="str">
            <v>070-JEFFERSON</v>
          </cell>
        </row>
        <row r="1883">
          <cell r="A1883">
            <v>20048</v>
          </cell>
          <cell r="B1883" t="str">
            <v>Champaign Miller Ave-Rpl 4kV Brks</v>
          </cell>
          <cell r="C1883" t="str">
            <v>09E-ELECTRICAL ENGINEERING</v>
          </cell>
        </row>
        <row r="1884">
          <cell r="A1884">
            <v>20051</v>
          </cell>
          <cell r="B1884" t="str">
            <v>Champaign Walnut St-Rpl Xfmr #1</v>
          </cell>
          <cell r="C1884" t="str">
            <v>09E-ELECTRICAL ENGINEERING</v>
          </cell>
        </row>
        <row r="1885">
          <cell r="A1885">
            <v>20057</v>
          </cell>
          <cell r="B1885" t="str">
            <v>Meramec Unit 3 TSI</v>
          </cell>
          <cell r="C1885" t="str">
            <v>09M-GENERATION PROJECT ENGINEERING</v>
          </cell>
        </row>
        <row r="1886">
          <cell r="A1886">
            <v>20059</v>
          </cell>
          <cell r="B1886" t="str">
            <v>APC Labs-34-12kV, 14MVA Cust Sub</v>
          </cell>
          <cell r="C1886" t="str">
            <v>09E-ELECTRICAL ENGINEERING</v>
          </cell>
        </row>
        <row r="1887">
          <cell r="A1887">
            <v>20060</v>
          </cell>
          <cell r="B1887" t="str">
            <v>AUDRAIN CTG DAHS REPLACEMENT</v>
          </cell>
          <cell r="C1887" t="str">
            <v>09M-GENERATION PROJECT ENGINEERING</v>
          </cell>
        </row>
        <row r="1888">
          <cell r="A1888">
            <v>20061</v>
          </cell>
          <cell r="B1888" t="str">
            <v>GOOSE CTG DAHS REPLACEMENT</v>
          </cell>
          <cell r="C1888" t="str">
            <v>09M-GENERATION PROJECT ENGINEERING</v>
          </cell>
        </row>
        <row r="1889">
          <cell r="A1889">
            <v>20062</v>
          </cell>
          <cell r="B1889" t="str">
            <v>RACCOON CTG DAHSCEMS REPLACEMENT</v>
          </cell>
          <cell r="C1889" t="str">
            <v>09M-GENERATION PROJECT ENGINEERING</v>
          </cell>
        </row>
        <row r="1890">
          <cell r="A1890">
            <v>20064</v>
          </cell>
          <cell r="B1890" t="str">
            <v>Attingham Park Subdivision Phase 1</v>
          </cell>
          <cell r="C1890" t="str">
            <v>617-NORTHERN ELECTRIC</v>
          </cell>
        </row>
        <row r="1891">
          <cell r="A1891">
            <v>20065</v>
          </cell>
          <cell r="B1891" t="str">
            <v>REPLACE REG STATION EH-006</v>
          </cell>
          <cell r="C1891" t="str">
            <v>0G5-GAS TECH SERVICES - IPC</v>
          </cell>
        </row>
        <row r="1892">
          <cell r="A1892">
            <v>20072</v>
          </cell>
          <cell r="B1892" t="str">
            <v>SIOUX CONTROL-EXCITER ROOM HVAC</v>
          </cell>
          <cell r="C1892" t="str">
            <v>09M-GENERATION PROJECT ENGINEERING</v>
          </cell>
        </row>
        <row r="1893">
          <cell r="A1893">
            <v>20073</v>
          </cell>
          <cell r="B1893" t="str">
            <v>IDOT - RTE 89 RR BRIDGE</v>
          </cell>
          <cell r="C1893" t="str">
            <v>92D-LASALLE</v>
          </cell>
        </row>
        <row r="1894">
          <cell r="A1894">
            <v>20074</v>
          </cell>
          <cell r="B1894" t="str">
            <v>CITY OF SPARTA EXT 3 PH TO SEWER PL</v>
          </cell>
          <cell r="C1894" t="str">
            <v>93W-SPARTA - LOCAL PRESENCE</v>
          </cell>
        </row>
        <row r="1895">
          <cell r="A1895">
            <v>20080</v>
          </cell>
          <cell r="B1895" t="str">
            <v>Meramec-Repl.Rel. 2-138 Term-TAMS06</v>
          </cell>
          <cell r="C1895" t="str">
            <v>09E-ELECTRICAL ENGINEERING</v>
          </cell>
        </row>
        <row r="1896">
          <cell r="A1896">
            <v>20082</v>
          </cell>
          <cell r="B1896" t="str">
            <v>Install Reg Sta #CH-042 Maryville</v>
          </cell>
          <cell r="C1896" t="str">
            <v>0G5-GAS TECH SERVICES - IPC</v>
          </cell>
        </row>
        <row r="1897">
          <cell r="A1897">
            <v>20083</v>
          </cell>
          <cell r="B1897" t="str">
            <v>Spare 345kV, 3000A Breaker - UEC</v>
          </cell>
          <cell r="C1897" t="str">
            <v>09E-ELECTRICAL ENGINEERING</v>
          </cell>
        </row>
        <row r="1898">
          <cell r="A1898">
            <v>20084</v>
          </cell>
          <cell r="B1898" t="str">
            <v>MSD COLDWATER CREEK</v>
          </cell>
          <cell r="C1898" t="str">
            <v>055-BERKELEY</v>
          </cell>
        </row>
        <row r="1899">
          <cell r="A1899">
            <v>20087</v>
          </cell>
          <cell r="B1899" t="str">
            <v>TENNESSEE - IDOT RELOCATION PROJECT</v>
          </cell>
          <cell r="C1899" t="str">
            <v>8MS-DIVISION II SUPPORT STAFF</v>
          </cell>
        </row>
        <row r="1900">
          <cell r="A1900">
            <v>20088</v>
          </cell>
          <cell r="B1900" t="str">
            <v xml:space="preserve">MCLEAN COUNTY HIGHWAY 53_x000D_
</v>
          </cell>
          <cell r="C1900" t="str">
            <v>92E-BLOOMINGTON/NORMAL ELEC OPS</v>
          </cell>
        </row>
        <row r="1901">
          <cell r="A1901">
            <v>20091</v>
          </cell>
          <cell r="B1901" t="str">
            <v>DUCK CREEK  SCR UPGRADES</v>
          </cell>
          <cell r="C1901" t="str">
            <v>09V-NEW GEN &amp; ENV PROJECTS</v>
          </cell>
        </row>
        <row r="1902">
          <cell r="A1902">
            <v>20092</v>
          </cell>
          <cell r="B1902" t="str">
            <v>DUCK CREEK ESP UPGRADES</v>
          </cell>
          <cell r="C1902" t="str">
            <v>09V-NEW GEN &amp; ENV PROJECTS</v>
          </cell>
        </row>
        <row r="1903">
          <cell r="A1903">
            <v>20094</v>
          </cell>
          <cell r="B1903" t="str">
            <v>RADNER #7 EXTENSION</v>
          </cell>
          <cell r="C1903" t="str">
            <v>617-NORTHERN ELECTRIC</v>
          </cell>
        </row>
        <row r="1904">
          <cell r="A1904">
            <v>20095</v>
          </cell>
          <cell r="B1904" t="str">
            <v>Illinois Building</v>
          </cell>
          <cell r="C1904" t="str">
            <v>061-REAL ESTATE</v>
          </cell>
        </row>
        <row r="1905">
          <cell r="A1905">
            <v>20096</v>
          </cell>
          <cell r="B1905" t="str">
            <v>Tuscany Trails Subd</v>
          </cell>
          <cell r="C1905" t="str">
            <v>92J-MARYVILLE</v>
          </cell>
        </row>
        <row r="1906">
          <cell r="A1906">
            <v>20097</v>
          </cell>
          <cell r="B1906" t="str">
            <v>REL 6 IN PIPE SYS 3066 GTS-0054</v>
          </cell>
          <cell r="C1906" t="str">
            <v>0G5-GAS TECH SERVICES - IPC</v>
          </cell>
        </row>
        <row r="1907">
          <cell r="A1907">
            <v>20098</v>
          </cell>
          <cell r="B1907" t="str">
            <v>REL 6 IN PIPE SYS 3066 GTS-0053</v>
          </cell>
          <cell r="C1907" t="str">
            <v>0G5-GAS TECH SERVICES - IPC</v>
          </cell>
        </row>
        <row r="1908">
          <cell r="A1908">
            <v>20106</v>
          </cell>
          <cell r="B1908" t="str">
            <v>Bartonville Lafayette Avenue</v>
          </cell>
          <cell r="C1908" t="str">
            <v>628-PEORIA GAS CONSTRUCTION</v>
          </cell>
        </row>
        <row r="1909">
          <cell r="A1909">
            <v>20107</v>
          </cell>
          <cell r="B1909" t="str">
            <v>MEREDOSIA - BLR 4 FD FAN ROTOR</v>
          </cell>
          <cell r="C1909" t="str">
            <v>09M-GENERATION PROJECT ENGINEERING</v>
          </cell>
        </row>
        <row r="1910">
          <cell r="A1910">
            <v>20110</v>
          </cell>
          <cell r="B1910" t="str">
            <v>CANTON ETHANOL PLANT GAS MAIN EXT</v>
          </cell>
          <cell r="C1910" t="str">
            <v>0G1-GAS TECH SERVICES - CIP</v>
          </cell>
        </row>
        <row r="1911">
          <cell r="A1911">
            <v>20111</v>
          </cell>
          <cell r="B1911" t="str">
            <v>Dupo Ferry-Selma -Tap- River Cement</v>
          </cell>
          <cell r="C1911" t="str">
            <v>09E-ELECTRICAL ENGINEERING</v>
          </cell>
        </row>
        <row r="1912">
          <cell r="A1912">
            <v>20112</v>
          </cell>
          <cell r="B1912" t="str">
            <v>NEW FLORENCE - HWY 19 WIDENING</v>
          </cell>
          <cell r="C1912" t="str">
            <v>4MX-LITTLE DIXIE SUPPORT STAFF</v>
          </cell>
        </row>
        <row r="1913">
          <cell r="A1913">
            <v>20116</v>
          </cell>
          <cell r="B1913" t="str">
            <v>Carthage - IDOT Relocation</v>
          </cell>
          <cell r="C1913" t="str">
            <v>8MS-DIVISION II SUPPORT STAFF</v>
          </cell>
        </row>
        <row r="1914">
          <cell r="A1914">
            <v>20117</v>
          </cell>
          <cell r="B1914" t="str">
            <v>MEREDOSIA - UNIT 3 BOILERS UPGRADE</v>
          </cell>
          <cell r="C1914" t="str">
            <v>09M-GENERATION PROJECT ENGINEERING</v>
          </cell>
        </row>
        <row r="1915">
          <cell r="A1915">
            <v>20118</v>
          </cell>
          <cell r="B1915" t="str">
            <v>CFN - REPLACE 480V BUS 2C &amp; 2D</v>
          </cell>
          <cell r="C1915" t="str">
            <v>09M-GENERATION PROJECT ENGINEERING</v>
          </cell>
        </row>
        <row r="1916">
          <cell r="A1916">
            <v>20121</v>
          </cell>
          <cell r="B1916" t="str">
            <v>RI U2 LP TURB A&amp;B RETROFIT</v>
          </cell>
          <cell r="C1916" t="str">
            <v>09M-GENERATION PROJECT ENGINEERING</v>
          </cell>
        </row>
        <row r="1917">
          <cell r="A1917">
            <v>20124</v>
          </cell>
          <cell r="B1917" t="str">
            <v>LAB U2 LP TURB A&amp;B RETROFIT</v>
          </cell>
          <cell r="C1917" t="str">
            <v>09M-GENERATION PROJECT ENGINEERING</v>
          </cell>
        </row>
        <row r="1918">
          <cell r="A1918">
            <v>20125</v>
          </cell>
          <cell r="B1918" t="str">
            <v>RI U1 LP TURB A&amp;B RETROFIT</v>
          </cell>
          <cell r="C1918" t="str">
            <v>09M-GENERATION PROJECT ENGINEERING</v>
          </cell>
        </row>
        <row r="1919">
          <cell r="A1919">
            <v>20126</v>
          </cell>
          <cell r="B1919" t="str">
            <v>LAB U1 LP TURB A&amp;B RETROFIT</v>
          </cell>
          <cell r="C1919" t="str">
            <v>09M-GENERATION PROJECT ENGINEERING</v>
          </cell>
        </row>
        <row r="1920">
          <cell r="A1920">
            <v>20131</v>
          </cell>
          <cell r="B1920" t="str">
            <v>Fargo-Replace Relays on L1347</v>
          </cell>
          <cell r="C1920" t="str">
            <v>09E-ELECTRICAL ENGINEERING</v>
          </cell>
        </row>
        <row r="1921">
          <cell r="A1921">
            <v>20132</v>
          </cell>
          <cell r="B1921" t="str">
            <v>Pioneer-Replace Relays on L1347</v>
          </cell>
          <cell r="C1921" t="str">
            <v>09E-ELECTRICAL ENGINEERING</v>
          </cell>
        </row>
        <row r="1922">
          <cell r="A1922">
            <v>20133</v>
          </cell>
          <cell r="B1922" t="str">
            <v>RI Bottom Ash Piping Replacement</v>
          </cell>
          <cell r="C1922" t="str">
            <v>09M-GENERATION PROJECT ENGINEERING</v>
          </cell>
        </row>
        <row r="1923">
          <cell r="A1923">
            <v>20134</v>
          </cell>
          <cell r="B1923" t="str">
            <v>MODOT I-64 6th STREET OFF-RAMP</v>
          </cell>
          <cell r="C1923" t="str">
            <v>056-GERALDINE</v>
          </cell>
        </row>
        <row r="1924">
          <cell r="A1924">
            <v>20136</v>
          </cell>
          <cell r="B1924" t="str">
            <v>ESTR-73-Star to Richwoods</v>
          </cell>
          <cell r="C1924" t="str">
            <v>0CS-SEMO SUPPORT STAFF</v>
          </cell>
        </row>
        <row r="1925">
          <cell r="A1925">
            <v>20142</v>
          </cell>
          <cell r="B1925" t="str">
            <v>ESTR-73 Reconductor w954aa</v>
          </cell>
          <cell r="C1925" t="str">
            <v>0CS-SEMO SUPPORT STAFF</v>
          </cell>
        </row>
        <row r="1926">
          <cell r="A1926">
            <v>20158</v>
          </cell>
          <cell r="B1926" t="str">
            <v>REG CTG PLANTS - SWGR UPGRADES</v>
          </cell>
          <cell r="C1926" t="str">
            <v>09M-GENERATION PROJECT ENGINEERING</v>
          </cell>
        </row>
        <row r="1927">
          <cell r="A1927">
            <v>20166</v>
          </cell>
          <cell r="B1927" t="str">
            <v>DUCK CREEK - AUX POWER UPGRADE</v>
          </cell>
          <cell r="C1927" t="str">
            <v>09M-GENERATION PROJECT ENGINEERING</v>
          </cell>
        </row>
        <row r="1928">
          <cell r="A1928">
            <v>20167</v>
          </cell>
          <cell r="B1928" t="str">
            <v>NEWTON U1 SCR</v>
          </cell>
          <cell r="C1928" t="str">
            <v>09V-NEW GEN &amp; ENV PROJECTS</v>
          </cell>
        </row>
        <row r="1929">
          <cell r="A1929">
            <v>20168</v>
          </cell>
          <cell r="B1929" t="str">
            <v>DUCK CREEK U1 LP TURBINE RETROFIT</v>
          </cell>
          <cell r="C1929" t="str">
            <v>09M-GENERATION PROJECT ENGINEERING</v>
          </cell>
        </row>
        <row r="1930">
          <cell r="A1930">
            <v>20169</v>
          </cell>
          <cell r="B1930" t="str">
            <v>NEWTON U1 LP TURBINE RETROFIT</v>
          </cell>
          <cell r="C1930" t="str">
            <v>09M-GENERATION PROJECT ENGINEERING</v>
          </cell>
        </row>
        <row r="1931">
          <cell r="A1931">
            <v>20170</v>
          </cell>
          <cell r="B1931" t="str">
            <v>DUCK CREEK U1 BFP TURBINE UPGRADE</v>
          </cell>
          <cell r="C1931" t="str">
            <v>09M-GENERATION PROJECT ENGINEERING</v>
          </cell>
        </row>
        <row r="1932">
          <cell r="A1932">
            <v>20172</v>
          </cell>
          <cell r="B1932" t="str">
            <v>DUCK CREEK BOTTOM ASH HOPPER RPL</v>
          </cell>
          <cell r="C1932" t="str">
            <v>09M-GENERATION PROJECT ENGINEERING</v>
          </cell>
        </row>
        <row r="1933">
          <cell r="A1933">
            <v>20173</v>
          </cell>
          <cell r="B1933" t="str">
            <v>SIOUX CHAR HOPPER IMPROVEMENT</v>
          </cell>
          <cell r="C1933" t="str">
            <v>09M-GENERATION PROJECT ENGINEERING</v>
          </cell>
        </row>
        <row r="1934">
          <cell r="A1934">
            <v>20175</v>
          </cell>
          <cell r="B1934" t="str">
            <v>MERAMEC - MTCE POWER SUBSTATION</v>
          </cell>
          <cell r="C1934" t="str">
            <v>09M-GENERATION PROJECT ENGINEERING</v>
          </cell>
        </row>
        <row r="1935">
          <cell r="A1935">
            <v>20176</v>
          </cell>
          <cell r="B1935" t="str">
            <v>RI - MTCE POWER SUBSTATION PHASE 1</v>
          </cell>
          <cell r="C1935" t="str">
            <v>09M-GENERATION PROJECT ENGINEERING</v>
          </cell>
        </row>
        <row r="1936">
          <cell r="A1936">
            <v>20181</v>
          </cell>
          <cell r="B1936" t="str">
            <v>COFFEEN  U2 ESP NEW CHAMBER ADDS</v>
          </cell>
          <cell r="C1936" t="str">
            <v>09V-NEW GEN &amp; ENV PROJECTS</v>
          </cell>
        </row>
        <row r="1937">
          <cell r="A1937">
            <v>20183</v>
          </cell>
          <cell r="B1937" t="str">
            <v>EDWARDS  U2 ESP NEW CHAMBER ADDS</v>
          </cell>
          <cell r="C1937" t="str">
            <v>09V-NEW GEN &amp; ENV PROJECTS</v>
          </cell>
        </row>
        <row r="1938">
          <cell r="A1938">
            <v>20184</v>
          </cell>
          <cell r="B1938" t="str">
            <v>EDWARDS  U1 ESP NEW CHAMBER ADDS</v>
          </cell>
          <cell r="C1938" t="str">
            <v>09V-NEW GEN &amp; ENV PROJECTS</v>
          </cell>
        </row>
        <row r="1939">
          <cell r="A1939">
            <v>20187</v>
          </cell>
          <cell r="B1939" t="str">
            <v>OSAGE REPLACE HEADWORKS COVERS</v>
          </cell>
          <cell r="C1939" t="str">
            <v>09M-GENERATION PROJECT ENGINEERING</v>
          </cell>
        </row>
        <row r="1940">
          <cell r="A1940">
            <v>20194</v>
          </cell>
          <cell r="B1940" t="str">
            <v>SIOUX WFGD SWITCHYARD MODS</v>
          </cell>
          <cell r="C1940" t="str">
            <v>09V-NEW GEN &amp; ENV PROJECTS</v>
          </cell>
        </row>
        <row r="1941">
          <cell r="A1941">
            <v>20195</v>
          </cell>
          <cell r="B1941" t="str">
            <v>SIOUX WFGD MALINE MODS</v>
          </cell>
          <cell r="C1941" t="str">
            <v>09V-NEW GEN &amp; ENV PROJECTS</v>
          </cell>
        </row>
        <row r="1942">
          <cell r="A1942">
            <v>20209</v>
          </cell>
          <cell r="B1942" t="str">
            <v>Meramec Unit 4 UPS Replacement</v>
          </cell>
          <cell r="C1942" t="str">
            <v>09M-GENERATION PROJECT ENGINEERING</v>
          </cell>
        </row>
        <row r="1943">
          <cell r="A1943">
            <v>20211</v>
          </cell>
          <cell r="B1943" t="str">
            <v>SRC CONSTRUCT OFFICES IN AUDITORIUM</v>
          </cell>
          <cell r="C1943" t="str">
            <v>09M-GENERATION PROJECT ENGINEERING</v>
          </cell>
        </row>
        <row r="1944">
          <cell r="A1944">
            <v>20213</v>
          </cell>
          <cell r="B1944" t="str">
            <v>CFN - REPLACE 480V BUS 2E &amp; 2F</v>
          </cell>
          <cell r="C1944" t="str">
            <v>09M-GENERATION PROJECT ENGINEERING</v>
          </cell>
        </row>
        <row r="1945">
          <cell r="A1945">
            <v>20214</v>
          </cell>
          <cell r="B1945" t="str">
            <v>Tyson-Oil Spill Control</v>
          </cell>
          <cell r="C1945" t="str">
            <v>09E-ELECTRICAL ENGINEERING</v>
          </cell>
        </row>
        <row r="1946">
          <cell r="A1946">
            <v>20215</v>
          </cell>
          <cell r="B1946" t="str">
            <v>Tazewell-Oil Spill Control</v>
          </cell>
          <cell r="C1946" t="str">
            <v>09E-ELECTRICAL ENGINEERING</v>
          </cell>
        </row>
        <row r="1947">
          <cell r="A1947">
            <v>20216</v>
          </cell>
          <cell r="B1947" t="str">
            <v>Neoga South - Oil Spill Control</v>
          </cell>
          <cell r="C1947" t="str">
            <v>09E-ELECTRICAL ENGINEERING</v>
          </cell>
        </row>
        <row r="1948">
          <cell r="A1948">
            <v>20218</v>
          </cell>
          <cell r="B1948" t="str">
            <v>NWT U1 ISOPHASE BUS DUCT COOL</v>
          </cell>
          <cell r="C1948" t="str">
            <v>09M-GENERATION PROJECT ENGINEERING</v>
          </cell>
        </row>
        <row r="1949">
          <cell r="A1949">
            <v>20219</v>
          </cell>
          <cell r="B1949" t="str">
            <v>Labadie Fly Ash Rail Silo</v>
          </cell>
          <cell r="C1949" t="str">
            <v>087-FOSSIL FUELS</v>
          </cell>
        </row>
        <row r="1950">
          <cell r="A1950">
            <v>20223</v>
          </cell>
          <cell r="B1950" t="str">
            <v>KEOKUK 2 MVA EMERG DIESEL GENERATOR</v>
          </cell>
          <cell r="C1950" t="str">
            <v>09M-GENERATION PROJECT ENGINEERING</v>
          </cell>
        </row>
        <row r="1951">
          <cell r="A1951">
            <v>20234</v>
          </cell>
          <cell r="B1951" t="str">
            <v>GIB CITY U1&amp;2 PARTIAL DISCHARGE MON</v>
          </cell>
          <cell r="C1951" t="str">
            <v>09M-GENERATION PROJECT ENGINEERING</v>
          </cell>
        </row>
        <row r="1952">
          <cell r="A1952">
            <v>20235</v>
          </cell>
          <cell r="B1952" t="str">
            <v>MEREDOSIA 2 MVA EMERG DIESEL GEN</v>
          </cell>
          <cell r="C1952" t="str">
            <v>09M-GENERATION PROJECT ENGINEERING</v>
          </cell>
        </row>
        <row r="1953">
          <cell r="A1953">
            <v>20239</v>
          </cell>
          <cell r="B1953" t="str">
            <v>MOON BROTHERS LOFT NEW SERVICE</v>
          </cell>
          <cell r="C1953" t="str">
            <v>056-GERALDINE</v>
          </cell>
        </row>
        <row r="1954">
          <cell r="A1954">
            <v>20258</v>
          </cell>
          <cell r="B1954" t="str">
            <v>DUCK CREEK GENERATOR REWIND</v>
          </cell>
          <cell r="C1954" t="str">
            <v>09M-GENERATION PROJECT ENGINEERING</v>
          </cell>
        </row>
        <row r="1955">
          <cell r="A1955">
            <v>20264</v>
          </cell>
          <cell r="B1955" t="str">
            <v>BALLAS 145-56 REROUTE</v>
          </cell>
          <cell r="C1955" t="str">
            <v>027-DORSETT</v>
          </cell>
        </row>
        <row r="1956">
          <cell r="A1956">
            <v>20266</v>
          </cell>
          <cell r="B1956" t="str">
            <v>CITY OF LADUE WARSON ROAD WIDENING</v>
          </cell>
          <cell r="C1956" t="str">
            <v>027-DORSETT</v>
          </cell>
        </row>
        <row r="1957">
          <cell r="A1957">
            <v>20272</v>
          </cell>
          <cell r="B1957" t="str">
            <v>Herrin - Stotlar St OH Relocation</v>
          </cell>
          <cell r="C1957" t="str">
            <v>4MS-DIVISION VII SUPPORT STAFF</v>
          </cell>
        </row>
        <row r="1958">
          <cell r="A1958">
            <v>20274</v>
          </cell>
          <cell r="B1958" t="str">
            <v>Baldwin - Swyd. Upgrades - Phase 4</v>
          </cell>
          <cell r="C1958" t="str">
            <v>09E-ELECTRICAL ENGINEERING</v>
          </cell>
        </row>
        <row r="1959">
          <cell r="A1959">
            <v>20280</v>
          </cell>
          <cell r="B1959" t="str">
            <v>MURRAY ROAD-RANTOUL RELOCATION</v>
          </cell>
          <cell r="C1959" t="str">
            <v>2MS-DIVISION IV SUPPORT STAFF</v>
          </cell>
        </row>
        <row r="1960">
          <cell r="A1960">
            <v>20282</v>
          </cell>
          <cell r="B1960" t="str">
            <v>LABADIE UTILITY WASTE LANDFILL</v>
          </cell>
          <cell r="C1960" t="str">
            <v>09V-NEW GEN &amp; ENV PROJECTS</v>
          </cell>
        </row>
        <row r="1961">
          <cell r="A1961">
            <v>20283</v>
          </cell>
          <cell r="B1961" t="str">
            <v>MERAMEC UTILITY WASTE LANDFILL</v>
          </cell>
          <cell r="C1961" t="str">
            <v>09V-NEW GEN &amp; ENV PROJECTS</v>
          </cell>
        </row>
        <row r="1962">
          <cell r="A1962">
            <v>20284</v>
          </cell>
          <cell r="B1962" t="str">
            <v>RELOCATE 6 IN PIPE NE OF ABINGDON</v>
          </cell>
          <cell r="C1962" t="str">
            <v>0G5-GAS TECH SERVICES - IPC</v>
          </cell>
        </row>
        <row r="1963">
          <cell r="A1963">
            <v>20285</v>
          </cell>
          <cell r="B1963" t="str">
            <v>RUSH ISLAND UTILITY WASTE LANDFILL</v>
          </cell>
          <cell r="C1963" t="str">
            <v>09V-NEW GEN &amp; ENV PROJECTS</v>
          </cell>
        </row>
        <row r="1964">
          <cell r="A1964">
            <v>20286</v>
          </cell>
          <cell r="B1964" t="str">
            <v>NEWTON UTILITY WASTE LANDFILL</v>
          </cell>
          <cell r="C1964" t="str">
            <v>09V-NEW GEN &amp; ENV PROJECTS</v>
          </cell>
        </row>
        <row r="1965">
          <cell r="A1965">
            <v>20289</v>
          </cell>
          <cell r="B1965" t="str">
            <v>RELOCATE 16 IN DEPUE MAIN</v>
          </cell>
          <cell r="C1965" t="str">
            <v>0G5-GAS TECH SERVICES - IPC</v>
          </cell>
        </row>
        <row r="1966">
          <cell r="A1966">
            <v>20291</v>
          </cell>
          <cell r="B1966" t="str">
            <v>GLASFORD - INSTALL CHROMATOGRAPH</v>
          </cell>
          <cell r="C1966" t="str">
            <v>0G6-GAS STORAGE</v>
          </cell>
        </row>
        <row r="1967">
          <cell r="A1967">
            <v>20292</v>
          </cell>
          <cell r="B1967" t="str">
            <v>EDWARDS U1 OFA</v>
          </cell>
          <cell r="C1967" t="str">
            <v>09V-NEW GEN &amp; ENV PROJECTS</v>
          </cell>
        </row>
        <row r="1968">
          <cell r="A1968">
            <v>20298</v>
          </cell>
          <cell r="B1968" t="str">
            <v>REL GAS FAC. ON SPRING ST</v>
          </cell>
          <cell r="C1968" t="str">
            <v>92J-MARYVILLE</v>
          </cell>
        </row>
        <row r="1969">
          <cell r="A1969">
            <v>20313</v>
          </cell>
          <cell r="B1969" t="str">
            <v>MJMEUC 69 KV EXTENSION</v>
          </cell>
          <cell r="C1969" t="str">
            <v>4MX-LITTLE DIXIE SUPPORT STAFF</v>
          </cell>
        </row>
        <row r="1970">
          <cell r="A1970">
            <v>20314</v>
          </cell>
          <cell r="B1970" t="str">
            <v>Mariosa Delta-Security Improvements</v>
          </cell>
          <cell r="C1970" t="str">
            <v>09E-ELECTRICAL ENGINEERING</v>
          </cell>
        </row>
        <row r="1971">
          <cell r="A1971">
            <v>20319</v>
          </cell>
          <cell r="B1971" t="str">
            <v>GEN DAHS upgrades to StackVision</v>
          </cell>
          <cell r="C1971" t="str">
            <v>09M-GENERATION PROJECT ENGINEERING</v>
          </cell>
        </row>
        <row r="1972">
          <cell r="A1972">
            <v>20320</v>
          </cell>
          <cell r="B1972" t="str">
            <v>UEC DAHS upgrades to StackVision</v>
          </cell>
          <cell r="C1972" t="str">
            <v>09M-GENERATION PROJECT ENGINEERING</v>
          </cell>
        </row>
        <row r="1973">
          <cell r="A1973">
            <v>20326</v>
          </cell>
          <cell r="B1973" t="str">
            <v>CFN U2 ISOPHASE BUS DUCT COOL</v>
          </cell>
          <cell r="C1973" t="str">
            <v>09M-GENERATION PROJECT ENGINEERING</v>
          </cell>
        </row>
        <row r="1974">
          <cell r="A1974">
            <v>20352</v>
          </cell>
          <cell r="B1974" t="str">
            <v>Hutsonv.-Mered.Transmission Study</v>
          </cell>
          <cell r="C1974" t="str">
            <v>09E-ELECTRICAL ENGINEERING</v>
          </cell>
        </row>
        <row r="1975">
          <cell r="A1975">
            <v>20353</v>
          </cell>
          <cell r="B1975" t="str">
            <v>MODot HYW 50 RELOCATION</v>
          </cell>
          <cell r="C1975" t="str">
            <v>5JS-CAPITAL DIST SUPPORT</v>
          </cell>
        </row>
        <row r="1976">
          <cell r="A1976">
            <v>20357</v>
          </cell>
          <cell r="B1976" t="str">
            <v>SL - Piedmont Tower Site</v>
          </cell>
          <cell r="C1976" t="str">
            <v>061-REAL ESTATE</v>
          </cell>
        </row>
        <row r="1977">
          <cell r="A1977">
            <v>20360</v>
          </cell>
          <cell r="B1977" t="str">
            <v>Purchase Land at Discharge Manholes</v>
          </cell>
          <cell r="C1977" t="str">
            <v>8FB-NUCL - RAD PROTECTION - OPS</v>
          </cell>
        </row>
        <row r="1978">
          <cell r="A1978">
            <v>20385</v>
          </cell>
          <cell r="B1978" t="str">
            <v>KEOKUK PURCHASE CREST GATES IN 2006</v>
          </cell>
          <cell r="C1978" t="str">
            <v>09H-DAM SAFETY &amp; HYDRO ENGINEERING</v>
          </cell>
        </row>
        <row r="1979">
          <cell r="A1979">
            <v>20388</v>
          </cell>
          <cell r="B1979" t="str">
            <v>Loose Creek-Security Improvements</v>
          </cell>
          <cell r="C1979" t="str">
            <v>09E-ELECTRICAL ENGINEERING</v>
          </cell>
        </row>
        <row r="1980">
          <cell r="A1980">
            <v>20389</v>
          </cell>
          <cell r="B1980" t="str">
            <v>STUDY FOR ADDTIONAL GENERATION</v>
          </cell>
          <cell r="C1980" t="str">
            <v>8AA-NUCL - ENG PROJ - PROJECTS</v>
          </cell>
        </row>
        <row r="1981">
          <cell r="A1981">
            <v>20393</v>
          </cell>
          <cell r="B1981" t="str">
            <v>NEWTON BURGETT LAKE DAM</v>
          </cell>
          <cell r="C1981" t="str">
            <v>09H-DAM SAFETY &amp; HYDRO ENGINEERING</v>
          </cell>
        </row>
        <row r="1982">
          <cell r="A1982">
            <v>20399</v>
          </cell>
          <cell r="B1982" t="str">
            <v>RELOC  165 FT 2 IN MAIN RT 159 IDOT</v>
          </cell>
          <cell r="C1982" t="str">
            <v>0G5-GAS TECH SERVICES - IPC</v>
          </cell>
        </row>
        <row r="1983">
          <cell r="A1983">
            <v>20401</v>
          </cell>
          <cell r="B1983" t="str">
            <v>EDE U3 Replace Burners</v>
          </cell>
          <cell r="C1983" t="str">
            <v>09V-NEW GEN &amp; ENV PROJECTS</v>
          </cell>
        </row>
        <row r="1984">
          <cell r="A1984">
            <v>20416</v>
          </cell>
          <cell r="B1984" t="str">
            <v>G.O.B.-Security Improvements</v>
          </cell>
          <cell r="C1984" t="str">
            <v>09E-ELECTRICAL ENGINEERING</v>
          </cell>
        </row>
        <row r="1985">
          <cell r="A1985">
            <v>20419</v>
          </cell>
          <cell r="B1985" t="str">
            <v>Duck Crk-Tazew.-By-Pass UG With OH</v>
          </cell>
          <cell r="C1985" t="str">
            <v>09E-ELECTRICAL ENGINEERING</v>
          </cell>
        </row>
        <row r="1986">
          <cell r="A1986">
            <v>20421</v>
          </cell>
          <cell r="B1986" t="str">
            <v>FOUNTAIN PLACE ADDITION</v>
          </cell>
          <cell r="C1986" t="str">
            <v>92J-MARYVILLE</v>
          </cell>
        </row>
        <row r="1987">
          <cell r="A1987">
            <v>20459</v>
          </cell>
          <cell r="B1987" t="str">
            <v>NEWTON U2 LP TURBINE RETROFIT</v>
          </cell>
          <cell r="C1987" t="str">
            <v>09M-GENERATION PROJECT ENGINEERING</v>
          </cell>
        </row>
        <row r="1988">
          <cell r="A1988">
            <v>20468</v>
          </cell>
          <cell r="B1988" t="str">
            <v>Montgomery-Security Improvements</v>
          </cell>
          <cell r="C1988" t="str">
            <v>09E-ELECTRICAL ENGINEERING</v>
          </cell>
        </row>
        <row r="1989">
          <cell r="A1989">
            <v>20471</v>
          </cell>
          <cell r="B1989" t="str">
            <v>St. Francois-Security Improvements</v>
          </cell>
          <cell r="C1989" t="str">
            <v>09E-ELECTRICAL ENGINEERING</v>
          </cell>
        </row>
        <row r="1990">
          <cell r="A1990">
            <v>20483</v>
          </cell>
          <cell r="B1990" t="str">
            <v>ASHMORE REBOILER #1 REPLACEMENT</v>
          </cell>
          <cell r="C1990" t="str">
            <v>0G6-GAS STORAGE</v>
          </cell>
        </row>
        <row r="1991">
          <cell r="A1991">
            <v>20487</v>
          </cell>
          <cell r="B1991" t="str">
            <v>LINCOLN AFTERCOOLER #3</v>
          </cell>
          <cell r="C1991" t="str">
            <v>0G6-GAS STORAGE</v>
          </cell>
        </row>
        <row r="1992">
          <cell r="A1992">
            <v>20488</v>
          </cell>
          <cell r="B1992" t="str">
            <v>GLASFORD MOTOR CONTROL (MCC)</v>
          </cell>
          <cell r="C1992" t="str">
            <v>0G6-GAS STORAGE</v>
          </cell>
        </row>
        <row r="1993">
          <cell r="A1993">
            <v>20489</v>
          </cell>
          <cell r="B1993" t="str">
            <v>LINCOLN GATHERING LINE</v>
          </cell>
          <cell r="C1993" t="str">
            <v>0G6-GAS STORAGE</v>
          </cell>
        </row>
        <row r="1994">
          <cell r="A1994">
            <v>20490</v>
          </cell>
          <cell r="B1994" t="str">
            <v>HILLSBORO CHROMATOGRAPH</v>
          </cell>
          <cell r="C1994" t="str">
            <v>0G6-GAS STORAGE</v>
          </cell>
        </row>
        <row r="1995">
          <cell r="A1995">
            <v>20491</v>
          </cell>
          <cell r="B1995" t="str">
            <v>TILDEN CHROMATOGRAPH</v>
          </cell>
          <cell r="C1995" t="str">
            <v>0G6-GAS STORAGE</v>
          </cell>
        </row>
        <row r="1996">
          <cell r="A1996">
            <v>20498</v>
          </cell>
          <cell r="B1996" t="str">
            <v>SHANGHAI DISPOSAL SYSTEM</v>
          </cell>
          <cell r="C1996" t="str">
            <v>0G6-GAS STORAGE</v>
          </cell>
        </row>
        <row r="1997">
          <cell r="A1997">
            <v>20515</v>
          </cell>
          <cell r="B1997" t="str">
            <v>ASHMORE REBOILER #2</v>
          </cell>
          <cell r="C1997" t="str">
            <v>0G6-GAS STORAGE</v>
          </cell>
        </row>
        <row r="1998">
          <cell r="A1998">
            <v>20539</v>
          </cell>
          <cell r="B1998" t="str">
            <v>OLD HAWTHORNE MAIN EXT - COLUMBIA</v>
          </cell>
          <cell r="C1998" t="str">
            <v>4MX-LITTLE DIXIE SUPPORT STAFF</v>
          </cell>
        </row>
        <row r="1999">
          <cell r="A1999">
            <v>20575</v>
          </cell>
          <cell r="B1999" t="str">
            <v>HARRISBURG IL RT 13 IDOT RELOCATION</v>
          </cell>
          <cell r="C1999" t="str">
            <v>4MS-DIVISION VII SUPPORT STAFF</v>
          </cell>
        </row>
        <row r="2000">
          <cell r="A2000">
            <v>20580</v>
          </cell>
          <cell r="B2000" t="str">
            <v>NEWTON UNIT 1 EMULATOR</v>
          </cell>
          <cell r="C2000" t="str">
            <v>81D-GEN PERF MONITOR &amp; ASSESS</v>
          </cell>
        </row>
        <row r="2001">
          <cell r="A2001">
            <v>20582</v>
          </cell>
          <cell r="B2001" t="str">
            <v>PI VALVE AND BLOWDOWN MODIFICATION</v>
          </cell>
          <cell r="C2001" t="str">
            <v>0G4-GAS TECH SERVICES - CIL</v>
          </cell>
        </row>
        <row r="2002">
          <cell r="A2002">
            <v>20583</v>
          </cell>
          <cell r="B2002" t="str">
            <v>DUCK CREEK HEATING BOILER</v>
          </cell>
          <cell r="C2002" t="str">
            <v>09M-GENERATION PROJECT ENGINEERING</v>
          </cell>
        </row>
        <row r="2003">
          <cell r="A2003">
            <v>20585</v>
          </cell>
          <cell r="B2003" t="str">
            <v>PI MAIN REPAIR AND REPLACEMENT- IP</v>
          </cell>
          <cell r="C2003" t="str">
            <v>0G5-GAS TECH SERVICES - IPC</v>
          </cell>
        </row>
        <row r="2004">
          <cell r="A2004">
            <v>20590</v>
          </cell>
          <cell r="B2004" t="str">
            <v>PI MAIN REPAIR AND REPLACEMENT- CIL</v>
          </cell>
          <cell r="C2004" t="str">
            <v>0G4-GAS TECH SERVICES - CIL</v>
          </cell>
        </row>
        <row r="2005">
          <cell r="A2005">
            <v>20628</v>
          </cell>
          <cell r="B2005" t="str">
            <v>UG ELEC SIU-E EVERGREEN HALL</v>
          </cell>
          <cell r="C2005" t="str">
            <v>92J-MARYVILLE</v>
          </cell>
        </row>
        <row r="2006">
          <cell r="A2006">
            <v>20660</v>
          </cell>
          <cell r="B2006" t="str">
            <v>2007 ETHANOL PLNT SYS MODIFICATION</v>
          </cell>
          <cell r="C2006" t="str">
            <v>0G4-GAS TECH SERVICES - CIL</v>
          </cell>
        </row>
        <row r="2007">
          <cell r="A2007">
            <v>20672</v>
          </cell>
          <cell r="B2007" t="str">
            <v>2007 ETHANOL PLANT MODIFICATIONS</v>
          </cell>
          <cell r="C2007" t="str">
            <v>0G1-GAS TECH SERVICES - CIP</v>
          </cell>
        </row>
        <row r="2008">
          <cell r="A2008">
            <v>20699</v>
          </cell>
          <cell r="B2008" t="str">
            <v>2007 ETHANOL PLANTS</v>
          </cell>
          <cell r="C2008" t="str">
            <v>0G5-GAS TECH SERVICES - IPC</v>
          </cell>
        </row>
        <row r="2009">
          <cell r="A2009">
            <v>20701</v>
          </cell>
          <cell r="B2009" t="str">
            <v>INSTALL 4 IN MAIN BRISTOL VILLAGE</v>
          </cell>
          <cell r="C2009" t="str">
            <v>0G5-GAS TECH SERVICES - IPC</v>
          </cell>
        </row>
        <row r="2010">
          <cell r="A2010">
            <v>20702</v>
          </cell>
          <cell r="B2010" t="str">
            <v>INSTALL 8 IN STEEL FRUIT ROAD</v>
          </cell>
          <cell r="C2010" t="str">
            <v>0G5-GAS TECH SERVICES - IPC</v>
          </cell>
        </row>
        <row r="2011">
          <cell r="A2011">
            <v>20703</v>
          </cell>
          <cell r="B2011" t="str">
            <v>INST 4 IN MAIN CARLYLE &amp; BARTELSO</v>
          </cell>
          <cell r="C2011" t="str">
            <v>0G5-GAS TECH SERVICES - IPC</v>
          </cell>
        </row>
        <row r="2012">
          <cell r="A2012">
            <v>20704</v>
          </cell>
          <cell r="B2012" t="str">
            <v>INST 4 IN MAIN STONE CREEK ESTS</v>
          </cell>
          <cell r="C2012" t="str">
            <v>0G5-GAS TECH SERVICES - IPC</v>
          </cell>
        </row>
        <row r="2013">
          <cell r="A2013">
            <v>20705</v>
          </cell>
          <cell r="B2013" t="str">
            <v>INST REG STATION AT TROY</v>
          </cell>
          <cell r="C2013" t="str">
            <v>0G5-GAS TECH SERVICES - IPC</v>
          </cell>
        </row>
        <row r="2014">
          <cell r="A2014">
            <v>20706</v>
          </cell>
          <cell r="B2014" t="str">
            <v>HENNEPIN ETHANOL PLANT</v>
          </cell>
          <cell r="C2014" t="str">
            <v>0G5-GAS TECH SERVICES - IPC</v>
          </cell>
        </row>
        <row r="2015">
          <cell r="A2015">
            <v>20707</v>
          </cell>
          <cell r="B2015" t="str">
            <v>REBUILD REG STAT CH-038</v>
          </cell>
          <cell r="C2015" t="str">
            <v>0G5-GAS TECH SERVICES - IPC</v>
          </cell>
        </row>
        <row r="2016">
          <cell r="A2016">
            <v>20769</v>
          </cell>
          <cell r="B2016" t="str">
            <v>Casino Queen- 34-4kV, 7MVA Cust.Sub</v>
          </cell>
          <cell r="C2016" t="str">
            <v>09E-ELECTRICAL ENGINEERING</v>
          </cell>
        </row>
        <row r="2017">
          <cell r="A2017">
            <v>20775</v>
          </cell>
          <cell r="B2017" t="str">
            <v>Lafarge-Joppa 161kV Supply Line</v>
          </cell>
          <cell r="C2017" t="str">
            <v>09E-ELECTRICAL ENGINEERING</v>
          </cell>
        </row>
        <row r="2018">
          <cell r="A2018">
            <v>20796</v>
          </cell>
          <cell r="B2018" t="str">
            <v>Hennepin Ethanol Plant</v>
          </cell>
          <cell r="C2018" t="str">
            <v>669-DIVISION I SUPPORT STAFF</v>
          </cell>
        </row>
        <row r="2019">
          <cell r="A2019">
            <v>20808</v>
          </cell>
          <cell r="B2019" t="str">
            <v>Granville Sub Cir 172 Rebuild</v>
          </cell>
          <cell r="C2019" t="str">
            <v>669-DIVISION I SUPPORT STAFF</v>
          </cell>
        </row>
        <row r="2020">
          <cell r="A2020">
            <v>20848</v>
          </cell>
          <cell r="B2020" t="str">
            <v>Williamsfield Xfmr Replacement</v>
          </cell>
          <cell r="C2020" t="str">
            <v>09E-ELECTRICAL ENGINEERING</v>
          </cell>
        </row>
        <row r="2021">
          <cell r="A2021">
            <v>20854</v>
          </cell>
          <cell r="B2021" t="str">
            <v>MEREDOSIA U3  FABRIC FILTER</v>
          </cell>
          <cell r="C2021" t="str">
            <v>09V-NEW GEN &amp; ENV PROJECTS</v>
          </cell>
        </row>
        <row r="2022">
          <cell r="A2022">
            <v>20881</v>
          </cell>
          <cell r="B2022" t="str">
            <v>UG ELEC, PRAIRIE TRAILS ESTATES</v>
          </cell>
          <cell r="C2022" t="str">
            <v>92J-MARYVILLE</v>
          </cell>
        </row>
        <row r="2023">
          <cell r="A2023">
            <v>20898</v>
          </cell>
          <cell r="B2023" t="str">
            <v>ANDERSON ETHANOL EASEMENT OPTIONS</v>
          </cell>
          <cell r="C2023" t="str">
            <v>0G5-GAS TECH SERVICES - IPC</v>
          </cell>
        </row>
        <row r="2024">
          <cell r="A2024">
            <v>20899</v>
          </cell>
          <cell r="B2024" t="str">
            <v>Saddle Creek-10mi Ckt 138-34kV</v>
          </cell>
          <cell r="C2024" t="str">
            <v>09E-ELECTRICAL ENGINEERING</v>
          </cell>
        </row>
        <row r="2025">
          <cell r="A2025">
            <v>20905</v>
          </cell>
          <cell r="B2025" t="str">
            <v>OFALLON OBERNEFEMANN RD WIDENING</v>
          </cell>
          <cell r="C2025" t="str">
            <v>93B-BELLEVILLE</v>
          </cell>
        </row>
        <row r="2026">
          <cell r="A2026">
            <v>20906</v>
          </cell>
          <cell r="B2026" t="str">
            <v>Lutesville V5 Breaker Replacement</v>
          </cell>
          <cell r="C2026" t="str">
            <v>09E-ELECTRICAL ENGINEERING</v>
          </cell>
        </row>
        <row r="2027">
          <cell r="A2027">
            <v>20915</v>
          </cell>
          <cell r="B2027" t="str">
            <v>Berkeley-Repl 138kV BusTie 1-4, Rly</v>
          </cell>
          <cell r="C2027" t="str">
            <v>09E-ELECTRICAL ENGINEERING</v>
          </cell>
        </row>
        <row r="2028">
          <cell r="A2028">
            <v>20916</v>
          </cell>
          <cell r="B2028" t="str">
            <v>Berkeley-Repl Page-Berk-1 OCB, Rly</v>
          </cell>
          <cell r="C2028" t="str">
            <v>09E-ELECTRICAL ENGINEERING</v>
          </cell>
        </row>
        <row r="2029">
          <cell r="A2029">
            <v>20931</v>
          </cell>
          <cell r="B2029" t="str">
            <v>FOUNTAIN PLACE 3RD PHASE</v>
          </cell>
          <cell r="C2029" t="str">
            <v>92J-MARYVILLE</v>
          </cell>
        </row>
        <row r="2030">
          <cell r="A2030">
            <v>20933</v>
          </cell>
          <cell r="B2030" t="str">
            <v>Prairie Dell 138kV-Critical ROW Pch</v>
          </cell>
          <cell r="C2030" t="str">
            <v>09E-ELECTRICAL ENGINEERING</v>
          </cell>
        </row>
        <row r="2031">
          <cell r="A2031">
            <v>20935</v>
          </cell>
          <cell r="B2031" t="str">
            <v>St. Clare Cust. Sub-34-4kV-2-7MVA</v>
          </cell>
          <cell r="C2031" t="str">
            <v>09E-ELECTRICAL ENGINEERING</v>
          </cell>
        </row>
        <row r="2032">
          <cell r="A2032">
            <v>20937</v>
          </cell>
          <cell r="B2032" t="str">
            <v>TRANS PIPELINE RT 10 TO ANDERSONS</v>
          </cell>
          <cell r="C2032" t="str">
            <v>0G5-GAS TECH SERVICES - IPC</v>
          </cell>
        </row>
        <row r="2033">
          <cell r="A2033">
            <v>20939</v>
          </cell>
          <cell r="B2033" t="str">
            <v>Tilton F Street-69kV Brkr Ln Term</v>
          </cell>
          <cell r="C2033" t="str">
            <v>09E-ELECTRICAL ENGINEERING</v>
          </cell>
        </row>
        <row r="2034">
          <cell r="A2034">
            <v>20944</v>
          </cell>
          <cell r="B2034" t="str">
            <v>Rush Island -Replace ATB Pos V7</v>
          </cell>
          <cell r="C2034" t="str">
            <v>09E-ELECTRICAL ENGINEERING</v>
          </cell>
        </row>
        <row r="2035">
          <cell r="A2035">
            <v>20946</v>
          </cell>
          <cell r="B2035" t="str">
            <v xml:space="preserve">Coffeen-Upgr. 345kV Pana Terminal </v>
          </cell>
          <cell r="C2035" t="str">
            <v>09E-ELECTRICAL ENGINEERING</v>
          </cell>
        </row>
        <row r="2036">
          <cell r="A2036">
            <v>20950</v>
          </cell>
          <cell r="B2036" t="str">
            <v>Sioux-Repl Relays Sx-MASN-7 -TAM07</v>
          </cell>
          <cell r="C2036" t="str">
            <v>09E-ELECTRICAL ENGINEERING</v>
          </cell>
        </row>
        <row r="2037">
          <cell r="A2037">
            <v>20958</v>
          </cell>
          <cell r="B2037" t="str">
            <v>Mobile S Substation, 34-12kV, 14MVA</v>
          </cell>
          <cell r="C2037" t="str">
            <v>09E-ELECTRICAL ENGINEERING</v>
          </cell>
        </row>
        <row r="2038">
          <cell r="A2038">
            <v>20961</v>
          </cell>
          <cell r="B2038" t="str">
            <v>Farmington Sub New RTU (SCADA)</v>
          </cell>
          <cell r="C2038" t="str">
            <v>09E-ELECTRICAL ENGINEERING</v>
          </cell>
        </row>
        <row r="2039">
          <cell r="A2039">
            <v>20963</v>
          </cell>
          <cell r="B2039" t="str">
            <v>Aldine Switchgear W Replace</v>
          </cell>
          <cell r="C2039" t="str">
            <v>09E-ELECTRICAL ENGINEERING</v>
          </cell>
        </row>
        <row r="2040">
          <cell r="A2040">
            <v>20967</v>
          </cell>
          <cell r="B2040" t="str">
            <v>Fairgrounds Sub (SCADA)</v>
          </cell>
          <cell r="C2040" t="str">
            <v>09E-ELECTRICAL ENGINEERING</v>
          </cell>
        </row>
        <row r="2041">
          <cell r="A2041">
            <v>20971</v>
          </cell>
          <cell r="B2041" t="str">
            <v>OFallon 7 Hills - Install Cap Bank</v>
          </cell>
          <cell r="C2041" t="str">
            <v>09E-ELECTRICAL ENGINEERING</v>
          </cell>
        </row>
        <row r="2042">
          <cell r="A2042">
            <v>20980</v>
          </cell>
          <cell r="B2042" t="str">
            <v>L1342-Tap to New Monsanto-REIMB</v>
          </cell>
          <cell r="C2042" t="str">
            <v>09E-ELECTRICAL ENGINEERING</v>
          </cell>
        </row>
        <row r="2043">
          <cell r="A2043">
            <v>20989</v>
          </cell>
          <cell r="B2043" t="str">
            <v>Illiopolis Monsanto-New 138-12kVsub</v>
          </cell>
          <cell r="C2043" t="str">
            <v>09E-ELECTRICAL ENGINEERING</v>
          </cell>
        </row>
        <row r="2044">
          <cell r="A2044">
            <v>20990</v>
          </cell>
          <cell r="B2044" t="str">
            <v>MERCURY CEMS TEST INSTALLATION-UEC</v>
          </cell>
          <cell r="C2044" t="str">
            <v>09V-NEW GEN &amp; ENV PROJECTS</v>
          </cell>
        </row>
        <row r="2045">
          <cell r="A2045">
            <v>20991</v>
          </cell>
          <cell r="B2045" t="str">
            <v>MERCURY CEMS TEST INSTALLATION-GEN</v>
          </cell>
          <cell r="C2045" t="str">
            <v>09V-NEW GEN &amp; ENV PROJECTS</v>
          </cell>
        </row>
        <row r="2046">
          <cell r="A2046">
            <v>20992</v>
          </cell>
          <cell r="B2046" t="str">
            <v>MERCURY CEMS TEST INSTALLATION-ARG</v>
          </cell>
          <cell r="C2046" t="str">
            <v>09V-NEW GEN &amp; ENV PROJECTS</v>
          </cell>
        </row>
        <row r="2047">
          <cell r="A2047">
            <v>20994</v>
          </cell>
          <cell r="B2047" t="str">
            <v>LIVINGSTON CO HWY 3&amp;9 12KV RELO</v>
          </cell>
          <cell r="C2047" t="str">
            <v>2MS-DIVISION IV SUPPORT STAFF</v>
          </cell>
        </row>
        <row r="2048">
          <cell r="A2048">
            <v>20995</v>
          </cell>
          <cell r="B2048" t="str">
            <v>Conoco Sub 138kV Supply - REIMB</v>
          </cell>
          <cell r="C2048" t="str">
            <v>09E-ELECTRICAL ENGINEERING</v>
          </cell>
        </row>
        <row r="2049">
          <cell r="A2049">
            <v>21000</v>
          </cell>
          <cell r="B2049" t="str">
            <v>LOU JUAN HILLS STATION EH-039</v>
          </cell>
          <cell r="C2049" t="str">
            <v>0G5-GAS TECH SERVICES - IPC</v>
          </cell>
        </row>
        <row r="2050">
          <cell r="A2050">
            <v>21001</v>
          </cell>
          <cell r="B2050" t="str">
            <v>SL - Montgomery City Storage</v>
          </cell>
          <cell r="C2050" t="str">
            <v>061-REAL ESTATE</v>
          </cell>
        </row>
        <row r="2051">
          <cell r="A2051">
            <v>21007</v>
          </cell>
          <cell r="B2051" t="str">
            <v>DE-REG CTG PLANTS - SWGR UPGRADES</v>
          </cell>
          <cell r="C2051" t="str">
            <v>09M-GENERATION PROJECT ENGINEERING</v>
          </cell>
        </row>
        <row r="2052">
          <cell r="A2052">
            <v>21030</v>
          </cell>
          <cell r="B2052" t="str">
            <v>Page - Repl. 2-34kV Brkrs, 6-2007</v>
          </cell>
          <cell r="C2052" t="str">
            <v>09E-ELECTRICAL ENGINEERING</v>
          </cell>
        </row>
        <row r="2053">
          <cell r="A2053">
            <v>21031</v>
          </cell>
          <cell r="B2053" t="str">
            <v>Page - Repl. 2-34kV Brkrs, 12-2007</v>
          </cell>
          <cell r="C2053" t="str">
            <v>09E-ELECTRICAL ENGINEERING</v>
          </cell>
        </row>
        <row r="2054">
          <cell r="A2054">
            <v>21032</v>
          </cell>
          <cell r="B2054" t="str">
            <v>Watson-Repl. 3-34kV Brkrs, 6-2007</v>
          </cell>
          <cell r="C2054" t="str">
            <v>09E-ELECTRICAL ENGINEERING</v>
          </cell>
        </row>
        <row r="2055">
          <cell r="A2055">
            <v>21033</v>
          </cell>
          <cell r="B2055" t="str">
            <v>Watson-Repl. 2-34kV Brkrs, 12-2007</v>
          </cell>
          <cell r="C2055" t="str">
            <v>09E-ELECTRICAL ENGINEERING</v>
          </cell>
        </row>
        <row r="2056">
          <cell r="A2056">
            <v>21034</v>
          </cell>
          <cell r="B2056" t="str">
            <v>Pana N-Upgr. 345kV Coffeen Terminal</v>
          </cell>
          <cell r="C2056" t="str">
            <v>09E-ELECTRICAL ENGINEERING</v>
          </cell>
        </row>
        <row r="2057">
          <cell r="A2057">
            <v>21036</v>
          </cell>
          <cell r="B2057" t="str">
            <v>Edwards DAHS upgrade to StackVision</v>
          </cell>
          <cell r="C2057" t="str">
            <v>09M-GENERATION PROJECT ENGINEERING</v>
          </cell>
        </row>
        <row r="2058">
          <cell r="A2058">
            <v>21037</v>
          </cell>
          <cell r="B2058" t="str">
            <v>Danville Renovations</v>
          </cell>
          <cell r="C2058" t="str">
            <v>90L-BUILDING SERVICES-IPC</v>
          </cell>
        </row>
        <row r="2059">
          <cell r="A2059">
            <v>21039</v>
          </cell>
          <cell r="B2059" t="str">
            <v>Elec relocate of Frank Scott Pkwy</v>
          </cell>
          <cell r="C2059" t="str">
            <v>93B-BELLEVILLE</v>
          </cell>
        </row>
        <row r="2060">
          <cell r="A2060">
            <v>21040</v>
          </cell>
          <cell r="B2060" t="str">
            <v>UG ELEC, HUNTERS RIDGE, 1RST ADD</v>
          </cell>
          <cell r="C2060" t="str">
            <v>91L-CHAMPAIGN/URBANA GAS OPS</v>
          </cell>
        </row>
        <row r="2061">
          <cell r="A2061">
            <v>21041</v>
          </cell>
          <cell r="B2061" t="str">
            <v>RELOCATE L3484 FOR TOWN OF NORMAL</v>
          </cell>
          <cell r="C2061" t="str">
            <v>92E-BLOOMINGTON/NORMAL ELEC OPS</v>
          </cell>
        </row>
        <row r="2062">
          <cell r="A2062">
            <v>21045</v>
          </cell>
          <cell r="B2062" t="str">
            <v>CONOCO 34KV RELIABILITY &amp; MAINT</v>
          </cell>
          <cell r="C2062" t="str">
            <v>014-ALTON DISTRICT</v>
          </cell>
        </row>
        <row r="2063">
          <cell r="A2063">
            <v>21046</v>
          </cell>
          <cell r="B2063" t="str">
            <v>Patoka Chicap-Modify Bus Cst Connec</v>
          </cell>
          <cell r="C2063" t="str">
            <v>09E-ELECTRICAL ENGINEERING</v>
          </cell>
        </row>
        <row r="2064">
          <cell r="A2064">
            <v>21047</v>
          </cell>
          <cell r="B2064" t="str">
            <v>RELOCATE ELEC FAC, NORMAL</v>
          </cell>
          <cell r="C2064" t="str">
            <v>92E-BLOOMINGTON/NORMAL ELEC OPS</v>
          </cell>
        </row>
        <row r="2065">
          <cell r="A2065">
            <v>21058</v>
          </cell>
          <cell r="B2065" t="str">
            <v>Mueller Plt #4 Add 5th Xfmr-REIMB</v>
          </cell>
          <cell r="C2065" t="str">
            <v>09E-ELECTRICAL ENGINEERING</v>
          </cell>
        </row>
        <row r="2066">
          <cell r="A2066">
            <v>21060</v>
          </cell>
          <cell r="B2066" t="str">
            <v xml:space="preserve">ELEC EXT FOR BELLEVILLE CROSSINGS_x000D_
</v>
          </cell>
          <cell r="C2066" t="str">
            <v>93B-BELLEVILLE</v>
          </cell>
        </row>
        <row r="2067">
          <cell r="A2067">
            <v>21061</v>
          </cell>
          <cell r="B2067" t="str">
            <v xml:space="preserve"> TAUM SAUK PENSTOCK LINER</v>
          </cell>
          <cell r="C2067" t="str">
            <v>09H-DAM SAFETY &amp; HYDRO ENGINEERING</v>
          </cell>
        </row>
        <row r="2068">
          <cell r="A2068">
            <v>21068</v>
          </cell>
          <cell r="B2068" t="str">
            <v>MODOT J6U0808 CLAYTON RD STAGE 2</v>
          </cell>
          <cell r="C2068" t="str">
            <v>053-ELLISVILLE DISTRICT</v>
          </cell>
        </row>
        <row r="2069">
          <cell r="A2069">
            <v>21069</v>
          </cell>
          <cell r="B2069" t="str">
            <v>ASHTON WOODS SUBDIVISION RELOCATION</v>
          </cell>
          <cell r="C2069" t="str">
            <v>053-ELLISVILLE DISTRICT</v>
          </cell>
        </row>
        <row r="2070">
          <cell r="A2070">
            <v>21086</v>
          </cell>
          <cell r="B2070" t="str">
            <v>L1512 - Relocate for Marquis Energy</v>
          </cell>
          <cell r="C2070" t="str">
            <v>91H-TRANSMISSION - IPC</v>
          </cell>
        </row>
        <row r="2071">
          <cell r="A2071">
            <v>21114</v>
          </cell>
          <cell r="B2071" t="str">
            <v>Y-230 AVENTINE DRY MASH ETHANOL PLT</v>
          </cell>
          <cell r="C2071" t="str">
            <v>0G4-GAS TECH SERVICES - CIL</v>
          </cell>
        </row>
        <row r="2072">
          <cell r="A2072">
            <v>21118</v>
          </cell>
          <cell r="B2072" t="str">
            <v>COFFEEN COOLING SYSTEM UPGRADES</v>
          </cell>
          <cell r="C2072" t="str">
            <v>09M-GENERATION PROJECT ENGINEERING</v>
          </cell>
        </row>
        <row r="2073">
          <cell r="A2073">
            <v>21127</v>
          </cell>
          <cell r="B2073" t="str">
            <v>COFFEEN INTAKE STRUCTURE RESTORATIO</v>
          </cell>
          <cell r="C2073" t="str">
            <v>09H-DAM SAFETY &amp; HYDRO ENGINEERING</v>
          </cell>
        </row>
        <row r="2074">
          <cell r="A2074">
            <v>21128</v>
          </cell>
          <cell r="B2074" t="str">
            <v>WALMART ON SEMINARY ST</v>
          </cell>
          <cell r="C2074" t="str">
            <v>91V-GALESBURG</v>
          </cell>
        </row>
        <row r="2075">
          <cell r="A2075">
            <v>21129</v>
          </cell>
          <cell r="B2075" t="str">
            <v>EDWARDS - BLACK START</v>
          </cell>
          <cell r="C2075" t="str">
            <v>09M-GENERATION PROJECT ENGINEERING</v>
          </cell>
        </row>
        <row r="2076">
          <cell r="A2076">
            <v>21212</v>
          </cell>
          <cell r="B2076" t="str">
            <v>L3428-NORMAL HOTEL/CONFERENCE CENTE</v>
          </cell>
          <cell r="C2076" t="str">
            <v>667-DIVISION III SUPPORT STAFF</v>
          </cell>
        </row>
        <row r="2077">
          <cell r="A2077">
            <v>21216</v>
          </cell>
          <cell r="B2077" t="str">
            <v>IDOT - RT 67 OVER CARTER CREEK</v>
          </cell>
          <cell r="C2077" t="str">
            <v>8MS-DIVISION II SUPPORT STAFF</v>
          </cell>
        </row>
        <row r="2078">
          <cell r="A2078">
            <v>21229</v>
          </cell>
          <cell r="B2078" t="str">
            <v xml:space="preserve">MILBURN SCHOOL RD 6"PL MAIN _x000D_
</v>
          </cell>
          <cell r="C2078" t="str">
            <v>92J-MARYVILLE</v>
          </cell>
        </row>
        <row r="2079">
          <cell r="A2079">
            <v>21236</v>
          </cell>
          <cell r="B2079" t="str">
            <v>MORGAN-71 34.5 KV REMOVAL</v>
          </cell>
          <cell r="C2079" t="str">
            <v>4MX-LITTLE DIXIE SUPPORT STAFF</v>
          </cell>
        </row>
        <row r="2080">
          <cell r="A2080">
            <v>21238</v>
          </cell>
          <cell r="B2080" t="str">
            <v>Replace Plant Discharge Line</v>
          </cell>
          <cell r="C2080" t="str">
            <v>8AA-NUCL - ENG PROJ - PROJECTS</v>
          </cell>
        </row>
        <row r="2081">
          <cell r="A2081">
            <v>21239</v>
          </cell>
          <cell r="B2081" t="str">
            <v>Olympian Dr.  8 in Main Ext G32271</v>
          </cell>
          <cell r="C2081" t="str">
            <v>0G5-GAS TECH SERVICES - IPC</v>
          </cell>
        </row>
        <row r="2082">
          <cell r="A2082">
            <v>21244</v>
          </cell>
          <cell r="B2082" t="str">
            <v>North Peoria Lift Station</v>
          </cell>
          <cell r="C2082" t="str">
            <v>617-NORTHERN ELECTRIC</v>
          </cell>
        </row>
        <row r="2083">
          <cell r="A2083">
            <v>21248</v>
          </cell>
          <cell r="B2083" t="str">
            <v>N.Decatur - Relay Panel, Wave Trap</v>
          </cell>
          <cell r="C2083" t="str">
            <v>09E-ELECTRICAL ENGINEERING</v>
          </cell>
        </row>
        <row r="2084">
          <cell r="A2084">
            <v>21258</v>
          </cell>
          <cell r="B2084" t="str">
            <v>U2 CRIBHOUSE EQUIPMENT REPLACEMENT</v>
          </cell>
          <cell r="C2084" t="str">
            <v>09M-GENERATION PROJECT ENGINEERING</v>
          </cell>
        </row>
        <row r="2085">
          <cell r="A2085">
            <v>21262</v>
          </cell>
          <cell r="B2085" t="str">
            <v>WPC 2005, CKT 843, REBUILD</v>
          </cell>
          <cell r="C2085" t="str">
            <v>92T-HILLSBORO</v>
          </cell>
        </row>
        <row r="2086">
          <cell r="A2086">
            <v>21263</v>
          </cell>
          <cell r="B2086" t="str">
            <v xml:space="preserve">BLOOMINGTON, FOX CR RD RELOCATE_x000D_
</v>
          </cell>
          <cell r="C2086" t="str">
            <v>92E-BLOOMINGTON/NORMAL ELEC OPS</v>
          </cell>
        </row>
        <row r="2087">
          <cell r="A2087">
            <v>21265</v>
          </cell>
          <cell r="B2087" t="str">
            <v>RUSH ISLAND - U1 345KV GEN BKR V4</v>
          </cell>
          <cell r="C2087" t="str">
            <v>09M-GENERATION PROJECT ENGINEERING</v>
          </cell>
        </row>
        <row r="2088">
          <cell r="A2088">
            <v>21266</v>
          </cell>
          <cell r="B2088" t="str">
            <v xml:space="preserve">THF REALTY - Wal-mart and Lowes_x000D_
</v>
          </cell>
          <cell r="C2088" t="str">
            <v>93B-BELLEVILLE</v>
          </cell>
        </row>
        <row r="2089">
          <cell r="A2089">
            <v>21268</v>
          </cell>
          <cell r="B2089" t="str">
            <v>DUCK CREEK CONSTRUCTION ACTIVITIES</v>
          </cell>
          <cell r="C2089" t="str">
            <v>09M-GENERATION PROJECT ENGINEERING</v>
          </cell>
        </row>
        <row r="2090">
          <cell r="A2090">
            <v>21269</v>
          </cell>
          <cell r="B2090" t="str">
            <v>ESIC DR,GOVENORS PKWY,EDWARDSVILLE</v>
          </cell>
          <cell r="C2090" t="str">
            <v>92J-MARYVILLE</v>
          </cell>
        </row>
        <row r="2091">
          <cell r="A2091">
            <v>21270</v>
          </cell>
          <cell r="B2091" t="str">
            <v>SADDLE CREEK</v>
          </cell>
          <cell r="C2091" t="str">
            <v>070-JEFFERSON</v>
          </cell>
        </row>
        <row r="2092">
          <cell r="A2092">
            <v>21271</v>
          </cell>
          <cell r="B2092" t="str">
            <v>SIX FLAGS CABLE REPLACEMENT</v>
          </cell>
          <cell r="C2092" t="str">
            <v>053-ELLISVILLE DISTRICT</v>
          </cell>
        </row>
        <row r="2093">
          <cell r="A2093">
            <v>21272</v>
          </cell>
          <cell r="B2093" t="str">
            <v>EASTLAKE MANAGEMENT &amp; DEVELOPMENT C</v>
          </cell>
          <cell r="C2093" t="str">
            <v>92Q-DECATUR</v>
          </cell>
        </row>
        <row r="2094">
          <cell r="A2094">
            <v>21273</v>
          </cell>
          <cell r="B2094" t="str">
            <v>Page Frequency Change Building Demo</v>
          </cell>
          <cell r="C2094" t="str">
            <v>49B-ESH - WASTE</v>
          </cell>
        </row>
        <row r="2095">
          <cell r="A2095">
            <v>21277</v>
          </cell>
          <cell r="B2095" t="str">
            <v>CNV-ACQUIR LAND ADJ TO WOODRVR SUB</v>
          </cell>
          <cell r="C2095" t="str">
            <v>92B-SUB MTCE &amp; CONST-IL SOUTH</v>
          </cell>
        </row>
        <row r="2096">
          <cell r="A2096">
            <v>21281</v>
          </cell>
          <cell r="B2096" t="str">
            <v>HANCOCK COUNTY - RT 336 RELOCATION</v>
          </cell>
          <cell r="C2096" t="str">
            <v>8MS-DIVISION II SUPPORT STAFF</v>
          </cell>
        </row>
        <row r="2097">
          <cell r="A2097">
            <v>21282</v>
          </cell>
          <cell r="B2097" t="str">
            <v>BELLEVILLE CROSSING LIGHTS</v>
          </cell>
          <cell r="C2097" t="str">
            <v>91U-DIVISION VI SUPPORT STAFF</v>
          </cell>
        </row>
        <row r="2098">
          <cell r="A2098">
            <v>21283</v>
          </cell>
          <cell r="B2098" t="str">
            <v>SAFB, PATRIOTS LANDING, GAS MAIN</v>
          </cell>
          <cell r="C2098" t="str">
            <v>91U-DIVISION VI SUPPORT STAFF</v>
          </cell>
        </row>
        <row r="2099">
          <cell r="A2099">
            <v>21284</v>
          </cell>
          <cell r="B2099" t="str">
            <v xml:space="preserve">PARCS AT ARBOR GREEN SUBDIVISION_x000D_
</v>
          </cell>
          <cell r="C2099" t="str">
            <v>91U-DIVISION VI SUPPORT STAFF</v>
          </cell>
        </row>
        <row r="2100">
          <cell r="A2100">
            <v>21286</v>
          </cell>
          <cell r="B2100" t="str">
            <v>COFFEEN COAL BLENDING OPTION DEVL</v>
          </cell>
          <cell r="C2100" t="str">
            <v>09M-GENERATION PROJECT ENGINEERING</v>
          </cell>
        </row>
        <row r="2101">
          <cell r="A2101">
            <v>21288</v>
          </cell>
          <cell r="B2101" t="str">
            <v>REBUILD STATION #129 - MASCOUTAH</v>
          </cell>
          <cell r="C2101" t="str">
            <v>0G5-GAS TECH SERVICES - IPC</v>
          </cell>
        </row>
        <row r="2102">
          <cell r="A2102">
            <v>21289</v>
          </cell>
          <cell r="B2102" t="str">
            <v>ADM BIODIESEL PLANT MAIN EXTENSION</v>
          </cell>
          <cell r="C2102" t="str">
            <v>4MX-LITTLE DIXIE SUPPORT STAFF</v>
          </cell>
        </row>
        <row r="2103">
          <cell r="A2103">
            <v>21290</v>
          </cell>
          <cell r="B2103" t="str">
            <v>SL - St. Francois Winch Property</v>
          </cell>
          <cell r="C2103" t="str">
            <v>061-REAL ESTATE</v>
          </cell>
        </row>
        <row r="2104">
          <cell r="A2104">
            <v>21291</v>
          </cell>
          <cell r="B2104" t="str">
            <v>NORTHPOINTE SUB NBO MAIN EXT</v>
          </cell>
          <cell r="C2104" t="str">
            <v>608-SPFLD GAS CONSTRUCTION</v>
          </cell>
        </row>
        <row r="2105">
          <cell r="A2105">
            <v>21293</v>
          </cell>
          <cell r="B2105" t="str">
            <v>Rivermines -Spare Xfmr Fdn-SECURITY</v>
          </cell>
          <cell r="C2105" t="str">
            <v>09E-ELECTRICAL ENGINEERING</v>
          </cell>
        </row>
        <row r="2106">
          <cell r="A2106">
            <v>21294</v>
          </cell>
          <cell r="B2106" t="str">
            <v>REL MAIN BIKE TRAIL RT 157 &amp; RT 162</v>
          </cell>
          <cell r="C2106" t="str">
            <v>0G5-GAS TECH SERVICES - IPC</v>
          </cell>
        </row>
        <row r="2107">
          <cell r="A2107">
            <v>21295</v>
          </cell>
          <cell r="B2107" t="str">
            <v>COFFEEN CONSTRUCTION ACTIVITIES</v>
          </cell>
          <cell r="C2107" t="str">
            <v>09M-GENERATION PROJECT ENGINEERING</v>
          </cell>
        </row>
        <row r="2108">
          <cell r="A2108">
            <v>21296</v>
          </cell>
          <cell r="B2108" t="str">
            <v>Champaign Mattis - Repl. Cap Bank</v>
          </cell>
          <cell r="C2108" t="str">
            <v>09E-ELECTRICAL ENGINEERING</v>
          </cell>
        </row>
        <row r="2109">
          <cell r="A2109">
            <v>21300</v>
          </cell>
          <cell r="B2109" t="str">
            <v>TOWNE CENTRE DR MSD RELOCATION</v>
          </cell>
          <cell r="C2109" t="str">
            <v>052-MACKENZIE</v>
          </cell>
        </row>
        <row r="2110">
          <cell r="A2110">
            <v>21302</v>
          </cell>
          <cell r="B2110" t="str">
            <v>MODOT J2P0747 KIRKSVILLE HWY 63</v>
          </cell>
          <cell r="C2110" t="str">
            <v>7KS-GREEN HILLS DIST SUPPORT</v>
          </cell>
        </row>
        <row r="2111">
          <cell r="A2111">
            <v>21303</v>
          </cell>
          <cell r="B2111" t="str">
            <v>BAILEY STATION PHASE 7</v>
          </cell>
          <cell r="C2111" t="str">
            <v>070-JEFFERSON</v>
          </cell>
        </row>
        <row r="2112">
          <cell r="A2112">
            <v>21304</v>
          </cell>
          <cell r="B2112" t="str">
            <v>BRICKYARD ESTATES PHS 1</v>
          </cell>
          <cell r="C2112" t="str">
            <v>070-JEFFERSON</v>
          </cell>
        </row>
        <row r="2113">
          <cell r="A2113">
            <v>21308</v>
          </cell>
          <cell r="B2113" t="str">
            <v>Relocate 3 structures for Rt 336</v>
          </cell>
          <cell r="C2113" t="str">
            <v>03C-TRANSMISSION-CIPS</v>
          </cell>
        </row>
        <row r="2114">
          <cell r="A2114">
            <v>21309</v>
          </cell>
          <cell r="B2114" t="str">
            <v>INSTALL LINE TO SM-12 WELL SCIOTA</v>
          </cell>
          <cell r="C2114" t="str">
            <v>0G6-GAS STORAGE</v>
          </cell>
        </row>
        <row r="2115">
          <cell r="A2115">
            <v>21310</v>
          </cell>
          <cell r="B2115" t="str">
            <v>L3348 REBUILD FOR CITY OF HIGHLAND</v>
          </cell>
          <cell r="C2115" t="str">
            <v>3MS-DIVISION V SUPPORT STAFF</v>
          </cell>
        </row>
        <row r="2116">
          <cell r="A2116">
            <v>21311</v>
          </cell>
          <cell r="B2116" t="str">
            <v>COUNTRY RIDGE 5</v>
          </cell>
          <cell r="C2116" t="str">
            <v>2MS-DIVISION IV SUPPORT STAFF</v>
          </cell>
        </row>
        <row r="2117">
          <cell r="A2117">
            <v>21315</v>
          </cell>
          <cell r="B2117" t="str">
            <v>COLUMBIA 2006 CI - NE SYSTEM</v>
          </cell>
          <cell r="C2117" t="str">
            <v>4MX-LITTLE DIXIE SUPPORT STAFF</v>
          </cell>
        </row>
        <row r="2118">
          <cell r="A2118">
            <v>21316</v>
          </cell>
          <cell r="B2118" t="str">
            <v>THE FOUNTAINS RELOCATIONS</v>
          </cell>
          <cell r="C2118" t="str">
            <v>036-UNDERGROUND</v>
          </cell>
        </row>
        <row r="2119">
          <cell r="A2119">
            <v>21320</v>
          </cell>
          <cell r="B2119" t="str">
            <v>BARNES-JEWISH SCHOOL OF NURSING OH</v>
          </cell>
          <cell r="C2119" t="str">
            <v>056-GERALDINE</v>
          </cell>
        </row>
        <row r="2120">
          <cell r="A2120">
            <v>21327</v>
          </cell>
          <cell r="B2120" t="str">
            <v>Lutesville Repl Wavetrap V8 - REIMB</v>
          </cell>
          <cell r="C2120" t="str">
            <v>09E-ELECTRICAL ENGINEERING</v>
          </cell>
        </row>
        <row r="2121">
          <cell r="A2121">
            <v>21328</v>
          </cell>
          <cell r="B2121" t="str">
            <v>REPAIR 10 IN LINE - SCIOTA</v>
          </cell>
          <cell r="C2121" t="str">
            <v>0G6-GAS STORAGE</v>
          </cell>
        </row>
        <row r="2122">
          <cell r="A2122">
            <v>21330</v>
          </cell>
          <cell r="B2122" t="str">
            <v>Hunters Trail Estates</v>
          </cell>
          <cell r="C2122" t="str">
            <v>669-DIVISION I SUPPORT STAFF</v>
          </cell>
        </row>
        <row r="2123">
          <cell r="A2123">
            <v>21332</v>
          </cell>
          <cell r="B2123" t="str">
            <v>Stonehenge Subdivision</v>
          </cell>
          <cell r="C2123" t="str">
            <v>669-DIVISION I SUPPORT STAFF</v>
          </cell>
        </row>
        <row r="2124">
          <cell r="A2124">
            <v>21336</v>
          </cell>
          <cell r="B2124" t="str">
            <v>REWORK TRUITT #1 WELL HILLSBORO</v>
          </cell>
          <cell r="C2124" t="str">
            <v>0G6-GAS STORAGE</v>
          </cell>
        </row>
        <row r="2125">
          <cell r="A2125">
            <v>21337</v>
          </cell>
          <cell r="B2125" t="str">
            <v>GAS MAIN EXT, BELLEVILLE CROSSINGS</v>
          </cell>
          <cell r="C2125" t="str">
            <v>91U-DIVISION VI SUPPORT STAFF</v>
          </cell>
        </row>
        <row r="2126">
          <cell r="A2126">
            <v>21339</v>
          </cell>
          <cell r="B2126" t="str">
            <v xml:space="preserve">SPRADLIN HOMES, PRAIRIE KNOLLS_x000D_
</v>
          </cell>
          <cell r="C2126" t="str">
            <v>8MS-DIVISION II SUPPORT STAFF</v>
          </cell>
        </row>
        <row r="2127">
          <cell r="A2127">
            <v>21340</v>
          </cell>
          <cell r="B2127" t="str">
            <v>STL COUNTY - BIG BEND RD PHASE 1</v>
          </cell>
          <cell r="C2127" t="str">
            <v>053-ELLISVILLE DISTRICT</v>
          </cell>
        </row>
        <row r="2128">
          <cell r="A2128">
            <v>21341</v>
          </cell>
          <cell r="B2128" t="str">
            <v>THE ESTS AT WLMS CREEK PH 1 &amp; 2</v>
          </cell>
          <cell r="C2128" t="str">
            <v>052-MACKENZIE</v>
          </cell>
        </row>
        <row r="2129">
          <cell r="A2129">
            <v>21342</v>
          </cell>
          <cell r="B2129" t="str">
            <v>2006 Ashland-PVC Main-Eastside Dr</v>
          </cell>
          <cell r="C2129" t="str">
            <v>5JS-CAPITAL DIST SUPPORT</v>
          </cell>
        </row>
        <row r="2130">
          <cell r="A2130">
            <v>21345</v>
          </cell>
          <cell r="B2130" t="str">
            <v>BANDWIDTH EXCHANGE ADDITIONAL SERVI</v>
          </cell>
          <cell r="C2130" t="str">
            <v>036-UNDERGROUND</v>
          </cell>
        </row>
        <row r="2131">
          <cell r="A2131">
            <v>21346</v>
          </cell>
          <cell r="B2131" t="str">
            <v>RETIRE RICHWOOD GAS STORAGE FIELD</v>
          </cell>
          <cell r="C2131" t="str">
            <v>0G6-GAS STORAGE</v>
          </cell>
        </row>
        <row r="2132">
          <cell r="A2132">
            <v>21348</v>
          </cell>
          <cell r="B2132" t="str">
            <v>MODOT CLAYTON RD STAGE 3 WEST</v>
          </cell>
          <cell r="C2132" t="str">
            <v>053-ELLISVILLE DISTRICT</v>
          </cell>
        </row>
        <row r="2133">
          <cell r="A2133">
            <v>21352</v>
          </cell>
          <cell r="B2133" t="str">
            <v>VENICE - U2 BLACKSTART UPGRADES</v>
          </cell>
          <cell r="C2133" t="str">
            <v>09M-GENERATION PROJECT ENGINEERING</v>
          </cell>
        </row>
        <row r="2134">
          <cell r="A2134">
            <v>21353</v>
          </cell>
          <cell r="B2134" t="str">
            <v>MERAMEC - CTG 1&amp;2 BLACKSTART</v>
          </cell>
          <cell r="C2134" t="str">
            <v>09M-GENERATION PROJECT ENGINEERING</v>
          </cell>
        </row>
        <row r="2135">
          <cell r="A2135">
            <v>21355</v>
          </cell>
          <cell r="B2135" t="str">
            <v>Loose Creek -HWY 50 Relocation</v>
          </cell>
          <cell r="C2135" t="str">
            <v>5JS-CAPITAL DIST SUPPORT</v>
          </cell>
        </row>
        <row r="2136">
          <cell r="A2136">
            <v>21358</v>
          </cell>
          <cell r="B2136" t="str">
            <v>PINNACLE CASINO AT LACLEDES LANDIN</v>
          </cell>
          <cell r="C2136" t="str">
            <v>056-GERALDINE</v>
          </cell>
        </row>
        <row r="2137">
          <cell r="A2137">
            <v>21360</v>
          </cell>
          <cell r="B2137" t="str">
            <v>RI U1 SLAG FLOW DIVERTER</v>
          </cell>
          <cell r="C2137" t="str">
            <v>09M-GENERATION PROJECT ENGINEERING</v>
          </cell>
        </row>
        <row r="2138">
          <cell r="A2138">
            <v>21361</v>
          </cell>
          <cell r="B2138" t="str">
            <v>SIOUX CONSTRUCTION ACTIVITIES</v>
          </cell>
          <cell r="C2138" t="str">
            <v>09M-GENERATION PROJECT ENGINEERING</v>
          </cell>
        </row>
        <row r="2139">
          <cell r="A2139">
            <v>21362</v>
          </cell>
          <cell r="B2139" t="str">
            <v>SL - Tolono Sub</v>
          </cell>
          <cell r="C2139" t="str">
            <v>061-REAL ESTATE</v>
          </cell>
        </row>
        <row r="2140">
          <cell r="A2140">
            <v>21363</v>
          </cell>
          <cell r="B2140" t="str">
            <v>SL - Fairbury Storeroom</v>
          </cell>
          <cell r="C2140" t="str">
            <v>061-REAL ESTATE</v>
          </cell>
        </row>
        <row r="2141">
          <cell r="A2141">
            <v>21364</v>
          </cell>
          <cell r="B2141" t="str">
            <v>Mineral Install Transfer Trip-REIMB</v>
          </cell>
          <cell r="C2141" t="str">
            <v>09E-ELECTRICAL ENGINEERING</v>
          </cell>
        </row>
        <row r="2142">
          <cell r="A2142">
            <v>21365</v>
          </cell>
          <cell r="B2142" t="str">
            <v>E Kewanee Install Xfr Trip-REIMB</v>
          </cell>
          <cell r="C2142" t="str">
            <v>09E-ELECTRICAL ENGINEERING</v>
          </cell>
        </row>
        <row r="2143">
          <cell r="A2143">
            <v>21366</v>
          </cell>
          <cell r="B2143" t="str">
            <v>Castle Property Purchase</v>
          </cell>
          <cell r="C2143" t="str">
            <v>49B-ESH - WASTE</v>
          </cell>
        </row>
        <row r="2144">
          <cell r="A2144">
            <v>21367</v>
          </cell>
          <cell r="B2144" t="str">
            <v>HERITAGE ESTATES 3RD ADDITION</v>
          </cell>
          <cell r="C2144" t="str">
            <v>2MS-DIVISION IV SUPPORT STAFF</v>
          </cell>
        </row>
        <row r="2145">
          <cell r="A2145">
            <v>21369</v>
          </cell>
          <cell r="B2145" t="str">
            <v>SL - GALLATIN MINERAL RIGHTS</v>
          </cell>
          <cell r="C2145" t="str">
            <v>061-REAL ESTATE</v>
          </cell>
        </row>
        <row r="2146">
          <cell r="A2146">
            <v>21370</v>
          </cell>
          <cell r="B2146" t="str">
            <v>SL - State Street Sub Site</v>
          </cell>
          <cell r="C2146" t="str">
            <v>061-REAL ESTATE</v>
          </cell>
        </row>
        <row r="2147">
          <cell r="A2147">
            <v>21371</v>
          </cell>
          <cell r="B2147" t="str">
            <v>SL - Tuscola Office Building</v>
          </cell>
          <cell r="C2147" t="str">
            <v>061-REAL ESTATE</v>
          </cell>
        </row>
        <row r="2148">
          <cell r="A2148">
            <v>21373</v>
          </cell>
          <cell r="B2148" t="str">
            <v>HOWARD BEND - BLACKSTART UPGRADES</v>
          </cell>
          <cell r="C2148" t="str">
            <v>09M-GENERATION PROJECT ENGINEERING</v>
          </cell>
        </row>
        <row r="2149">
          <cell r="A2149">
            <v>21374</v>
          </cell>
          <cell r="B2149" t="str">
            <v>Route 40 Line Relocate</v>
          </cell>
          <cell r="C2149" t="str">
            <v>669-DIVISION I SUPPORT STAFF</v>
          </cell>
        </row>
        <row r="2150">
          <cell r="A2150">
            <v>21378</v>
          </cell>
          <cell r="B2150" t="str">
            <v>Continental Cement Customer Sub.</v>
          </cell>
          <cell r="C2150" t="str">
            <v>09E-ELECTRICAL ENGINEERING</v>
          </cell>
        </row>
        <row r="2151">
          <cell r="A2151">
            <v>21380</v>
          </cell>
          <cell r="B2151" t="str">
            <v>Duck Creek -Repl.-345kV Ckt #4552</v>
          </cell>
          <cell r="C2151" t="str">
            <v>09E-ELECTRICAL ENGINEERING</v>
          </cell>
        </row>
        <row r="2152">
          <cell r="A2152">
            <v>21382</v>
          </cell>
          <cell r="B2152" t="str">
            <v>SL - St. Francois Banks Property</v>
          </cell>
          <cell r="C2152" t="str">
            <v>061-REAL ESTATE</v>
          </cell>
        </row>
        <row r="2153">
          <cell r="A2153">
            <v>21383</v>
          </cell>
          <cell r="B2153" t="str">
            <v xml:space="preserve">AIR QUALITY MINE LINE EXT_x000D_
</v>
          </cell>
          <cell r="C2153" t="str">
            <v>2MS-DIVISION IV SUPPORT STAFF</v>
          </cell>
        </row>
        <row r="2154">
          <cell r="A2154">
            <v>21384</v>
          </cell>
          <cell r="B2154" t="str">
            <v>CTG MONITORING &amp; AUTOMATION-REG</v>
          </cell>
          <cell r="C2154" t="str">
            <v>09M-GENERATION PROJECT ENGINEERING</v>
          </cell>
        </row>
        <row r="2155">
          <cell r="A2155">
            <v>21386</v>
          </cell>
          <cell r="B2155" t="str">
            <v>THORNEWOOD NORTH PHASE 1</v>
          </cell>
          <cell r="C2155" t="str">
            <v>2MS-DIVISION IV SUPPORT STAFF</v>
          </cell>
        </row>
        <row r="2156">
          <cell r="A2156">
            <v>21387</v>
          </cell>
          <cell r="B2156" t="str">
            <v>LIBERTY ON THE LAKES SUBD, ELEC EXT</v>
          </cell>
          <cell r="C2156" t="str">
            <v>2MS-DIVISION IV SUPPORT STAFF</v>
          </cell>
        </row>
        <row r="2157">
          <cell r="A2157">
            <v>21388</v>
          </cell>
          <cell r="B2157" t="str">
            <v>LIBERTY ON THE LAKES CONDO COMPLEX</v>
          </cell>
          <cell r="C2157" t="str">
            <v>2MS-DIVISION IV SUPPORT STAFF</v>
          </cell>
        </row>
        <row r="2158">
          <cell r="A2158">
            <v>21393</v>
          </cell>
          <cell r="B2158" t="str">
            <v xml:space="preserve">GREENMOUNT FREEDOM HOMES EAST_x000D_
</v>
          </cell>
          <cell r="C2158" t="str">
            <v>91U-DIVISION VI SUPPORT STAFF</v>
          </cell>
        </row>
        <row r="2159">
          <cell r="A2159">
            <v>21394</v>
          </cell>
          <cell r="B2159" t="str">
            <v>MARYVILLE OLD TOWN ROADWAY IMPROVEM</v>
          </cell>
          <cell r="C2159" t="str">
            <v>3MS-DIVISION V SUPPORT STAFF</v>
          </cell>
        </row>
        <row r="2160">
          <cell r="A2160">
            <v>21395</v>
          </cell>
          <cell r="B2160" t="str">
            <v>Carthage</v>
          </cell>
          <cell r="C2160" t="str">
            <v>8MS-DIVISION II SUPPORT STAFF</v>
          </cell>
        </row>
        <row r="2161">
          <cell r="A2161">
            <v>21398</v>
          </cell>
          <cell r="B2161" t="str">
            <v>Mer 4 feedwater control upgrade</v>
          </cell>
          <cell r="C2161" t="str">
            <v>09M-GENERATION PROJECT ENGINEERING</v>
          </cell>
        </row>
        <row r="2162">
          <cell r="A2162">
            <v>21399</v>
          </cell>
          <cell r="B2162" t="str">
            <v xml:space="preserve">SCHREIBER FARMS LLC_x000D_
</v>
          </cell>
          <cell r="C2162" t="str">
            <v>3MS-DIVISION V SUPPORT STAFF</v>
          </cell>
        </row>
        <row r="2163">
          <cell r="A2163">
            <v>21401</v>
          </cell>
          <cell r="B2163" t="str">
            <v>Spare Breakers-Dorsett &amp; Jeff City</v>
          </cell>
          <cell r="C2163" t="str">
            <v>09E-ELECTRICAL ENGINEERING</v>
          </cell>
        </row>
        <row r="2164">
          <cell r="A2164">
            <v>21402</v>
          </cell>
          <cell r="B2164" t="str">
            <v>Spare Breaker-Peoria or Springfield</v>
          </cell>
          <cell r="C2164" t="str">
            <v>09E-ELECTRICAL ENGINEERING</v>
          </cell>
        </row>
        <row r="2165">
          <cell r="A2165">
            <v>21403</v>
          </cell>
          <cell r="B2165" t="str">
            <v>Spare Breaker-Mattoon</v>
          </cell>
          <cell r="C2165" t="str">
            <v>09E-ELECTRICAL ENGINEERING</v>
          </cell>
        </row>
        <row r="2166">
          <cell r="A2166">
            <v>21404</v>
          </cell>
          <cell r="B2166" t="str">
            <v>Alton Memorial Hospital Cust Sub</v>
          </cell>
          <cell r="C2166" t="str">
            <v>09E-ELECTRICAL ENGINEERING</v>
          </cell>
        </row>
        <row r="2167">
          <cell r="A2167">
            <v>21405</v>
          </cell>
          <cell r="B2167" t="str">
            <v xml:space="preserve">THE TRAILS AT ABBEY FIELDS_x000D_
</v>
          </cell>
          <cell r="C2167" t="str">
            <v>2MS-DIVISION IV SUPPORT STAFF</v>
          </cell>
        </row>
        <row r="2168">
          <cell r="A2168">
            <v>21406</v>
          </cell>
          <cell r="B2168" t="str">
            <v xml:space="preserve">THE TRAILS AT ABBEY FIELDS_x000D_
</v>
          </cell>
          <cell r="C2168" t="str">
            <v>2MS-DIVISION IV SUPPORT STAFF</v>
          </cell>
        </row>
        <row r="2169">
          <cell r="A2169">
            <v>21407</v>
          </cell>
          <cell r="B2169" t="str">
            <v xml:space="preserve">CONWAY FARMS PHASE II,MAHOMET_x000D_
</v>
          </cell>
          <cell r="C2169" t="str">
            <v>2MS-DIVISION IV SUPPORT STAFF</v>
          </cell>
        </row>
        <row r="2170">
          <cell r="A2170">
            <v>21408</v>
          </cell>
          <cell r="B2170" t="str">
            <v xml:space="preserve">SUN COKE_x000D_
</v>
          </cell>
          <cell r="C2170" t="str">
            <v>3MS-DIVISION V SUPPORT STAFF</v>
          </cell>
        </row>
        <row r="2171">
          <cell r="A2171">
            <v>21409</v>
          </cell>
          <cell r="B2171" t="str">
            <v>New Str. 1418 SubT-Hills</v>
          </cell>
          <cell r="C2171" t="str">
            <v>037-TRANSMISSION</v>
          </cell>
        </row>
        <row r="2172">
          <cell r="A2172">
            <v>21412</v>
          </cell>
          <cell r="B2172" t="str">
            <v>HAMPTON GLEN SUBDIVISION, TROY</v>
          </cell>
          <cell r="C2172" t="str">
            <v>3MS-DIVISION V SUPPORT STAFF</v>
          </cell>
        </row>
        <row r="2173">
          <cell r="A2173" t="str">
            <v>A0001</v>
          </cell>
          <cell r="B2173" t="str">
            <v>MAINTAIN GEN'L BOOKS&amp;FIN'L RECORDS</v>
          </cell>
          <cell r="C2173" t="str">
            <v>004-ACCOUNTING</v>
          </cell>
        </row>
        <row r="2174">
          <cell r="A2174" t="str">
            <v>A0002</v>
          </cell>
          <cell r="B2174" t="str">
            <v>PROCESS/PAY INVOICES&amp;DISB REQUESTS</v>
          </cell>
          <cell r="C2174" t="str">
            <v>004-ACCOUNTING</v>
          </cell>
        </row>
        <row r="2175">
          <cell r="A2175" t="str">
            <v>A0004</v>
          </cell>
          <cell r="B2175" t="str">
            <v>CONTROLLERS FUNCTIONAL INDIRECT</v>
          </cell>
          <cell r="C2175" t="str">
            <v>004-ACCOUNTING</v>
          </cell>
        </row>
        <row r="2176">
          <cell r="A2176" t="str">
            <v>A0005</v>
          </cell>
          <cell r="B2176" t="str">
            <v>MAINTAIN UE ACCOUNTING RECORDS</v>
          </cell>
          <cell r="C2176" t="str">
            <v>004-ACCOUNTING</v>
          </cell>
        </row>
        <row r="2177">
          <cell r="A2177" t="str">
            <v>A0006</v>
          </cell>
          <cell r="B2177" t="str">
            <v>CIPS ACCTG RECORDS-GENERAL ACCTG</v>
          </cell>
          <cell r="C2177" t="str">
            <v>004-ACCOUNTING</v>
          </cell>
        </row>
        <row r="2178">
          <cell r="A2178" t="str">
            <v>A0007</v>
          </cell>
          <cell r="B2178" t="str">
            <v>MAINTAIN CIC ACCOUNTING RECORDS</v>
          </cell>
          <cell r="C2178" t="str">
            <v>004-ACCOUNTING</v>
          </cell>
        </row>
        <row r="2179">
          <cell r="A2179" t="str">
            <v>A0008</v>
          </cell>
          <cell r="B2179" t="str">
            <v>MAINTAIN UEDC ACCOUNTING RECORDS</v>
          </cell>
          <cell r="C2179" t="str">
            <v>004-ACCOUNTING</v>
          </cell>
        </row>
        <row r="2180">
          <cell r="A2180" t="str">
            <v>A0009</v>
          </cell>
          <cell r="B2180" t="str">
            <v>MAINTAIN AMC ACCOUNTING RECORDS</v>
          </cell>
          <cell r="C2180" t="str">
            <v>004-ACCOUNTING</v>
          </cell>
        </row>
        <row r="2181">
          <cell r="A2181" t="str">
            <v>A0012</v>
          </cell>
          <cell r="B2181" t="str">
            <v>MAINTAIN AEC ACCTG RECORDS</v>
          </cell>
          <cell r="C2181" t="str">
            <v>004-ACCOUNTING</v>
          </cell>
        </row>
        <row r="2182">
          <cell r="A2182" t="str">
            <v>A0016</v>
          </cell>
          <cell r="B2182" t="str">
            <v>MAINTAIN ERC ACCOUNTING RECORDS</v>
          </cell>
          <cell r="C2182" t="str">
            <v>004-ACCOUNTING</v>
          </cell>
        </row>
        <row r="2183">
          <cell r="A2183" t="str">
            <v>A0018</v>
          </cell>
          <cell r="B2183" t="str">
            <v>MAINTAIN AME ACCOUNTING RECORDS</v>
          </cell>
          <cell r="C2183" t="str">
            <v>004-ACCOUNTING</v>
          </cell>
        </row>
        <row r="2184">
          <cell r="A2184" t="str">
            <v>A0021</v>
          </cell>
          <cell r="B2184" t="str">
            <v>INVSTR RELS / EXTERN FINANCIAL RPTG</v>
          </cell>
          <cell r="C2184" t="str">
            <v>04C-FINANCIAL COMMUNICATIONS</v>
          </cell>
        </row>
        <row r="2185">
          <cell r="A2185" t="str">
            <v>A0022</v>
          </cell>
          <cell r="B2185" t="str">
            <v>FEDEX CORP BILLING</v>
          </cell>
          <cell r="C2185" t="str">
            <v>092-SPECIAL ITEMS-ACCOUNTING DEPT</v>
          </cell>
        </row>
        <row r="2186">
          <cell r="A2186" t="str">
            <v>A0051</v>
          </cell>
          <cell r="B2186" t="str">
            <v>MAINTAIN CORP MODEL-BUDGET SYSTEM</v>
          </cell>
          <cell r="C2186" t="str">
            <v>05B-CONTROLLERS BUDGETING</v>
          </cell>
        </row>
        <row r="2187">
          <cell r="A2187" t="str">
            <v>A0075</v>
          </cell>
          <cell r="B2187" t="str">
            <v>MTCE OF PROJECTS &amp; ASSETS SYSTEMS</v>
          </cell>
          <cell r="C2187" t="str">
            <v>004-ACCOUNTING</v>
          </cell>
        </row>
        <row r="2188">
          <cell r="A2188" t="str">
            <v>A0077</v>
          </cell>
          <cell r="B2188" t="str">
            <v>MAINTAIN CIP ASSETRECS(ELEC/GAS IL)</v>
          </cell>
          <cell r="C2188" t="str">
            <v>004-ACCOUNTING</v>
          </cell>
        </row>
        <row r="2189">
          <cell r="A2189" t="str">
            <v>A0078</v>
          </cell>
          <cell r="B2189" t="str">
            <v>MAINTAIN UE ASSET RECORDS</v>
          </cell>
          <cell r="C2189" t="str">
            <v>004-ACCOUNTING</v>
          </cell>
        </row>
        <row r="2190">
          <cell r="A2190" t="str">
            <v>A0079</v>
          </cell>
          <cell r="B2190" t="str">
            <v>MAINTAIN AMS ASSETS &amp; REPORTING</v>
          </cell>
          <cell r="C2190" t="str">
            <v>004-ACCOUNTING</v>
          </cell>
        </row>
        <row r="2191">
          <cell r="A2191" t="str">
            <v>A0080</v>
          </cell>
          <cell r="B2191" t="str">
            <v>CIPS REGULATORY RPTG (ELEC/GAS IL)</v>
          </cell>
          <cell r="C2191" t="str">
            <v>004-ACCOUNTING</v>
          </cell>
        </row>
        <row r="2192">
          <cell r="A2192" t="str">
            <v>A0081</v>
          </cell>
          <cell r="B2192" t="str">
            <v>UE REGLATORY RPTG (E/G)</v>
          </cell>
          <cell r="C2192" t="str">
            <v>004-ACCOUNTING</v>
          </cell>
        </row>
        <row r="2193">
          <cell r="A2193" t="str">
            <v>A0083</v>
          </cell>
          <cell r="B2193" t="str">
            <v>AUDIT SVC VENDOR-BCS</v>
          </cell>
          <cell r="C2193" t="str">
            <v>4PL-PLANT ACCOUNTING</v>
          </cell>
        </row>
        <row r="2194">
          <cell r="A2194" t="str">
            <v>A0084</v>
          </cell>
          <cell r="B2194" t="str">
            <v>AMS PC'S &amp; REPRODUCTION EQUIP DEPR</v>
          </cell>
          <cell r="C2194" t="str">
            <v>004-ACCOUNTING</v>
          </cell>
        </row>
        <row r="2195">
          <cell r="A2195" t="str">
            <v>A0101</v>
          </cell>
          <cell r="B2195" t="str">
            <v>AUDIT OF CIPS DISTRICT OPERATIONS</v>
          </cell>
          <cell r="C2195" t="str">
            <v>05A-INTERNAL AUDIT</v>
          </cell>
        </row>
        <row r="2196">
          <cell r="A2196" t="str">
            <v>A0102</v>
          </cell>
          <cell r="B2196" t="str">
            <v>RISK MANAGEMENT - AMEREN/UE</v>
          </cell>
          <cell r="C2196" t="str">
            <v>07Q-CORPORATE RISK MGMT</v>
          </cell>
        </row>
        <row r="2197">
          <cell r="A2197" t="str">
            <v>A0103</v>
          </cell>
          <cell r="B2197" t="str">
            <v>METER READING SUPPORT-MANAGERIAL</v>
          </cell>
          <cell r="C2197" t="str">
            <v>03A-METER READING-AMS</v>
          </cell>
        </row>
        <row r="2198">
          <cell r="A2198" t="str">
            <v>A0104</v>
          </cell>
          <cell r="B2198" t="str">
            <v>AUDIT OF UE POWER PLANT OPERATIONS</v>
          </cell>
          <cell r="C2198" t="str">
            <v>05A-INTERNAL AUDIT</v>
          </cell>
        </row>
        <row r="2199">
          <cell r="A2199" t="str">
            <v>A0106</v>
          </cell>
          <cell r="B2199" t="str">
            <v>BPS - AMEREN/CIPS</v>
          </cell>
          <cell r="C2199" t="str">
            <v>060-SCP - PLANNING</v>
          </cell>
        </row>
        <row r="2200">
          <cell r="A2200" t="str">
            <v>A0108</v>
          </cell>
          <cell r="B2200" t="str">
            <v>CORP PLANNING SUPPORT FOR AME</v>
          </cell>
          <cell r="C2200" t="str">
            <v>012-CORPORATE PLANNING</v>
          </cell>
        </row>
        <row r="2201">
          <cell r="A2201" t="str">
            <v>A0109</v>
          </cell>
          <cell r="B2201" t="str">
            <v>AUDIT OF GENCO POWER PLANT OPS</v>
          </cell>
          <cell r="C2201" t="str">
            <v>05A-INTERNAL AUDIT</v>
          </cell>
        </row>
        <row r="2202">
          <cell r="A2202" t="str">
            <v>A0110</v>
          </cell>
          <cell r="B2202" t="str">
            <v>GENERATION / TRANSM. COORD. &amp; DISPA</v>
          </cell>
          <cell r="C2202" t="str">
            <v>042-TRANSMISSION OPERATIONS</v>
          </cell>
        </row>
        <row r="2203">
          <cell r="A2203" t="str">
            <v>A0111</v>
          </cell>
          <cell r="B2203" t="str">
            <v>AUDIT OF UE CONTINUOUS EMIS MONITOR</v>
          </cell>
          <cell r="C2203" t="str">
            <v>05A-INTERNAL AUDIT</v>
          </cell>
        </row>
        <row r="2204">
          <cell r="A2204" t="str">
            <v>A0112</v>
          </cell>
          <cell r="B2204" t="str">
            <v>NETWORK METER READING - AMEREN UE</v>
          </cell>
          <cell r="C2204" t="str">
            <v>03A-METER READING-AMS</v>
          </cell>
        </row>
        <row r="2205">
          <cell r="A2205" t="str">
            <v>A0113</v>
          </cell>
          <cell r="B2205" t="str">
            <v>METER READING MV-90 SUPPORT - UEC</v>
          </cell>
          <cell r="C2205" t="str">
            <v>03A-METER READING-AMS</v>
          </cell>
        </row>
        <row r="2206">
          <cell r="A2206" t="str">
            <v>A0114</v>
          </cell>
          <cell r="B2206" t="str">
            <v>GENERATION/TRANSM. COORD. &amp; DISPATC</v>
          </cell>
          <cell r="C2206" t="str">
            <v>042-TRANSMISSION OPERATIONS</v>
          </cell>
        </row>
        <row r="2207">
          <cell r="A2207" t="str">
            <v>A0115</v>
          </cell>
          <cell r="B2207" t="str">
            <v>ELECTRIC METER SUPPORT (UE)</v>
          </cell>
          <cell r="C2207" t="str">
            <v>0G2-GAS TECH SERVICES - AMS</v>
          </cell>
        </row>
        <row r="2208">
          <cell r="A2208" t="str">
            <v>A0116</v>
          </cell>
          <cell r="B2208" t="str">
            <v>AUDIT OF GEN CONTINUOUS EMISMONITOR</v>
          </cell>
          <cell r="C2208" t="str">
            <v>05A-INTERNAL AUDIT</v>
          </cell>
        </row>
        <row r="2209">
          <cell r="A2209" t="str">
            <v>A0117</v>
          </cell>
          <cell r="B2209" t="str">
            <v>TRANSM COORD &amp; DISPATCH FOR AMEREN/</v>
          </cell>
          <cell r="C2209" t="str">
            <v>042-TRANSMISSION OPERATIONS</v>
          </cell>
        </row>
        <row r="2210">
          <cell r="A2210" t="str">
            <v>A0118</v>
          </cell>
          <cell r="B2210" t="str">
            <v>AUDIT OF UE STORES &amp; INVENTORY OPS</v>
          </cell>
          <cell r="C2210" t="str">
            <v>05A-INTERNAL AUDIT</v>
          </cell>
        </row>
        <row r="2211">
          <cell r="A2211" t="str">
            <v>A0119</v>
          </cell>
          <cell r="B2211" t="str">
            <v>AUDIT OF CIP STORES &amp; INVENTORY OPS</v>
          </cell>
          <cell r="C2211" t="str">
            <v>05A-INTERNAL AUDIT</v>
          </cell>
        </row>
        <row r="2212">
          <cell r="A2212" t="str">
            <v>A0120</v>
          </cell>
          <cell r="B2212" t="str">
            <v>AUDIT OF FORESTRY OPERATIONS</v>
          </cell>
          <cell r="C2212" t="str">
            <v>05A-INTERNAL AUDIT</v>
          </cell>
        </row>
        <row r="2213">
          <cell r="A2213" t="str">
            <v>A0121</v>
          </cell>
          <cell r="B2213" t="str">
            <v>AUDIT OF RELAY OPERATIONS</v>
          </cell>
          <cell r="C2213" t="str">
            <v>05A-INTERNAL AUDIT</v>
          </cell>
        </row>
        <row r="2214">
          <cell r="A2214" t="str">
            <v>A0122</v>
          </cell>
          <cell r="B2214" t="str">
            <v>AUDIT OF SERVICE TEST OPERATIONS</v>
          </cell>
          <cell r="C2214" t="str">
            <v>05A-INTERNAL AUDIT</v>
          </cell>
        </row>
        <row r="2215">
          <cell r="A2215" t="str">
            <v>A0124</v>
          </cell>
          <cell r="B2215" t="str">
            <v>SUPV CUSTOMER SERVICE - AMEREN UE</v>
          </cell>
          <cell r="C2215" t="str">
            <v>03W-CUSTOMER SERVICE-AMS</v>
          </cell>
        </row>
        <row r="2216">
          <cell r="A2216" t="str">
            <v>A0125</v>
          </cell>
          <cell r="B2216" t="str">
            <v>BPS - INDIRECT FUNCTIONAL</v>
          </cell>
          <cell r="C2216" t="str">
            <v>060-SCP - PLANNING</v>
          </cell>
        </row>
        <row r="2217">
          <cell r="A2217" t="str">
            <v>A0126</v>
          </cell>
          <cell r="B2217" t="str">
            <v>BPS - AMEREN/UE</v>
          </cell>
          <cell r="C2217" t="str">
            <v>060-SCP - PLANNING</v>
          </cell>
        </row>
        <row r="2218">
          <cell r="A2218" t="str">
            <v>A0127</v>
          </cell>
          <cell r="B2218" t="str">
            <v>AUDITS OF DATA SECURITY</v>
          </cell>
          <cell r="C2218" t="str">
            <v>05A-INTERNAL AUDIT</v>
          </cell>
        </row>
        <row r="2219">
          <cell r="A2219" t="str">
            <v>A0128</v>
          </cell>
          <cell r="B2219" t="str">
            <v>AUDIT OF STORES OPERATIONS</v>
          </cell>
          <cell r="C2219" t="str">
            <v>05A-INTERNAL AUDIT</v>
          </cell>
        </row>
        <row r="2220">
          <cell r="A2220" t="str">
            <v>A0129</v>
          </cell>
          <cell r="B2220" t="str">
            <v>CALLAWAY PLT 1998 VEG MONITRNG PROG</v>
          </cell>
          <cell r="C2220" t="str">
            <v>803-NUCL-PROBABILISTIC RISK ASSESSM</v>
          </cell>
        </row>
        <row r="2221">
          <cell r="A2221" t="str">
            <v>A0130</v>
          </cell>
          <cell r="B2221" t="str">
            <v>AUDIT OF SUBSTATIONS OPERATIONS</v>
          </cell>
          <cell r="C2221" t="str">
            <v>05A-INTERNAL AUDIT</v>
          </cell>
        </row>
        <row r="2222">
          <cell r="A2222" t="str">
            <v>A0131</v>
          </cell>
          <cell r="B2222" t="str">
            <v>STORES ADMIN SUPPORT TO UE</v>
          </cell>
          <cell r="C2222" t="str">
            <v>05M-STOREROOMS-AMS</v>
          </cell>
        </row>
        <row r="2223">
          <cell r="A2223" t="str">
            <v>A0132</v>
          </cell>
          <cell r="B2223" t="str">
            <v>DATAOPS-LAN/WAN SUPPORT</v>
          </cell>
          <cell r="C2223" t="str">
            <v>06H-NEO - ENTERPRISE NETWORKING</v>
          </cell>
        </row>
        <row r="2224">
          <cell r="A2224" t="str">
            <v>A0133</v>
          </cell>
          <cell r="B2224" t="str">
            <v>STORES ADMIN SUPPORT OF CIPS (IL)</v>
          </cell>
          <cell r="C2224" t="str">
            <v>05M-STOREROOMS-AMS</v>
          </cell>
        </row>
        <row r="2225">
          <cell r="A2225" t="str">
            <v>A0134</v>
          </cell>
          <cell r="B2225" t="str">
            <v>STORES ADMIN SUPPORT (MO/IL EL/GAS)</v>
          </cell>
          <cell r="C2225" t="str">
            <v>05M-STOREROOMS-AMS</v>
          </cell>
        </row>
        <row r="2226">
          <cell r="A2226" t="str">
            <v>A0138</v>
          </cell>
          <cell r="B2226" t="str">
            <v>STORES MGMT OF AMERENUE(MO)</v>
          </cell>
          <cell r="C2226" t="str">
            <v>05M-STOREROOMS-AMS</v>
          </cell>
        </row>
        <row r="2227">
          <cell r="A2227" t="str">
            <v>A0139</v>
          </cell>
          <cell r="B2227" t="str">
            <v>STORES MGMT OF CIPS (ELEC/GAS IL)</v>
          </cell>
          <cell r="C2227" t="str">
            <v>05M-STOREROOMS-AMS</v>
          </cell>
        </row>
        <row r="2228">
          <cell r="A2228" t="str">
            <v>A0140</v>
          </cell>
          <cell r="B2228" t="str">
            <v>STORES MANAGEMENT (ELEC/GAS MO/IL)</v>
          </cell>
          <cell r="C2228" t="str">
            <v>05M-STOREROOMS-AMS</v>
          </cell>
        </row>
        <row r="2229">
          <cell r="A2229" t="str">
            <v>A0141</v>
          </cell>
          <cell r="B2229" t="str">
            <v>BUSINESS PLANNING SUPPORT FOR AMC</v>
          </cell>
          <cell r="C2229" t="str">
            <v>012-CORPORATE PLANNING</v>
          </cell>
        </row>
        <row r="2230">
          <cell r="A2230" t="str">
            <v>A0142</v>
          </cell>
          <cell r="B2230" t="str">
            <v>ADMIN AND SECRETARIAL SUPPORT</v>
          </cell>
          <cell r="C2230" t="str">
            <v>012-CORPORATE PLANNING</v>
          </cell>
        </row>
        <row r="2231">
          <cell r="A2231" t="str">
            <v>A0143</v>
          </cell>
          <cell r="B2231" t="str">
            <v>DOJM PROJECT MANAGER - AMEREN/UE</v>
          </cell>
          <cell r="C2231" t="str">
            <v>08C-CUSTOMER SERVICE SYSTEM</v>
          </cell>
        </row>
        <row r="2232">
          <cell r="A2232" t="str">
            <v>A0144</v>
          </cell>
          <cell r="B2232" t="str">
            <v>SUPV CUSTOMER SERVICE - AMEREN CIPS</v>
          </cell>
          <cell r="C2232" t="str">
            <v>03W-CUSTOMER SERVICE-AMS</v>
          </cell>
        </row>
        <row r="2233">
          <cell r="A2233" t="str">
            <v>A0146</v>
          </cell>
          <cell r="B2233" t="str">
            <v>ECON DEVELOPMENT SERVICES-COMMON</v>
          </cell>
          <cell r="C2233" t="str">
            <v>016-ECONOMIC DEVELOPMENT</v>
          </cell>
        </row>
        <row r="2234">
          <cell r="A2234" t="str">
            <v>A0149</v>
          </cell>
          <cell r="B2234" t="str">
            <v>ADMIN/GEN OFFICE/SUPPLIES-ECO DEV</v>
          </cell>
          <cell r="C2234" t="str">
            <v>016-ECONOMIC DEVELOPMENT</v>
          </cell>
        </row>
        <row r="2235">
          <cell r="A2235" t="str">
            <v>A0151</v>
          </cell>
          <cell r="B2235" t="str">
            <v>GEN OFF SUPPORT, SUPPLIES  EMPL BEN</v>
          </cell>
          <cell r="C2235" t="str">
            <v>017-EMPLOYEE BENEFITS</v>
          </cell>
        </row>
        <row r="2236">
          <cell r="A2236" t="str">
            <v>A0152</v>
          </cell>
          <cell r="B2236" t="str">
            <v>TRAIN, CONSULT&amp;DEVELOP-UE GEN</v>
          </cell>
          <cell r="C2236" t="str">
            <v>02T-HR - ORGANIZATION EFFECTIVENESS</v>
          </cell>
        </row>
        <row r="2237">
          <cell r="A2237" t="str">
            <v>A0153</v>
          </cell>
          <cell r="B2237" t="str">
            <v>BUILDING SERVICES LABOR - AMEREN/UE</v>
          </cell>
          <cell r="C2237" t="str">
            <v>07V-BUILDING SERVICES-AMS</v>
          </cell>
        </row>
        <row r="2238">
          <cell r="A2238" t="str">
            <v>A0154</v>
          </cell>
          <cell r="B2238" t="str">
            <v>HR/IR SUPPORT FOR UE</v>
          </cell>
          <cell r="C2238" t="str">
            <v>057-LABOR STRATEGY</v>
          </cell>
        </row>
        <row r="2239">
          <cell r="A2239" t="str">
            <v>A0155</v>
          </cell>
          <cell r="B2239" t="str">
            <v>BUILDING SERVICES LABOR-AMEREN/CIPS</v>
          </cell>
          <cell r="C2239" t="str">
            <v>07V-BUILDING SERVICES-AMS</v>
          </cell>
        </row>
        <row r="2240">
          <cell r="A2240" t="str">
            <v>A0156</v>
          </cell>
          <cell r="B2240" t="str">
            <v>TRAIN, CONSULT &amp; DEVELOP-NUCLEAR</v>
          </cell>
          <cell r="C2240" t="str">
            <v>02T-HR - ORGANIZATION EFFECTIVENESS</v>
          </cell>
        </row>
        <row r="2241">
          <cell r="A2241" t="str">
            <v>A0157</v>
          </cell>
          <cell r="B2241" t="str">
            <v>IR SUPPORT FOR CIPS</v>
          </cell>
          <cell r="C2241" t="str">
            <v>057-LABOR STRATEGY</v>
          </cell>
        </row>
        <row r="2242">
          <cell r="A2242" t="str">
            <v>A0158</v>
          </cell>
          <cell r="B2242" t="str">
            <v>TRAIN, CONSULT &amp; DEVELOP-CORP</v>
          </cell>
          <cell r="C2242" t="str">
            <v>02T-HR - ORGANIZATION EFFECTIVENESS</v>
          </cell>
        </row>
        <row r="2243">
          <cell r="A2243" t="str">
            <v>A0160</v>
          </cell>
          <cell r="B2243" t="str">
            <v>ADV AND PR UE (ELEC GAS)</v>
          </cell>
          <cell r="C2243" t="str">
            <v>001-CORPORATE COMMUNICATIONS</v>
          </cell>
        </row>
        <row r="2244">
          <cell r="A2244" t="str">
            <v>A0161</v>
          </cell>
          <cell r="B2244" t="str">
            <v>IT DEVELOPMENT COST NUM OF EES</v>
          </cell>
          <cell r="C2244" t="str">
            <v>201-DEV - BUS &amp; CORP SVCS</v>
          </cell>
        </row>
        <row r="2245">
          <cell r="A2245" t="str">
            <v>A0162</v>
          </cell>
          <cell r="B2245" t="str">
            <v>IR SUPPORT FOR AMEREN SERVICES</v>
          </cell>
          <cell r="C2245" t="str">
            <v>057-LABOR STRATEGY</v>
          </cell>
        </row>
        <row r="2246">
          <cell r="A2246" t="str">
            <v>A0163</v>
          </cell>
          <cell r="B2246" t="str">
            <v>LABOR &amp; EXPENSES OF AMEREN EMPLYS</v>
          </cell>
          <cell r="C2246" t="str">
            <v>07V-BUILDING SERVICES-AMS</v>
          </cell>
        </row>
        <row r="2247">
          <cell r="A2247" t="str">
            <v>A0164</v>
          </cell>
          <cell r="B2247" t="str">
            <v>ADV AND PR CIPS (ELEC GAS IL)</v>
          </cell>
          <cell r="C2247" t="str">
            <v>001-CORPORATE COMMUNICATIONS</v>
          </cell>
        </row>
        <row r="2248">
          <cell r="A2248" t="str">
            <v>A0166</v>
          </cell>
          <cell r="B2248" t="str">
            <v>IR SUPPORT-ADMN-TRNG-SUPP-OTHR</v>
          </cell>
          <cell r="C2248" t="str">
            <v>057-LABOR STRATEGY</v>
          </cell>
        </row>
        <row r="2249">
          <cell r="A2249" t="str">
            <v>A0168</v>
          </cell>
          <cell r="B2249" t="str">
            <v>IT DEVELOPMENT ALLOCATIONS BY PEAK</v>
          </cell>
          <cell r="C2249" t="str">
            <v>204-DEV - ENERGY DELIVERY</v>
          </cell>
        </row>
        <row r="2250">
          <cell r="A2250" t="str">
            <v>A0169</v>
          </cell>
          <cell r="B2250" t="str">
            <v>EMPRV GENERATION</v>
          </cell>
          <cell r="C2250" t="str">
            <v>202-DEV - OPERATIONS</v>
          </cell>
        </row>
        <row r="2251">
          <cell r="A2251" t="str">
            <v>A0171</v>
          </cell>
          <cell r="B2251" t="str">
            <v>SUBSTATION APPS - UEC</v>
          </cell>
          <cell r="C2251" t="str">
            <v>202-DEV - OPERATIONS</v>
          </cell>
        </row>
        <row r="2252">
          <cell r="A2252" t="str">
            <v>A0175</v>
          </cell>
          <cell r="B2252" t="str">
            <v>DISTRIBUTION ENGRG. SVCS.-ALLOCATED</v>
          </cell>
          <cell r="C2252" t="str">
            <v>028-ED DISTRIBUTION ENGINEERING</v>
          </cell>
        </row>
        <row r="2253">
          <cell r="A2253" t="str">
            <v>A0176</v>
          </cell>
          <cell r="B2253" t="str">
            <v>ED ELECTRIC TRAINING - AMEREN/UEC</v>
          </cell>
          <cell r="C2253" t="str">
            <v>230-DORSETT TRAINING</v>
          </cell>
        </row>
        <row r="2254">
          <cell r="A2254" t="str">
            <v>A0177</v>
          </cell>
          <cell r="B2254" t="str">
            <v>ALLOCATED SAFETY &amp; HEALTH SUPPORT</v>
          </cell>
          <cell r="C2254" t="str">
            <v>49D-ESH - SAFETY &amp; HEALTH</v>
          </cell>
        </row>
        <row r="2255">
          <cell r="A2255" t="str">
            <v>A0178</v>
          </cell>
          <cell r="B2255" t="str">
            <v>UEC - TAX WORK</v>
          </cell>
          <cell r="C2255" t="str">
            <v>05T-TAX</v>
          </cell>
        </row>
        <row r="2256">
          <cell r="A2256" t="str">
            <v>A0179</v>
          </cell>
          <cell r="B2256" t="str">
            <v>ED ELECTRIC TRAINING - AMEREN/CIP</v>
          </cell>
          <cell r="C2256" t="str">
            <v>230-DORSETT TRAINING</v>
          </cell>
        </row>
        <row r="2257">
          <cell r="A2257" t="str">
            <v>A0180</v>
          </cell>
          <cell r="B2257" t="str">
            <v>ED ELECTRICAL TRAINING ALLOCATED</v>
          </cell>
          <cell r="C2257" t="str">
            <v>230-DORSETT TRAINING</v>
          </cell>
        </row>
        <row r="2258">
          <cell r="A2258" t="str">
            <v>A0181</v>
          </cell>
          <cell r="B2258" t="str">
            <v>AMERENCIPS SAFETY &amp; HEALTH SUPPORT</v>
          </cell>
          <cell r="C2258" t="str">
            <v>49D-ESH - SAFETY &amp; HEALTH</v>
          </cell>
        </row>
        <row r="2259">
          <cell r="A2259" t="str">
            <v>A0182</v>
          </cell>
          <cell r="B2259" t="str">
            <v>CSD - ADMINISTRATION - AMEREN/UE</v>
          </cell>
          <cell r="C2259" t="str">
            <v>45C-ED FINANCIAL SUPPORT &amp; ANALYSIS</v>
          </cell>
        </row>
        <row r="2260">
          <cell r="A2260" t="str">
            <v>A0183</v>
          </cell>
          <cell r="B2260" t="str">
            <v>CIPS - TAX WORK</v>
          </cell>
          <cell r="C2260" t="str">
            <v>05T-TAX</v>
          </cell>
        </row>
        <row r="2261">
          <cell r="A2261" t="str">
            <v>A0184</v>
          </cell>
          <cell r="B2261" t="str">
            <v>CIC - TAX WORK</v>
          </cell>
          <cell r="C2261" t="str">
            <v>05T-TAX</v>
          </cell>
        </row>
        <row r="2262">
          <cell r="A2262" t="str">
            <v>A0185</v>
          </cell>
          <cell r="B2262" t="str">
            <v>AMERENUE SAFETY &amp; HEALTH SUPPORT</v>
          </cell>
          <cell r="C2262" t="str">
            <v>49D-ESH - SAFETY &amp; HEALTH</v>
          </cell>
        </row>
        <row r="2263">
          <cell r="A2263" t="str">
            <v>A0189</v>
          </cell>
          <cell r="B2263" t="str">
            <v>ALLOCATED ENV SUPPORT SERV</v>
          </cell>
          <cell r="C2263" t="str">
            <v>049-ESH - GENERAL</v>
          </cell>
        </row>
        <row r="2264">
          <cell r="A2264" t="str">
            <v>A0192</v>
          </cell>
          <cell r="B2264" t="str">
            <v>TAX-DEPARTMENTAL ADMINISTRATION</v>
          </cell>
          <cell r="C2264" t="str">
            <v>05T-TAX</v>
          </cell>
        </row>
        <row r="2265">
          <cell r="A2265" t="str">
            <v>A0193</v>
          </cell>
          <cell r="B2265" t="str">
            <v>ADMIN SECRETARIAL SUPPORT AND OTHER</v>
          </cell>
          <cell r="C2265" t="str">
            <v>049-ESH - GENERAL</v>
          </cell>
        </row>
        <row r="2266">
          <cell r="A2266" t="str">
            <v>A0194</v>
          </cell>
          <cell r="B2266" t="str">
            <v>AMEREN/CIPS ENV SUPPORT SERV</v>
          </cell>
          <cell r="C2266" t="str">
            <v>049-ESH - GENERAL</v>
          </cell>
        </row>
        <row r="2267">
          <cell r="A2267" t="str">
            <v>A0195</v>
          </cell>
          <cell r="B2267" t="str">
            <v>AMERENUE ENV SUPPORT SERV</v>
          </cell>
          <cell r="C2267" t="str">
            <v>049-ESH - GENERAL</v>
          </cell>
        </row>
        <row r="2268">
          <cell r="A2268" t="str">
            <v>A0196</v>
          </cell>
          <cell r="B2268" t="str">
            <v>AMERENUE INVEST &amp; REMEDIATION</v>
          </cell>
          <cell r="C2268" t="str">
            <v>49B-ESH - WASTE</v>
          </cell>
        </row>
        <row r="2269">
          <cell r="A2269" t="str">
            <v>A0197</v>
          </cell>
          <cell r="B2269" t="str">
            <v>AMERENCIPS INVEST &amp; REMEDIATION</v>
          </cell>
          <cell r="C2269" t="str">
            <v>49B-ESH - WASTE</v>
          </cell>
        </row>
        <row r="2270">
          <cell r="A2270" t="str">
            <v>A0199</v>
          </cell>
          <cell r="B2270" t="str">
            <v>SUPV CUSTOMER SERVICE - ALLOC</v>
          </cell>
          <cell r="C2270" t="str">
            <v>03W-CUSTOMER SERVICE-AMS</v>
          </cell>
        </row>
        <row r="2271">
          <cell r="A2271" t="str">
            <v>A0200</v>
          </cell>
          <cell r="B2271" t="str">
            <v>CONSTRUCTION STDS,TOOLS,EQPMT - UEC</v>
          </cell>
          <cell r="C2271" t="str">
            <v>233-ED-ELECTRIC STANDARDS</v>
          </cell>
        </row>
        <row r="2272">
          <cell r="A2272" t="str">
            <v>A0201</v>
          </cell>
          <cell r="B2272" t="str">
            <v>MOTOR TRANS.-CLERICAL SUPPORT -UEC</v>
          </cell>
          <cell r="C2272" t="str">
            <v>07T-FLEET SERVICES - AMS</v>
          </cell>
        </row>
        <row r="2273">
          <cell r="A2273" t="str">
            <v>A0202</v>
          </cell>
          <cell r="B2273" t="str">
            <v>CONSTRUCTION STDS,TOOLS,EQPMT - CIP</v>
          </cell>
          <cell r="C2273" t="str">
            <v>233-ED-ELECTRIC STANDARDS</v>
          </cell>
        </row>
        <row r="2274">
          <cell r="A2274" t="str">
            <v>A0203</v>
          </cell>
          <cell r="B2274" t="str">
            <v>CONSTRUCTION STDS,TOOLS,EQPMT-ALLOC</v>
          </cell>
          <cell r="C2274" t="str">
            <v>233-ED-ELECTRIC STANDARDS</v>
          </cell>
        </row>
        <row r="2275">
          <cell r="A2275" t="str">
            <v>A0208</v>
          </cell>
          <cell r="B2275" t="str">
            <v>CORPORATE ANALYSIS ALLOCATED - GAS</v>
          </cell>
          <cell r="C2275" t="str">
            <v>012-CORPORATE PLANNING</v>
          </cell>
        </row>
        <row r="2276">
          <cell r="A2276" t="str">
            <v>A0209</v>
          </cell>
          <cell r="B2276" t="str">
            <v>AUDIT OF UE SYSTEM METER OPS</v>
          </cell>
          <cell r="C2276" t="str">
            <v>05A-INTERNAL AUDIT</v>
          </cell>
        </row>
        <row r="2277">
          <cell r="A2277" t="str">
            <v>A0210</v>
          </cell>
          <cell r="B2277" t="str">
            <v>AUDIT OF CIPS SYSTEM METER OPS</v>
          </cell>
          <cell r="C2277" t="str">
            <v>05A-INTERNAL AUDIT</v>
          </cell>
        </row>
        <row r="2278">
          <cell r="A2278" t="str">
            <v>A0211</v>
          </cell>
          <cell r="B2278" t="str">
            <v>AUDIT OF UE TROUBLE OPERATIONS</v>
          </cell>
          <cell r="C2278" t="str">
            <v>05A-INTERNAL AUDIT</v>
          </cell>
        </row>
        <row r="2279">
          <cell r="A2279" t="str">
            <v>A0212</v>
          </cell>
          <cell r="B2279" t="str">
            <v>DISTRIBUTION ENGRG. SVCS.- UEC</v>
          </cell>
          <cell r="C2279" t="str">
            <v>028-ED DISTRIBUTION ENGINEERING</v>
          </cell>
        </row>
        <row r="2280">
          <cell r="A2280" t="str">
            <v>A0214</v>
          </cell>
          <cell r="B2280" t="str">
            <v>DISTRIBUTION ENGRG. SVCS.- CIP</v>
          </cell>
          <cell r="C2280" t="str">
            <v>028-ED DISTRIBUTION ENGINEERING</v>
          </cell>
        </row>
        <row r="2281">
          <cell r="A2281" t="str">
            <v>A0215</v>
          </cell>
          <cell r="B2281" t="str">
            <v>CSS PROJECT-FUNCTIONAL INDIRECT</v>
          </cell>
          <cell r="C2281" t="str">
            <v>008-CUSTOMER SERVICE CENTER-MO</v>
          </cell>
        </row>
        <row r="2282">
          <cell r="A2282" t="str">
            <v>A0217</v>
          </cell>
          <cell r="B2282" t="str">
            <v>AUDIT OF NUCLEAR OPERATIONS</v>
          </cell>
          <cell r="C2282" t="str">
            <v>05A-INTERNAL AUDIT</v>
          </cell>
        </row>
        <row r="2283">
          <cell r="A2283" t="str">
            <v>A0218</v>
          </cell>
          <cell r="B2283" t="str">
            <v>AUDIT OF CIPSCO COMPANY</v>
          </cell>
          <cell r="C2283" t="str">
            <v>05A-INTERNAL AUDIT</v>
          </cell>
        </row>
        <row r="2284">
          <cell r="A2284" t="str">
            <v>A0219</v>
          </cell>
          <cell r="B2284" t="str">
            <v>AUDIT OF UE DEVELOPMENT COMPANY</v>
          </cell>
          <cell r="C2284" t="str">
            <v>05A-INTERNAL AUDIT</v>
          </cell>
        </row>
        <row r="2285">
          <cell r="A2285" t="str">
            <v>A0220</v>
          </cell>
          <cell r="B2285" t="str">
            <v>CORP PLANNING SUPPORT FOR UE</v>
          </cell>
          <cell r="C2285" t="str">
            <v>012-CORPORATE PLANNING</v>
          </cell>
        </row>
        <row r="2286">
          <cell r="A2286" t="str">
            <v>A0222</v>
          </cell>
          <cell r="B2286" t="str">
            <v>DATAOPS - FINANCIAL SYS SUPPORT</v>
          </cell>
          <cell r="C2286" t="str">
            <v>06E-SCP - DATA MANAGEMENT</v>
          </cell>
        </row>
        <row r="2287">
          <cell r="A2287" t="str">
            <v>A0223</v>
          </cell>
          <cell r="B2287" t="str">
            <v>DATAOPS - CUSTOMER SYS SUPPORT</v>
          </cell>
          <cell r="C2287" t="str">
            <v>06E-SCP - DATA MANAGEMENT</v>
          </cell>
        </row>
        <row r="2288">
          <cell r="A2288" t="str">
            <v>A0224</v>
          </cell>
          <cell r="B2288" t="str">
            <v>DATAOPS - HR SYS SUPPORT EXCL TRIS</v>
          </cell>
          <cell r="C2288" t="str">
            <v>06E-SCP - DATA MANAGEMENT</v>
          </cell>
        </row>
        <row r="2289">
          <cell r="A2289" t="str">
            <v>A0228</v>
          </cell>
          <cell r="B2289" t="str">
            <v>DATAOPS - POWER PLANT SYS SUPPORT</v>
          </cell>
          <cell r="C2289" t="str">
            <v>06E-SCP - DATA MANAGEMENT</v>
          </cell>
        </row>
        <row r="2290">
          <cell r="A2290" t="str">
            <v>A0230</v>
          </cell>
          <cell r="B2290" t="str">
            <v>DATAOPS - UE</v>
          </cell>
          <cell r="C2290" t="str">
            <v>006-INF - DATA CENTER OPERATIONS</v>
          </cell>
        </row>
        <row r="2291">
          <cell r="A2291" t="str">
            <v>A0231</v>
          </cell>
          <cell r="B2291" t="str">
            <v>DATAOPS - CIPS</v>
          </cell>
          <cell r="C2291" t="str">
            <v>006-INF - DATA CENTER OPERATIONS</v>
          </cell>
        </row>
        <row r="2292">
          <cell r="A2292" t="str">
            <v>A0233</v>
          </cell>
          <cell r="B2292" t="str">
            <v>DATA OPERATIONS - MAINFRAME SUPPORT</v>
          </cell>
          <cell r="C2292" t="str">
            <v>06G-INF - MVS SYSTEMS</v>
          </cell>
        </row>
        <row r="2293">
          <cell r="A2293" t="str">
            <v>A0234</v>
          </cell>
          <cell r="B2293" t="str">
            <v>DATA OPERATIONS - OPEN SYSTEMS SUPP</v>
          </cell>
          <cell r="C2293" t="str">
            <v>06E-SCP - DATA MANAGEMENT</v>
          </cell>
        </row>
        <row r="2294">
          <cell r="A2294" t="str">
            <v>A0235</v>
          </cell>
          <cell r="B2294" t="str">
            <v>LIBRARY SERVICES- ALLOC(ELEC/GAS)</v>
          </cell>
          <cell r="C2294" t="str">
            <v>001-CORPORATE COMMUNICATIONS</v>
          </cell>
        </row>
        <row r="2295">
          <cell r="A2295" t="str">
            <v>A0236</v>
          </cell>
          <cell r="B2295" t="str">
            <v>METER READING MV-90 SUPPORT - CIP</v>
          </cell>
          <cell r="C2295" t="str">
            <v>03A-METER READING-AMS</v>
          </cell>
        </row>
        <row r="2296">
          <cell r="A2296" t="str">
            <v>A0237</v>
          </cell>
          <cell r="B2296" t="str">
            <v>SEC SUP'T, SUPPL&amp;OTHER-COMM/TRN (EL</v>
          </cell>
          <cell r="C2296" t="str">
            <v>02V-EMPLOYEE COMMUNICATIONS</v>
          </cell>
        </row>
        <row r="2297">
          <cell r="A2297" t="str">
            <v>A0238</v>
          </cell>
          <cell r="B2297" t="str">
            <v>COMMUNICATIONS SERVICES - AMEREN/UE</v>
          </cell>
          <cell r="C2297" t="str">
            <v>065-NEO - TELEPHONE SERVICES</v>
          </cell>
        </row>
        <row r="2298">
          <cell r="A2298" t="str">
            <v>A0239</v>
          </cell>
          <cell r="B2298" t="str">
            <v>COMM SVCS - AMEREN CIPS</v>
          </cell>
          <cell r="C2298" t="str">
            <v>065-NEO - TELEPHONE SERVICES</v>
          </cell>
        </row>
        <row r="2299">
          <cell r="A2299" t="str">
            <v>A0240</v>
          </cell>
          <cell r="B2299" t="str">
            <v>TEST/REPAIR METER LAB EQUIP-UEC-MO</v>
          </cell>
          <cell r="C2299" t="str">
            <v>03V-DISTRIBUTION SERVICES-AMS</v>
          </cell>
        </row>
        <row r="2300">
          <cell r="A2300" t="str">
            <v>A0241</v>
          </cell>
          <cell r="B2300" t="str">
            <v>COMMUNICATIONS SERVICES - DDOS</v>
          </cell>
          <cell r="C2300" t="str">
            <v>065-NEO - TELEPHONE SERVICES</v>
          </cell>
        </row>
        <row r="2301">
          <cell r="A2301" t="str">
            <v>A0243</v>
          </cell>
          <cell r="B2301" t="str">
            <v>DATA CENTER -FUNCTIOAL INDIRECT</v>
          </cell>
          <cell r="C2301" t="str">
            <v>006-INF - DATA CENTER OPERATIONS</v>
          </cell>
        </row>
        <row r="2302">
          <cell r="A2302" t="str">
            <v>A0245</v>
          </cell>
          <cell r="B2302" t="str">
            <v>CSD - ADMINISTRATION - AMEREN/CIPS</v>
          </cell>
          <cell r="C2302" t="str">
            <v>45C-ED FINANCIAL SUPPORT &amp; ANALYSIS</v>
          </cell>
        </row>
        <row r="2303">
          <cell r="A2303" t="str">
            <v>A0247</v>
          </cell>
          <cell r="B2303" t="str">
            <v>CSD - ADMINISTRATION - ALLOCATED</v>
          </cell>
          <cell r="C2303" t="str">
            <v>45C-ED FINANCIAL SUPPORT &amp; ANALYSIS</v>
          </cell>
        </row>
        <row r="2304">
          <cell r="A2304" t="str">
            <v>A0248</v>
          </cell>
          <cell r="B2304" t="str">
            <v>METER READING MV-90 SUPPORT</v>
          </cell>
          <cell r="C2304" t="str">
            <v>03A-METER READING-AMS</v>
          </cell>
        </row>
        <row r="2305">
          <cell r="A2305" t="str">
            <v>A0249</v>
          </cell>
          <cell r="B2305" t="str">
            <v>METER READING SUPPORT</v>
          </cell>
          <cell r="C2305" t="str">
            <v>03A-METER READING-AMS</v>
          </cell>
        </row>
        <row r="2306">
          <cell r="A2306" t="str">
            <v>A0250</v>
          </cell>
          <cell r="B2306" t="str">
            <v>CORP ANALYSIS ALLOCATED-ELECTRIC</v>
          </cell>
          <cell r="C2306" t="str">
            <v>012-CORPORATE PLANNING</v>
          </cell>
        </row>
        <row r="2307">
          <cell r="A2307" t="str">
            <v>A0251</v>
          </cell>
          <cell r="B2307" t="str">
            <v>CORPORATE PLANNING SUPPORT FOR CIPS</v>
          </cell>
          <cell r="C2307" t="str">
            <v>012-CORPORATE PLANNING</v>
          </cell>
        </row>
        <row r="2308">
          <cell r="A2308" t="str">
            <v>A0252</v>
          </cell>
          <cell r="B2308" t="str">
            <v>EXEC PAYROLL &amp; CASH BAL ACTVTIES</v>
          </cell>
          <cell r="C2308" t="str">
            <v>02P-HR - TOTAL REWARDS</v>
          </cell>
        </row>
        <row r="2309">
          <cell r="A2309" t="str">
            <v>A0253</v>
          </cell>
          <cell r="B2309" t="str">
            <v>PROVIDE SVCS TO BFT TOTAL CO-AMS</v>
          </cell>
          <cell r="C2309" t="str">
            <v>02E-HR - STAFFING</v>
          </cell>
        </row>
        <row r="2310">
          <cell r="A2310" t="str">
            <v>A0254</v>
          </cell>
          <cell r="B2310" t="str">
            <v>SECRETARIAL, GENL OFC SUPPLIES -OTH</v>
          </cell>
          <cell r="C2310" t="str">
            <v>02E-HR - STAFFING</v>
          </cell>
        </row>
        <row r="2311">
          <cell r="A2311" t="str">
            <v>A0255</v>
          </cell>
          <cell r="B2311" t="str">
            <v>CORP SECRETARYS INDIRECT FUNCTIONAL</v>
          </cell>
          <cell r="C2311" t="str">
            <v>06F-INF - ENTERPRISE STORAGE</v>
          </cell>
        </row>
        <row r="2312">
          <cell r="A2312" t="str">
            <v>A0256</v>
          </cell>
          <cell r="B2312" t="str">
            <v>MAINTAIN AND ADMIN EMPL BEN PLANS</v>
          </cell>
          <cell r="C2312" t="str">
            <v>017-EMPLOYEE BENEFITS</v>
          </cell>
        </row>
        <row r="2313">
          <cell r="A2313" t="str">
            <v>A0259</v>
          </cell>
          <cell r="B2313" t="str">
            <v>CORP SECRETARY'S INDIRECT CORPORATE</v>
          </cell>
          <cell r="C2313" t="str">
            <v>06F-INF - ENTERPRISE STORAGE</v>
          </cell>
        </row>
        <row r="2314">
          <cell r="A2314" t="str">
            <v>A0262</v>
          </cell>
          <cell r="B2314" t="str">
            <v>COMMON STOCK TRANSACTIONS &amp; ACTVS</v>
          </cell>
          <cell r="C2314" t="str">
            <v>075-BANKING AND INVESTOR SERVICES</v>
          </cell>
        </row>
        <row r="2315">
          <cell r="A2315" t="str">
            <v>A0266</v>
          </cell>
          <cell r="B2315" t="str">
            <v>(DND)INSURANCE - AMEREN/UE</v>
          </cell>
          <cell r="C2315" t="str">
            <v>07R-FINANCIAL PLANNING, INS &amp; RISK</v>
          </cell>
        </row>
        <row r="2316">
          <cell r="A2316" t="str">
            <v>A0273</v>
          </cell>
          <cell r="B2316" t="str">
            <v>CORP SECRETARY'S WORK - AMEREN/UE</v>
          </cell>
          <cell r="C2316" t="str">
            <v>06F-INF - ENTERPRISE STORAGE</v>
          </cell>
        </row>
        <row r="2317">
          <cell r="A2317" t="str">
            <v>A0274</v>
          </cell>
          <cell r="B2317" t="str">
            <v>CORP SECRETARY WORK - AMEREN/CIPS</v>
          </cell>
          <cell r="C2317" t="str">
            <v>06F-INF - ENTERPRISE STORAGE</v>
          </cell>
        </row>
        <row r="2318">
          <cell r="A2318" t="str">
            <v>A0275</v>
          </cell>
          <cell r="B2318" t="str">
            <v>CORP SECRETARY WORK - AMEREN CORP</v>
          </cell>
          <cell r="C2318" t="str">
            <v>06F-INF - ENTERPRISE STORAGE</v>
          </cell>
        </row>
        <row r="2319">
          <cell r="A2319" t="str">
            <v>A0276</v>
          </cell>
          <cell r="B2319" t="str">
            <v>CORP SECTRETARY'S WORK-CIPSCO INV</v>
          </cell>
          <cell r="C2319" t="str">
            <v>06F-INF - ENTERPRISE STORAGE</v>
          </cell>
        </row>
        <row r="2320">
          <cell r="A2320" t="str">
            <v>A0277</v>
          </cell>
          <cell r="B2320" t="str">
            <v>CORP SECRETARY'S WORK-UEDC</v>
          </cell>
          <cell r="C2320" t="str">
            <v>06F-INF - ENTERPRISE STORAGE</v>
          </cell>
        </row>
        <row r="2321">
          <cell r="A2321" t="str">
            <v>A0278</v>
          </cell>
          <cell r="B2321" t="str">
            <v>BOARD OF DIRECTORS MEETINGS-UEDC</v>
          </cell>
          <cell r="C2321" t="str">
            <v>06F-INF - ENTERPRISE STORAGE</v>
          </cell>
        </row>
        <row r="2322">
          <cell r="A2322" t="str">
            <v>A0279</v>
          </cell>
          <cell r="B2322" t="str">
            <v>SWO - UEC ACQ PROPERTY RT</v>
          </cell>
          <cell r="C2322" t="str">
            <v>061-REAL ESTATE</v>
          </cell>
        </row>
        <row r="2323">
          <cell r="A2323" t="str">
            <v>A0280</v>
          </cell>
          <cell r="B2323" t="str">
            <v>SWO - CIP ACQ PROPERTY RT</v>
          </cell>
          <cell r="C2323" t="str">
            <v>061-REAL ESTATE</v>
          </cell>
        </row>
        <row r="2324">
          <cell r="A2324" t="str">
            <v>A0281</v>
          </cell>
          <cell r="B2324" t="str">
            <v>SWO - UEC PROP MGMT</v>
          </cell>
          <cell r="C2324" t="str">
            <v>061-REAL ESTATE</v>
          </cell>
        </row>
        <row r="2325">
          <cell r="A2325" t="str">
            <v>A0282</v>
          </cell>
          <cell r="B2325" t="str">
            <v>SWO - CIP PROP MGMT</v>
          </cell>
          <cell r="C2325" t="str">
            <v>061-REAL ESTATE</v>
          </cell>
        </row>
        <row r="2326">
          <cell r="A2326" t="str">
            <v>A0283</v>
          </cell>
          <cell r="B2326" t="str">
            <v>SWO - UEC DISP PROP RT</v>
          </cell>
          <cell r="C2326" t="str">
            <v>061-REAL ESTATE</v>
          </cell>
        </row>
        <row r="2327">
          <cell r="A2327" t="str">
            <v>A0284</v>
          </cell>
          <cell r="B2327" t="str">
            <v>SWO - CIP DISP PROP RT</v>
          </cell>
          <cell r="C2327" t="str">
            <v>061-REAL ESTATE</v>
          </cell>
        </row>
        <row r="2328">
          <cell r="A2328" t="str">
            <v>A0285</v>
          </cell>
          <cell r="B2328" t="str">
            <v>SWO - MAINT PROP RECORDS</v>
          </cell>
          <cell r="C2328" t="str">
            <v>061-REAL ESTATE</v>
          </cell>
        </row>
        <row r="2329">
          <cell r="A2329" t="str">
            <v>A0286</v>
          </cell>
          <cell r="B2329" t="str">
            <v>SWO - ADMIN GEN STENO CLERICAL</v>
          </cell>
          <cell r="C2329" t="str">
            <v>061-REAL ESTATE</v>
          </cell>
        </row>
        <row r="2330">
          <cell r="A2330" t="str">
            <v>A0287</v>
          </cell>
          <cell r="B2330" t="str">
            <v>SWO - MANAGERIAL ADMIN DUTIES</v>
          </cell>
          <cell r="C2330" t="str">
            <v>061-REAL ESTATE</v>
          </cell>
        </row>
        <row r="2331">
          <cell r="A2331" t="str">
            <v>A0288</v>
          </cell>
          <cell r="B2331" t="str">
            <v>COMMUNICATIONS SERVICES - GENERAL</v>
          </cell>
          <cell r="C2331" t="str">
            <v>065-NEO - TELEPHONE SERVICES</v>
          </cell>
        </row>
        <row r="2332">
          <cell r="A2332" t="str">
            <v>A0290</v>
          </cell>
          <cell r="B2332" t="str">
            <v>UE BOND/PREF STOCK TRANSACTS &amp;ACTVS</v>
          </cell>
          <cell r="C2332" t="str">
            <v>075-BANKING AND INVESTOR SERVICES</v>
          </cell>
        </row>
        <row r="2333">
          <cell r="A2333" t="str">
            <v>A0291</v>
          </cell>
          <cell r="B2333" t="str">
            <v>GAS TRAINING (UE)</v>
          </cell>
          <cell r="C2333" t="str">
            <v>0G7-GAS TRAINING</v>
          </cell>
        </row>
        <row r="2334">
          <cell r="A2334" t="str">
            <v>A0292</v>
          </cell>
          <cell r="B2334" t="str">
            <v>GAS TRAINING SUPT(UE/CIPS/CIL/IP)</v>
          </cell>
          <cell r="C2334" t="str">
            <v>0G7-GAS TRAINING</v>
          </cell>
        </row>
        <row r="2335">
          <cell r="A2335" t="str">
            <v>A0293</v>
          </cell>
          <cell r="B2335" t="str">
            <v>GAS CONTROL</v>
          </cell>
          <cell r="C2335" t="str">
            <v>0G2-GAS TECH SERVICES - AMS</v>
          </cell>
        </row>
        <row r="2336">
          <cell r="A2336" t="str">
            <v>A0294</v>
          </cell>
          <cell r="B2336" t="str">
            <v>GAS TRAINING (CIPS)</v>
          </cell>
          <cell r="C2336" t="str">
            <v>0G7-GAS TRAINING</v>
          </cell>
        </row>
        <row r="2337">
          <cell r="A2337" t="str">
            <v>A0296</v>
          </cell>
          <cell r="B2337" t="str">
            <v>CIPS PREF STOCK TRANSACTS &amp; ACTVS</v>
          </cell>
          <cell r="C2337" t="str">
            <v>075-BANKING AND INVESTOR SERVICES</v>
          </cell>
        </row>
        <row r="2338">
          <cell r="A2338" t="str">
            <v>A0297</v>
          </cell>
          <cell r="B2338" t="str">
            <v>END-USER TRANSPORTATION MGT(CIPS)</v>
          </cell>
          <cell r="C2338" t="str">
            <v>0G2-GAS TECH SERVICES - AMS</v>
          </cell>
        </row>
        <row r="2339">
          <cell r="A2339" t="str">
            <v>A0299</v>
          </cell>
          <cell r="B2339" t="str">
            <v>GAS ENG &amp; TECH - AMEREN ILLINOIS</v>
          </cell>
          <cell r="C2339" t="str">
            <v>0G2-GAS TECH SERVICES - AMS</v>
          </cell>
        </row>
        <row r="2340">
          <cell r="A2340" t="str">
            <v>A0300</v>
          </cell>
          <cell r="B2340" t="str">
            <v>GAS ENG &amp; TECH SUPPORT (UE)</v>
          </cell>
          <cell r="C2340" t="str">
            <v>0G2-GAS TECH SERVICES - AMS</v>
          </cell>
        </row>
        <row r="2341">
          <cell r="A2341" t="str">
            <v>A0302</v>
          </cell>
          <cell r="B2341" t="str">
            <v>GAS ENG &amp; TECH SUPPORT (CIPS)</v>
          </cell>
          <cell r="C2341" t="str">
            <v>0G2-GAS TECH SERVICES - AMS</v>
          </cell>
        </row>
        <row r="2342">
          <cell r="A2342" t="str">
            <v>A0305</v>
          </cell>
          <cell r="B2342" t="str">
            <v>POWER QUAL &amp; METER TECH SUPPORT-UEC</v>
          </cell>
          <cell r="C2342" t="str">
            <v>03V-DISTRIBUTION SERVICES-AMS</v>
          </cell>
        </row>
        <row r="2343">
          <cell r="A2343" t="str">
            <v>A0306</v>
          </cell>
          <cell r="B2343" t="str">
            <v>POWER QUAL &amp; METER TECH SUPPORT-CIP</v>
          </cell>
          <cell r="C2343" t="str">
            <v>03V-DISTRIBUTION SERVICES-AMS</v>
          </cell>
        </row>
        <row r="2344">
          <cell r="A2344" t="str">
            <v>A0307</v>
          </cell>
          <cell r="B2344" t="str">
            <v>DEVELOPMENT AND MTCE OF STDS-POLICY</v>
          </cell>
          <cell r="C2344" t="str">
            <v>03V-DISTRIBUTION SERVICES-AMS</v>
          </cell>
        </row>
        <row r="2345">
          <cell r="A2345" t="str">
            <v>A0308</v>
          </cell>
          <cell r="B2345" t="str">
            <v>SUPERVISION OF PERSONNEL- AMEREN/UE</v>
          </cell>
          <cell r="C2345" t="str">
            <v>02F-VEGETATION MGT-IL</v>
          </cell>
        </row>
        <row r="2346">
          <cell r="A2346" t="str">
            <v>A0309</v>
          </cell>
          <cell r="B2346" t="str">
            <v>ADMIN. OF TREE TRIMMING - CIPS</v>
          </cell>
          <cell r="C2346" t="str">
            <v>02F-VEGETATION MGT-IL</v>
          </cell>
        </row>
        <row r="2347">
          <cell r="A2347" t="str">
            <v>A0310</v>
          </cell>
          <cell r="B2347" t="str">
            <v>TREE TRIMMING SCHED, CONTR, BUDGET</v>
          </cell>
          <cell r="C2347" t="str">
            <v>02F-VEGETATION MGT-IL</v>
          </cell>
        </row>
        <row r="2348">
          <cell r="A2348" t="str">
            <v>A0311</v>
          </cell>
          <cell r="B2348" t="str">
            <v>AUDIT OF ENVIRONMENTAL OPERATIONS</v>
          </cell>
          <cell r="C2348" t="str">
            <v>05A-INTERNAL AUDIT</v>
          </cell>
        </row>
        <row r="2349">
          <cell r="A2349" t="str">
            <v>A0312</v>
          </cell>
          <cell r="B2349" t="str">
            <v>BILLING SYSTEM SUPPORT - UE (ELEC/G</v>
          </cell>
          <cell r="C2349" t="str">
            <v>003-CUSTOMER ACCOUNTING</v>
          </cell>
        </row>
        <row r="2350">
          <cell r="A2350" t="str">
            <v>A0314</v>
          </cell>
          <cell r="B2350" t="str">
            <v>BILLING SYSTEM SUPPORT - CIPS (ELEC</v>
          </cell>
          <cell r="C2350" t="str">
            <v>003-CUSTOMER ACCOUNTING</v>
          </cell>
        </row>
        <row r="2351">
          <cell r="A2351" t="str">
            <v>A0315</v>
          </cell>
          <cell r="B2351" t="str">
            <v>BILLING SYSTEM SUPPORT-ALLOCATED (E</v>
          </cell>
          <cell r="C2351" t="str">
            <v>003-CUSTOMER ACCOUNTING</v>
          </cell>
        </row>
        <row r="2352">
          <cell r="A2352" t="str">
            <v>A0316</v>
          </cell>
          <cell r="B2352" t="str">
            <v>OFFICE SUPPLIES &amp; MISC SUPPORT(ELEC</v>
          </cell>
          <cell r="C2352" t="str">
            <v>003-CUSTOMER ACCOUNTING</v>
          </cell>
        </row>
        <row r="2353">
          <cell r="A2353" t="str">
            <v>A0317</v>
          </cell>
          <cell r="B2353" t="str">
            <v>BILLING SYSTEM SUPPORT-MANAGERIAL(E</v>
          </cell>
          <cell r="C2353" t="str">
            <v>003-CUSTOMER ACCOUNTING</v>
          </cell>
        </row>
        <row r="2354">
          <cell r="A2354" t="str">
            <v>A0318</v>
          </cell>
          <cell r="B2354" t="str">
            <v>METER READING SUPPORT - AMEREN/UE</v>
          </cell>
          <cell r="C2354" t="str">
            <v>03A-METER READING-AMS</v>
          </cell>
        </row>
        <row r="2355">
          <cell r="A2355" t="str">
            <v>A0319</v>
          </cell>
          <cell r="B2355" t="str">
            <v>AUDIT OF ACCTS PAY &amp; PURCHASING OPS</v>
          </cell>
          <cell r="C2355" t="str">
            <v>05A-INTERNAL AUDIT</v>
          </cell>
        </row>
        <row r="2356">
          <cell r="A2356" t="str">
            <v>A0320</v>
          </cell>
          <cell r="B2356" t="str">
            <v>METER READING SUPPORT - AMEREN/CIPS</v>
          </cell>
          <cell r="C2356" t="str">
            <v>03A-METER READING-AMS</v>
          </cell>
        </row>
        <row r="2357">
          <cell r="A2357" t="str">
            <v>A0321</v>
          </cell>
          <cell r="B2357" t="str">
            <v>MOTOR TRANS.-CLERICAL SUPPT.-ALLOC.</v>
          </cell>
          <cell r="C2357" t="str">
            <v>07T-FLEET SERVICES - AMS</v>
          </cell>
        </row>
        <row r="2358">
          <cell r="A2358" t="str">
            <v>A0322</v>
          </cell>
          <cell r="B2358" t="str">
            <v>MOTOR TRANS MISC. SUPPLIES - ALLOC.</v>
          </cell>
          <cell r="C2358" t="str">
            <v>07T-FLEET SERVICES - AMS</v>
          </cell>
        </row>
        <row r="2359">
          <cell r="A2359" t="str">
            <v>A0323</v>
          </cell>
          <cell r="B2359" t="str">
            <v>MOTOR TRANS. -ENGR/SUPER SUPPT.-UEC</v>
          </cell>
          <cell r="C2359" t="str">
            <v>07T-FLEET SERVICES - AMS</v>
          </cell>
        </row>
        <row r="2360">
          <cell r="A2360" t="str">
            <v>A0324</v>
          </cell>
          <cell r="B2360" t="str">
            <v>MOTOR TRANS. -ENGR/SUPER SUPPT.-CIP</v>
          </cell>
          <cell r="C2360" t="str">
            <v>07T-FLEET SERVICES - AMS</v>
          </cell>
        </row>
        <row r="2361">
          <cell r="A2361" t="str">
            <v>A0325</v>
          </cell>
          <cell r="B2361" t="str">
            <v>MOTOR TRANS- ENGR/SUPER SUPPT-ALLOC</v>
          </cell>
          <cell r="C2361" t="str">
            <v>07T-FLEET SERVICES - AMS</v>
          </cell>
        </row>
        <row r="2362">
          <cell r="A2362" t="str">
            <v>A0326</v>
          </cell>
          <cell r="B2362" t="str">
            <v>PROVIDE DEPT SUPPORT-INVESTOR SVCS</v>
          </cell>
          <cell r="C2362" t="str">
            <v>075-BANKING AND INVESTOR SERVICES</v>
          </cell>
        </row>
        <row r="2363">
          <cell r="A2363" t="str">
            <v>A0333</v>
          </cell>
          <cell r="B2363" t="str">
            <v>MAINTAIN PERSONNEL RECORDS</v>
          </cell>
          <cell r="C2363" t="str">
            <v>02P-HR - TOTAL REWARDS</v>
          </cell>
        </row>
        <row r="2364">
          <cell r="A2364" t="str">
            <v>A0337</v>
          </cell>
          <cell r="B2364" t="str">
            <v>TRNG VIDEOS &amp; MULTI-MEDIA - PWR PRO</v>
          </cell>
          <cell r="C2364" t="str">
            <v>02V-EMPLOYEE COMMUNICATIONS</v>
          </cell>
        </row>
        <row r="2365">
          <cell r="A2365" t="str">
            <v>A0338</v>
          </cell>
          <cell r="B2365" t="str">
            <v>FRAUD REVIEWS</v>
          </cell>
          <cell r="C2365" t="str">
            <v>05A-INTERNAL AUDIT</v>
          </cell>
        </row>
        <row r="2366">
          <cell r="A2366" t="str">
            <v>A0339</v>
          </cell>
          <cell r="B2366" t="str">
            <v>AUDIT OF GENERAL COUNSEL</v>
          </cell>
          <cell r="C2366" t="str">
            <v>05A-INTERNAL AUDIT</v>
          </cell>
        </row>
        <row r="2367">
          <cell r="A2367" t="str">
            <v>A0340</v>
          </cell>
          <cell r="B2367" t="str">
            <v>AUDIT OF INFORMATION SERVICES</v>
          </cell>
          <cell r="C2367" t="str">
            <v>05A-INTERNAL AUDIT</v>
          </cell>
        </row>
        <row r="2368">
          <cell r="A2368" t="str">
            <v>A0341</v>
          </cell>
          <cell r="B2368" t="str">
            <v>AUDIT OF LABORATORY SERVICES - UE</v>
          </cell>
          <cell r="C2368" t="str">
            <v>05A-INTERNAL AUDIT</v>
          </cell>
        </row>
        <row r="2369">
          <cell r="A2369" t="str">
            <v>A0342</v>
          </cell>
          <cell r="B2369" t="str">
            <v>AUDIT OF TREASURY OPERATIONS</v>
          </cell>
          <cell r="C2369" t="str">
            <v>05A-INTERNAL AUDIT</v>
          </cell>
        </row>
        <row r="2370">
          <cell r="A2370" t="str">
            <v>A0343</v>
          </cell>
          <cell r="B2370" t="str">
            <v>AUDIT OF ACCTS RECVABLE &amp; CUST ACTG</v>
          </cell>
          <cell r="C2370" t="str">
            <v>05A-INTERNAL AUDIT</v>
          </cell>
        </row>
        <row r="2371">
          <cell r="A2371" t="str">
            <v>A0344</v>
          </cell>
          <cell r="B2371" t="str">
            <v>AUDIT OF CREDIT &amp; COLLECTION OPS</v>
          </cell>
          <cell r="C2371" t="str">
            <v>05A-INTERNAL AUDIT</v>
          </cell>
        </row>
        <row r="2372">
          <cell r="A2372" t="str">
            <v>A0345</v>
          </cell>
          <cell r="B2372" t="str">
            <v>TRNG VIDEOS &amp; MULTI-MEDIA-CUST SVC(</v>
          </cell>
          <cell r="C2372" t="str">
            <v>02V-EMPLOYEE COMMUNICATIONS</v>
          </cell>
        </row>
        <row r="2373">
          <cell r="A2373" t="str">
            <v>A0346</v>
          </cell>
          <cell r="B2373" t="str">
            <v>TRNG VIDEOS/MULTI-MEDIA PJCTS-NUCLE</v>
          </cell>
          <cell r="C2373" t="str">
            <v>02V-EMPLOYEE COMMUNICATIONS</v>
          </cell>
        </row>
        <row r="2374">
          <cell r="A2374" t="str">
            <v>A0348</v>
          </cell>
          <cell r="B2374" t="str">
            <v>EMP NEWS VIDEO(I/C) &amp; OTH EMP INFO(</v>
          </cell>
          <cell r="C2374" t="str">
            <v>02V-EMPLOYEE COMMUNICATIONS</v>
          </cell>
        </row>
        <row r="2375">
          <cell r="A2375" t="str">
            <v>A0349</v>
          </cell>
          <cell r="B2375" t="str">
            <v>STAFF TRNG-COMMUNIC SKILLS &amp;THEORY(</v>
          </cell>
          <cell r="C2375" t="str">
            <v>02V-EMPLOYEE COMMUNICATIONS</v>
          </cell>
        </row>
        <row r="2376">
          <cell r="A2376" t="str">
            <v>A0350</v>
          </cell>
          <cell r="B2376" t="str">
            <v>A/V SUPPORT FOR AMS SR MGMT (ELEC/G</v>
          </cell>
          <cell r="C2376" t="str">
            <v>02V-EMPLOYEE COMMUNICATIONS</v>
          </cell>
        </row>
        <row r="2377">
          <cell r="A2377" t="str">
            <v>A0351</v>
          </cell>
          <cell r="B2377" t="str">
            <v>GENL SUPPT/MISC EXP &amp; CLER DUBBING(</v>
          </cell>
          <cell r="C2377" t="str">
            <v>02V-EMPLOYEE COMMUNICATIONS</v>
          </cell>
        </row>
        <row r="2378">
          <cell r="A2378" t="str">
            <v>A0352</v>
          </cell>
          <cell r="B2378" t="str">
            <v>AUDIT OF CUSTOMER BUSINESS OPS-UE</v>
          </cell>
          <cell r="C2378" t="str">
            <v>05A-INTERNAL AUDIT</v>
          </cell>
        </row>
        <row r="2379">
          <cell r="A2379" t="str">
            <v>A0353</v>
          </cell>
          <cell r="B2379" t="str">
            <v>AUDIT OF MARKETING AND SALES OPS</v>
          </cell>
          <cell r="C2379" t="str">
            <v>05A-INTERNAL AUDIT</v>
          </cell>
        </row>
        <row r="2380">
          <cell r="A2380" t="str">
            <v>A0354</v>
          </cell>
          <cell r="B2380" t="str">
            <v>RISK MANAGEMENT - AMEREN/CIPS</v>
          </cell>
          <cell r="C2380" t="str">
            <v>07Q-CORPORATE RISK MGMT</v>
          </cell>
        </row>
        <row r="2381">
          <cell r="A2381" t="str">
            <v>A0355</v>
          </cell>
          <cell r="B2381" t="str">
            <v>DOJM PROJECT MANAGER - ALLOCATED</v>
          </cell>
          <cell r="C2381" t="str">
            <v>08C-CUSTOMER SERVICE SYSTEM</v>
          </cell>
        </row>
        <row r="2382">
          <cell r="A2382" t="str">
            <v>A0356</v>
          </cell>
          <cell r="B2382" t="str">
            <v>AMEREN ERC</v>
          </cell>
          <cell r="C2382" t="str">
            <v>024-LEGAL</v>
          </cell>
        </row>
        <row r="2383">
          <cell r="A2383" t="str">
            <v>A0359</v>
          </cell>
          <cell r="B2383" t="str">
            <v>AMC DIRECTORS FEES &amp; CORPORATE O/H</v>
          </cell>
          <cell r="C2383" t="str">
            <v>06F-INF - ENTERPRISE STORAGE</v>
          </cell>
        </row>
        <row r="2384">
          <cell r="A2384" t="str">
            <v>A0361</v>
          </cell>
          <cell r="B2384" t="str">
            <v>SUBSTATION MTCE &amp; CONST. - ALLOC.</v>
          </cell>
          <cell r="C2384" t="str">
            <v>03M-SUB MTCE &amp; CONST-ENG &amp; ADMIN</v>
          </cell>
        </row>
        <row r="2385">
          <cell r="A2385" t="str">
            <v>A0364</v>
          </cell>
          <cell r="B2385" t="str">
            <v>RISK MANAGEMENT - AMEREN ENERGY</v>
          </cell>
          <cell r="C2385" t="str">
            <v>07Q-CORPORATE RISK MGMT</v>
          </cell>
        </row>
        <row r="2386">
          <cell r="A2386" t="str">
            <v>A0366</v>
          </cell>
          <cell r="B2386" t="str">
            <v>GP SUPPORT FOR POWER PLANTS - ALL</v>
          </cell>
          <cell r="C2386" t="str">
            <v>09M-GENERATION PROJECT ENGINEERING</v>
          </cell>
        </row>
        <row r="2387">
          <cell r="A2387" t="str">
            <v>A0367</v>
          </cell>
          <cell r="B2387" t="str">
            <v>SUPPORT FOR UEC POWER PLANTS-GP-UEC</v>
          </cell>
          <cell r="C2387" t="str">
            <v>09C-EDTS DRAFTING</v>
          </cell>
        </row>
        <row r="2388">
          <cell r="A2388" t="str">
            <v>A0368</v>
          </cell>
          <cell r="B2388" t="str">
            <v>SUPPORT FOR GEN POWER PLANTS-GP-GEN</v>
          </cell>
          <cell r="C2388" t="str">
            <v>09M-GENERATION PROJECT ENGINEERING</v>
          </cell>
        </row>
        <row r="2389">
          <cell r="A2389" t="str">
            <v>A0369</v>
          </cell>
          <cell r="B2389" t="str">
            <v>CONSTRUCTION &amp; SERVICES / 100% UEC</v>
          </cell>
          <cell r="C2389" t="str">
            <v>09C-EDTS DRAFTING</v>
          </cell>
        </row>
        <row r="2390">
          <cell r="A2390" t="str">
            <v>A0370</v>
          </cell>
          <cell r="B2390" t="str">
            <v>CONSTRUCTION &amp; SERVICES / 100% CIP</v>
          </cell>
          <cell r="C2390" t="str">
            <v>09C-EDTS DRAFTING</v>
          </cell>
        </row>
        <row r="2391">
          <cell r="A2391" t="str">
            <v>A0371</v>
          </cell>
          <cell r="B2391" t="str">
            <v>CONST. &amp; SVCS-INDIR.FUNC.SPLIT</v>
          </cell>
          <cell r="C2391" t="str">
            <v>09C-EDTS DRAFTING</v>
          </cell>
        </row>
        <row r="2392">
          <cell r="A2392" t="str">
            <v>A0372</v>
          </cell>
          <cell r="B2392" t="str">
            <v>EE-TECH/MISC.-GEN'L-PEAK LOAD SPLIT</v>
          </cell>
          <cell r="C2392" t="str">
            <v>09E-ELECTRICAL ENGINEERING</v>
          </cell>
        </row>
        <row r="2393">
          <cell r="A2393" t="str">
            <v>A0373</v>
          </cell>
          <cell r="B2393" t="str">
            <v>EE-TECH/MISC.-GEN'L.- FOR CIPS 100%</v>
          </cell>
          <cell r="C2393" t="str">
            <v>09E-ELECTRICAL ENGINEERING</v>
          </cell>
        </row>
        <row r="2394">
          <cell r="A2394" t="str">
            <v>A0374</v>
          </cell>
          <cell r="B2394" t="str">
            <v>EE-TECH/MISC.-GEN'L.- FOR UEC 100%</v>
          </cell>
          <cell r="C2394" t="str">
            <v>09E-ELECTRICAL ENGINEERING</v>
          </cell>
        </row>
        <row r="2395">
          <cell r="A2395" t="str">
            <v>A0375</v>
          </cell>
          <cell r="B2395" t="str">
            <v>AUDIT OF DIV SUPT &amp; ENGINEERING OPS</v>
          </cell>
          <cell r="C2395" t="str">
            <v>05A-INTERNAL AUDIT</v>
          </cell>
        </row>
        <row r="2396">
          <cell r="A2396" t="str">
            <v>A0377</v>
          </cell>
          <cell r="B2396" t="str">
            <v>RESEARCH &amp; DEVELOPMENT / 100% UEC</v>
          </cell>
          <cell r="C2396" t="str">
            <v>047-RESEARCH &amp; DEVELOPMENT</v>
          </cell>
        </row>
        <row r="2397">
          <cell r="A2397" t="str">
            <v>A0378</v>
          </cell>
          <cell r="B2397" t="str">
            <v>RESEARCH &amp; DEV-COMP(SALES/CUST/EMP)</v>
          </cell>
          <cell r="C2397" t="str">
            <v>047-RESEARCH &amp; DEVELOPMENT</v>
          </cell>
        </row>
        <row r="2398">
          <cell r="A2398" t="str">
            <v>A0379</v>
          </cell>
          <cell r="B2398" t="str">
            <v>ADMIN SUPPORT/OFFICE EXPENSES-LEGAL</v>
          </cell>
          <cell r="C2398" t="str">
            <v>024-LEGAL</v>
          </cell>
        </row>
        <row r="2399">
          <cell r="A2399" t="str">
            <v>A0380</v>
          </cell>
          <cell r="B2399" t="str">
            <v>AUDIT OF EMPLOYEE BENEFITS OPS</v>
          </cell>
          <cell r="C2399" t="str">
            <v>05A-INTERNAL AUDIT</v>
          </cell>
        </row>
        <row r="2400">
          <cell r="A2400" t="str">
            <v>A0381</v>
          </cell>
          <cell r="B2400" t="str">
            <v>AUDIT OF EMPLOYEE SERVICE ACCOUNTS</v>
          </cell>
          <cell r="C2400" t="str">
            <v>05A-INTERNAL AUDIT</v>
          </cell>
        </row>
        <row r="2401">
          <cell r="A2401" t="str">
            <v>A0382</v>
          </cell>
          <cell r="B2401" t="str">
            <v>AUDIT OF EMPLOYMENT OPS &amp; PERSONNEL</v>
          </cell>
          <cell r="C2401" t="str">
            <v>05A-INTERNAL AUDIT</v>
          </cell>
        </row>
        <row r="2402">
          <cell r="A2402" t="str">
            <v>A0383</v>
          </cell>
          <cell r="B2402" t="str">
            <v>AUDIT OF EXPENSE ACCTS &amp; TRAVEL OPS</v>
          </cell>
          <cell r="C2402" t="str">
            <v>05A-INTERNAL AUDIT</v>
          </cell>
        </row>
        <row r="2403">
          <cell r="A2403" t="str">
            <v>A0384</v>
          </cell>
          <cell r="B2403" t="str">
            <v>CIPS - ELECTRIC/GAS MO/IL</v>
          </cell>
          <cell r="C2403" t="str">
            <v>024-LEGAL</v>
          </cell>
        </row>
        <row r="2404">
          <cell r="A2404" t="str">
            <v>A0386</v>
          </cell>
          <cell r="B2404" t="str">
            <v>UNION ELECTRIC - ELECTRIC</v>
          </cell>
          <cell r="C2404" t="str">
            <v>024-LEGAL</v>
          </cell>
        </row>
        <row r="2405">
          <cell r="A2405" t="str">
            <v>A0387</v>
          </cell>
          <cell r="B2405" t="str">
            <v>LOBBYING ACTIVITIES FOR AMEREN/UE</v>
          </cell>
          <cell r="C2405" t="str">
            <v>157-GOVERNMENT RELATIONS</v>
          </cell>
        </row>
        <row r="2406">
          <cell r="A2406" t="str">
            <v>A0388</v>
          </cell>
          <cell r="B2406" t="str">
            <v>LOBBYING ACTIVITIES FOR AMEREN/CIPS</v>
          </cell>
          <cell r="C2406" t="str">
            <v>157-GOVERNMENT RELATIONS</v>
          </cell>
        </row>
        <row r="2407">
          <cell r="A2407" t="str">
            <v>A0389</v>
          </cell>
          <cell r="B2407" t="str">
            <v>UNION ELECTRIC DEVELOPMENT</v>
          </cell>
          <cell r="C2407" t="str">
            <v>024-LEGAL</v>
          </cell>
        </row>
        <row r="2408">
          <cell r="A2408" t="str">
            <v>A0390</v>
          </cell>
          <cell r="B2408" t="str">
            <v>CIPSCO INVESTMENT CO</v>
          </cell>
          <cell r="C2408" t="str">
            <v>024-LEGAL</v>
          </cell>
        </row>
        <row r="2409">
          <cell r="A2409" t="str">
            <v>A0391</v>
          </cell>
          <cell r="B2409" t="str">
            <v>ALLOCATED GENERAL LEGAL-ELEC/GAS</v>
          </cell>
          <cell r="C2409" t="str">
            <v>024-LEGAL</v>
          </cell>
        </row>
        <row r="2410">
          <cell r="A2410" t="str">
            <v>A0392</v>
          </cell>
          <cell r="B2410" t="str">
            <v>ALLOCATED REGULATORY-ELEC</v>
          </cell>
          <cell r="C2410" t="str">
            <v>024-LEGAL</v>
          </cell>
        </row>
        <row r="2411">
          <cell r="A2411" t="str">
            <v>A0393</v>
          </cell>
          <cell r="B2411" t="str">
            <v>LOBBYING ACTIVITIES ALLOCATED</v>
          </cell>
          <cell r="C2411" t="str">
            <v>157-GOVERNMENT RELATIONS</v>
          </cell>
        </row>
        <row r="2412">
          <cell r="A2412" t="str">
            <v>A0394</v>
          </cell>
          <cell r="B2412" t="str">
            <v>LEGAL - AMEREN CORPORATION</v>
          </cell>
          <cell r="C2412" t="str">
            <v>024-LEGAL</v>
          </cell>
        </row>
        <row r="2413">
          <cell r="A2413" t="str">
            <v>A0396</v>
          </cell>
          <cell r="B2413" t="str">
            <v>GENERAL LEGAL SERVICES-UEC</v>
          </cell>
          <cell r="C2413" t="str">
            <v>024-LEGAL</v>
          </cell>
        </row>
        <row r="2414">
          <cell r="A2414" t="str">
            <v>A0397</v>
          </cell>
          <cell r="B2414" t="str">
            <v>SECURITY SERVICES FOR AMEREN/UE</v>
          </cell>
          <cell r="C2414" t="str">
            <v>039-SECURITY</v>
          </cell>
        </row>
        <row r="2415">
          <cell r="A2415" t="str">
            <v>A0398</v>
          </cell>
          <cell r="B2415" t="str">
            <v>SECURITY SERVICES FOR AMEREN/CIPS</v>
          </cell>
          <cell r="C2415" t="str">
            <v>039-SECURITY</v>
          </cell>
        </row>
        <row r="2416">
          <cell r="A2416" t="str">
            <v>A0399</v>
          </cell>
          <cell r="B2416" t="str">
            <v>SECURITY SERVICES-AMS</v>
          </cell>
          <cell r="C2416" t="str">
            <v>039-SECURITY</v>
          </cell>
        </row>
        <row r="2417">
          <cell r="A2417" t="str">
            <v>A0400</v>
          </cell>
          <cell r="B2417" t="str">
            <v>SUBSTATION MTCE &amp; CONST. - UEC</v>
          </cell>
          <cell r="C2417" t="str">
            <v>03M-SUB MTCE &amp; CONST-ENG &amp; ADMIN</v>
          </cell>
        </row>
        <row r="2418">
          <cell r="A2418" t="str">
            <v>A0401</v>
          </cell>
          <cell r="B2418" t="str">
            <v>ADMIN SUPPORT/OFFICE EXP-SECURITY</v>
          </cell>
          <cell r="C2418" t="str">
            <v>039-SECURITY</v>
          </cell>
        </row>
        <row r="2419">
          <cell r="A2419" t="str">
            <v>A0402</v>
          </cell>
          <cell r="B2419" t="str">
            <v>PUBLIC CLAIMS - ALLOCATED</v>
          </cell>
          <cell r="C2419" t="str">
            <v>038-CLAIMS</v>
          </cell>
        </row>
        <row r="2420">
          <cell r="A2420" t="str">
            <v>A0403</v>
          </cell>
          <cell r="B2420" t="str">
            <v>WORKERS' COMPENSATION - ALLOCATED</v>
          </cell>
          <cell r="C2420" t="str">
            <v>038-CLAIMS</v>
          </cell>
        </row>
        <row r="2421">
          <cell r="A2421" t="str">
            <v>A0406</v>
          </cell>
          <cell r="B2421" t="str">
            <v>ADMIN SUPPORT/OFFICE EXP-CLAIMS</v>
          </cell>
          <cell r="C2421" t="str">
            <v>038-CLAIMS</v>
          </cell>
        </row>
        <row r="2422">
          <cell r="A2422" t="str">
            <v>A0407</v>
          </cell>
          <cell r="B2422" t="str">
            <v>SUBSTATION MTCE &amp; CONST. - CIP</v>
          </cell>
          <cell r="C2422" t="str">
            <v>03M-SUB MTCE &amp; CONST-ENG &amp; ADMIN</v>
          </cell>
        </row>
        <row r="2423">
          <cell r="A2423" t="str">
            <v>A0409</v>
          </cell>
          <cell r="B2423" t="str">
            <v>AUDIT OF MOTOR TRANSPORTATION OPS</v>
          </cell>
          <cell r="C2423" t="str">
            <v>05A-INTERNAL AUDIT</v>
          </cell>
        </row>
        <row r="2424">
          <cell r="A2424" t="str">
            <v>A0410</v>
          </cell>
          <cell r="B2424" t="str">
            <v>AUDIT OF PAYROLL OPERATIONS</v>
          </cell>
          <cell r="C2424" t="str">
            <v>05A-INTERNAL AUDIT</v>
          </cell>
        </row>
        <row r="2425">
          <cell r="A2425" t="str">
            <v>A0411</v>
          </cell>
          <cell r="B2425" t="str">
            <v>AUDIT OF TELECOMMUNICATIONS OPS</v>
          </cell>
          <cell r="C2425" t="str">
            <v>05A-INTERNAL AUDIT</v>
          </cell>
        </row>
        <row r="2426">
          <cell r="A2426" t="str">
            <v>A0412</v>
          </cell>
          <cell r="B2426" t="str">
            <v>AUDIT OF TRAINING OPERATIONS</v>
          </cell>
          <cell r="C2426" t="str">
            <v>05A-INTERNAL AUDIT</v>
          </cell>
        </row>
        <row r="2427">
          <cell r="A2427" t="str">
            <v>A0413</v>
          </cell>
          <cell r="B2427" t="str">
            <v>AUDIT OF PGA OPS- UE - MISSOURI</v>
          </cell>
          <cell r="C2427" t="str">
            <v>05A-INTERNAL AUDIT</v>
          </cell>
        </row>
        <row r="2428">
          <cell r="A2428" t="str">
            <v>A0415</v>
          </cell>
          <cell r="B2428" t="str">
            <v>PLACEMENT POOL - ALLOCATED</v>
          </cell>
          <cell r="C2428" t="str">
            <v>02A-RESOURCE POOL</v>
          </cell>
        </row>
        <row r="2429">
          <cell r="A2429" t="str">
            <v>A0416</v>
          </cell>
          <cell r="B2429" t="str">
            <v>PROVIDE SRVCS TO BENEFIT UEC</v>
          </cell>
          <cell r="C2429" t="str">
            <v>02P-HR - TOTAL REWARDS</v>
          </cell>
        </row>
        <row r="2430">
          <cell r="A2430" t="str">
            <v>A0417</v>
          </cell>
          <cell r="B2430" t="str">
            <v>AUDIT OF GAS SUPPLY OPERATIONS</v>
          </cell>
          <cell r="C2430" t="str">
            <v>05A-INTERNAL AUDIT</v>
          </cell>
        </row>
        <row r="2431">
          <cell r="A2431" t="str">
            <v>A0418</v>
          </cell>
          <cell r="B2431" t="str">
            <v>PLACEMENT POOL- AMEREN/UE</v>
          </cell>
          <cell r="C2431" t="str">
            <v>02A-RESOURCE POOL</v>
          </cell>
        </row>
        <row r="2432">
          <cell r="A2432" t="str">
            <v>A0419</v>
          </cell>
          <cell r="B2432" t="str">
            <v>PLACEMENT POOL - AMEREN SERVICES</v>
          </cell>
          <cell r="C2432" t="str">
            <v>02A-RESOURCE POOL</v>
          </cell>
        </row>
        <row r="2433">
          <cell r="A2433" t="str">
            <v>A0420</v>
          </cell>
          <cell r="B2433" t="str">
            <v>PLACEMENT POOL- AMEREN/CIPS</v>
          </cell>
          <cell r="C2433" t="str">
            <v>02A-RESOURCE POOL</v>
          </cell>
        </row>
        <row r="2434">
          <cell r="A2434" t="str">
            <v>A0421</v>
          </cell>
          <cell r="B2434" t="str">
            <v>PROVIDE SVCS TO BFT TOTAL CO-UEC</v>
          </cell>
          <cell r="C2434" t="str">
            <v>02E-HR - STAFFING</v>
          </cell>
        </row>
        <row r="2435">
          <cell r="A2435" t="str">
            <v>A0423</v>
          </cell>
          <cell r="B2435" t="str">
            <v>COMP ADMIN - AMERENCIPS</v>
          </cell>
          <cell r="C2435" t="str">
            <v>02P-HR - TOTAL REWARDS</v>
          </cell>
        </row>
        <row r="2436">
          <cell r="A2436" t="str">
            <v>A0424</v>
          </cell>
          <cell r="B2436" t="str">
            <v>PROVIDE SVCS TO BFT TOTAL CO-CIP</v>
          </cell>
          <cell r="C2436" t="str">
            <v>02E-HR - STAFFING</v>
          </cell>
        </row>
        <row r="2437">
          <cell r="A2437" t="str">
            <v>A0425</v>
          </cell>
          <cell r="B2437" t="str">
            <v>COMP ADMIN - GEN SUPPORT</v>
          </cell>
          <cell r="C2437" t="str">
            <v>02P-HR - TOTAL REWARDS</v>
          </cell>
        </row>
        <row r="2438">
          <cell r="A2438" t="str">
            <v>A0427</v>
          </cell>
          <cell r="B2438" t="str">
            <v>TRANSMISSION PLANNING / 100% UEC</v>
          </cell>
          <cell r="C2438" t="str">
            <v>028-ED DISTRIBUTION ENGINEERING</v>
          </cell>
        </row>
        <row r="2439">
          <cell r="A2439" t="str">
            <v>A0428</v>
          </cell>
          <cell r="B2439" t="str">
            <v>COMP ADMIN - ALLOCATED</v>
          </cell>
          <cell r="C2439" t="str">
            <v>02P-HR - TOTAL REWARDS</v>
          </cell>
        </row>
        <row r="2440">
          <cell r="A2440" t="str">
            <v>A0429</v>
          </cell>
          <cell r="B2440" t="str">
            <v>COMP ADMIN - AMERENUE</v>
          </cell>
          <cell r="C2440" t="str">
            <v>02P-HR - TOTAL REWARDS</v>
          </cell>
        </row>
        <row r="2441">
          <cell r="A2441" t="str">
            <v>A0430</v>
          </cell>
          <cell r="B2441" t="str">
            <v>OPERATIONS ANALYSIS FOR AMEREN</v>
          </cell>
          <cell r="C2441" t="str">
            <v>012-CORPORATE PLANNING</v>
          </cell>
        </row>
        <row r="2442">
          <cell r="A2442" t="str">
            <v>A0431</v>
          </cell>
          <cell r="B2442" t="str">
            <v>OPERATIONS ANALYSIS FOR AMEREN/UE</v>
          </cell>
          <cell r="C2442" t="str">
            <v>012-CORPORATE PLANNING</v>
          </cell>
        </row>
        <row r="2443">
          <cell r="A2443" t="str">
            <v>A0432</v>
          </cell>
          <cell r="B2443" t="str">
            <v>OPERATIONS ANALYSIS FOR AMEREN/GENC</v>
          </cell>
          <cell r="C2443" t="str">
            <v>012-CORPORATE PLANNING</v>
          </cell>
        </row>
        <row r="2444">
          <cell r="A2444" t="str">
            <v>A0433</v>
          </cell>
          <cell r="B2444" t="str">
            <v>SYSTEM DATA FOR AMEREN</v>
          </cell>
          <cell r="C2444" t="str">
            <v>042-TRANSMISSION OPERATIONS</v>
          </cell>
        </row>
        <row r="2445">
          <cell r="A2445" t="str">
            <v>A0434</v>
          </cell>
          <cell r="B2445" t="str">
            <v>SYSTEM DATA FOR AMEREN/UE</v>
          </cell>
          <cell r="C2445" t="str">
            <v>042-TRANSMISSION OPERATIONS</v>
          </cell>
        </row>
        <row r="2446">
          <cell r="A2446" t="str">
            <v>A0435</v>
          </cell>
          <cell r="B2446" t="str">
            <v>SYSTEM DATA FOR GENCO</v>
          </cell>
          <cell r="C2446" t="str">
            <v>042-TRANSMISSION OPERATIONS</v>
          </cell>
        </row>
        <row r="2447">
          <cell r="A2447" t="str">
            <v>A0436</v>
          </cell>
          <cell r="B2447" t="str">
            <v>SPV OF THE AMEREN GEN. &amp; TRANSM. DI</v>
          </cell>
          <cell r="C2447" t="str">
            <v>042-TRANSMISSION OPERATIONS</v>
          </cell>
        </row>
        <row r="2448">
          <cell r="A2448" t="str">
            <v>A0437</v>
          </cell>
          <cell r="B2448" t="str">
            <v>SPV OF GEN. &amp; TRANSM. DISPATCH - FO</v>
          </cell>
          <cell r="C2448" t="str">
            <v>042-TRANSMISSION OPERATIONS</v>
          </cell>
        </row>
        <row r="2449">
          <cell r="A2449" t="str">
            <v>A0438</v>
          </cell>
          <cell r="B2449" t="str">
            <v>SPV OF GEN. &amp; TRANSM. DISPATCH - FO</v>
          </cell>
          <cell r="C2449" t="str">
            <v>042-TRANSMISSION OPERATIONS</v>
          </cell>
        </row>
        <row r="2450">
          <cell r="A2450" t="str">
            <v>A0439</v>
          </cell>
          <cell r="B2450" t="str">
            <v>ENERGY MANAGEMENT SYSTEM SUPPORT FO</v>
          </cell>
          <cell r="C2450" t="str">
            <v>042-TRANSMISSION OPERATIONS</v>
          </cell>
        </row>
        <row r="2451">
          <cell r="A2451" t="str">
            <v>A0440</v>
          </cell>
          <cell r="B2451" t="str">
            <v>ENERGY MANAGEMENT SYSTEM SUPPORT FO</v>
          </cell>
          <cell r="C2451" t="str">
            <v>042-TRANSMISSION OPERATIONS</v>
          </cell>
        </row>
        <row r="2452">
          <cell r="A2452" t="str">
            <v>A0441</v>
          </cell>
          <cell r="B2452" t="str">
            <v>ENERGY MANAGEMENT SYSTEM SUPPORT FO</v>
          </cell>
          <cell r="C2452" t="str">
            <v>042-TRANSMISSION OPERATIONS</v>
          </cell>
        </row>
        <row r="2453">
          <cell r="A2453" t="str">
            <v>A0442</v>
          </cell>
          <cell r="B2453" t="str">
            <v>TRANSMISSION COORDINATION AND DISPA</v>
          </cell>
          <cell r="C2453" t="str">
            <v>042-TRANSMISSION OPERATIONS</v>
          </cell>
        </row>
        <row r="2454">
          <cell r="A2454" t="str">
            <v>A0443</v>
          </cell>
          <cell r="B2454" t="str">
            <v>TRANSMISSION COORDINATION &amp; DISPATC</v>
          </cell>
          <cell r="C2454" t="str">
            <v>042-TRANSMISSION OPERATIONS</v>
          </cell>
        </row>
        <row r="2455">
          <cell r="A2455" t="str">
            <v>A0444</v>
          </cell>
          <cell r="B2455" t="str">
            <v>TRANSMISSION COORDINATION &amp; DISPATC</v>
          </cell>
          <cell r="C2455" t="str">
            <v>042-TRANSMISSION OPERATIONS</v>
          </cell>
        </row>
        <row r="2456">
          <cell r="A2456" t="str">
            <v>A0445</v>
          </cell>
          <cell r="B2456" t="str">
            <v>GENERAL EXECUTIVE STAFF - ENERGY SU</v>
          </cell>
          <cell r="C2456" t="str">
            <v>042-TRANSMISSION OPERATIONS</v>
          </cell>
        </row>
        <row r="2457">
          <cell r="A2457" t="str">
            <v>A0446</v>
          </cell>
          <cell r="B2457" t="str">
            <v>GENERAL EXECUTIVE STAFF-ENERGY SUPP</v>
          </cell>
          <cell r="C2457" t="str">
            <v>042-TRANSMISSION OPERATIONS</v>
          </cell>
        </row>
        <row r="2458">
          <cell r="A2458" t="str">
            <v>A0447</v>
          </cell>
          <cell r="B2458" t="str">
            <v>AUDIT OF REAL ESTATE OPERATIONS</v>
          </cell>
          <cell r="C2458" t="str">
            <v>05A-INTERNAL AUDIT</v>
          </cell>
        </row>
        <row r="2459">
          <cell r="A2459" t="str">
            <v>A0448</v>
          </cell>
          <cell r="B2459" t="str">
            <v>SECRETARIAL SUPPORT,OFF SUPPLIES,OT</v>
          </cell>
          <cell r="C2459" t="str">
            <v>042-TRANSMISSION OPERATIONS</v>
          </cell>
        </row>
        <row r="2460">
          <cell r="A2460" t="str">
            <v>A0449</v>
          </cell>
          <cell r="B2460" t="str">
            <v>GENERAL EXECUTIVE STAFF-ENERGY SUPP</v>
          </cell>
          <cell r="C2460" t="str">
            <v>042-TRANSMISSION OPERATIONS</v>
          </cell>
        </row>
        <row r="2461">
          <cell r="A2461" t="str">
            <v>A0450</v>
          </cell>
          <cell r="B2461" t="str">
            <v>AUDIT OF E&amp;C OPS&amp;REVS OF CAP PROJTS</v>
          </cell>
          <cell r="C2461" t="str">
            <v>05A-INTERNAL AUDIT</v>
          </cell>
        </row>
        <row r="2462">
          <cell r="A2462" t="str">
            <v>A0451</v>
          </cell>
          <cell r="B2462" t="str">
            <v>AUDIT OF TRANSMISSION OPS MTC&amp;CONST</v>
          </cell>
          <cell r="C2462" t="str">
            <v>05A-INTERNAL AUDIT</v>
          </cell>
        </row>
        <row r="2463">
          <cell r="A2463" t="str">
            <v>A0452</v>
          </cell>
          <cell r="B2463" t="str">
            <v>AUDIT OF FOSSIL FUEL PURCHASING OPS</v>
          </cell>
          <cell r="C2463" t="str">
            <v>05A-INTERNAL AUDIT</v>
          </cell>
        </row>
        <row r="2464">
          <cell r="A2464" t="str">
            <v>A0454</v>
          </cell>
          <cell r="B2464" t="str">
            <v>AUDIT OF POWER PLANT MAINT OPS</v>
          </cell>
          <cell r="C2464" t="str">
            <v>05A-INTERNAL AUDIT</v>
          </cell>
        </row>
        <row r="2465">
          <cell r="A2465" t="str">
            <v>A0455</v>
          </cell>
          <cell r="B2465" t="str">
            <v>AUDIT OF TAX DEPARTMENT OPERATIONS</v>
          </cell>
          <cell r="C2465" t="str">
            <v>05A-INTERNAL AUDIT</v>
          </cell>
        </row>
        <row r="2466">
          <cell r="A2466" t="str">
            <v>A0456</v>
          </cell>
          <cell r="B2466" t="str">
            <v>AUDIT OF INVESTOR SERVICES OPS</v>
          </cell>
          <cell r="C2466" t="str">
            <v>05A-INTERNAL AUDIT</v>
          </cell>
        </row>
        <row r="2467">
          <cell r="A2467" t="str">
            <v>A0457</v>
          </cell>
          <cell r="B2467" t="str">
            <v>AUDIT OF POLITICAL ACTION COMMITTEE</v>
          </cell>
          <cell r="C2467" t="str">
            <v>05A-INTERNAL AUDIT</v>
          </cell>
        </row>
        <row r="2468">
          <cell r="A2468" t="str">
            <v>A0458</v>
          </cell>
          <cell r="B2468" t="str">
            <v>AUDIT OF ST. LOUIS ELECTRICAL BOARD</v>
          </cell>
          <cell r="C2468" t="str">
            <v>05A-INTERNAL AUDIT</v>
          </cell>
        </row>
        <row r="2469">
          <cell r="A2469" t="str">
            <v>A0459</v>
          </cell>
          <cell r="B2469" t="str">
            <v>AUDIT OF UE MISSOURI DISTRICT OPS</v>
          </cell>
          <cell r="C2469" t="str">
            <v>05A-INTERNAL AUDIT</v>
          </cell>
        </row>
        <row r="2470">
          <cell r="A2470" t="str">
            <v>A0460</v>
          </cell>
          <cell r="B2470" t="str">
            <v>GENERAL RATE ENG-UEC-MO-ELECTRIC</v>
          </cell>
          <cell r="C2470" t="str">
            <v>29R-REGULATORY POLICY</v>
          </cell>
        </row>
        <row r="2471">
          <cell r="A2471" t="str">
            <v>A0461</v>
          </cell>
          <cell r="B2471" t="str">
            <v>UEC - MO - GENERAL RATE ENG - COMB</v>
          </cell>
          <cell r="C2471" t="str">
            <v>29R-REGULATORY POLICY</v>
          </cell>
        </row>
        <row r="2472">
          <cell r="A2472" t="str">
            <v>A0463</v>
          </cell>
          <cell r="B2472" t="str">
            <v>UE-MO REG RATE ENGINEERING-GAS</v>
          </cell>
          <cell r="C2472" t="str">
            <v>012-CORPORATE PLANNING</v>
          </cell>
        </row>
        <row r="2473">
          <cell r="A2473" t="str">
            <v>A0466</v>
          </cell>
          <cell r="B2473" t="str">
            <v>SUPPORT FOR AED PROJ.- GP-GEN-100%</v>
          </cell>
          <cell r="C2473" t="str">
            <v>09M-GENERATION PROJECT ENGINEERING</v>
          </cell>
        </row>
        <row r="2474">
          <cell r="A2474" t="str">
            <v>A0467</v>
          </cell>
          <cell r="B2474" t="str">
            <v>RISK MANAGEMENT - ALLOCATED</v>
          </cell>
          <cell r="C2474" t="str">
            <v>07Q-CORPORATE RISK MGMT</v>
          </cell>
        </row>
        <row r="2475">
          <cell r="A2475" t="str">
            <v>A0468</v>
          </cell>
          <cell r="B2475" t="str">
            <v>SECRETAR SUPT,OFC SUP&amp;OTHER-INT AUD</v>
          </cell>
          <cell r="C2475" t="str">
            <v>05A-INTERNAL AUDIT</v>
          </cell>
        </row>
        <row r="2476">
          <cell r="A2476" t="str">
            <v>A0471</v>
          </cell>
          <cell r="B2476" t="str">
            <v>SYS RELAY - GENERAL ALLOCATION</v>
          </cell>
          <cell r="C2476" t="str">
            <v>090-SYSTEM RELAY SERVICES</v>
          </cell>
        </row>
        <row r="2477">
          <cell r="A2477" t="str">
            <v>A0479</v>
          </cell>
          <cell r="B2477" t="str">
            <v>TRANSMISSION PL. / PEAK LOAD SPLIT</v>
          </cell>
          <cell r="C2477" t="str">
            <v>028-ED DISTRIBUTION ENGINEERING</v>
          </cell>
        </row>
        <row r="2478">
          <cell r="A2478" t="str">
            <v>A0480</v>
          </cell>
          <cell r="B2478" t="str">
            <v>CORP SECRETARY WORK - AME</v>
          </cell>
          <cell r="C2478" t="str">
            <v>06F-INF - ENTERPRISE STORAGE</v>
          </cell>
        </row>
        <row r="2479">
          <cell r="A2479" t="str">
            <v>A0481</v>
          </cell>
          <cell r="B2479" t="str">
            <v>TRANSMISSION SERVICES - AMEREN/UE</v>
          </cell>
          <cell r="C2479" t="str">
            <v>03T-TRANSMISSION-AMS</v>
          </cell>
        </row>
        <row r="2480">
          <cell r="A2480" t="str">
            <v>A0482</v>
          </cell>
          <cell r="B2480" t="str">
            <v>PERFORMANCE MANAGEMENT ACTIVITIES</v>
          </cell>
          <cell r="C2480" t="str">
            <v>012-CORPORATE PLANNING</v>
          </cell>
        </row>
        <row r="2481">
          <cell r="A2481" t="str">
            <v>A0483</v>
          </cell>
          <cell r="B2481" t="str">
            <v>TRIS</v>
          </cell>
          <cell r="C2481" t="str">
            <v>201-DEV - BUS &amp; CORP SVCS</v>
          </cell>
        </row>
        <row r="2482">
          <cell r="A2482" t="str">
            <v>A0484</v>
          </cell>
          <cell r="B2482" t="str">
            <v>CORP SECRETARY'S WORK - AEC</v>
          </cell>
          <cell r="C2482" t="str">
            <v>06F-INF - ENTERPRISE STORAGE</v>
          </cell>
        </row>
        <row r="2483">
          <cell r="A2483" t="str">
            <v>A0486</v>
          </cell>
          <cell r="B2483" t="str">
            <v>CSS PHASE II - REGULATED PORTION</v>
          </cell>
          <cell r="C2483" t="str">
            <v>204-DEV - ENERGY DELIVERY</v>
          </cell>
        </row>
        <row r="2484">
          <cell r="A2484" t="str">
            <v>A0487</v>
          </cell>
          <cell r="B2484" t="str">
            <v>SUBSTATION APPS - CIPS</v>
          </cell>
          <cell r="C2484" t="str">
            <v>202-DEV - OPERATIONS</v>
          </cell>
        </row>
        <row r="2485">
          <cell r="A2485" t="str">
            <v>A0488</v>
          </cell>
          <cell r="B2485" t="str">
            <v>COMP ADMIN - AMERENENERGY</v>
          </cell>
          <cell r="C2485" t="str">
            <v>02P-HR - TOTAL REWARDS</v>
          </cell>
        </row>
        <row r="2486">
          <cell r="A2486" t="str">
            <v>A0489</v>
          </cell>
          <cell r="B2486" t="str">
            <v>AMEREN ENERGY REAL ESTATE</v>
          </cell>
          <cell r="C2486" t="str">
            <v>061-REAL ESTATE</v>
          </cell>
        </row>
        <row r="2487">
          <cell r="A2487" t="str">
            <v>A0490</v>
          </cell>
          <cell r="B2487" t="str">
            <v>AMEREN ENERGY COMMUNICATIONS</v>
          </cell>
          <cell r="C2487" t="str">
            <v>024-LEGAL</v>
          </cell>
        </row>
        <row r="2488">
          <cell r="A2488" t="str">
            <v>A0494</v>
          </cell>
          <cell r="B2488" t="str">
            <v>ERC - TAX WORK</v>
          </cell>
          <cell r="C2488" t="str">
            <v>05T-TAX</v>
          </cell>
        </row>
        <row r="2489">
          <cell r="A2489" t="str">
            <v>A0496</v>
          </cell>
          <cell r="B2489" t="str">
            <v>IT DEV - OPS - INDIRECT FUNCT</v>
          </cell>
          <cell r="C2489" t="str">
            <v>202-DEV - OPERATIONS</v>
          </cell>
        </row>
        <row r="2490">
          <cell r="A2490" t="str">
            <v>A0497</v>
          </cell>
          <cell r="B2490" t="str">
            <v>AMEREN SERVICES DIVERSION OF SERVIC</v>
          </cell>
          <cell r="C2490" t="str">
            <v>190-APPORTIONMENTS/SPECIAL ITEMS</v>
          </cell>
        </row>
        <row r="2491">
          <cell r="A2491" t="str">
            <v>A0499</v>
          </cell>
          <cell r="B2491" t="str">
            <v>TR.PLNG. -PWR.PLT.SUPPORT-UEC 100%</v>
          </cell>
          <cell r="C2491" t="str">
            <v>09P-ELECTRIC PLANNING</v>
          </cell>
        </row>
        <row r="2492">
          <cell r="A2492" t="str">
            <v>A0500</v>
          </cell>
          <cell r="B2492" t="str">
            <v>SECRETARIAL SUPPORT FOR VP ENERGY S</v>
          </cell>
          <cell r="C2492" t="str">
            <v>042-TRANSMISSION OPERATIONS</v>
          </cell>
        </row>
        <row r="2493">
          <cell r="A2493" t="str">
            <v>A0501</v>
          </cell>
          <cell r="B2493" t="str">
            <v>SECRETARIAL SUPPORT FOR VP POWER OP</v>
          </cell>
          <cell r="C2493" t="str">
            <v>042-TRANSMISSION OPERATIONS</v>
          </cell>
        </row>
        <row r="2494">
          <cell r="A2494" t="str">
            <v>A0502</v>
          </cell>
          <cell r="B2494" t="str">
            <v>TRANSMISSION SERVICES - AMEREN/CIPS</v>
          </cell>
          <cell r="C2494" t="str">
            <v>03T-TRANSMISSION-AMS</v>
          </cell>
        </row>
        <row r="2495">
          <cell r="A2495" t="str">
            <v>A0503</v>
          </cell>
          <cell r="B2495" t="str">
            <v>TR.PLNG.- CUST.SVCS.SUPPT-UEC 100%</v>
          </cell>
          <cell r="C2495" t="str">
            <v>09P-ELECTRIC PLANNING</v>
          </cell>
        </row>
        <row r="2496">
          <cell r="A2496" t="str">
            <v>A0504</v>
          </cell>
          <cell r="B2496" t="str">
            <v>TRANSMISSION SERVICES - ALLOCATED</v>
          </cell>
          <cell r="C2496" t="str">
            <v>03T-TRANSMISSION-AMS</v>
          </cell>
        </row>
        <row r="2497">
          <cell r="A2497" t="str">
            <v>A0505</v>
          </cell>
          <cell r="B2497" t="str">
            <v>EE&amp;TP -PWR.PLT.SUPPORT (GENCO 100%)</v>
          </cell>
          <cell r="C2497" t="str">
            <v>09E-ELECTRICAL ENGINEERING</v>
          </cell>
        </row>
        <row r="2498">
          <cell r="A2498" t="str">
            <v>A0506</v>
          </cell>
          <cell r="B2498" t="str">
            <v>EE-TECH/DIRECT RESPONSE - UEC 100%</v>
          </cell>
          <cell r="C2498" t="str">
            <v>09E-ELECTRICAL ENGINEERING</v>
          </cell>
        </row>
        <row r="2499">
          <cell r="A2499" t="str">
            <v>A0507</v>
          </cell>
          <cell r="B2499" t="str">
            <v>TR.PLNG.- CUST.SVCS.SUPPT-CIP 100%</v>
          </cell>
          <cell r="C2499" t="str">
            <v>09P-ELECTRIC PLANNING</v>
          </cell>
        </row>
        <row r="2500">
          <cell r="A2500" t="str">
            <v>A0508</v>
          </cell>
          <cell r="B2500" t="str">
            <v>PROCESS AMEREN/UE CUSTOMER PAYMENTS</v>
          </cell>
          <cell r="C2500" t="str">
            <v>076-TREASURY TECHNOLOGY SERVICES</v>
          </cell>
        </row>
        <row r="2501">
          <cell r="A2501" t="str">
            <v>A0509</v>
          </cell>
          <cell r="B2501" t="str">
            <v>RETAIL RELATIONSHIP MGMT - GENERAL</v>
          </cell>
          <cell r="C2501" t="str">
            <v>03W-CUSTOMER SERVICE-AMS</v>
          </cell>
        </row>
        <row r="2502">
          <cell r="A2502" t="str">
            <v>A0510</v>
          </cell>
          <cell r="B2502" t="str">
            <v>RETAIL RELATIONSHIP MGMT- AMUE</v>
          </cell>
          <cell r="C2502" t="str">
            <v>03W-CUSTOMER SERVICE-AMS</v>
          </cell>
        </row>
        <row r="2503">
          <cell r="A2503" t="str">
            <v>A0511</v>
          </cell>
          <cell r="B2503" t="str">
            <v>EE-TECH/DIRECT RESPONSE - CIP 100%</v>
          </cell>
          <cell r="C2503" t="str">
            <v>09E-ELECTRICAL ENGINEERING</v>
          </cell>
        </row>
        <row r="2504">
          <cell r="A2504" t="str">
            <v>A0513</v>
          </cell>
          <cell r="B2504" t="str">
            <v>EE-TECH/DIRECT RESPONSE - UEDC 100%</v>
          </cell>
          <cell r="C2504" t="str">
            <v>09E-ELECTRICAL ENGINEERING</v>
          </cell>
        </row>
        <row r="2505">
          <cell r="A2505" t="str">
            <v>A0515</v>
          </cell>
          <cell r="B2505" t="str">
            <v>EE-TECH/DIRECT RESP-PK.LOAD</v>
          </cell>
          <cell r="C2505" t="str">
            <v>09E-ELECTRICAL ENGINEERING</v>
          </cell>
        </row>
        <row r="2506">
          <cell r="A2506" t="str">
            <v>A0517</v>
          </cell>
          <cell r="B2506" t="str">
            <v>EE - BUDGET ACTIVITIES- UEC-100%</v>
          </cell>
          <cell r="C2506" t="str">
            <v>09E-ELECTRICAL ENGINEERING</v>
          </cell>
        </row>
        <row r="2507">
          <cell r="A2507" t="str">
            <v>A0518</v>
          </cell>
          <cell r="B2507" t="str">
            <v>EE - BUDGET ACTIVITIES- CIPS-100%</v>
          </cell>
          <cell r="C2507" t="str">
            <v>09E-ELECTRICAL ENGINEERING</v>
          </cell>
        </row>
        <row r="2508">
          <cell r="A2508" t="str">
            <v>A0519</v>
          </cell>
          <cell r="B2508" t="str">
            <v>EE - BUDGET ACTIVITIES</v>
          </cell>
          <cell r="C2508" t="str">
            <v>09E-ELECTRICAL ENGINEERING</v>
          </cell>
        </row>
        <row r="2509">
          <cell r="A2509" t="str">
            <v>A0520</v>
          </cell>
          <cell r="B2509" t="str">
            <v>EE - NON-TECHNICAL/ADMIN -ALLOCATED</v>
          </cell>
          <cell r="C2509" t="str">
            <v>09E-ELECTRICAL ENGINEERING</v>
          </cell>
        </row>
        <row r="2510">
          <cell r="A2510" t="str">
            <v>A0521</v>
          </cell>
          <cell r="B2510" t="str">
            <v>EE-SYSTEM PROT (UEC - 100%)</v>
          </cell>
          <cell r="C2510" t="str">
            <v>09E-ELECTRICAL ENGINEERING</v>
          </cell>
        </row>
        <row r="2511">
          <cell r="A2511" t="str">
            <v>A0522</v>
          </cell>
          <cell r="B2511" t="str">
            <v>EE-SYSTEM PROT (CIPS - 100%)</v>
          </cell>
          <cell r="C2511" t="str">
            <v>09E-ELECTRICAL ENGINEERING</v>
          </cell>
        </row>
        <row r="2512">
          <cell r="A2512" t="str">
            <v>A0523</v>
          </cell>
          <cell r="B2512" t="str">
            <v>EE-SYSTEM PROT(SPLIT)</v>
          </cell>
          <cell r="C2512" t="str">
            <v>09E-ELECTRICAL ENGINEERING</v>
          </cell>
        </row>
        <row r="2513">
          <cell r="A2513" t="str">
            <v>A0524</v>
          </cell>
          <cell r="B2513" t="str">
            <v>EE-RELAYING DATABASES (UEC - 100%)</v>
          </cell>
          <cell r="C2513" t="str">
            <v>09E-ELECTRICAL ENGINEERING</v>
          </cell>
        </row>
        <row r="2514">
          <cell r="A2514" t="str">
            <v>A0525</v>
          </cell>
          <cell r="B2514" t="str">
            <v>EE-RELAYING DATABASES (CIPS -100%)</v>
          </cell>
          <cell r="C2514" t="str">
            <v>09E-ELECTRICAL ENGINEERING</v>
          </cell>
        </row>
        <row r="2515">
          <cell r="A2515" t="str">
            <v>A0526</v>
          </cell>
          <cell r="B2515" t="str">
            <v>EE-RELAY.DATABASES</v>
          </cell>
          <cell r="C2515" t="str">
            <v>09E-ELECTRICAL ENGINEERING</v>
          </cell>
        </row>
        <row r="2516">
          <cell r="A2516" t="str">
            <v>A0527</v>
          </cell>
          <cell r="B2516" t="str">
            <v>TR. PLNG. -TRAN.SVC.REQ. -PEAK LOAD</v>
          </cell>
          <cell r="C2516" t="str">
            <v>09P-ELECTRIC PLANNING</v>
          </cell>
        </row>
        <row r="2517">
          <cell r="A2517" t="str">
            <v>A0528</v>
          </cell>
          <cell r="B2517" t="str">
            <v>TR.PLNG.- MAIN-NERC -PEAK LOAD</v>
          </cell>
          <cell r="C2517" t="str">
            <v>09P-ELECTRIC PLANNING</v>
          </cell>
        </row>
        <row r="2518">
          <cell r="A2518" t="str">
            <v>A0530</v>
          </cell>
          <cell r="B2518" t="str">
            <v>TR.PLNG. -ESO OPS SUPPORT-PEAK LOAD</v>
          </cell>
          <cell r="C2518" t="str">
            <v>09P-ELECTRIC PLANNING</v>
          </cell>
        </row>
        <row r="2519">
          <cell r="A2519" t="str">
            <v>A0531</v>
          </cell>
          <cell r="B2519" t="str">
            <v>PERFORM WORKING FUND ACTIVITIES</v>
          </cell>
          <cell r="C2519" t="str">
            <v>076-TREASURY TECHNOLOGY SERVICES</v>
          </cell>
        </row>
        <row r="2520">
          <cell r="A2520" t="str">
            <v>A0532</v>
          </cell>
          <cell r="B2520" t="str">
            <v>PERFORM DAILY UE BANKING &amp; ACTVS</v>
          </cell>
          <cell r="C2520" t="str">
            <v>075-BANKING AND INVESTOR SERVICES</v>
          </cell>
        </row>
        <row r="2521">
          <cell r="A2521" t="str">
            <v>A0533</v>
          </cell>
          <cell r="B2521" t="str">
            <v>PERFORM DAILY CIPS BANKING &amp; ACTVS</v>
          </cell>
          <cell r="C2521" t="str">
            <v>075-BANKING AND INVESTOR SERVICES</v>
          </cell>
        </row>
        <row r="2522">
          <cell r="A2522" t="str">
            <v>A0534</v>
          </cell>
          <cell r="B2522" t="str">
            <v>IT DEVELOPMENT-HR - AMEREN ENERGY</v>
          </cell>
          <cell r="C2522" t="str">
            <v>201-DEV - BUS &amp; CORP SVCS</v>
          </cell>
        </row>
        <row r="2523">
          <cell r="A2523" t="str">
            <v>A0535</v>
          </cell>
          <cell r="B2523" t="str">
            <v>PERFORM DAILY AMC BANKNG ACTIVITIES</v>
          </cell>
          <cell r="C2523" t="str">
            <v>075-BANKING AND INVESTOR SERVICES</v>
          </cell>
        </row>
        <row r="2524">
          <cell r="A2524" t="str">
            <v>A0536</v>
          </cell>
          <cell r="B2524" t="str">
            <v>PERFORM DAILY AMS BANKNG ACTIVITIES</v>
          </cell>
          <cell r="C2524" t="str">
            <v>075-BANKING AND INVESTOR SERVICES</v>
          </cell>
        </row>
        <row r="2525">
          <cell r="A2525" t="str">
            <v>A0537</v>
          </cell>
          <cell r="B2525" t="str">
            <v>PERFORM DAILY UDC BANKNG ACTIVITIES</v>
          </cell>
          <cell r="C2525" t="str">
            <v>075-BANKING AND INVESTOR SERVICES</v>
          </cell>
        </row>
        <row r="2526">
          <cell r="A2526" t="str">
            <v>A0543</v>
          </cell>
          <cell r="B2526" t="str">
            <v>INVNTRY INVESTMENT CNTRL-ALLOC-MOIL</v>
          </cell>
          <cell r="C2526" t="str">
            <v>05M-STOREROOMS-AMS</v>
          </cell>
        </row>
        <row r="2527">
          <cell r="A2527" t="str">
            <v>A0544</v>
          </cell>
          <cell r="B2527" t="str">
            <v>INVNTRY INVESTMENT CNTRL-CIPS-MOIL</v>
          </cell>
          <cell r="C2527" t="str">
            <v>05M-STOREROOMS-AMS</v>
          </cell>
        </row>
        <row r="2528">
          <cell r="A2528" t="str">
            <v>A0545</v>
          </cell>
          <cell r="B2528" t="str">
            <v>INVNTRY INVESTMENT CNTRL-ue</v>
          </cell>
          <cell r="C2528" t="str">
            <v>05M-STOREROOMS-AMS</v>
          </cell>
        </row>
        <row r="2529">
          <cell r="A2529" t="str">
            <v>A0547</v>
          </cell>
          <cell r="B2529" t="str">
            <v>SALVG/SCRP/SURPLS/OBSOL ITM (IL/MO)</v>
          </cell>
          <cell r="C2529" t="str">
            <v>074-PURCHASING</v>
          </cell>
        </row>
        <row r="2530">
          <cell r="A2530" t="str">
            <v>A0548</v>
          </cell>
          <cell r="B2530" t="str">
            <v>IT DEVELOPMENT - HR - INDIRECT FUNC</v>
          </cell>
          <cell r="C2530" t="str">
            <v>632-CSF - IT FIELD OPERATIONS</v>
          </cell>
        </row>
        <row r="2531">
          <cell r="A2531" t="str">
            <v>A0551</v>
          </cell>
          <cell r="B2531" t="str">
            <v>ENCLOSE AMEREN/UE UTILITY BILLS</v>
          </cell>
          <cell r="C2531" t="str">
            <v>06A-INF-INSERTING &amp; MAIL DELIVERY</v>
          </cell>
        </row>
        <row r="2532">
          <cell r="A2532" t="str">
            <v>A0552</v>
          </cell>
          <cell r="B2532" t="str">
            <v>ENCLOSE AMEREN/CIPS UTILITY BILLS</v>
          </cell>
          <cell r="C2532" t="str">
            <v>06A-INF-INSERTING &amp; MAIL DELIVERY</v>
          </cell>
        </row>
        <row r="2533">
          <cell r="A2533" t="str">
            <v>A0555</v>
          </cell>
          <cell r="B2533" t="str">
            <v>OFFICE SUPPORT - DIVISION MARKETING</v>
          </cell>
          <cell r="C2533" t="str">
            <v>020-ED PRODUCTS &amp; SERVICES</v>
          </cell>
        </row>
        <row r="2534">
          <cell r="A2534" t="str">
            <v>A0556</v>
          </cell>
          <cell r="B2534" t="str">
            <v>ENCLOSE MAILINGS TO UE EMPLOYEES</v>
          </cell>
          <cell r="C2534" t="str">
            <v>06A-INF-INSERTING &amp; MAIL DELIVERY</v>
          </cell>
        </row>
        <row r="2535">
          <cell r="A2535" t="str">
            <v>A0558</v>
          </cell>
          <cell r="B2535" t="str">
            <v>SORT &amp; DISTRIB INCOM &amp; OUTGO MAIL</v>
          </cell>
          <cell r="C2535" t="str">
            <v>06A-INF-INSERTING &amp; MAIL DELIVERY</v>
          </cell>
        </row>
        <row r="2536">
          <cell r="A2536" t="str">
            <v>A0559</v>
          </cell>
          <cell r="B2536" t="str">
            <v>SECRETARIAL SUPT,GEN OFC&amp;OTHR-TREAS</v>
          </cell>
          <cell r="C2536" t="str">
            <v>076-TREASURY TECHNOLOGY SERVICES</v>
          </cell>
        </row>
        <row r="2537">
          <cell r="A2537" t="str">
            <v>A0560</v>
          </cell>
          <cell r="B2537" t="str">
            <v>UDC - TAX WORK</v>
          </cell>
          <cell r="C2537" t="str">
            <v>05T-TAX</v>
          </cell>
        </row>
        <row r="2538">
          <cell r="A2538" t="str">
            <v>A0561</v>
          </cell>
          <cell r="B2538" t="str">
            <v>AMC - TAX WORK</v>
          </cell>
          <cell r="C2538" t="str">
            <v>05T-TAX</v>
          </cell>
        </row>
        <row r="2539">
          <cell r="A2539" t="str">
            <v>A0562</v>
          </cell>
          <cell r="B2539" t="str">
            <v>AEC - TAX WORK</v>
          </cell>
          <cell r="C2539" t="str">
            <v>05T-TAX</v>
          </cell>
        </row>
        <row r="2540">
          <cell r="A2540" t="str">
            <v>A0564</v>
          </cell>
          <cell r="B2540" t="str">
            <v>AME - TAX WORK</v>
          </cell>
          <cell r="C2540" t="str">
            <v>05T-TAX</v>
          </cell>
        </row>
        <row r="2541">
          <cell r="A2541" t="str">
            <v>A0567</v>
          </cell>
          <cell r="B2541" t="str">
            <v>AMS - TAX WORK</v>
          </cell>
          <cell r="C2541" t="str">
            <v>05T-TAX</v>
          </cell>
        </row>
        <row r="2542">
          <cell r="A2542" t="str">
            <v>A0570</v>
          </cell>
          <cell r="B2542" t="str">
            <v>LONG TERM FINANCING FOR AMEREN/UE</v>
          </cell>
          <cell r="C2542" t="str">
            <v>075-BANKING AND INVESTOR SERVICES</v>
          </cell>
        </row>
        <row r="2543">
          <cell r="A2543" t="str">
            <v>A0571</v>
          </cell>
          <cell r="B2543" t="str">
            <v>LONG TERM FINANCING FOR AMEREN/CIPS</v>
          </cell>
          <cell r="C2543" t="str">
            <v>075-BANKING AND INVESTOR SERVICES</v>
          </cell>
        </row>
        <row r="2544">
          <cell r="A2544" t="str">
            <v>A0573</v>
          </cell>
          <cell r="B2544" t="str">
            <v>TREE MANAGER - AMEREN/UE</v>
          </cell>
          <cell r="C2544" t="str">
            <v>02F-VEGETATION MGT-IL</v>
          </cell>
        </row>
        <row r="2545">
          <cell r="A2545" t="str">
            <v>A0574</v>
          </cell>
          <cell r="B2545" t="str">
            <v>PROCESS CIPS CUSTOMER PAYMENTS</v>
          </cell>
          <cell r="C2545" t="str">
            <v>076-TREASURY TECHNOLOGY SERVICES</v>
          </cell>
        </row>
        <row r="2546">
          <cell r="A2546" t="str">
            <v>A0580</v>
          </cell>
          <cell r="B2546" t="str">
            <v>TREE MANAGER - AMEREN/CIPS</v>
          </cell>
          <cell r="C2546" t="str">
            <v>02F-VEGETATION MGT-IL</v>
          </cell>
        </row>
        <row r="2547">
          <cell r="A2547" t="str">
            <v>A0593</v>
          </cell>
          <cell r="B2547" t="str">
            <v>GEN ADMN/STENO SPRT-PURCHSG (IL/MO)</v>
          </cell>
          <cell r="C2547" t="str">
            <v>074-PURCHASING</v>
          </cell>
        </row>
        <row r="2548">
          <cell r="A2548" t="str">
            <v>A0594</v>
          </cell>
          <cell r="B2548" t="str">
            <v>PURCHASE MATL/SERVICES/EQPT (IL/MO)</v>
          </cell>
          <cell r="C2548" t="str">
            <v>074-PURCHASING</v>
          </cell>
        </row>
        <row r="2549">
          <cell r="A2549" t="str">
            <v>A0596</v>
          </cell>
          <cell r="B2549" t="str">
            <v>MISCELLANEOUS OFFICE EXPENSES-PERS</v>
          </cell>
          <cell r="C2549" t="str">
            <v>230-DORSETT TRAINING</v>
          </cell>
        </row>
        <row r="2550">
          <cell r="A2550" t="str">
            <v>A0600</v>
          </cell>
          <cell r="B2550" t="str">
            <v>MISC OFFICE EXP DISTRIBUTION ENG</v>
          </cell>
          <cell r="C2550" t="str">
            <v>028-ED DISTRIBUTION ENGINEERING</v>
          </cell>
        </row>
        <row r="2551">
          <cell r="A2551" t="str">
            <v>A0613</v>
          </cell>
          <cell r="B2551" t="str">
            <v>CLERICAL SUPPORT -AMEREN/UE SAFETY</v>
          </cell>
          <cell r="C2551" t="str">
            <v>233-ED-ELECTRIC STANDARDS</v>
          </cell>
        </row>
        <row r="2552">
          <cell r="A2552" t="str">
            <v>A0622</v>
          </cell>
          <cell r="B2552" t="str">
            <v>INDIR FUNCTIONAL-FINANCIAL PLANNING</v>
          </cell>
          <cell r="C2552" t="str">
            <v>07R-FINANCIAL PLANNING, INS &amp; RISK</v>
          </cell>
        </row>
        <row r="2553">
          <cell r="A2553" t="str">
            <v>A0623</v>
          </cell>
          <cell r="B2553" t="str">
            <v>INDIRECT FUNCTIONAL - INSURANCE</v>
          </cell>
          <cell r="C2553" t="str">
            <v>07R-FINANCIAL PLANNING, INS &amp; RISK</v>
          </cell>
        </row>
        <row r="2554">
          <cell r="A2554" t="str">
            <v>A0624</v>
          </cell>
          <cell r="B2554" t="str">
            <v>INDIRECT FUNCTIONAL-RISK MANAGEMENT</v>
          </cell>
          <cell r="C2554" t="str">
            <v>07Q-CORPORATE RISK MGMT</v>
          </cell>
        </row>
        <row r="2555">
          <cell r="A2555" t="str">
            <v>A0625</v>
          </cell>
          <cell r="B2555" t="str">
            <v>DEVELOPMENT OPERATIONS - MTIS</v>
          </cell>
          <cell r="C2555" t="str">
            <v>202-DEV - OPERATIONS</v>
          </cell>
        </row>
        <row r="2556">
          <cell r="A2556" t="str">
            <v>A0629</v>
          </cell>
          <cell r="B2556" t="str">
            <v>MISC OFFICE EXP - FORESTRY</v>
          </cell>
          <cell r="C2556" t="str">
            <v>02F-VEGETATION MGT-IL</v>
          </cell>
        </row>
        <row r="2557">
          <cell r="A2557" t="str">
            <v>A0631</v>
          </cell>
          <cell r="B2557" t="str">
            <v>MISC OFFICE EXP - DIST SERVICES</v>
          </cell>
          <cell r="C2557" t="str">
            <v>03V-DISTRIBUTION SERVICES-AMS</v>
          </cell>
        </row>
        <row r="2558">
          <cell r="A2558" t="str">
            <v>A0633</v>
          </cell>
          <cell r="B2558" t="str">
            <v>MISSOURI DEREGULATION (ELEC MO)</v>
          </cell>
          <cell r="C2558" t="str">
            <v>001-CORPORATE COMMUNICATIONS</v>
          </cell>
        </row>
        <row r="2559">
          <cell r="A2559" t="str">
            <v>A0647</v>
          </cell>
          <cell r="B2559" t="str">
            <v>TEST AND REPAIR OF PROT EQUIP-CIP</v>
          </cell>
          <cell r="C2559" t="str">
            <v>03V-DISTRIBUTION SERVICES-AMS</v>
          </cell>
        </row>
        <row r="2560">
          <cell r="A2560" t="str">
            <v>A0648</v>
          </cell>
          <cell r="B2560" t="str">
            <v>TEST AND REPAIR OF PROT EQUIP-UEC</v>
          </cell>
          <cell r="C2560" t="str">
            <v>03V-DISTRIBUTION SERVICES-AMS</v>
          </cell>
        </row>
        <row r="2561">
          <cell r="A2561" t="str">
            <v>A0654</v>
          </cell>
          <cell r="B2561" t="str">
            <v>TEST/PROCESS NEW METERS - AMEREN/UE</v>
          </cell>
          <cell r="C2561" t="str">
            <v>03V-DISTRIBUTION SERVICES-AMS</v>
          </cell>
        </row>
        <row r="2562">
          <cell r="A2562" t="str">
            <v>A0657</v>
          </cell>
          <cell r="B2562" t="str">
            <v>TEST/PROCESS NEW METERS - CIP</v>
          </cell>
          <cell r="C2562" t="str">
            <v>03V-DISTRIBUTION SERVICES-AMS</v>
          </cell>
        </row>
        <row r="2563">
          <cell r="A2563" t="str">
            <v>A0664</v>
          </cell>
          <cell r="B2563" t="str">
            <v>CSS PHASE II - DEREGULATED PORTION</v>
          </cell>
          <cell r="C2563" t="str">
            <v>204-DEV - ENERGY DELIVERY</v>
          </cell>
        </row>
        <row r="2564">
          <cell r="A2564" t="str">
            <v>A0669</v>
          </cell>
          <cell r="B2564" t="str">
            <v>TEST/REPAIR USED METERS - UEC-MO</v>
          </cell>
          <cell r="C2564" t="str">
            <v>03V-DISTRIBUTION SERVICES-AMS</v>
          </cell>
        </row>
        <row r="2565">
          <cell r="A2565" t="str">
            <v>A0671</v>
          </cell>
          <cell r="B2565" t="str">
            <v>TEST/REPAIR USED METERS - CIP</v>
          </cell>
          <cell r="C2565" t="str">
            <v>03V-DISTRIBUTION SERVICES-AMS</v>
          </cell>
        </row>
        <row r="2566">
          <cell r="A2566" t="str">
            <v>A0676</v>
          </cell>
          <cell r="B2566" t="str">
            <v>SENIOR VICE PRESIDENT CUSTOMER SRVS</v>
          </cell>
          <cell r="C2566" t="str">
            <v>022-GENERAL EXECUTIVE STAFF-AMS</v>
          </cell>
        </row>
        <row r="2567">
          <cell r="A2567" t="str">
            <v>A0677</v>
          </cell>
          <cell r="B2567" t="str">
            <v>SENIOR VICE PRESIDENT CUSTOMER SERV</v>
          </cell>
          <cell r="C2567" t="str">
            <v>022-GENERAL EXECUTIVE STAFF-AMS</v>
          </cell>
        </row>
        <row r="2568">
          <cell r="A2568" t="str">
            <v>A0678</v>
          </cell>
          <cell r="B2568" t="str">
            <v>SENIOR VICE PRESIDENT CUSTOMER SERV</v>
          </cell>
          <cell r="C2568" t="str">
            <v>022-GENERAL EXECUTIVE STAFF-AMS</v>
          </cell>
        </row>
        <row r="2569">
          <cell r="A2569" t="str">
            <v>A0679</v>
          </cell>
          <cell r="B2569" t="str">
            <v>TEST/REPAIR OTHER T&amp;D EQUIP-UEC-MO</v>
          </cell>
          <cell r="C2569" t="str">
            <v>03V-DISTRIBUTION SERVICES-AMS</v>
          </cell>
        </row>
        <row r="2570">
          <cell r="A2570" t="str">
            <v>A0681</v>
          </cell>
          <cell r="B2570" t="str">
            <v>TEST/REPAIR OTHER T&amp;D EQUIP-CIP</v>
          </cell>
          <cell r="C2570" t="str">
            <v>03V-DISTRIBUTION SERVICES-AMS</v>
          </cell>
        </row>
        <row r="2571">
          <cell r="A2571" t="str">
            <v>A0689</v>
          </cell>
          <cell r="B2571" t="str">
            <v>TEST/REPAIR PLANT METERS-RUSH I</v>
          </cell>
          <cell r="C2571" t="str">
            <v>03V-DISTRIBUTION SERVICES-AMS</v>
          </cell>
        </row>
        <row r="2572">
          <cell r="A2572" t="str">
            <v>A0696</v>
          </cell>
          <cell r="B2572" t="str">
            <v>ASST MGR CUSTOMER SERVICES AMUE</v>
          </cell>
          <cell r="C2572" t="str">
            <v>03W-CUSTOMER SERVICE-AMS</v>
          </cell>
        </row>
        <row r="2573">
          <cell r="A2573" t="str">
            <v>A0697</v>
          </cell>
          <cell r="B2573" t="str">
            <v>ASST MGR CUSTOMER SERVICES AMCIPS</v>
          </cell>
          <cell r="C2573" t="str">
            <v>03W-CUSTOMER SERVICE-AMS</v>
          </cell>
        </row>
        <row r="2574">
          <cell r="A2574" t="str">
            <v>A0698</v>
          </cell>
          <cell r="B2574" t="str">
            <v>ASST MGR CUSTOMER SERVICES ALLOC</v>
          </cell>
          <cell r="C2574" t="str">
            <v>03W-CUSTOMER SERVICE-AMS</v>
          </cell>
        </row>
        <row r="2575">
          <cell r="A2575" t="str">
            <v>A0699</v>
          </cell>
          <cell r="B2575" t="str">
            <v>PERFORM PROJT EVAL REVIEWS (ALLOC)</v>
          </cell>
          <cell r="C2575" t="str">
            <v>075-BANKING AND INVESTOR SERVICES</v>
          </cell>
        </row>
        <row r="2576">
          <cell r="A2576" t="str">
            <v>A0700</v>
          </cell>
          <cell r="B2576" t="str">
            <v>PERFRM PRJT EVAL REVS/BUS DEV (CIC)</v>
          </cell>
          <cell r="C2576" t="str">
            <v>075-BANKING AND INVESTOR SERVICES</v>
          </cell>
        </row>
        <row r="2577">
          <cell r="A2577" t="str">
            <v>A0701</v>
          </cell>
          <cell r="B2577" t="str">
            <v>PERFRM PRJT EVAL REVS/BUS DEV (UEC)</v>
          </cell>
          <cell r="C2577" t="str">
            <v>075-BANKING AND INVESTOR SERVICES</v>
          </cell>
        </row>
        <row r="2578">
          <cell r="A2578" t="str">
            <v>A0702</v>
          </cell>
          <cell r="B2578" t="str">
            <v>PERFRM PRJT EVAL REVS/BUS DEV (CIP)</v>
          </cell>
          <cell r="C2578" t="str">
            <v>075-BANKING AND INVESTOR SERVICES</v>
          </cell>
        </row>
        <row r="2579">
          <cell r="A2579" t="str">
            <v>A0703</v>
          </cell>
          <cell r="B2579" t="str">
            <v>PERFORM PROJT EVAL REVIEWS (UDC)</v>
          </cell>
          <cell r="C2579" t="str">
            <v>075-BANKING AND INVESTOR SERVICES</v>
          </cell>
        </row>
        <row r="2580">
          <cell r="A2580" t="str">
            <v>A0705</v>
          </cell>
          <cell r="B2580" t="str">
            <v>UPDATE&amp;MONITOR COSTOF CAPITAL-ALLOC</v>
          </cell>
          <cell r="C2580" t="str">
            <v>075-BANKING AND INVESTOR SERVICES</v>
          </cell>
        </row>
        <row r="2581">
          <cell r="A2581" t="str">
            <v>A0706</v>
          </cell>
          <cell r="B2581" t="str">
            <v>UPDATE&amp;MONITOR COSTOF CAPITAL (UE)</v>
          </cell>
          <cell r="C2581" t="str">
            <v>075-BANKING AND INVESTOR SERVICES</v>
          </cell>
        </row>
        <row r="2582">
          <cell r="A2582" t="str">
            <v>A0707</v>
          </cell>
          <cell r="B2582" t="str">
            <v>UPDATE&amp;MONITOR COSTOF CAPITAL (CIP)</v>
          </cell>
          <cell r="C2582" t="str">
            <v>075-BANKING AND INVESTOR SERVICES</v>
          </cell>
        </row>
        <row r="2583">
          <cell r="A2583" t="str">
            <v>A0710</v>
          </cell>
          <cell r="B2583" t="str">
            <v>ADMN&amp;MONITOR PERFORMNCE TRUST-ALLOC</v>
          </cell>
          <cell r="C2583" t="str">
            <v>07R-FINANCIAL PLANNING, INS &amp; RISK</v>
          </cell>
        </row>
        <row r="2584">
          <cell r="A2584" t="str">
            <v>A0711</v>
          </cell>
          <cell r="B2584" t="str">
            <v>ADMN&amp;MONITOR PERFORMANCE TRUSTS-UE</v>
          </cell>
          <cell r="C2584" t="str">
            <v>07R-FINANCIAL PLANNING, INS &amp; RISK</v>
          </cell>
        </row>
        <row r="2585">
          <cell r="A2585" t="str">
            <v>A0712</v>
          </cell>
          <cell r="B2585" t="str">
            <v>ADMN&amp;MONITOR PERFORMANCE TRUSTS-CIP</v>
          </cell>
          <cell r="C2585" t="str">
            <v>07R-FINANCIAL PLANNING, INS &amp; RISK</v>
          </cell>
        </row>
        <row r="2586">
          <cell r="A2586" t="str">
            <v>A0713</v>
          </cell>
          <cell r="B2586" t="str">
            <v>PERFORM PROJT EVAL REVIEWS (ERC)</v>
          </cell>
          <cell r="C2586" t="str">
            <v>075-BANKING AND INVESTOR SERVICES</v>
          </cell>
        </row>
        <row r="2587">
          <cell r="A2587" t="str">
            <v>A0715</v>
          </cell>
          <cell r="B2587" t="str">
            <v>ADMN&amp;MONITORPERFORM OF NDT TRUST-UE</v>
          </cell>
          <cell r="C2587" t="str">
            <v>07R-FINANCIAL PLANNING, INS &amp; RISK</v>
          </cell>
        </row>
        <row r="2588">
          <cell r="A2588" t="str">
            <v>A0720</v>
          </cell>
          <cell r="B2588" t="str">
            <v>END-USER TRANSPORTATION MGT (UE-MO)</v>
          </cell>
          <cell r="C2588" t="str">
            <v>0G2-GAS TECH SERVICES - AMS</v>
          </cell>
        </row>
        <row r="2589">
          <cell r="A2589" t="str">
            <v>A0722</v>
          </cell>
          <cell r="B2589" t="str">
            <v>GAS SUPT BUSINESS SYS - Illinois</v>
          </cell>
          <cell r="C2589" t="str">
            <v>0G2-GAS TECH SERVICES - AMS</v>
          </cell>
        </row>
        <row r="2590">
          <cell r="A2590" t="str">
            <v>A0726</v>
          </cell>
          <cell r="B2590" t="str">
            <v>RESEARCH &amp; DEV-COAL FIRED GEN.CAP.</v>
          </cell>
          <cell r="C2590" t="str">
            <v>047-RESEARCH &amp; DEVELOPMENT</v>
          </cell>
        </row>
        <row r="2591">
          <cell r="A2591" t="str">
            <v>A0727</v>
          </cell>
          <cell r="B2591" t="str">
            <v>AUDIT OF LABORATORY SERVICES - CIPS</v>
          </cell>
          <cell r="C2591" t="str">
            <v>05A-INTERNAL AUDIT</v>
          </cell>
        </row>
        <row r="2592">
          <cell r="A2592" t="str">
            <v>A0728</v>
          </cell>
          <cell r="B2592" t="str">
            <v>AUDIT OF ENERGY SUPPLY OPERATIONS</v>
          </cell>
          <cell r="C2592" t="str">
            <v>05A-INTERNAL AUDIT</v>
          </cell>
        </row>
        <row r="2593">
          <cell r="A2593" t="str">
            <v>A0730</v>
          </cell>
          <cell r="B2593" t="str">
            <v>STENOGRAPHIC CHARGES FOR AMEREN/UE</v>
          </cell>
          <cell r="C2593" t="str">
            <v>02E-HR - STAFFING</v>
          </cell>
        </row>
        <row r="2594">
          <cell r="A2594" t="str">
            <v>A0731</v>
          </cell>
          <cell r="B2594" t="str">
            <v>PERFORM PROJT EVAL REVIEWS (AME)</v>
          </cell>
          <cell r="C2594" t="str">
            <v>075-BANKING AND INVESTOR SERVICES</v>
          </cell>
        </row>
        <row r="2595">
          <cell r="A2595" t="str">
            <v>A0732</v>
          </cell>
          <cell r="B2595" t="str">
            <v>(DND)CORP COMM BY #CUST(E G MO IL)</v>
          </cell>
          <cell r="C2595" t="str">
            <v>001-CORPORATE COMMUNICATIONS</v>
          </cell>
        </row>
        <row r="2596">
          <cell r="A2596" t="str">
            <v>A0733</v>
          </cell>
          <cell r="B2596" t="str">
            <v>DEV-ED - WORKBENCH APPL SUPPORT</v>
          </cell>
          <cell r="C2596" t="str">
            <v>204-DEV - ENERGY DELIVERY</v>
          </cell>
        </row>
        <row r="2597">
          <cell r="A2597" t="str">
            <v>A0734</v>
          </cell>
          <cell r="B2597" t="str">
            <v>(DND)DIRECT ADV UE (E G MO IL)</v>
          </cell>
          <cell r="C2597" t="str">
            <v>001-CORPORATE COMMUNICATIONS</v>
          </cell>
        </row>
        <row r="2598">
          <cell r="A2598" t="str">
            <v>A0736</v>
          </cell>
          <cell r="B2598" t="str">
            <v>OFFICE SUPT, OFFICE SUPPL &amp; OTH-REG</v>
          </cell>
          <cell r="C2598" t="str">
            <v>048-TRANSMISSION SVCS BUSINESS CTR</v>
          </cell>
        </row>
        <row r="2599">
          <cell r="A2599" t="str">
            <v>A0737</v>
          </cell>
          <cell r="B2599" t="str">
            <v>(DND)DIRECT ADV CIPS (ELEC GAS IL)</v>
          </cell>
          <cell r="C2599" t="str">
            <v>001-CORPORATE COMMUNICATIONS</v>
          </cell>
        </row>
        <row r="2600">
          <cell r="A2600" t="str">
            <v>A0738</v>
          </cell>
          <cell r="B2600" t="str">
            <v>DATAOPS - AMERENENERGY</v>
          </cell>
          <cell r="C2600" t="str">
            <v>006-INF - DATA CENTER OPERATIONS</v>
          </cell>
        </row>
        <row r="2601">
          <cell r="A2601" t="str">
            <v>A0740</v>
          </cell>
          <cell r="B2601" t="str">
            <v>COMMUNITY RELATIONS - AMC</v>
          </cell>
          <cell r="C2601" t="str">
            <v>29C-COMMUNITY RELATIONS</v>
          </cell>
        </row>
        <row r="2602">
          <cell r="A2602" t="str">
            <v>A0741</v>
          </cell>
          <cell r="B2602" t="str">
            <v>COMM REL  UE (E/G)</v>
          </cell>
          <cell r="C2602" t="str">
            <v>29C-COMMUNITY RELATIONS</v>
          </cell>
        </row>
        <row r="2603">
          <cell r="A2603" t="str">
            <v>A0742</v>
          </cell>
          <cell r="B2603" t="str">
            <v>IT DEV - FIN - INDIRECT FUNCTIONAL</v>
          </cell>
          <cell r="C2603" t="str">
            <v>201-DEV - BUS &amp; CORP SVCS</v>
          </cell>
        </row>
        <row r="2604">
          <cell r="A2604" t="str">
            <v>A0743</v>
          </cell>
          <cell r="B2604" t="str">
            <v>COMM RELCIPS (ELEC/GAS IL)</v>
          </cell>
          <cell r="C2604" t="str">
            <v>29C-COMMUNITY RELATIONS</v>
          </cell>
        </row>
        <row r="2605">
          <cell r="A2605" t="str">
            <v>A0744</v>
          </cell>
          <cell r="B2605" t="str">
            <v>ALLOC EMP COMM (E/G)</v>
          </cell>
          <cell r="C2605" t="str">
            <v>001-CORPORATE COMMUNICATIONS</v>
          </cell>
        </row>
        <row r="2606">
          <cell r="A2606" t="str">
            <v>A0745</v>
          </cell>
          <cell r="B2606" t="str">
            <v>IR SUPPORT FOR AEG</v>
          </cell>
          <cell r="C2606" t="str">
            <v>057-LABOR STRATEGY</v>
          </cell>
        </row>
        <row r="2607">
          <cell r="A2607" t="str">
            <v>A0746</v>
          </cell>
          <cell r="B2607" t="str">
            <v>(DND)DIRECT PR UE (ELEC GAS MO IL)</v>
          </cell>
          <cell r="C2607" t="str">
            <v>001-CORPORATE COMMUNICATIONS</v>
          </cell>
        </row>
        <row r="2608">
          <cell r="A2608" t="str">
            <v>A0748</v>
          </cell>
          <cell r="B2608" t="str">
            <v>(DND)PR - CIPS (ELEC GAS IL)</v>
          </cell>
          <cell r="C2608" t="str">
            <v>001-CORPORATE COMMUNICATIONS</v>
          </cell>
        </row>
        <row r="2609">
          <cell r="A2609" t="str">
            <v>A0749</v>
          </cell>
          <cell r="B2609" t="str">
            <v>(DND)ALLOC PR (ELEC GAS MO IL)</v>
          </cell>
          <cell r="C2609" t="str">
            <v>001-CORPORATE COMMUNICATIONS</v>
          </cell>
        </row>
        <row r="2610">
          <cell r="A2610" t="str">
            <v>A0750</v>
          </cell>
          <cell r="B2610" t="str">
            <v>VIDEO MULTIMEDIA/AV SUPT-CORP COMM(</v>
          </cell>
          <cell r="C2610" t="str">
            <v>02V-EMPLOYEE COMMUNICATIONS</v>
          </cell>
        </row>
        <row r="2611">
          <cell r="A2611" t="str">
            <v>A0751</v>
          </cell>
          <cell r="B2611" t="str">
            <v>AUDIT OF UE ILLINOIS DISTRICT OPS</v>
          </cell>
          <cell r="C2611" t="str">
            <v>05A-INTERNAL AUDIT</v>
          </cell>
        </row>
        <row r="2612">
          <cell r="A2612" t="str">
            <v>A0752</v>
          </cell>
          <cell r="B2612" t="str">
            <v>SAFETY SUPERVISOR - AMEREN/CIPS</v>
          </cell>
          <cell r="C2612" t="str">
            <v>026-ED-SAFETY-UE</v>
          </cell>
        </row>
        <row r="2613">
          <cell r="A2613" t="str">
            <v>A0753</v>
          </cell>
          <cell r="B2613" t="str">
            <v>RISK MANAGEMENT - UE GAS SUPPLY</v>
          </cell>
          <cell r="C2613" t="str">
            <v>07Q-CORPORATE RISK MGMT</v>
          </cell>
        </row>
        <row r="2614">
          <cell r="A2614" t="str">
            <v>A0754</v>
          </cell>
          <cell r="B2614" t="str">
            <v>CORPORATE MEMBERSHIPS - AMEREN</v>
          </cell>
          <cell r="C2614" t="str">
            <v>096-CONTRIBUTIONS &amp; MEMBERSHIPS</v>
          </cell>
        </row>
        <row r="2615">
          <cell r="A2615" t="str">
            <v>A0755</v>
          </cell>
          <cell r="B2615" t="str">
            <v>CORPORATE MEMBERSHIPS - AMEREN/UE</v>
          </cell>
          <cell r="C2615" t="str">
            <v>096-CONTRIBUTIONS &amp; MEMBERSHIPS</v>
          </cell>
        </row>
        <row r="2616">
          <cell r="A2616" t="str">
            <v>A0756</v>
          </cell>
          <cell r="B2616" t="str">
            <v>MANAGER - CSD SUBST. &amp; TRANSM.-UEC</v>
          </cell>
          <cell r="C2616" t="str">
            <v>03M-SUB MTCE &amp; CONST-ENG &amp; ADMIN</v>
          </cell>
        </row>
        <row r="2617">
          <cell r="A2617" t="str">
            <v>A0757</v>
          </cell>
          <cell r="B2617" t="str">
            <v>RISK MANAGEMENT - CIPS GAS SUPPLY</v>
          </cell>
          <cell r="C2617" t="str">
            <v>07Q-CORPORATE RISK MGMT</v>
          </cell>
        </row>
        <row r="2618">
          <cell r="A2618" t="str">
            <v>A0758</v>
          </cell>
          <cell r="B2618" t="str">
            <v>CORPORATE MEMBERSHIPS - AMEREN/CIPS</v>
          </cell>
          <cell r="C2618" t="str">
            <v>096-CONTRIBUTIONS &amp; MEMBERSHIPS</v>
          </cell>
        </row>
        <row r="2619">
          <cell r="A2619" t="str">
            <v>A0759</v>
          </cell>
          <cell r="B2619" t="str">
            <v>ARES INFORMATION BILLING SYSTEM</v>
          </cell>
          <cell r="C2619" t="str">
            <v>204-DEV - ENERGY DELIVERY</v>
          </cell>
        </row>
        <row r="2620">
          <cell r="A2620" t="str">
            <v>A0760</v>
          </cell>
          <cell r="B2620" t="str">
            <v>PERFORM DAILY ERC BANKING &amp; ACTVS</v>
          </cell>
          <cell r="C2620" t="str">
            <v>075-BANKING AND INVESTOR SERVICES</v>
          </cell>
        </row>
        <row r="2621">
          <cell r="A2621" t="str">
            <v>A0762</v>
          </cell>
          <cell r="B2621" t="str">
            <v>COMM SVCS - AMEREN ENERGY</v>
          </cell>
          <cell r="C2621" t="str">
            <v>065-NEO - TELEPHONE SERVICES</v>
          </cell>
        </row>
        <row r="2622">
          <cell r="A2622" t="str">
            <v>A0763</v>
          </cell>
          <cell r="B2622" t="str">
            <v>MANAGER - CSD SUBST. &amp; TRANSM.-CIP</v>
          </cell>
          <cell r="C2622" t="str">
            <v>03M-SUB MTCE &amp; CONST-ENG &amp; ADMIN</v>
          </cell>
        </row>
        <row r="2623">
          <cell r="A2623" t="str">
            <v>A0764</v>
          </cell>
          <cell r="B2623" t="str">
            <v>SUBSTATION &amp; TRANSMISSION ALLOCATED</v>
          </cell>
          <cell r="C2623" t="str">
            <v>03M-SUB MTCE &amp; CONST-ENG &amp; ADMIN</v>
          </cell>
        </row>
        <row r="2624">
          <cell r="A2624" t="str">
            <v>A0767</v>
          </cell>
          <cell r="B2624" t="str">
            <v>VP CUSTOMER SERVICES DIVISION SUPPO</v>
          </cell>
          <cell r="C2624" t="str">
            <v>022-GENERAL EXECUTIVE STAFF-AMS</v>
          </cell>
        </row>
        <row r="2625">
          <cell r="A2625" t="str">
            <v>A0768</v>
          </cell>
          <cell r="B2625" t="str">
            <v>VP CUSTOMER SERVICES DIVISION SUPPO</v>
          </cell>
          <cell r="C2625" t="str">
            <v>022-GENERAL EXECUTIVE STAFF-AMS</v>
          </cell>
        </row>
        <row r="2626">
          <cell r="A2626" t="str">
            <v>A0769</v>
          </cell>
          <cell r="B2626" t="str">
            <v>VP CUSTOMER SERVICES DIVISION SUPPO</v>
          </cell>
          <cell r="C2626" t="str">
            <v>022-GENERAL EXECUTIVE STAFF-AMS</v>
          </cell>
        </row>
        <row r="2627">
          <cell r="A2627" t="str">
            <v>A0770</v>
          </cell>
          <cell r="B2627" t="str">
            <v>MANAGER - CSD OPERATIONS - UEC</v>
          </cell>
          <cell r="C2627" t="str">
            <v>03V-DISTRIBUTION SERVICES-AMS</v>
          </cell>
        </row>
        <row r="2628">
          <cell r="A2628" t="str">
            <v>A0772</v>
          </cell>
          <cell r="B2628" t="str">
            <v>MANAGER - CSD OPERATIONS - ALLOC</v>
          </cell>
          <cell r="C2628" t="str">
            <v>03V-DISTRIBUTION SERVICES-AMS</v>
          </cell>
        </row>
        <row r="2629">
          <cell r="A2629" t="str">
            <v>A0776</v>
          </cell>
          <cell r="B2629" t="str">
            <v>ED - CUSTOMER TRAINING - AMERENUE</v>
          </cell>
          <cell r="C2629" t="str">
            <v>025-ED-CUSTOMER TRAINING</v>
          </cell>
        </row>
        <row r="2630">
          <cell r="A2630" t="str">
            <v>A0777</v>
          </cell>
          <cell r="B2630" t="str">
            <v>MANAGER PERSONNEL DEV &amp; ADMIN - AME</v>
          </cell>
          <cell r="C2630" t="str">
            <v>025-ED-CUSTOMER TRAINING</v>
          </cell>
        </row>
        <row r="2631">
          <cell r="A2631" t="str">
            <v>A0778</v>
          </cell>
          <cell r="B2631" t="str">
            <v>ED - CUSTOMER TRAINING - ALLOCATED</v>
          </cell>
          <cell r="C2631" t="str">
            <v>025-ED-CUSTOMER TRAINING</v>
          </cell>
        </row>
        <row r="2632">
          <cell r="A2632" t="str">
            <v>A0779</v>
          </cell>
          <cell r="B2632" t="str">
            <v>PERFORM DAILY AME BANKING &amp; ACTVS</v>
          </cell>
          <cell r="C2632" t="str">
            <v>075-BANKING AND INVESTOR SERVICES</v>
          </cell>
        </row>
        <row r="2633">
          <cell r="A2633" t="str">
            <v>A0782</v>
          </cell>
          <cell r="B2633" t="str">
            <v>SYS RELAY - MANAGER - UE</v>
          </cell>
          <cell r="C2633" t="str">
            <v>090-SYSTEM RELAY SERVICES</v>
          </cell>
        </row>
        <row r="2634">
          <cell r="A2634" t="str">
            <v>A0787</v>
          </cell>
          <cell r="B2634" t="str">
            <v>PLACEMENT POOL - AMEREN/CIPS CUSTOM</v>
          </cell>
          <cell r="C2634" t="str">
            <v>02A-RESOURCE POOL</v>
          </cell>
        </row>
        <row r="2635">
          <cell r="A2635" t="str">
            <v>A0788</v>
          </cell>
          <cell r="B2635" t="str">
            <v>CLERICAL SPRT FOR UEC TROUBLE DEPT</v>
          </cell>
          <cell r="C2635" t="str">
            <v>03V-DISTRIBUTION SERVICES-AMS</v>
          </cell>
        </row>
        <row r="2636">
          <cell r="A2636" t="str">
            <v>A0789</v>
          </cell>
          <cell r="B2636" t="str">
            <v>AUDIT OF CUSTOMER BUSINESS OPS-CIPS</v>
          </cell>
          <cell r="C2636" t="str">
            <v>05A-INTERNAL AUDIT</v>
          </cell>
        </row>
        <row r="2637">
          <cell r="A2637" t="str">
            <v>A0790</v>
          </cell>
          <cell r="B2637" t="str">
            <v>SWO - UEDC PROP MGMT</v>
          </cell>
          <cell r="C2637" t="str">
            <v>061-REAL ESTATE</v>
          </cell>
        </row>
        <row r="2638">
          <cell r="A2638" t="str">
            <v>A0791</v>
          </cell>
          <cell r="B2638" t="str">
            <v>SECURITY SERVICES - ALLOCATED</v>
          </cell>
          <cell r="C2638" t="str">
            <v>039-SECURITY</v>
          </cell>
        </row>
        <row r="2639">
          <cell r="A2639" t="str">
            <v>A0792</v>
          </cell>
          <cell r="B2639" t="str">
            <v>AUDIT OF CONTROLLERS OPERATIONS</v>
          </cell>
          <cell r="C2639" t="str">
            <v>05A-INTERNAL AUDIT</v>
          </cell>
        </row>
        <row r="2640">
          <cell r="A2640" t="str">
            <v>A0794</v>
          </cell>
          <cell r="B2640" t="str">
            <v>ASH MANAGEMENT - AMEREN/UE</v>
          </cell>
          <cell r="C2640" t="str">
            <v>09M-GENERATION PROJECT ENGINEERING</v>
          </cell>
        </row>
        <row r="2641">
          <cell r="A2641" t="str">
            <v>A0796</v>
          </cell>
          <cell r="B2641" t="str">
            <v>ASH MANAGEMENT - GENCO</v>
          </cell>
          <cell r="C2641" t="str">
            <v>09M-GENERATION PROJECT ENGINEERING</v>
          </cell>
        </row>
        <row r="2642">
          <cell r="A2642" t="str">
            <v>A0797</v>
          </cell>
          <cell r="B2642" t="str">
            <v>RUSH ISLAND - TG FDN MONITORING</v>
          </cell>
          <cell r="C2642" t="str">
            <v>09M-GENERATION PROJECT ENGINEERING</v>
          </cell>
        </row>
        <row r="2643">
          <cell r="A2643" t="str">
            <v>A0798</v>
          </cell>
          <cell r="B2643" t="str">
            <v>CLERICAL SUPPORT FOR AMEREN/UE AMR</v>
          </cell>
          <cell r="C2643" t="str">
            <v>025-ED-CUSTOMER TRAINING</v>
          </cell>
        </row>
        <row r="2644">
          <cell r="A2644" t="str">
            <v>A0800</v>
          </cell>
          <cell r="B2644" t="str">
            <v>AMEREN ENERGY</v>
          </cell>
          <cell r="C2644" t="str">
            <v>024-LEGAL</v>
          </cell>
        </row>
        <row r="2645">
          <cell r="A2645" t="str">
            <v>A0802</v>
          </cell>
          <cell r="B2645" t="str">
            <v>SECURITY SERVICES FOR AMEREN ENERGY</v>
          </cell>
          <cell r="C2645" t="str">
            <v>039-SECURITY</v>
          </cell>
        </row>
        <row r="2646">
          <cell r="A2646" t="str">
            <v>A0803</v>
          </cell>
          <cell r="B2646" t="str">
            <v>SECRETARIAL &amp; ADMIN SUPPORT - ALT</v>
          </cell>
          <cell r="C2646" t="str">
            <v>022-GENERAL EXECUTIVE STAFF-AMS</v>
          </cell>
        </row>
        <row r="2647">
          <cell r="A2647" t="str">
            <v>A0804</v>
          </cell>
          <cell r="B2647" t="str">
            <v>PERFORM DAILY AEC BANKING &amp; ACTVS</v>
          </cell>
          <cell r="C2647" t="str">
            <v>075-BANKING AND INVESTOR SERVICES</v>
          </cell>
        </row>
        <row r="2648">
          <cell r="A2648" t="str">
            <v>A0805</v>
          </cell>
          <cell r="B2648" t="str">
            <v>DATAOPS - TRIS SYS SUPPORT</v>
          </cell>
          <cell r="C2648" t="str">
            <v>06E-SCP - DATA MANAGEMENT</v>
          </cell>
        </row>
        <row r="2649">
          <cell r="A2649" t="str">
            <v>A0807</v>
          </cell>
          <cell r="B2649" t="str">
            <v>RF BARCODING - DORSETT</v>
          </cell>
          <cell r="C2649" t="str">
            <v>201-DEV - BUS &amp; CORP SVCS</v>
          </cell>
        </row>
        <row r="2650">
          <cell r="A2650" t="str">
            <v>A0813</v>
          </cell>
          <cell r="B2650" t="str">
            <v>CLERICAL SUPPORT FOR GAS AMR PROJEC</v>
          </cell>
          <cell r="C2650" t="str">
            <v>025-ED-CUSTOMER TRAINING</v>
          </cell>
        </row>
        <row r="2651">
          <cell r="A2651" t="str">
            <v>A0814</v>
          </cell>
          <cell r="B2651" t="str">
            <v>AUDIT OF PGA OPS - Metro-ILLINOIS</v>
          </cell>
          <cell r="C2651" t="str">
            <v>05A-INTERNAL AUDIT</v>
          </cell>
        </row>
        <row r="2652">
          <cell r="A2652" t="str">
            <v>A0815</v>
          </cell>
          <cell r="B2652" t="str">
            <v>COMMUNICATION SERVICES - CTI/VRU</v>
          </cell>
          <cell r="C2652" t="str">
            <v>065-NEO - TELEPHONE SERVICES</v>
          </cell>
        </row>
        <row r="2653">
          <cell r="A2653" t="str">
            <v>A0816</v>
          </cell>
          <cell r="B2653" t="str">
            <v>COMM SERVICES - CTI/VRU UEC</v>
          </cell>
          <cell r="C2653" t="str">
            <v>065-NEO - TELEPHONE SERVICES</v>
          </cell>
        </row>
        <row r="2654">
          <cell r="A2654" t="str">
            <v>A0817</v>
          </cell>
          <cell r="B2654" t="str">
            <v>GAS SUPT METER SHOP ADMIN UE</v>
          </cell>
          <cell r="C2654" t="str">
            <v>0G2-GAS TECH SERVICES - AMS</v>
          </cell>
        </row>
        <row r="2655">
          <cell r="A2655" t="str">
            <v>A0819</v>
          </cell>
          <cell r="B2655" t="str">
            <v>AMEREN SERVICES ACCRUED VACATION LI</v>
          </cell>
          <cell r="C2655" t="str">
            <v>190-APPORTIONMENTS/SPECIAL ITEMS</v>
          </cell>
        </row>
        <row r="2656">
          <cell r="A2656" t="str">
            <v>A0820</v>
          </cell>
          <cell r="B2656" t="str">
            <v>COMM SERVICES - CTI/VRU -CIPS</v>
          </cell>
          <cell r="C2656" t="str">
            <v>065-NEO - TELEPHONE SERVICES</v>
          </cell>
        </row>
        <row r="2657">
          <cell r="A2657" t="str">
            <v>A0825</v>
          </cell>
          <cell r="B2657" t="str">
            <v>PENSION ADMINISTRATION DEV HR</v>
          </cell>
          <cell r="C2657" t="str">
            <v>201-DEV - BUS &amp; CORP SVCS</v>
          </cell>
        </row>
        <row r="2658">
          <cell r="A2658" t="str">
            <v>A0826</v>
          </cell>
          <cell r="B2658" t="str">
            <v>ENERGY PLUS PROGRAMS - AMEREN/UE</v>
          </cell>
          <cell r="C2658" t="str">
            <v>03W-CUSTOMER SERVICE-AMS</v>
          </cell>
        </row>
        <row r="2659">
          <cell r="A2659" t="str">
            <v>A0828</v>
          </cell>
          <cell r="B2659" t="str">
            <v>IMPLEMENT RETRO UNIONS</v>
          </cell>
          <cell r="C2659" t="str">
            <v>201-DEV - BUS &amp; CORP SVCS</v>
          </cell>
        </row>
        <row r="2660">
          <cell r="A2660" t="str">
            <v>A0833</v>
          </cell>
          <cell r="B2660" t="str">
            <v>ECONOMIC DEVELOPMENT SERVICES-CIP</v>
          </cell>
          <cell r="C2660" t="str">
            <v>016-ECONOMIC DEVELOPMENT</v>
          </cell>
        </row>
        <row r="2661">
          <cell r="A2661" t="str">
            <v>A0834</v>
          </cell>
          <cell r="B2661" t="str">
            <v>ENERGY PLUS PROGRAMS - AMEREN/CIPS</v>
          </cell>
          <cell r="C2661" t="str">
            <v>03W-CUSTOMER SERVICE-AMS</v>
          </cell>
        </row>
        <row r="2662">
          <cell r="A2662" t="str">
            <v>A0835</v>
          </cell>
          <cell r="B2662" t="str">
            <v>UNION ELECTRIC - GAS</v>
          </cell>
          <cell r="C2662" t="str">
            <v>024-LEGAL</v>
          </cell>
        </row>
        <row r="2663">
          <cell r="A2663" t="str">
            <v>A0837</v>
          </cell>
          <cell r="B2663" t="str">
            <v>ALLOCATED - REGULATORY - GAS IL</v>
          </cell>
          <cell r="C2663" t="str">
            <v>024-LEGAL</v>
          </cell>
        </row>
        <row r="2664">
          <cell r="A2664" t="str">
            <v>A0838</v>
          </cell>
          <cell r="B2664" t="str">
            <v>ALLOCATED-REGULATORY-GAS</v>
          </cell>
          <cell r="C2664" t="str">
            <v>024-LEGAL</v>
          </cell>
        </row>
        <row r="2665">
          <cell r="A2665" t="str">
            <v>A0839</v>
          </cell>
          <cell r="B2665" t="str">
            <v>ECONOMIC DEVELOPMENT SERVICES-UEC</v>
          </cell>
          <cell r="C2665" t="str">
            <v>016-ECONOMIC DEVELOPMENT</v>
          </cell>
        </row>
        <row r="2666">
          <cell r="A2666" t="str">
            <v>A0841</v>
          </cell>
          <cell r="B2666" t="str">
            <v>CIPS - GAS</v>
          </cell>
          <cell r="C2666" t="str">
            <v>024-LEGAL</v>
          </cell>
        </row>
        <row r="2667">
          <cell r="A2667" t="str">
            <v>A0850</v>
          </cell>
          <cell r="B2667" t="str">
            <v>HR ADMINISTRATIVE SUPPORT - INDIREC</v>
          </cell>
          <cell r="C2667" t="str">
            <v>02A-RESOURCE POOL</v>
          </cell>
        </row>
        <row r="2668">
          <cell r="A2668" t="str">
            <v>A0852</v>
          </cell>
          <cell r="B2668" t="str">
            <v>DEV,TRN,VIDEO/MULTIMEDIA-ALLOC (ELE</v>
          </cell>
          <cell r="C2668" t="str">
            <v>02V-EMPLOYEE COMMUNICATIONS</v>
          </cell>
        </row>
        <row r="2669">
          <cell r="A2669" t="str">
            <v>A0859</v>
          </cell>
          <cell r="B2669" t="str">
            <v>GENERAL RATE ENG-UEC-MO-GAS</v>
          </cell>
          <cell r="C2669" t="str">
            <v>29R-REGULATORY POLICY</v>
          </cell>
        </row>
        <row r="2670">
          <cell r="A2670" t="str">
            <v>A0861</v>
          </cell>
          <cell r="B2670" t="str">
            <v>MAINTAIN UE GAS ACCOUNTING RECORDS</v>
          </cell>
          <cell r="C2670" t="str">
            <v>004-ACCOUNTING</v>
          </cell>
        </row>
        <row r="2671">
          <cell r="A2671" t="str">
            <v>A0862</v>
          </cell>
          <cell r="B2671" t="str">
            <v>MAINTAIN CIP GAS ACCOUNTING RECORDS</v>
          </cell>
          <cell r="C2671" t="str">
            <v>004-ACCOUNTING</v>
          </cell>
        </row>
        <row r="2672">
          <cell r="A2672" t="str">
            <v>A0864</v>
          </cell>
          <cell r="B2672" t="str">
            <v>DEV,TRN,VIDEO/MULTIMEDIA-CIP (ELEC/</v>
          </cell>
          <cell r="C2672" t="str">
            <v>02V-EMPLOYEE COMMUNICATIONS</v>
          </cell>
        </row>
        <row r="2673">
          <cell r="A2673" t="str">
            <v>A0865</v>
          </cell>
          <cell r="B2673" t="str">
            <v>DEV,TRN,VIDEO/MULTIMEDIA-UEC(ELEC/G</v>
          </cell>
          <cell r="C2673" t="str">
            <v>02V-EMPLOYEE COMMUNICATIONS</v>
          </cell>
        </row>
        <row r="2674">
          <cell r="A2674" t="str">
            <v>A0866</v>
          </cell>
          <cell r="B2674" t="str">
            <v>RENT FOR AMEREN SERVICES EMPLOYEES</v>
          </cell>
          <cell r="C2674" t="str">
            <v>190-APPORTIONMENTS/SPECIAL ITEMS</v>
          </cell>
        </row>
        <row r="2675">
          <cell r="A2675" t="str">
            <v>A0868</v>
          </cell>
          <cell r="B2675" t="str">
            <v>MO. P. S. C. RETAIL ELEC. COMPETITI</v>
          </cell>
          <cell r="C2675" t="str">
            <v>022-GENERAL EXECUTIVE STAFF-AMS</v>
          </cell>
        </row>
        <row r="2676">
          <cell r="A2676" t="str">
            <v>A0869</v>
          </cell>
          <cell r="B2676" t="str">
            <v>ADMIN &amp; PLNG WORK-COMM &amp; TRNG SVC (</v>
          </cell>
          <cell r="C2676" t="str">
            <v>02V-EMPLOYEE COMMUNICATIONS</v>
          </cell>
        </row>
        <row r="2677">
          <cell r="A2677" t="str">
            <v>A0871</v>
          </cell>
          <cell r="B2677" t="str">
            <v>E-MAIL REPLACEMENT PROJECT(ELEC/GAS</v>
          </cell>
          <cell r="C2677" t="str">
            <v>006-INF - DATA CENTER OPERATIONS</v>
          </cell>
        </row>
        <row r="2678">
          <cell r="A2678" t="str">
            <v>A0877</v>
          </cell>
          <cell r="B2678" t="str">
            <v>AUDIT OF AMEREN ENERGY</v>
          </cell>
          <cell r="C2678" t="str">
            <v>05A-INTERNAL AUDIT</v>
          </cell>
        </row>
        <row r="2679">
          <cell r="A2679" t="str">
            <v>A0878</v>
          </cell>
          <cell r="B2679" t="str">
            <v>COMP ADMIN - CONTRACT EMPS</v>
          </cell>
          <cell r="C2679" t="str">
            <v>02P-HR - TOTAL REWARDS</v>
          </cell>
        </row>
        <row r="2680">
          <cell r="A2680" t="str">
            <v>A0880</v>
          </cell>
          <cell r="B2680" t="str">
            <v>MIDWEST ISO EXPENSES</v>
          </cell>
          <cell r="C2680" t="str">
            <v>042-TRANSMISSION OPERATIONS</v>
          </cell>
        </row>
        <row r="2681">
          <cell r="A2681" t="str">
            <v>A0881</v>
          </cell>
          <cell r="B2681" t="str">
            <v>ENERGY SUPPLY DEPT SERVICES FOR AME</v>
          </cell>
          <cell r="C2681" t="str">
            <v>042-TRANSMISSION OPERATIONS</v>
          </cell>
        </row>
        <row r="2682">
          <cell r="A2682" t="str">
            <v>A0882</v>
          </cell>
          <cell r="B2682" t="str">
            <v>MAINTAIN PUCHA REGULATORY FILING</v>
          </cell>
          <cell r="C2682" t="str">
            <v>04C-FINANCIAL COMMUNICATIONS</v>
          </cell>
        </row>
        <row r="2683">
          <cell r="A2683" t="str">
            <v>A0886</v>
          </cell>
          <cell r="B2683" t="str">
            <v>TRAIN, CONSULT &amp; DEVELOP-AMENERGY</v>
          </cell>
          <cell r="C2683" t="str">
            <v>02T-HR - ORGANIZATION EFFECTIVENESS</v>
          </cell>
        </row>
        <row r="2684">
          <cell r="A2684" t="str">
            <v>A0887</v>
          </cell>
          <cell r="B2684" t="str">
            <v>PROVIDE SVCS TO BFT TOTAL CO-AME</v>
          </cell>
          <cell r="C2684" t="str">
            <v>02E-HR - STAFFING</v>
          </cell>
        </row>
        <row r="2685">
          <cell r="A2685" t="str">
            <v>A0889</v>
          </cell>
          <cell r="B2685" t="str">
            <v>AUDIT OF NON-REG ENTERPRISES-ERC</v>
          </cell>
          <cell r="C2685" t="str">
            <v>05A-INTERNAL AUDIT</v>
          </cell>
        </row>
        <row r="2686">
          <cell r="A2686" t="str">
            <v>A0894</v>
          </cell>
          <cell r="B2686" t="str">
            <v>MAINTAIN SERVICE REQUEST RECORDS</v>
          </cell>
          <cell r="C2686" t="str">
            <v>04R-REGULATORY ACCOUNTING</v>
          </cell>
        </row>
        <row r="2687">
          <cell r="A2687" t="str">
            <v>A0896</v>
          </cell>
          <cell r="B2687" t="str">
            <v>GOVERNMENTAL AFFAIRS - AMERENUE</v>
          </cell>
          <cell r="C2687" t="str">
            <v>157-GOVERNMENT RELATIONS</v>
          </cell>
        </row>
        <row r="2688">
          <cell r="A2688" t="str">
            <v>A0897</v>
          </cell>
          <cell r="B2688" t="str">
            <v>GOVERNMENTAL AFFAIRS - AMERENCIPS</v>
          </cell>
          <cell r="C2688" t="str">
            <v>157-GOVERNMENT RELATIONS</v>
          </cell>
        </row>
        <row r="2689">
          <cell r="A2689" t="str">
            <v>A0898</v>
          </cell>
          <cell r="B2689" t="str">
            <v>GOVERNMENTAL AFFAIRS - ALLOCATED</v>
          </cell>
          <cell r="C2689" t="str">
            <v>157-GOVERNMENT RELATIONS</v>
          </cell>
        </row>
        <row r="2690">
          <cell r="A2690" t="str">
            <v>A0902</v>
          </cell>
          <cell r="B2690" t="str">
            <v>LABOR-AMEREN ENERGY</v>
          </cell>
          <cell r="C2690" t="str">
            <v>07V-BUILDING SERVICES-AMS</v>
          </cell>
        </row>
        <row r="2691">
          <cell r="A2691" t="str">
            <v>A0904</v>
          </cell>
          <cell r="B2691" t="str">
            <v>PROVIDE SVCS TO BFT TOTAL CO-AFS</v>
          </cell>
          <cell r="C2691" t="str">
            <v>02E-HR - STAFFING</v>
          </cell>
        </row>
        <row r="2692">
          <cell r="A2692" t="str">
            <v>A0906</v>
          </cell>
          <cell r="B2692" t="str">
            <v>TRAIN, CONSULT &amp; DEVELOP-AECOMM</v>
          </cell>
          <cell r="C2692" t="str">
            <v>02T-HR - ORGANIZATION EFFECTIVENESS</v>
          </cell>
        </row>
        <row r="2693">
          <cell r="A2693" t="str">
            <v>A0910</v>
          </cell>
          <cell r="B2693" t="str">
            <v>IT DEV HR COSTS - DIRECT TO AE</v>
          </cell>
          <cell r="C2693" t="str">
            <v>201-DEV - BUS &amp; CORP SVCS</v>
          </cell>
        </row>
        <row r="2694">
          <cell r="A2694" t="str">
            <v>A0912</v>
          </cell>
          <cell r="B2694" t="str">
            <v>COMPENSATION ADMINISTRATION - AEC</v>
          </cell>
          <cell r="C2694" t="str">
            <v>02P-HR - TOTAL REWARDS</v>
          </cell>
        </row>
        <row r="2695">
          <cell r="A2695" t="str">
            <v>A0926</v>
          </cell>
          <cell r="B2695" t="str">
            <v>VOLUNTARY CURTAILMENT PROGRAM</v>
          </cell>
          <cell r="C2695" t="str">
            <v>020-ED PRODUCTS &amp; SERVICES</v>
          </cell>
        </row>
        <row r="2696">
          <cell r="A2696" t="str">
            <v>A0936</v>
          </cell>
          <cell r="B2696" t="str">
            <v>SOFTWARE DEPRECIATION FOR RETRO PRO</v>
          </cell>
          <cell r="C2696" t="str">
            <v>201-DEV - BUS &amp; CORP SVCS</v>
          </cell>
        </row>
        <row r="2697">
          <cell r="A2697" t="str">
            <v>A0940</v>
          </cell>
          <cell r="B2697" t="str">
            <v>SW DEPRECIATION FOR THE IL DEREG</v>
          </cell>
          <cell r="C2697" t="str">
            <v>204-DEV - ENERGY DELIVERY</v>
          </cell>
        </row>
        <row r="2698">
          <cell r="A2698" t="str">
            <v>A0948</v>
          </cell>
          <cell r="B2698" t="str">
            <v>NUCLEAR FUEL ACCOUNTING</v>
          </cell>
          <cell r="C2698" t="str">
            <v>004-ACCOUNTING</v>
          </cell>
        </row>
        <row r="2699">
          <cell r="A2699" t="str">
            <v>A0950</v>
          </cell>
          <cell r="B2699" t="str">
            <v>MAINTAIN IHC ACCTG RECORDS</v>
          </cell>
          <cell r="C2699" t="str">
            <v>004-ACCOUNTING</v>
          </cell>
        </row>
        <row r="2700">
          <cell r="A2700" t="str">
            <v>A0953</v>
          </cell>
          <cell r="B2700" t="str">
            <v>ARES BUSINESS CENTER, ILLINOIS DERE</v>
          </cell>
          <cell r="C2700" t="str">
            <v>048-TRANSMISSION SVCS BUSINESS CTR</v>
          </cell>
        </row>
        <row r="2701">
          <cell r="A2701" t="str">
            <v>A0954</v>
          </cell>
          <cell r="B2701" t="str">
            <v>APPLICATIONS - ACCOUNTS PAYABLE</v>
          </cell>
          <cell r="C2701" t="str">
            <v>202-DEV - OPERATIONS</v>
          </cell>
        </row>
        <row r="2702">
          <cell r="A2702" t="str">
            <v>A0955</v>
          </cell>
          <cell r="B2702" t="str">
            <v>APPLICATIONS - REAL ESTATE</v>
          </cell>
          <cell r="C2702" t="str">
            <v>201-DEV - BUS &amp; CORP SVCS</v>
          </cell>
        </row>
        <row r="2703">
          <cell r="A2703" t="str">
            <v>A0957</v>
          </cell>
          <cell r="B2703" t="str">
            <v>APPL - BUDGET/MANAGEMENT REPORTING</v>
          </cell>
          <cell r="C2703" t="str">
            <v>201-DEV - BUS &amp; CORP SVCS</v>
          </cell>
        </row>
        <row r="2704">
          <cell r="A2704" t="str">
            <v>A0958</v>
          </cell>
          <cell r="B2704" t="str">
            <v>APPLICATIONS - GENERAL LEDGER</v>
          </cell>
          <cell r="C2704" t="str">
            <v>201-DEV - BUS &amp; CORP SVCS</v>
          </cell>
        </row>
        <row r="2705">
          <cell r="A2705" t="str">
            <v>A0959</v>
          </cell>
          <cell r="B2705" t="str">
            <v>APPL - GEN - DEVELOPMENT FINANCE</v>
          </cell>
          <cell r="C2705" t="str">
            <v>201-DEV - BUS &amp; CORP SVCS</v>
          </cell>
        </row>
        <row r="2706">
          <cell r="A2706" t="str">
            <v>A0960</v>
          </cell>
          <cell r="B2706" t="str">
            <v>APPLICATIONS - ASSET MANAGEMENT</v>
          </cell>
          <cell r="C2706" t="str">
            <v>201-DEV - BUS &amp; CORP SVCS</v>
          </cell>
        </row>
        <row r="2707">
          <cell r="A2707" t="str">
            <v>A0961</v>
          </cell>
          <cell r="B2707" t="str">
            <v>APPLICATIONS - INVESTOR SERVICES</v>
          </cell>
          <cell r="C2707" t="str">
            <v>201-DEV - BUS &amp; CORP SVCS</v>
          </cell>
        </row>
        <row r="2708">
          <cell r="A2708" t="str">
            <v>A0962</v>
          </cell>
          <cell r="B2708" t="str">
            <v>APPL - MATERIAL MANAGEMENT SYS</v>
          </cell>
          <cell r="C2708" t="str">
            <v>201-DEV - BUS &amp; CORP SVCS</v>
          </cell>
        </row>
        <row r="2709">
          <cell r="A2709" t="str">
            <v>A0963</v>
          </cell>
          <cell r="B2709" t="str">
            <v>APPLICATIONS - TAX</v>
          </cell>
          <cell r="C2709" t="str">
            <v>201-DEV - BUS &amp; CORP SVCS</v>
          </cell>
        </row>
        <row r="2710">
          <cell r="A2710" t="str">
            <v>A0964</v>
          </cell>
          <cell r="B2710" t="str">
            <v>APPLICATIONS - WORK ORDER</v>
          </cell>
          <cell r="C2710" t="str">
            <v>201-DEV - BUS &amp; CORP SVCS</v>
          </cell>
        </row>
        <row r="2711">
          <cell r="A2711" t="str">
            <v>A0966</v>
          </cell>
          <cell r="B2711" t="str">
            <v>APPLICATIONS - GENERAL - DEV OPS</v>
          </cell>
          <cell r="C2711" t="str">
            <v>202-DEV - OPERATIONS</v>
          </cell>
        </row>
        <row r="2712">
          <cell r="A2712" t="str">
            <v>A0967</v>
          </cell>
          <cell r="B2712" t="str">
            <v>APPLICATIONS GENERAL - DEV HR</v>
          </cell>
          <cell r="C2712" t="str">
            <v>201-DEV - BUS &amp; CORP SVCS</v>
          </cell>
        </row>
        <row r="2713">
          <cell r="A2713" t="str">
            <v>A0968</v>
          </cell>
          <cell r="B2713" t="str">
            <v>IT DEVL - ED APPL GENERAL</v>
          </cell>
          <cell r="C2713" t="str">
            <v>204-DEV - ENERGY DELIVERY</v>
          </cell>
        </row>
        <row r="2714">
          <cell r="A2714" t="str">
            <v>A0974</v>
          </cell>
          <cell r="B2714" t="str">
            <v>INT IT SYS SUPPORT - DEV FINANCE</v>
          </cell>
          <cell r="C2714" t="str">
            <v>201-DEV - BUS &amp; CORP SVCS</v>
          </cell>
        </row>
        <row r="2715">
          <cell r="A2715" t="str">
            <v>A0975</v>
          </cell>
          <cell r="B2715" t="str">
            <v>INTERNAL IT SYSTEMS SUPPORT-DEV OPS</v>
          </cell>
          <cell r="C2715" t="str">
            <v>202-DEV - OPERATIONS</v>
          </cell>
        </row>
        <row r="2716">
          <cell r="A2716" t="str">
            <v>A0980</v>
          </cell>
          <cell r="B2716" t="str">
            <v>INTERNAL IT SYSTEMS SUPPORT - TELEC</v>
          </cell>
          <cell r="C2716" t="str">
            <v>065-NEO - TELEPHONE SERVICES</v>
          </cell>
        </row>
        <row r="2717">
          <cell r="A2717" t="str">
            <v>A0981</v>
          </cell>
          <cell r="B2717" t="str">
            <v>INTERNAL IT SYS SUPPT-DATA OPER (EL</v>
          </cell>
          <cell r="C2717" t="str">
            <v>06C-INF - STL CENTRAL SERVER OPS</v>
          </cell>
        </row>
        <row r="2718">
          <cell r="A2718" t="str">
            <v>A0983</v>
          </cell>
          <cell r="B2718" t="str">
            <v>APPLICATIONS - CLAIMS MANAGEMENT</v>
          </cell>
          <cell r="C2718" t="str">
            <v>201-DEV - BUS &amp; CORP SVCS</v>
          </cell>
        </row>
        <row r="2719">
          <cell r="A2719" t="str">
            <v>A0985</v>
          </cell>
          <cell r="B2719" t="str">
            <v>APPLICATIONS - CORPORATE MODEL</v>
          </cell>
          <cell r="C2719" t="str">
            <v>201-DEV - BUS &amp; CORP SVCS</v>
          </cell>
        </row>
        <row r="2720">
          <cell r="A2720" t="str">
            <v>A0986</v>
          </cell>
          <cell r="B2720" t="str">
            <v>APPL - SERVICE REQUEST SYSTEM</v>
          </cell>
          <cell r="C2720" t="str">
            <v>201-DEV - BUS &amp; CORP SVCS</v>
          </cell>
        </row>
        <row r="2721">
          <cell r="A2721" t="str">
            <v>A0987</v>
          </cell>
          <cell r="B2721" t="str">
            <v>APPLICATIONS - PAYROLL DISTRIBUTION</v>
          </cell>
          <cell r="C2721" t="str">
            <v>201-DEV - BUS &amp; CORP SVCS</v>
          </cell>
        </row>
        <row r="2722">
          <cell r="A2722" t="str">
            <v>A0988</v>
          </cell>
          <cell r="B2722" t="str">
            <v>HELPDESK, PCS &amp; ERIPHERALS</v>
          </cell>
          <cell r="C2722" t="str">
            <v>06B-INF - ENTERPRISE COMPUTING SERV</v>
          </cell>
        </row>
        <row r="2723">
          <cell r="A2723" t="str">
            <v>A0992</v>
          </cell>
          <cell r="B2723" t="str">
            <v>BENEFITS SUPPORT - DEVELOPMENT HR</v>
          </cell>
          <cell r="C2723" t="str">
            <v>201-DEV - BUS &amp; CORP SVCS</v>
          </cell>
        </row>
        <row r="2724">
          <cell r="A2724" t="str">
            <v>A0993</v>
          </cell>
          <cell r="B2724" t="str">
            <v>HUMAN RESOURCES SUPPORT-DEV HR</v>
          </cell>
          <cell r="C2724" t="str">
            <v>201-DEV - BUS &amp; CORP SVCS</v>
          </cell>
        </row>
        <row r="2725">
          <cell r="A2725" t="str">
            <v>A0994</v>
          </cell>
          <cell r="B2725" t="str">
            <v>PAYROLL SUPPORT - DEVELOPMENT HR</v>
          </cell>
          <cell r="C2725" t="str">
            <v>201-DEV - BUS &amp; CORP SVCS</v>
          </cell>
        </row>
        <row r="2726">
          <cell r="A2726" t="str">
            <v>A0999</v>
          </cell>
          <cell r="B2726" t="str">
            <v>INDUSTRIAL RELATIONS - DEV HR</v>
          </cell>
          <cell r="C2726" t="str">
            <v>201-DEV - BUS &amp; CORP SVCS</v>
          </cell>
        </row>
        <row r="2727">
          <cell r="A2727" t="str">
            <v>A1000</v>
          </cell>
          <cell r="B2727" t="str">
            <v>WORKFORCE MANAGEMENT FOR CALL CENTE</v>
          </cell>
          <cell r="C2727" t="str">
            <v>204-DEV - ENERGY DELIVERY</v>
          </cell>
        </row>
        <row r="2728">
          <cell r="A2728" t="str">
            <v>A1001</v>
          </cell>
          <cell r="B2728" t="str">
            <v>CIPS GENCO SUPPORT - DEVELOPMENT HR</v>
          </cell>
          <cell r="C2728" t="str">
            <v>201-DEV - BUS &amp; CORP SVCS</v>
          </cell>
        </row>
        <row r="2729">
          <cell r="A2729" t="str">
            <v>A1002</v>
          </cell>
          <cell r="B2729" t="str">
            <v>INTERNET/INTRANET FOR ED</v>
          </cell>
          <cell r="C2729" t="str">
            <v>204-DEV - ENERGY DELIVERY</v>
          </cell>
        </row>
        <row r="2730">
          <cell r="A2730" t="str">
            <v>A1005</v>
          </cell>
          <cell r="B2730" t="str">
            <v>AMR - IT DEVL ED</v>
          </cell>
          <cell r="C2730" t="str">
            <v>204-DEV - ENERGY DELIVERY</v>
          </cell>
        </row>
        <row r="2731">
          <cell r="A2731" t="str">
            <v>A1006</v>
          </cell>
          <cell r="B2731" t="str">
            <v>CIPS T&amp;D SUPT - DEVL ED</v>
          </cell>
          <cell r="C2731" t="str">
            <v>204-DEV - ENERGY DELIVERY</v>
          </cell>
        </row>
        <row r="2732">
          <cell r="A2732" t="str">
            <v>A1007</v>
          </cell>
          <cell r="B2732" t="str">
            <v>UE T&amp;D SUPT - DEVL ED</v>
          </cell>
          <cell r="C2732" t="str">
            <v>204-DEV - ENERGY DELIVERY</v>
          </cell>
        </row>
        <row r="2733">
          <cell r="A2733" t="str">
            <v>A1008</v>
          </cell>
          <cell r="B2733" t="str">
            <v>MV90 - IT DEVL ED</v>
          </cell>
          <cell r="C2733" t="str">
            <v>204-DEV - ENERGY DELIVERY</v>
          </cell>
        </row>
        <row r="2734">
          <cell r="A2734" t="str">
            <v>A1009</v>
          </cell>
          <cell r="B2734" t="str">
            <v>DOJM - IT DEVL ED</v>
          </cell>
          <cell r="C2734" t="str">
            <v>204-DEV - ENERGY DELIVERY</v>
          </cell>
        </row>
        <row r="2735">
          <cell r="A2735" t="str">
            <v>A1013</v>
          </cell>
          <cell r="B2735" t="str">
            <v>MVRS - IT DEVL ED</v>
          </cell>
          <cell r="C2735" t="str">
            <v>204-DEV - ENERGY DELIVERY</v>
          </cell>
        </row>
        <row r="2736">
          <cell r="A2736" t="str">
            <v>A1014</v>
          </cell>
          <cell r="B2736" t="str">
            <v>OAS - IT DEVL ED</v>
          </cell>
          <cell r="C2736" t="str">
            <v>204-DEV - ENERGY DELIVERY</v>
          </cell>
        </row>
        <row r="2737">
          <cell r="A2737" t="str">
            <v>A1015</v>
          </cell>
          <cell r="B2737" t="str">
            <v>DEREG APPS - IT DEVL ED</v>
          </cell>
          <cell r="C2737" t="str">
            <v>204-DEV - ENERGY DELIVERY</v>
          </cell>
        </row>
        <row r="2738">
          <cell r="A2738" t="str">
            <v>A1017</v>
          </cell>
          <cell r="B2738" t="str">
            <v>TLM - IT DEVL ED</v>
          </cell>
          <cell r="C2738" t="str">
            <v>204-DEV - ENERGY DELIVERY</v>
          </cell>
        </row>
        <row r="2739">
          <cell r="A2739" t="str">
            <v>A1019</v>
          </cell>
          <cell r="B2739" t="str">
            <v>ARCHITECTURE SUPPORT FOR ENTERPRISE</v>
          </cell>
          <cell r="C2739" t="str">
            <v>060-SCP - PLANNING</v>
          </cell>
        </row>
        <row r="2740">
          <cell r="A2740" t="str">
            <v>A1023</v>
          </cell>
          <cell r="B2740" t="str">
            <v>EAD DISASTER RECOVERY</v>
          </cell>
          <cell r="C2740" t="str">
            <v>006-INF - DATA CENTER OPERATIONS</v>
          </cell>
        </row>
        <row r="2741">
          <cell r="A2741" t="str">
            <v>A1024</v>
          </cell>
          <cell r="B2741" t="str">
            <v>DATAOPS - EDI AND FTP SERVICES</v>
          </cell>
          <cell r="C2741" t="str">
            <v>006-INF - DATA CENTER OPERATIONS</v>
          </cell>
        </row>
        <row r="2742">
          <cell r="A2742" t="str">
            <v>A1025</v>
          </cell>
          <cell r="B2742" t="str">
            <v>BCS-DEVELOP-DELIVER TRAINING</v>
          </cell>
          <cell r="C2742" t="str">
            <v>06J-CSF - ASC CUSTOMER SERVICES</v>
          </cell>
        </row>
        <row r="2743">
          <cell r="A2743" t="str">
            <v>A1026</v>
          </cell>
          <cell r="B2743" t="str">
            <v>TELECOM AUTOMATED METR READING CIPS</v>
          </cell>
          <cell r="C2743" t="str">
            <v>065-NEO - TELEPHONE SERVICES</v>
          </cell>
        </row>
        <row r="2744">
          <cell r="A2744" t="str">
            <v>A1027</v>
          </cell>
          <cell r="B2744" t="str">
            <v>TELECOM AUTOMATED METER READING UEC</v>
          </cell>
          <cell r="C2744" t="str">
            <v>065-NEO - TELEPHONE SERVICES</v>
          </cell>
        </row>
        <row r="2745">
          <cell r="A2745" t="str">
            <v>A1028</v>
          </cell>
          <cell r="B2745" t="str">
            <v>TELEOCM AUTOMATED METER READING UDC</v>
          </cell>
          <cell r="C2745" t="str">
            <v>065-NEO - TELEPHONE SERVICES</v>
          </cell>
        </row>
        <row r="2746">
          <cell r="A2746" t="str">
            <v>A1029</v>
          </cell>
          <cell r="B2746" t="str">
            <v>TELECOM LAN/WAN NETWORK INFRA</v>
          </cell>
          <cell r="C2746" t="str">
            <v>065-NEO - TELEPHONE SERVICES</v>
          </cell>
        </row>
        <row r="2747">
          <cell r="A2747" t="str">
            <v>A1030</v>
          </cell>
          <cell r="B2747" t="str">
            <v>TELEPHONES CIPS - TELECOM</v>
          </cell>
          <cell r="C2747" t="str">
            <v>065-NEO - TELEPHONE SERVICES</v>
          </cell>
        </row>
        <row r="2748">
          <cell r="A2748" t="str">
            <v>A1031</v>
          </cell>
          <cell r="B2748" t="str">
            <v>TELEPHONE SERVICES UEC - TELECOM</v>
          </cell>
          <cell r="C2748" t="str">
            <v>065-NEO - TELEPHONE SERVICES</v>
          </cell>
        </row>
        <row r="2749">
          <cell r="A2749" t="str">
            <v>A1032</v>
          </cell>
          <cell r="B2749" t="str">
            <v>TELECOM SVC FOR GENCO</v>
          </cell>
          <cell r="C2749" t="str">
            <v>065-NEO - TELEPHONE SERVICES</v>
          </cell>
        </row>
        <row r="2750">
          <cell r="A2750" t="str">
            <v>A1033</v>
          </cell>
          <cell r="B2750" t="str">
            <v>TRUNKED RADIO - UEC - TELECOM</v>
          </cell>
          <cell r="C2750" t="str">
            <v>065-NEO - TELEPHONE SERVICES</v>
          </cell>
        </row>
        <row r="2751">
          <cell r="A2751" t="str">
            <v>A1034</v>
          </cell>
          <cell r="B2751" t="str">
            <v>VIDEO CONFERENCING - CIPS - TELECOM</v>
          </cell>
          <cell r="C2751" t="str">
            <v>065-NEO - TELEPHONE SERVICES</v>
          </cell>
        </row>
        <row r="2752">
          <cell r="A2752" t="str">
            <v>A1035</v>
          </cell>
          <cell r="B2752" t="str">
            <v>VIDEO CONFERENCING - UEC - TELECOM</v>
          </cell>
          <cell r="C2752" t="str">
            <v>065-NEO - TELEPHONE SERVICES</v>
          </cell>
        </row>
        <row r="2753">
          <cell r="A2753" t="str">
            <v>A1036</v>
          </cell>
          <cell r="B2753" t="str">
            <v>CELL PHONES - AMS - TELECOM</v>
          </cell>
          <cell r="C2753" t="str">
            <v>065-NEO - TELEPHONE SERVICES</v>
          </cell>
        </row>
        <row r="2754">
          <cell r="A2754" t="str">
            <v>A1037</v>
          </cell>
          <cell r="B2754" t="str">
            <v>CELL PHONES - CIPS - TELECOM</v>
          </cell>
          <cell r="C2754" t="str">
            <v>065-NEO - TELEPHONE SERVICES</v>
          </cell>
        </row>
        <row r="2755">
          <cell r="A2755" t="str">
            <v>A1038</v>
          </cell>
          <cell r="B2755" t="str">
            <v>CELL PHONES - UEC - TELECOM</v>
          </cell>
          <cell r="C2755" t="str">
            <v>065-NEO - TELEPHONE SERVICES</v>
          </cell>
        </row>
        <row r="2756">
          <cell r="A2756" t="str">
            <v>A1039</v>
          </cell>
          <cell r="B2756" t="str">
            <v>PAGERS - AMS - TELECOM</v>
          </cell>
          <cell r="C2756" t="str">
            <v>065-NEO - TELEPHONE SERVICES</v>
          </cell>
        </row>
        <row r="2757">
          <cell r="A2757" t="str">
            <v>A1040</v>
          </cell>
          <cell r="B2757" t="str">
            <v>PAGERS - CIPS - TELECOM</v>
          </cell>
          <cell r="C2757" t="str">
            <v>065-NEO - TELEPHONE SERVICES</v>
          </cell>
        </row>
        <row r="2758">
          <cell r="A2758" t="str">
            <v>A1041</v>
          </cell>
          <cell r="B2758" t="str">
            <v>PAGER SYSTEM - UEC - TELECOM</v>
          </cell>
          <cell r="C2758" t="str">
            <v>065-NEO - TELEPHONE SERVICES</v>
          </cell>
        </row>
        <row r="2759">
          <cell r="A2759" t="str">
            <v>A1042</v>
          </cell>
          <cell r="B2759" t="str">
            <v>TELECOM NETWORK - CIPS - TELECOM</v>
          </cell>
          <cell r="C2759" t="str">
            <v>065-NEO - TELEPHONE SERVICES</v>
          </cell>
        </row>
        <row r="2760">
          <cell r="A2760" t="str">
            <v>A1043</v>
          </cell>
          <cell r="B2760" t="str">
            <v>TELECOM NETWORK - UEC - TELECOM</v>
          </cell>
          <cell r="C2760" t="str">
            <v>065-NEO - TELEPHONE SERVICES</v>
          </cell>
        </row>
        <row r="2761">
          <cell r="A2761" t="str">
            <v>A1044</v>
          </cell>
          <cell r="B2761" t="str">
            <v>CONVENTIONAL RADIO - UEC - TELECOM</v>
          </cell>
          <cell r="C2761" t="str">
            <v>065-NEO - TELEPHONE SERVICES</v>
          </cell>
        </row>
        <row r="2762">
          <cell r="A2762" t="str">
            <v>A1045</v>
          </cell>
          <cell r="B2762" t="str">
            <v>ESOS SYSTEM - TELECOM</v>
          </cell>
          <cell r="C2762" t="str">
            <v>065-NEO - TELEPHONE SERVICES</v>
          </cell>
        </row>
        <row r="2763">
          <cell r="A2763" t="str">
            <v>A1046</v>
          </cell>
          <cell r="B2763" t="str">
            <v>TELECOM GAS CONTROL (SCADA) SYS</v>
          </cell>
          <cell r="C2763" t="str">
            <v>065-NEO - TELEPHONE SERVICES</v>
          </cell>
        </row>
        <row r="2764">
          <cell r="A2764" t="str">
            <v>A1047</v>
          </cell>
          <cell r="B2764" t="str">
            <v>FUNCTIONAL INDIRECT - TELECOM</v>
          </cell>
          <cell r="C2764" t="str">
            <v>065-NEO - TELEPHONE SERVICES</v>
          </cell>
        </row>
        <row r="2765">
          <cell r="A2765" t="str">
            <v>A1048</v>
          </cell>
          <cell r="B2765" t="str">
            <v>ADMINISTRATION - TELECOM</v>
          </cell>
          <cell r="C2765" t="str">
            <v>065-NEO - TELEPHONE SERVICES</v>
          </cell>
        </row>
        <row r="2766">
          <cell r="A2766" t="str">
            <v>A1049</v>
          </cell>
          <cell r="B2766" t="str">
            <v>SPECIAL SERVICES - SHARED SERVICES</v>
          </cell>
          <cell r="C2766" t="str">
            <v>006-INF - DATA CENTER OPERATIONS</v>
          </cell>
        </row>
        <row r="2767">
          <cell r="A2767" t="str">
            <v>A1050</v>
          </cell>
          <cell r="B2767" t="str">
            <v>SPECIAL SERVICES - CIPS</v>
          </cell>
          <cell r="C2767" t="str">
            <v>006-INF - DATA CENTER OPERATIONS</v>
          </cell>
        </row>
        <row r="2768">
          <cell r="A2768" t="str">
            <v>A1051</v>
          </cell>
          <cell r="B2768" t="str">
            <v>SPECIAL SERVICES - UEC</v>
          </cell>
          <cell r="C2768" t="str">
            <v>006-INF - DATA CENTER OPERATIONS</v>
          </cell>
        </row>
        <row r="2769">
          <cell r="A2769" t="str">
            <v>A1052</v>
          </cell>
          <cell r="B2769" t="str">
            <v>DATAOPS - SHARED SERVICES</v>
          </cell>
          <cell r="C2769" t="str">
            <v>006-INF - DATA CENTER OPERATIONS</v>
          </cell>
        </row>
        <row r="2770">
          <cell r="A2770" t="str">
            <v>A1054</v>
          </cell>
          <cell r="B2770" t="str">
            <v>IHC- TAX WORK</v>
          </cell>
          <cell r="C2770" t="str">
            <v>05T-TAX</v>
          </cell>
        </row>
        <row r="2771">
          <cell r="A2771" t="str">
            <v>A1055</v>
          </cell>
          <cell r="B2771" t="str">
            <v>SPECIAL SERVICES - FUNCTIONAL INDIR</v>
          </cell>
          <cell r="C2771" t="str">
            <v>006-INF - DATA CENTER OPERATIONS</v>
          </cell>
        </row>
        <row r="2772">
          <cell r="A2772" t="str">
            <v>A1056</v>
          </cell>
          <cell r="B2772" t="str">
            <v>HELPDESK - FUNCTIONAL INDIRECT</v>
          </cell>
          <cell r="C2772" t="str">
            <v>06B-INF - ENTERPRISE COMPUTING SERV</v>
          </cell>
        </row>
        <row r="2773">
          <cell r="A2773" t="str">
            <v>A1057</v>
          </cell>
          <cell r="B2773" t="str">
            <v>NETOPS - FUNCTIONAL INDIRECT</v>
          </cell>
          <cell r="C2773" t="str">
            <v>06C-INF - STL CENTRAL SERVER OPS</v>
          </cell>
        </row>
        <row r="2774">
          <cell r="A2774" t="str">
            <v>A1059</v>
          </cell>
          <cell r="B2774" t="str">
            <v>DATA OPS DATABASE ADMIN - FUNCTIONA</v>
          </cell>
          <cell r="C2774" t="str">
            <v>06E-SCP - DATA MANAGEMENT</v>
          </cell>
        </row>
        <row r="2775">
          <cell r="A2775" t="str">
            <v>A1063</v>
          </cell>
          <cell r="B2775" t="str">
            <v>AVENUE - IT DEVL ED</v>
          </cell>
          <cell r="C2775" t="str">
            <v>204-DEV - ENERGY DELIVERY</v>
          </cell>
        </row>
        <row r="2776">
          <cell r="A2776" t="str">
            <v>A1064</v>
          </cell>
          <cell r="B2776" t="str">
            <v>CARS - IT DEVL ED</v>
          </cell>
          <cell r="C2776" t="str">
            <v>204-DEV - ENERGY DELIVERY</v>
          </cell>
        </row>
        <row r="2777">
          <cell r="A2777" t="str">
            <v>A1065</v>
          </cell>
          <cell r="B2777" t="str">
            <v>CONVENTIONAL RADIO - CIPS - TELECOM</v>
          </cell>
          <cell r="C2777" t="str">
            <v>065-NEO - TELEPHONE SERVICES</v>
          </cell>
        </row>
        <row r="2778">
          <cell r="A2778" t="str">
            <v>A1066</v>
          </cell>
          <cell r="B2778" t="str">
            <v>ARCHITECTURE SUPPORT FOR FINANCIAL</v>
          </cell>
          <cell r="C2778" t="str">
            <v>06E-SCP - DATA MANAGEMENT</v>
          </cell>
        </row>
        <row r="2779">
          <cell r="A2779" t="str">
            <v>A1067</v>
          </cell>
          <cell r="B2779" t="str">
            <v>ARCHITECTURE SUPPORT FOR GENERATION</v>
          </cell>
          <cell r="C2779" t="str">
            <v>06E-SCP - DATA MANAGEMENT</v>
          </cell>
        </row>
        <row r="2780">
          <cell r="A2780" t="str">
            <v>A1068</v>
          </cell>
          <cell r="B2780" t="str">
            <v>ARCHITECTURE SUPPORT FOR HR APPLICA</v>
          </cell>
          <cell r="C2780" t="str">
            <v>06E-SCP - DATA MANAGEMENT</v>
          </cell>
        </row>
        <row r="2781">
          <cell r="A2781" t="str">
            <v>A1069</v>
          </cell>
          <cell r="B2781" t="str">
            <v>ARCHITECTURE SUPPORT FOR CUSTOMER A</v>
          </cell>
          <cell r="C2781" t="str">
            <v>06E-SCP - DATA MANAGEMENT</v>
          </cell>
        </row>
        <row r="2782">
          <cell r="A2782" t="str">
            <v>A1078</v>
          </cell>
          <cell r="B2782" t="str">
            <v>PROCESS DISTRIBUTION CUSTOMER PYMTS</v>
          </cell>
          <cell r="C2782" t="str">
            <v>076-TREASURY TECHNOLOGY SERVICES</v>
          </cell>
        </row>
        <row r="2783">
          <cell r="A2783" t="str">
            <v>A1080</v>
          </cell>
          <cell r="B2783" t="str">
            <v>CTG PURCHASING ACTIVITIES</v>
          </cell>
          <cell r="C2783" t="str">
            <v>074-PURCHASING</v>
          </cell>
        </row>
        <row r="2784">
          <cell r="A2784" t="str">
            <v>A1081</v>
          </cell>
          <cell r="B2784" t="str">
            <v>BUYING-GEN BL-AMEREN/UE</v>
          </cell>
          <cell r="C2784" t="str">
            <v>074-PURCHASING</v>
          </cell>
        </row>
        <row r="2785">
          <cell r="A2785" t="str">
            <v>A1084</v>
          </cell>
          <cell r="B2785" t="str">
            <v>BUYING-GEN BL-GENCO (IL ELEC ONLY)</v>
          </cell>
          <cell r="C2785" t="str">
            <v>074-PURCHASING</v>
          </cell>
        </row>
        <row r="2786">
          <cell r="A2786" t="str">
            <v>A1085</v>
          </cell>
          <cell r="B2786" t="str">
            <v>BUYING-GEN BL</v>
          </cell>
          <cell r="C2786" t="str">
            <v>074-PURCHASING</v>
          </cell>
        </row>
        <row r="2787">
          <cell r="A2787" t="str">
            <v>A1086</v>
          </cell>
          <cell r="B2787" t="str">
            <v>BUYING-NUCLEAR BL-CALLAWAY (MO/EL)</v>
          </cell>
          <cell r="C2787" t="str">
            <v>074-PURCHASING</v>
          </cell>
        </row>
        <row r="2788">
          <cell r="A2788" t="str">
            <v>A1087</v>
          </cell>
          <cell r="B2788" t="str">
            <v>BUYING-T&amp;D BUS LINE-UE (IL/MO)</v>
          </cell>
          <cell r="C2788" t="str">
            <v>074-PURCHASING</v>
          </cell>
        </row>
        <row r="2789">
          <cell r="A2789" t="str">
            <v>A1088</v>
          </cell>
          <cell r="B2789" t="str">
            <v>BUYING-T&amp;D BUS LINE-CIPS (IL EL/GS)</v>
          </cell>
          <cell r="C2789" t="str">
            <v>074-PURCHASING</v>
          </cell>
        </row>
        <row r="2790">
          <cell r="A2790" t="str">
            <v>A1089</v>
          </cell>
          <cell r="B2790" t="str">
            <v>BUYING T &amp; D BUS LINE (ELEC/GAS)</v>
          </cell>
          <cell r="C2790" t="str">
            <v>074-PURCHASING</v>
          </cell>
        </row>
        <row r="2791">
          <cell r="A2791" t="str">
            <v>A1100</v>
          </cell>
          <cell r="B2791" t="str">
            <v>VP REG &amp; DISTR SRV SUPPORT-UEC</v>
          </cell>
          <cell r="C2791" t="str">
            <v>066-MO OPS ADMIN</v>
          </cell>
        </row>
        <row r="2792">
          <cell r="A2792" t="str">
            <v>A1103</v>
          </cell>
          <cell r="B2792" t="str">
            <v>VP REG &amp; DISTR SRV SUPPORT-CIP</v>
          </cell>
          <cell r="C2792" t="str">
            <v>066-MO OPS ADMIN</v>
          </cell>
        </row>
        <row r="2793">
          <cell r="A2793" t="str">
            <v>A1107</v>
          </cell>
          <cell r="B2793" t="str">
            <v>IMS SUPPORT (STL GOB)</v>
          </cell>
          <cell r="C2793" t="str">
            <v>05T-TAX</v>
          </cell>
        </row>
        <row r="2794">
          <cell r="A2794" t="str">
            <v>A1111</v>
          </cell>
          <cell r="B2794" t="str">
            <v>GATEWAY PROJECTS CHARGED TO ERC</v>
          </cell>
          <cell r="C2794" t="str">
            <v>075-BANKING AND INVESTOR SERVICES</v>
          </cell>
        </row>
        <row r="2795">
          <cell r="A2795" t="str">
            <v>A1112</v>
          </cell>
          <cell r="B2795" t="str">
            <v>BUYING-GEN BL</v>
          </cell>
          <cell r="C2795" t="str">
            <v>074-PURCHASING</v>
          </cell>
        </row>
        <row r="2796">
          <cell r="A2796" t="str">
            <v>A1113</v>
          </cell>
          <cell r="B2796" t="str">
            <v>BUYING-GEN &amp; T&amp;D BL-UE/CIPS (IL/MO)</v>
          </cell>
          <cell r="C2796" t="str">
            <v>074-PURCHASING</v>
          </cell>
        </row>
        <row r="2797">
          <cell r="A2797" t="str">
            <v>A1114</v>
          </cell>
          <cell r="B2797" t="str">
            <v>BUYING-GEN/NUC/T&amp;D (IL/MO GAS/ELEC)</v>
          </cell>
          <cell r="C2797" t="str">
            <v>074-PURCHASING</v>
          </cell>
        </row>
        <row r="2798">
          <cell r="A2798" t="str">
            <v>A1115</v>
          </cell>
          <cell r="B2798" t="str">
            <v>SLVG SCRP/SURP/OBS ITM-GENCO GEN BL</v>
          </cell>
          <cell r="C2798" t="str">
            <v>074-PURCHASING</v>
          </cell>
        </row>
        <row r="2799">
          <cell r="A2799" t="str">
            <v>A1116</v>
          </cell>
          <cell r="B2799" t="str">
            <v>SLVG SCRP/SURP/OBSOL ITM-UEC GEN BL</v>
          </cell>
          <cell r="C2799" t="str">
            <v>074-PURCHASING</v>
          </cell>
        </row>
        <row r="2800">
          <cell r="A2800" t="str">
            <v>A1117</v>
          </cell>
          <cell r="B2800" t="str">
            <v>SLVG SCRP/SURP/OBSOL ITMS-CALLAWAY</v>
          </cell>
          <cell r="C2800" t="str">
            <v>074-PURCHASING</v>
          </cell>
        </row>
        <row r="2801">
          <cell r="A2801" t="str">
            <v>A1118</v>
          </cell>
          <cell r="B2801" t="str">
            <v>SLVG SCRP/SURP/OBSOL ITM-UE T&amp;D BL</v>
          </cell>
          <cell r="C2801" t="str">
            <v>074-PURCHASING</v>
          </cell>
        </row>
        <row r="2802">
          <cell r="A2802" t="str">
            <v>A1119</v>
          </cell>
          <cell r="B2802" t="str">
            <v>SLVG SCRP/SURP/OBS ITM-CIPS T&amp;D BL</v>
          </cell>
          <cell r="C2802" t="str">
            <v>074-PURCHASING</v>
          </cell>
        </row>
        <row r="2803">
          <cell r="A2803" t="str">
            <v>A1120</v>
          </cell>
          <cell r="B2803" t="str">
            <v>TRANSP OF MATL/EQPT-UE GEN BL</v>
          </cell>
          <cell r="C2803" t="str">
            <v>074-PURCHASING</v>
          </cell>
        </row>
        <row r="2804">
          <cell r="A2804" t="str">
            <v>A1121</v>
          </cell>
          <cell r="B2804" t="str">
            <v>TRANSP OF MATL/EQPT-CIPS GEN BL-IL</v>
          </cell>
          <cell r="C2804" t="str">
            <v>074-PURCHASING</v>
          </cell>
        </row>
        <row r="2805">
          <cell r="A2805" t="str">
            <v>A1122</v>
          </cell>
          <cell r="B2805" t="str">
            <v>TRANSP OF MATL/EQPT-CALLAWAY NUC-MO</v>
          </cell>
          <cell r="C2805" t="str">
            <v>074-PURCHASING</v>
          </cell>
        </row>
        <row r="2806">
          <cell r="A2806" t="str">
            <v>A1123</v>
          </cell>
          <cell r="B2806" t="str">
            <v>TRANSP OF MATL/EQPT-UE T&amp;D BL</v>
          </cell>
          <cell r="C2806" t="str">
            <v>074-PURCHASING</v>
          </cell>
        </row>
        <row r="2807">
          <cell r="A2807" t="str">
            <v>A1124</v>
          </cell>
          <cell r="B2807" t="str">
            <v>TRANSP MATL/EQPT-CIPS T&amp;D BL-IL</v>
          </cell>
          <cell r="C2807" t="str">
            <v>074-PURCHASING</v>
          </cell>
        </row>
        <row r="2808">
          <cell r="A2808" t="str">
            <v>A1129</v>
          </cell>
          <cell r="B2808" t="str">
            <v>IPC MEDICAL PLAN BENEFITS</v>
          </cell>
          <cell r="C2808" t="str">
            <v>019-EMPLOYEE BENEFIT PLANS</v>
          </cell>
        </row>
        <row r="2809">
          <cell r="A2809" t="str">
            <v>A1135</v>
          </cell>
          <cell r="B2809" t="str">
            <v>O&amp;M PORTION OF WO 10686 - ILL DEREG</v>
          </cell>
          <cell r="C2809" t="str">
            <v>204-DEV - ENERGY DELIVERY</v>
          </cell>
        </row>
        <row r="2810">
          <cell r="A2810" t="str">
            <v>A1136</v>
          </cell>
          <cell r="B2810" t="str">
            <v>AUDIT OF ADVERTISING AGENCY</v>
          </cell>
          <cell r="C2810" t="str">
            <v>05A-INTERNAL AUDIT</v>
          </cell>
        </row>
        <row r="2811">
          <cell r="A2811" t="str">
            <v>A1138</v>
          </cell>
          <cell r="B2811" t="str">
            <v>ADC - TAX WORK</v>
          </cell>
          <cell r="C2811" t="str">
            <v>05T-TAX</v>
          </cell>
        </row>
        <row r="2812">
          <cell r="A2812" t="str">
            <v>A1147</v>
          </cell>
          <cell r="B2812" t="str">
            <v>AED - TAX WORK</v>
          </cell>
          <cell r="C2812" t="str">
            <v>05T-TAX</v>
          </cell>
        </row>
        <row r="2813">
          <cell r="A2813" t="str">
            <v>A1155</v>
          </cell>
          <cell r="B2813" t="str">
            <v>GEN - TAX WORK</v>
          </cell>
          <cell r="C2813" t="str">
            <v>05T-TAX</v>
          </cell>
        </row>
        <row r="2814">
          <cell r="A2814" t="str">
            <v>A1163</v>
          </cell>
          <cell r="B2814" t="str">
            <v>GMC - TAX WORK</v>
          </cell>
          <cell r="C2814" t="str">
            <v>05T-TAX</v>
          </cell>
        </row>
        <row r="2815">
          <cell r="A2815" t="str">
            <v>A1171</v>
          </cell>
          <cell r="B2815" t="str">
            <v>AMSRT - TAX WORK</v>
          </cell>
          <cell r="C2815" t="str">
            <v>05T-TAX</v>
          </cell>
        </row>
        <row r="2816">
          <cell r="A2816" t="str">
            <v>A1175</v>
          </cell>
          <cell r="B2816" t="str">
            <v>STORES MNGMT OPERATIONS-GEN-IL ELEC</v>
          </cell>
          <cell r="C2816" t="str">
            <v>05M-STOREROOMS-AMS</v>
          </cell>
        </row>
        <row r="2817">
          <cell r="A2817" t="str">
            <v>A1176</v>
          </cell>
          <cell r="B2817" t="str">
            <v>INVNTRY INVESTMENT CONTROL-GEN-IL</v>
          </cell>
          <cell r="C2817" t="str">
            <v>05M-STOREROOMS-AMS</v>
          </cell>
        </row>
        <row r="2818">
          <cell r="A2818" t="str">
            <v>A1181</v>
          </cell>
          <cell r="B2818" t="str">
            <v>AMEREN ENERGY GEN CO./ENV SUPPORT</v>
          </cell>
          <cell r="C2818" t="str">
            <v>049-ESH - GENERAL</v>
          </cell>
        </row>
        <row r="2819">
          <cell r="A2819" t="str">
            <v>A1182</v>
          </cell>
          <cell r="B2819" t="str">
            <v>AMEREN ENERGY GEN S&amp;H SUPPORT</v>
          </cell>
          <cell r="C2819" t="str">
            <v>49D-ESH - SAFETY &amp; HEALTH</v>
          </cell>
        </row>
        <row r="2820">
          <cell r="A2820" t="str">
            <v>A1187</v>
          </cell>
          <cell r="B2820" t="str">
            <v>EMPLOYEE RELOC/TRANSP - AE MARKETNG</v>
          </cell>
          <cell r="C2820" t="str">
            <v>074-PURCHASING</v>
          </cell>
        </row>
        <row r="2821">
          <cell r="A2821" t="str">
            <v>A1188</v>
          </cell>
          <cell r="B2821" t="str">
            <v>STORES ADMIN SUPPORT-GEN-IL ELEC</v>
          </cell>
          <cell r="C2821" t="str">
            <v>05M-STOREROOMS-AMS</v>
          </cell>
        </row>
        <row r="2822">
          <cell r="A2822" t="str">
            <v>A1191</v>
          </cell>
          <cell r="B2822" t="str">
            <v>TELECOM SVC - MERAMAC</v>
          </cell>
          <cell r="C2822" t="str">
            <v>065-NEO - TELEPHONE SERVICES</v>
          </cell>
        </row>
        <row r="2823">
          <cell r="A2823" t="str">
            <v>A1193</v>
          </cell>
          <cell r="B2823" t="str">
            <v>TELECOMMUNICATION SERVICES - OSAGE</v>
          </cell>
          <cell r="C2823" t="str">
            <v>065-NEO - TELEPHONE SERVICES</v>
          </cell>
        </row>
        <row r="2824">
          <cell r="A2824" t="str">
            <v>A1195</v>
          </cell>
          <cell r="B2824" t="str">
            <v>TELECOM SVC - SIOUX</v>
          </cell>
          <cell r="C2824" t="str">
            <v>065-NEO - TELEPHONE SERVICES</v>
          </cell>
        </row>
        <row r="2825">
          <cell r="A2825" t="str">
            <v>A1197</v>
          </cell>
          <cell r="B2825" t="str">
            <v>TELECOM SVC - TAUM SULK</v>
          </cell>
          <cell r="C2825" t="str">
            <v>065-NEO - TELEPHONE SERVICES</v>
          </cell>
        </row>
        <row r="2826">
          <cell r="A2826" t="str">
            <v>A1198</v>
          </cell>
          <cell r="B2826" t="str">
            <v>TELECOM SVC - VENICE</v>
          </cell>
          <cell r="C2826" t="str">
            <v>065-NEO - TELEPHONE SERVICES</v>
          </cell>
        </row>
        <row r="2827">
          <cell r="A2827" t="str">
            <v>A1200</v>
          </cell>
          <cell r="B2827" t="str">
            <v>TELECOM SVC - LABADIE</v>
          </cell>
          <cell r="C2827" t="str">
            <v>065-NEO - TELEPHONE SERVICES</v>
          </cell>
        </row>
        <row r="2828">
          <cell r="A2828" t="str">
            <v>A1202</v>
          </cell>
          <cell r="B2828" t="str">
            <v>TELECOM SVC - KEOKUK</v>
          </cell>
          <cell r="C2828" t="str">
            <v>065-NEO - TELEPHONE SERVICES</v>
          </cell>
        </row>
        <row r="2829">
          <cell r="A2829" t="str">
            <v>A1203</v>
          </cell>
          <cell r="B2829" t="str">
            <v>TELECOM SVC - RUSH ISLAND</v>
          </cell>
          <cell r="C2829" t="str">
            <v>065-NEO - TELEPHONE SERVICES</v>
          </cell>
        </row>
        <row r="2830">
          <cell r="A2830" t="str">
            <v>A1204</v>
          </cell>
          <cell r="B2830" t="str">
            <v>TELECOM SVC - CALLAWAY</v>
          </cell>
          <cell r="C2830" t="str">
            <v>065-NEO - TELEPHONE SERVICES</v>
          </cell>
        </row>
        <row r="2831">
          <cell r="A2831" t="str">
            <v>A1206</v>
          </cell>
          <cell r="B2831" t="str">
            <v>GEN SUPPORT - ACCOUNTING RECORDS</v>
          </cell>
          <cell r="C2831" t="str">
            <v>004-ACCOUNTING</v>
          </cell>
        </row>
        <row r="2832">
          <cell r="A2832" t="str">
            <v>A1207</v>
          </cell>
          <cell r="B2832" t="str">
            <v>AED SUPPORT - ACCOUNTING RECORDS</v>
          </cell>
          <cell r="C2832" t="str">
            <v>004-ACCOUNTING</v>
          </cell>
        </row>
        <row r="2833">
          <cell r="A2833" t="str">
            <v>A1208</v>
          </cell>
          <cell r="B2833" t="str">
            <v>GMC SUPPORT - ACCOUNTING RECORDS</v>
          </cell>
          <cell r="C2833" t="str">
            <v>004-ACCOUNTING</v>
          </cell>
        </row>
        <row r="2834">
          <cell r="A2834" t="str">
            <v>A1209</v>
          </cell>
          <cell r="B2834" t="str">
            <v>TELECOM SVC - ILL MATERIAL SUPPLY</v>
          </cell>
          <cell r="C2834" t="str">
            <v>065-NEO - TELEPHONE SERVICES</v>
          </cell>
        </row>
        <row r="2835">
          <cell r="A2835" t="str">
            <v>A1210</v>
          </cell>
          <cell r="B2835" t="str">
            <v>TELECOM SVC - GENCO</v>
          </cell>
          <cell r="C2835" t="str">
            <v>065-NEO - TELEPHONE SERVICES</v>
          </cell>
        </row>
        <row r="2836">
          <cell r="A2836" t="str">
            <v>A1214</v>
          </cell>
          <cell r="B2836" t="str">
            <v>AMEREN ENERGY RESOURCES</v>
          </cell>
          <cell r="C2836" t="str">
            <v>024-LEGAL</v>
          </cell>
        </row>
        <row r="2837">
          <cell r="A2837" t="str">
            <v>A1216</v>
          </cell>
          <cell r="B2837" t="str">
            <v>TELECOM SVC - NEWTON</v>
          </cell>
          <cell r="C2837" t="str">
            <v>065-NEO - TELEPHONE SERVICES</v>
          </cell>
        </row>
        <row r="2838">
          <cell r="A2838" t="str">
            <v>A1217</v>
          </cell>
          <cell r="B2838" t="str">
            <v>TELECOM SVC - COFFEEN</v>
          </cell>
          <cell r="C2838" t="str">
            <v>065-NEO - TELEPHONE SERVICES</v>
          </cell>
        </row>
        <row r="2839">
          <cell r="A2839" t="str">
            <v>A1218</v>
          </cell>
          <cell r="B2839" t="str">
            <v>TELECOM SVC - MEREDOSIA</v>
          </cell>
          <cell r="C2839" t="str">
            <v>065-NEO - TELEPHONE SERVICES</v>
          </cell>
        </row>
        <row r="2840">
          <cell r="A2840" t="str">
            <v>A1219</v>
          </cell>
          <cell r="B2840" t="str">
            <v>TELECOM SVC - GRAND TOWER</v>
          </cell>
          <cell r="C2840" t="str">
            <v>065-NEO - TELEPHONE SERVICES</v>
          </cell>
        </row>
        <row r="2841">
          <cell r="A2841" t="str">
            <v>A1220</v>
          </cell>
          <cell r="B2841" t="str">
            <v>TELECOM SVC - HUTSONVILLE</v>
          </cell>
          <cell r="C2841" t="str">
            <v>065-NEO - TELEPHONE SERVICES</v>
          </cell>
        </row>
        <row r="2842">
          <cell r="A2842" t="str">
            <v>A1221</v>
          </cell>
          <cell r="B2842" t="str">
            <v>DATAOPS - AER</v>
          </cell>
          <cell r="C2842" t="str">
            <v>006-INF - DATA CENTER OPERATIONS</v>
          </cell>
        </row>
        <row r="2843">
          <cell r="A2843" t="str">
            <v>A1222</v>
          </cell>
          <cell r="B2843" t="str">
            <v>REAL ESTATE SERVICES FOR GENCO</v>
          </cell>
          <cell r="C2843" t="str">
            <v>061-REAL ESTATE</v>
          </cell>
        </row>
        <row r="2844">
          <cell r="A2844" t="str">
            <v>A1223</v>
          </cell>
          <cell r="B2844" t="str">
            <v>AMEREN ENERGY MARKETING</v>
          </cell>
          <cell r="C2844" t="str">
            <v>024-LEGAL</v>
          </cell>
        </row>
        <row r="2845">
          <cell r="A2845" t="str">
            <v>A1224</v>
          </cell>
          <cell r="B2845" t="str">
            <v>GENCO (AMEREN ENERGY GENERATING)</v>
          </cell>
          <cell r="C2845" t="str">
            <v>024-LEGAL</v>
          </cell>
        </row>
        <row r="2846">
          <cell r="A2846" t="str">
            <v>A1225</v>
          </cell>
          <cell r="B2846" t="str">
            <v>SPECIAL SERVICES - AER</v>
          </cell>
          <cell r="C2846" t="str">
            <v>006-INF - DATA CENTER OPERATIONS</v>
          </cell>
        </row>
        <row r="2847">
          <cell r="A2847" t="str">
            <v>A1226</v>
          </cell>
          <cell r="B2847" t="str">
            <v>AMEREN ENERGY DEVELOPMENT</v>
          </cell>
          <cell r="C2847" t="str">
            <v>024-LEGAL</v>
          </cell>
        </row>
        <row r="2848">
          <cell r="A2848" t="str">
            <v>A1227</v>
          </cell>
          <cell r="B2848" t="str">
            <v>ILLINOIS MATERIALS SUPPLY</v>
          </cell>
          <cell r="C2848" t="str">
            <v>024-LEGAL</v>
          </cell>
        </row>
        <row r="2849">
          <cell r="A2849" t="str">
            <v>A1228</v>
          </cell>
          <cell r="B2849" t="str">
            <v>TELECOMMUNICATION SERVICES - IHC</v>
          </cell>
          <cell r="C2849" t="str">
            <v>065-NEO - TELEPHONE SERVICES</v>
          </cell>
        </row>
        <row r="2850">
          <cell r="A2850" t="str">
            <v>A1231</v>
          </cell>
          <cell r="B2850" t="str">
            <v>AMEREN ENERGY GENERATION</v>
          </cell>
          <cell r="C2850" t="str">
            <v>02T-HR - ORGANIZATION EFFECTIVENESS</v>
          </cell>
        </row>
        <row r="2851">
          <cell r="A2851" t="str">
            <v>A1233</v>
          </cell>
          <cell r="B2851" t="str">
            <v>VIDEO &amp; A/V SERVICE SUPPORT FOR GEN</v>
          </cell>
          <cell r="C2851" t="str">
            <v>02V-EMPLOYEE COMMUNICATIONS</v>
          </cell>
        </row>
        <row r="2852">
          <cell r="A2852" t="str">
            <v>A1235</v>
          </cell>
          <cell r="B2852" t="str">
            <v>COMPENSATION ADMINISTRATION FOR IHC</v>
          </cell>
          <cell r="C2852" t="str">
            <v>02P-HR - TOTAL REWARDS</v>
          </cell>
        </row>
        <row r="2853">
          <cell r="A2853" t="str">
            <v>A1237</v>
          </cell>
          <cell r="B2853" t="str">
            <v>COMPENSATION ADMINISTRATION FOR GEN</v>
          </cell>
          <cell r="C2853" t="str">
            <v>02P-HR - TOTAL REWARDS</v>
          </cell>
        </row>
        <row r="2854">
          <cell r="A2854" t="str">
            <v>A1238</v>
          </cell>
          <cell r="B2854" t="str">
            <v>COMPENSATION ADMINISTRATION FOR GMC</v>
          </cell>
          <cell r="C2854" t="str">
            <v>02P-HR - TOTAL REWARDS</v>
          </cell>
        </row>
        <row r="2855">
          <cell r="A2855" t="str">
            <v>A1239</v>
          </cell>
          <cell r="B2855" t="str">
            <v>MAINTAIN &amp; ADMIN MGMT EMPL BEN PLNS</v>
          </cell>
          <cell r="C2855" t="str">
            <v>017-EMPLOYEE BENEFITS</v>
          </cell>
        </row>
        <row r="2856">
          <cell r="A2856" t="str">
            <v>A1247</v>
          </cell>
          <cell r="B2856" t="str">
            <v>MAINTAIN &amp; ADMIN CONTRACT EMPL BENS</v>
          </cell>
          <cell r="C2856" t="str">
            <v>017-EMPLOYEE BENEFITS</v>
          </cell>
        </row>
        <row r="2857">
          <cell r="A2857" t="str">
            <v>A1248</v>
          </cell>
          <cell r="B2857" t="str">
            <v>GAS CONTROL - GENCO</v>
          </cell>
          <cell r="C2857" t="str">
            <v>0G2-GAS TECH SERVICES - AMS</v>
          </cell>
        </row>
        <row r="2858">
          <cell r="A2858" t="str">
            <v>A1251</v>
          </cell>
          <cell r="B2858" t="str">
            <v>SYS RELAY - SCADA - CIPS</v>
          </cell>
          <cell r="C2858" t="str">
            <v>090-SYSTEM RELAY SERVICES</v>
          </cell>
        </row>
        <row r="2859">
          <cell r="A2859" t="str">
            <v>A1252</v>
          </cell>
          <cell r="B2859" t="str">
            <v>SYS RELAY - RELAY &amp; SCHEME - CIPS</v>
          </cell>
          <cell r="C2859" t="str">
            <v>090-SYSTEM RELAY SERVICES</v>
          </cell>
        </row>
        <row r="2860">
          <cell r="A2860" t="str">
            <v>A1253</v>
          </cell>
          <cell r="B2860" t="str">
            <v>SYS RELAY - EQUIP TESTING - CIP</v>
          </cell>
          <cell r="C2860" t="str">
            <v>090-SYSTEM RELAY SERVICES</v>
          </cell>
        </row>
        <row r="2861">
          <cell r="A2861" t="str">
            <v>A1257</v>
          </cell>
          <cell r="B2861" t="str">
            <v>CORP COMMUNICATION SVC - GENCO</v>
          </cell>
          <cell r="C2861" t="str">
            <v>001-CORPORATE COMMUNICATIONS</v>
          </cell>
        </row>
        <row r="2862">
          <cell r="A2862" t="str">
            <v>A1258</v>
          </cell>
          <cell r="B2862" t="str">
            <v>CORP COMM SVC AMEREN ENERGY RES IH</v>
          </cell>
          <cell r="C2862" t="str">
            <v>001-CORPORATE COMMUNICATIONS</v>
          </cell>
        </row>
        <row r="2863">
          <cell r="A2863" t="str">
            <v>A1259</v>
          </cell>
          <cell r="B2863" t="str">
            <v>CORP COMM SVC AMEREN ENERGY MKTG</v>
          </cell>
          <cell r="C2863" t="str">
            <v>001-CORPORATE COMMUNICATIONS</v>
          </cell>
        </row>
        <row r="2864">
          <cell r="A2864" t="str">
            <v>A1261</v>
          </cell>
          <cell r="B2864" t="str">
            <v>COMMUNITY RELATIONS - GENCO</v>
          </cell>
          <cell r="C2864" t="str">
            <v>29C-COMMUNITY RELATIONS</v>
          </cell>
        </row>
        <row r="2865">
          <cell r="A2865" t="str">
            <v>A1262</v>
          </cell>
          <cell r="B2865" t="str">
            <v>(DND)PUBLIC RELATIONS - IHC</v>
          </cell>
          <cell r="C2865" t="str">
            <v>001-CORPORATE COMMUNICATIONS</v>
          </cell>
        </row>
        <row r="2866">
          <cell r="A2866" t="str">
            <v>A1263</v>
          </cell>
          <cell r="B2866" t="str">
            <v>SYS RELAY - MEETINGS &amp; MISC - CIPS</v>
          </cell>
          <cell r="C2866" t="str">
            <v>090-SYSTEM RELAY SERVICES</v>
          </cell>
        </row>
        <row r="2867">
          <cell r="A2867" t="str">
            <v>A1265</v>
          </cell>
          <cell r="B2867" t="str">
            <v>DATAOPS - AEG</v>
          </cell>
          <cell r="C2867" t="str">
            <v>006-INF - DATA CENTER OPERATIONS</v>
          </cell>
        </row>
        <row r="2868">
          <cell r="A2868" t="str">
            <v>A1266</v>
          </cell>
          <cell r="B2868" t="str">
            <v>DATAOPS - AEM</v>
          </cell>
          <cell r="C2868" t="str">
            <v>006-INF - DATA CENTER OPERATIONS</v>
          </cell>
        </row>
        <row r="2869">
          <cell r="A2869" t="str">
            <v>A1267</v>
          </cell>
          <cell r="B2869" t="str">
            <v>SPECIAL SERVICES - AEG</v>
          </cell>
          <cell r="C2869" t="str">
            <v>006-INF - DATA CENTER OPERATIONS</v>
          </cell>
        </row>
        <row r="2870">
          <cell r="A2870" t="str">
            <v>A1268</v>
          </cell>
          <cell r="B2870" t="str">
            <v>SPECIAL SERVICES - AEM</v>
          </cell>
          <cell r="C2870" t="str">
            <v>006-INF - DATA CENTER OPERATIONS</v>
          </cell>
        </row>
        <row r="2871">
          <cell r="A2871" t="str">
            <v>A1269</v>
          </cell>
          <cell r="B2871" t="str">
            <v>SYS RELAY - MANAGER - CIPS</v>
          </cell>
          <cell r="C2871" t="str">
            <v>090-SYSTEM RELAY SERVICES</v>
          </cell>
        </row>
        <row r="2872">
          <cell r="A2872" t="str">
            <v>A1272</v>
          </cell>
          <cell r="B2872" t="str">
            <v>PROVIDE SVCS TO BFT TOTAL CO-IHC</v>
          </cell>
          <cell r="C2872" t="str">
            <v>02E-HR - STAFFING</v>
          </cell>
        </row>
        <row r="2873">
          <cell r="A2873" t="str">
            <v>A1276</v>
          </cell>
          <cell r="B2873" t="str">
            <v>PROVIDE SVCS TO BFT TOTAL CO-GMC</v>
          </cell>
          <cell r="C2873" t="str">
            <v>02E-HR - STAFFING</v>
          </cell>
        </row>
        <row r="2874">
          <cell r="A2874" t="str">
            <v>A1278</v>
          </cell>
          <cell r="B2874" t="str">
            <v>PROVIDE SVCS TO BFT TOTAL CO-GEN</v>
          </cell>
          <cell r="C2874" t="str">
            <v>02E-HR - STAFFING</v>
          </cell>
        </row>
        <row r="2875">
          <cell r="A2875" t="str">
            <v>A1282</v>
          </cell>
          <cell r="B2875" t="str">
            <v>SYS RELAY - GENERAL LABOR - UE</v>
          </cell>
          <cell r="C2875" t="str">
            <v>090-SYSTEM RELAY SERVICES</v>
          </cell>
        </row>
        <row r="2876">
          <cell r="A2876" t="str">
            <v>A1284</v>
          </cell>
          <cell r="B2876" t="str">
            <v>TECHNICAL SUPPORT RELAY - GEN</v>
          </cell>
          <cell r="C2876" t="str">
            <v>090-SYSTEM RELAY SERVICES</v>
          </cell>
        </row>
        <row r="2877">
          <cell r="A2877" t="str">
            <v>A1296</v>
          </cell>
          <cell r="B2877" t="str">
            <v>AMERENCIPS SYSTEM SUPPORT - DEV HR</v>
          </cell>
          <cell r="C2877" t="str">
            <v>201-DEV - BUS &amp; CORP SVCS</v>
          </cell>
        </row>
        <row r="2878">
          <cell r="A2878" t="str">
            <v>A1297</v>
          </cell>
          <cell r="B2878" t="str">
            <v>AMEREN UE SYSTEMS SUPPORT - DEV HR</v>
          </cell>
          <cell r="C2878" t="str">
            <v>201-DEV - BUS &amp; CORP SVCS</v>
          </cell>
        </row>
        <row r="2879">
          <cell r="A2879" t="str">
            <v>A1298</v>
          </cell>
          <cell r="B2879" t="str">
            <v>CORP PLANNING SUPPORT-AE GENERATING</v>
          </cell>
          <cell r="C2879" t="str">
            <v>012-CORPORATE PLANNING</v>
          </cell>
        </row>
        <row r="2880">
          <cell r="A2880" t="str">
            <v>A1299</v>
          </cell>
          <cell r="B2880" t="str">
            <v>CORP PLANNING SUPPORT-AE MARKETING</v>
          </cell>
          <cell r="C2880" t="str">
            <v>012-CORPORATE PLANNING</v>
          </cell>
        </row>
        <row r="2881">
          <cell r="A2881" t="str">
            <v>A1307</v>
          </cell>
          <cell r="B2881" t="str">
            <v>LOBBYING - AMEREN ENERGY GENCO</v>
          </cell>
          <cell r="C2881" t="str">
            <v>157-GOVERNMENT RELATIONS</v>
          </cell>
        </row>
        <row r="2882">
          <cell r="A2882" t="str">
            <v>A1308</v>
          </cell>
          <cell r="B2882" t="str">
            <v>LOBBYING - AMEREN EMERGU RES (IHC)</v>
          </cell>
          <cell r="C2882" t="str">
            <v>157-GOVERNMENT RELATIONS</v>
          </cell>
        </row>
        <row r="2883">
          <cell r="A2883" t="str">
            <v>A1309</v>
          </cell>
          <cell r="B2883" t="str">
            <v>GOVERNMENT AFFS - AMEREN ENERG RES</v>
          </cell>
          <cell r="C2883" t="str">
            <v>157-GOVERNMENT RELATIONS</v>
          </cell>
        </row>
        <row r="2884">
          <cell r="A2884" t="str">
            <v>A1310</v>
          </cell>
          <cell r="B2884" t="str">
            <v>GOV AFFS - AMEREN ENERGY GENCO</v>
          </cell>
          <cell r="C2884" t="str">
            <v>157-GOVERNMENT RELATIONS</v>
          </cell>
        </row>
        <row r="2885">
          <cell r="A2885" t="str">
            <v>A1316</v>
          </cell>
          <cell r="B2885" t="str">
            <v>UEC MISSOURI SERVICES</v>
          </cell>
          <cell r="C2885" t="str">
            <v>04C-FINANCIAL COMMUNICATIONS</v>
          </cell>
        </row>
        <row r="2886">
          <cell r="A2886" t="str">
            <v>A1317</v>
          </cell>
          <cell r="B2886" t="str">
            <v>UEC ILLINOIS SUPPORT</v>
          </cell>
          <cell r="C2886" t="str">
            <v>04C-FINANCIAL COMMUNICATIONS</v>
          </cell>
        </row>
        <row r="2887">
          <cell r="A2887" t="str">
            <v>A2003</v>
          </cell>
          <cell r="B2887" t="str">
            <v>UE COMM TOWER LEASING</v>
          </cell>
          <cell r="C2887" t="str">
            <v>065-NEO - TELEPHONE SERVICES</v>
          </cell>
        </row>
        <row r="2888">
          <cell r="A2888" t="str">
            <v>A2005</v>
          </cell>
          <cell r="B2888" t="str">
            <v>CIP COMM TOWER LEASING</v>
          </cell>
          <cell r="C2888" t="str">
            <v>065-NEO - TELEPHONE SERVICES</v>
          </cell>
        </row>
        <row r="2889">
          <cell r="A2889" t="str">
            <v>A2006</v>
          </cell>
          <cell r="B2889" t="str">
            <v>CHARITY CAMPAIGN SUPPORT</v>
          </cell>
          <cell r="C2889" t="str">
            <v>02V-EMPLOYEE COMMUNICATIONS</v>
          </cell>
        </row>
        <row r="2890">
          <cell r="A2890" t="str">
            <v>A2010</v>
          </cell>
          <cell r="B2890" t="str">
            <v>PRODUCTION SUPPORT FOR CSS (EFF. 1-</v>
          </cell>
          <cell r="C2890" t="str">
            <v>204-DEV - ENERGY DELIVERY</v>
          </cell>
        </row>
        <row r="2891">
          <cell r="A2891" t="str">
            <v>A2011</v>
          </cell>
          <cell r="B2891" t="str">
            <v>BPS - ENTERPRISE</v>
          </cell>
          <cell r="C2891" t="str">
            <v>201-DEV - BUS &amp; CORP SVCS</v>
          </cell>
        </row>
        <row r="2892">
          <cell r="A2892" t="str">
            <v>A2012</v>
          </cell>
          <cell r="B2892" t="str">
            <v>BPS - AMEREN ENERGY</v>
          </cell>
          <cell r="C2892" t="str">
            <v>060-SCP - PLANNING</v>
          </cell>
        </row>
        <row r="2893">
          <cell r="A2893" t="str">
            <v>A2014</v>
          </cell>
          <cell r="B2893" t="str">
            <v>S&amp;P - AMEREN ENERGY MARKETING CO</v>
          </cell>
          <cell r="C2893" t="str">
            <v>060-SCP - PLANNING</v>
          </cell>
        </row>
        <row r="2894">
          <cell r="A2894" t="str">
            <v>A2017</v>
          </cell>
          <cell r="B2894" t="str">
            <v>BPS - CUSTOMERS</v>
          </cell>
          <cell r="C2894" t="str">
            <v>201-DEV - BUS &amp; CORP SVCS</v>
          </cell>
        </row>
        <row r="2895">
          <cell r="A2895" t="str">
            <v>A2019</v>
          </cell>
          <cell r="B2895" t="str">
            <v>BPS - POWER PLANTS</v>
          </cell>
          <cell r="C2895" t="str">
            <v>060-SCP - PLANNING</v>
          </cell>
        </row>
        <row r="2896">
          <cell r="A2896" t="str">
            <v>A2022</v>
          </cell>
          <cell r="B2896" t="str">
            <v>CIP WIRELESS DATA</v>
          </cell>
          <cell r="C2896" t="str">
            <v>065-NEO - TELEPHONE SERVICES</v>
          </cell>
        </row>
        <row r="2897">
          <cell r="A2897" t="str">
            <v>A2023</v>
          </cell>
          <cell r="B2897" t="str">
            <v>UE  WIRELESS DATA</v>
          </cell>
          <cell r="C2897" t="str">
            <v>065-NEO - TELEPHONE SERVICES</v>
          </cell>
        </row>
        <row r="2898">
          <cell r="A2898" t="str">
            <v>A2024</v>
          </cell>
          <cell r="B2898" t="str">
            <v>CTG PICKNEYVILLE TELECOM SERVICES</v>
          </cell>
          <cell r="C2898" t="str">
            <v>065-NEO - TELEPHONE SERVICES</v>
          </cell>
        </row>
        <row r="2899">
          <cell r="A2899" t="str">
            <v>A2025</v>
          </cell>
          <cell r="B2899" t="str">
            <v>CTG GIBSON CITY TELECOM SERVICES</v>
          </cell>
          <cell r="C2899" t="str">
            <v>065-NEO - TELEPHONE SERVICES</v>
          </cell>
        </row>
        <row r="2900">
          <cell r="A2900" t="str">
            <v>A2026</v>
          </cell>
          <cell r="B2900" t="str">
            <v>CTG KINMUNDY TELECOM SERVICES</v>
          </cell>
          <cell r="C2900" t="str">
            <v>065-NEO - TELEPHONE SERVICES</v>
          </cell>
        </row>
        <row r="2901">
          <cell r="A2901" t="str">
            <v>A2027</v>
          </cell>
          <cell r="B2901" t="str">
            <v>CTG GRAND TOWERS  TELECOM SERVICES</v>
          </cell>
          <cell r="C2901" t="str">
            <v>065-NEO - TELEPHONE SERVICES</v>
          </cell>
        </row>
        <row r="2902">
          <cell r="A2902" t="str">
            <v>A2029</v>
          </cell>
          <cell r="B2902" t="str">
            <v>CSS PHASE 3  (O&amp;M) (EFF. 1-1-2001)</v>
          </cell>
          <cell r="C2902" t="str">
            <v>204-DEV - ENERGY DELIVERY</v>
          </cell>
        </row>
        <row r="2903">
          <cell r="A2903" t="str">
            <v>A2031</v>
          </cell>
          <cell r="B2903" t="str">
            <v>GENCO VIDEO CONFERENCING</v>
          </cell>
          <cell r="C2903" t="str">
            <v>065-NEO - TELEPHONE SERVICES</v>
          </cell>
        </row>
        <row r="2904">
          <cell r="A2904" t="str">
            <v>A2032</v>
          </cell>
          <cell r="B2904" t="str">
            <v>WIRELESS DATA COMMON COST</v>
          </cell>
          <cell r="C2904" t="str">
            <v>065-NEO - TELEPHONE SERVICES</v>
          </cell>
        </row>
        <row r="2905">
          <cell r="A2905" t="str">
            <v>A2033</v>
          </cell>
          <cell r="B2905" t="str">
            <v>FOSSIL PLANTS ALLOCATED ESH SUPPORT</v>
          </cell>
          <cell r="C2905" t="str">
            <v>049-ESH - GENERAL</v>
          </cell>
        </row>
        <row r="2906">
          <cell r="A2906" t="str">
            <v>A2034</v>
          </cell>
          <cell r="B2906" t="str">
            <v>UE GENERATION ALLOCATED ESH SUPPORT</v>
          </cell>
          <cell r="C2906" t="str">
            <v>049-ESH - GENERAL</v>
          </cell>
        </row>
        <row r="2907">
          <cell r="A2907" t="str">
            <v>A2035</v>
          </cell>
          <cell r="B2907" t="str">
            <v>LABADIE ESH SUPPORT SERVICES</v>
          </cell>
          <cell r="C2907" t="str">
            <v>049-ESH - GENERAL</v>
          </cell>
        </row>
        <row r="2908">
          <cell r="A2908" t="str">
            <v>A2036</v>
          </cell>
          <cell r="B2908" t="str">
            <v>SIOUX ESH SUPPORT SERVICES</v>
          </cell>
          <cell r="C2908" t="str">
            <v>049-ESH - GENERAL</v>
          </cell>
        </row>
        <row r="2909">
          <cell r="A2909" t="str">
            <v>A2037</v>
          </cell>
          <cell r="B2909" t="str">
            <v>MERAMEC  ESH SUPPORT SERVICES</v>
          </cell>
          <cell r="C2909" t="str">
            <v>049-ESH - GENERAL</v>
          </cell>
        </row>
        <row r="2910">
          <cell r="A2910" t="str">
            <v>A2038</v>
          </cell>
          <cell r="B2910" t="str">
            <v>RUSH ISLAND  ESH SUPPORT SERVICES</v>
          </cell>
          <cell r="C2910" t="str">
            <v>049-ESH - GENERAL</v>
          </cell>
        </row>
        <row r="2911">
          <cell r="A2911" t="str">
            <v>A2039</v>
          </cell>
          <cell r="B2911" t="str">
            <v>VENICE  ESH SUPPORT SERVICES</v>
          </cell>
          <cell r="C2911" t="str">
            <v>049-ESH - GENERAL</v>
          </cell>
        </row>
        <row r="2912">
          <cell r="A2912" t="str">
            <v>A2040</v>
          </cell>
          <cell r="B2912" t="str">
            <v>OSAGE  ESH SUPPORT SERVICES</v>
          </cell>
          <cell r="C2912" t="str">
            <v>049-ESH - GENERAL</v>
          </cell>
        </row>
        <row r="2913">
          <cell r="A2913" t="str">
            <v>A2041</v>
          </cell>
          <cell r="B2913" t="str">
            <v>TAUM SAUK  ESH SUPPORT SERVICES</v>
          </cell>
          <cell r="C2913" t="str">
            <v>049-ESH - GENERAL</v>
          </cell>
        </row>
        <row r="2914">
          <cell r="A2914" t="str">
            <v>A2042</v>
          </cell>
          <cell r="B2914" t="str">
            <v>KEOKUK  ESH SUPPORT SERVICES</v>
          </cell>
          <cell r="C2914" t="str">
            <v>049-ESH - GENERAL</v>
          </cell>
        </row>
        <row r="2915">
          <cell r="A2915" t="str">
            <v>A2043</v>
          </cell>
          <cell r="B2915" t="str">
            <v>CALLAWAY  ESH SUPPORT SERVICES</v>
          </cell>
          <cell r="C2915" t="str">
            <v>049-ESH - GENERAL</v>
          </cell>
        </row>
        <row r="2916">
          <cell r="A2916" t="str">
            <v>A2044</v>
          </cell>
          <cell r="B2916" t="str">
            <v>NEWTON  ESH SUPPORT SERVICES</v>
          </cell>
          <cell r="C2916" t="str">
            <v>049-ESH - GENERAL</v>
          </cell>
        </row>
        <row r="2917">
          <cell r="A2917" t="str">
            <v>A2045</v>
          </cell>
          <cell r="B2917" t="str">
            <v>COFFEEN  ESH SUPPORT SERVICES</v>
          </cell>
          <cell r="C2917" t="str">
            <v>049-ESH - GENERAL</v>
          </cell>
        </row>
        <row r="2918">
          <cell r="A2918" t="str">
            <v>A2046</v>
          </cell>
          <cell r="B2918" t="str">
            <v>GRAND TOWER  ESH SUPPORT SERVICES</v>
          </cell>
          <cell r="C2918" t="str">
            <v>049-ESH - GENERAL</v>
          </cell>
        </row>
        <row r="2919">
          <cell r="A2919" t="str">
            <v>A2047</v>
          </cell>
          <cell r="B2919" t="str">
            <v>MEREDOSIA  ESH SUPPORT SERVICES</v>
          </cell>
          <cell r="C2919" t="str">
            <v>049-ESH - GENERAL</v>
          </cell>
        </row>
        <row r="2920">
          <cell r="A2920" t="str">
            <v>A2048</v>
          </cell>
          <cell r="B2920" t="str">
            <v>HUTSONVILLE  ESH SUPPORT SERVICES</v>
          </cell>
          <cell r="C2920" t="str">
            <v>049-ESH - GENERAL</v>
          </cell>
        </row>
        <row r="2921">
          <cell r="A2921" t="str">
            <v>A2049</v>
          </cell>
          <cell r="B2921" t="str">
            <v>GIBSON CITY CTG  ESH SUPPORT SERV.</v>
          </cell>
          <cell r="C2921" t="str">
            <v>049-ESH - GENERAL</v>
          </cell>
        </row>
        <row r="2922">
          <cell r="A2922" t="str">
            <v>A2050</v>
          </cell>
          <cell r="B2922" t="str">
            <v>KINMUNDY CTG  ESH SUPPORT SERVICES</v>
          </cell>
          <cell r="C2922" t="str">
            <v>049-ESH - GENERAL</v>
          </cell>
        </row>
        <row r="2923">
          <cell r="A2923" t="str">
            <v>A2051</v>
          </cell>
          <cell r="B2923" t="str">
            <v>PICKNEYVILLE CTG  ESH SUPPORT SER.</v>
          </cell>
          <cell r="C2923" t="str">
            <v>049-ESH - GENERAL</v>
          </cell>
        </row>
        <row r="2924">
          <cell r="A2924" t="str">
            <v>A2067</v>
          </cell>
          <cell r="B2924" t="str">
            <v>EGENESIS</v>
          </cell>
          <cell r="C2924" t="str">
            <v>202-DEV - OPERATIONS</v>
          </cell>
        </row>
        <row r="2925">
          <cell r="A2925" t="str">
            <v>A2078</v>
          </cell>
          <cell r="B2925" t="str">
            <v>CORP COMM IND FUNCT - GEN ADMIN</v>
          </cell>
          <cell r="C2925" t="str">
            <v>001-CORPORATE COMMUNICATIONS</v>
          </cell>
        </row>
        <row r="2926">
          <cell r="A2926" t="str">
            <v>A2079</v>
          </cell>
          <cell r="B2926" t="str">
            <v>CORP COMM SERV ALLOC ADVERTISING PR</v>
          </cell>
          <cell r="C2926" t="str">
            <v>001-CORPORATE COMMUNICATIONS</v>
          </cell>
        </row>
        <row r="2927">
          <cell r="A2927" t="str">
            <v>A2080</v>
          </cell>
          <cell r="B2927" t="str">
            <v>ENCLOSE MAILINGS TO AMEREN EMPLOYEE</v>
          </cell>
          <cell r="C2927" t="str">
            <v>06A-INF-INSERTING &amp; MAIL DELIVERY</v>
          </cell>
        </row>
        <row r="2928">
          <cell r="A2928" t="str">
            <v>A2084</v>
          </cell>
          <cell r="B2928" t="str">
            <v>ENPORION TRANACTION FEES</v>
          </cell>
          <cell r="C2928" t="str">
            <v>074-PURCHASING</v>
          </cell>
        </row>
        <row r="2929">
          <cell r="A2929" t="str">
            <v>A2085</v>
          </cell>
          <cell r="B2929" t="str">
            <v>AMS HELP DESK</v>
          </cell>
          <cell r="C2929" t="str">
            <v>065-NEO - TELEPHONE SERVICES</v>
          </cell>
        </row>
        <row r="2930">
          <cell r="A2930" t="str">
            <v>A2092</v>
          </cell>
          <cell r="B2930" t="str">
            <v>EARCHITECTURE (EXPENSE) PROJECT</v>
          </cell>
          <cell r="C2930" t="str">
            <v>060-SCP - PLANNING</v>
          </cell>
        </row>
        <row r="2931">
          <cell r="A2931" t="str">
            <v>A2094</v>
          </cell>
          <cell r="B2931" t="str">
            <v>TEMP CO-WIDE COLLECTOR FOR AFS</v>
          </cell>
          <cell r="C2931" t="str">
            <v>05B-CONTROLLERS BUDGETING</v>
          </cell>
        </row>
        <row r="2932">
          <cell r="A2932" t="str">
            <v>A2096</v>
          </cell>
          <cell r="B2932" t="str">
            <v>AFS TAX  WORK</v>
          </cell>
          <cell r="C2932" t="str">
            <v>05T-TAX</v>
          </cell>
        </row>
        <row r="2933">
          <cell r="A2933" t="str">
            <v>A2104</v>
          </cell>
          <cell r="B2933" t="str">
            <v>INSURANCE-WORKERS COMP &amp; LIABILITY</v>
          </cell>
          <cell r="C2933" t="str">
            <v>07R-FINANCIAL PLANNING, INS &amp; RISK</v>
          </cell>
        </row>
        <row r="2934">
          <cell r="A2934" t="str">
            <v>A2105</v>
          </cell>
          <cell r="B2934" t="str">
            <v>INSURANCE-NUCLEAR-LIAB &amp; PROPERTY</v>
          </cell>
          <cell r="C2934" t="str">
            <v>07R-FINANCIAL PLANNING, INS &amp; RISK</v>
          </cell>
        </row>
        <row r="2935">
          <cell r="A2935" t="str">
            <v>A2106</v>
          </cell>
          <cell r="B2935" t="str">
            <v>RISK MANAGEMENT - CONSTRUCTION</v>
          </cell>
          <cell r="C2935" t="str">
            <v>07R-FINANCIAL PLANNING, INS &amp; RISK</v>
          </cell>
        </row>
        <row r="2936">
          <cell r="A2936" t="str">
            <v>A2107</v>
          </cell>
          <cell r="B2936" t="str">
            <v>INSURANCE-SURETY &amp; APPEAL BONDING</v>
          </cell>
          <cell r="C2936" t="str">
            <v>07R-FINANCIAL PLANNING, INS &amp; RISK</v>
          </cell>
        </row>
        <row r="2937">
          <cell r="A2937" t="str">
            <v>A2108</v>
          </cell>
          <cell r="B2937" t="str">
            <v>INSURANCE - PROPERTY - GENCO</v>
          </cell>
          <cell r="C2937" t="str">
            <v>07R-FINANCIAL PLANNING, INS &amp; RISK</v>
          </cell>
        </row>
        <row r="2938">
          <cell r="A2938" t="str">
            <v>A2109</v>
          </cell>
          <cell r="B2938" t="str">
            <v>INSURANCE-PROPERTY-UE POWER PLANTS</v>
          </cell>
          <cell r="C2938" t="str">
            <v>07R-FINANCIAL PLANNING, INS &amp; RISK</v>
          </cell>
        </row>
        <row r="2939">
          <cell r="A2939" t="str">
            <v>A2111</v>
          </cell>
          <cell r="B2939" t="str">
            <v>ENERGY DELIVERY - ORG DEVEL</v>
          </cell>
          <cell r="C2939" t="str">
            <v>02T-HR - ORGANIZATION EFFECTIVENESS</v>
          </cell>
        </row>
        <row r="2940">
          <cell r="A2940" t="str">
            <v>A2112</v>
          </cell>
          <cell r="B2940" t="str">
            <v>EXECUTIVE DEVELOPMENT</v>
          </cell>
          <cell r="C2940" t="str">
            <v>02T-HR - ORGANIZATION EFFECTIVENESS</v>
          </cell>
        </row>
        <row r="2941">
          <cell r="A2941" t="str">
            <v>A2113</v>
          </cell>
          <cell r="B2941" t="str">
            <v>ONLINE LEARNING</v>
          </cell>
          <cell r="C2941" t="str">
            <v>02T-HR - ORGANIZATION EFFECTIVENESS</v>
          </cell>
        </row>
        <row r="2942">
          <cell r="A2942" t="str">
            <v>A2114</v>
          </cell>
          <cell r="B2942" t="str">
            <v>CAREER DEVELOPMENT</v>
          </cell>
          <cell r="C2942" t="str">
            <v>02T-HR - ORGANIZATION EFFECTIVENESS</v>
          </cell>
        </row>
        <row r="2943">
          <cell r="A2943" t="str">
            <v>A2115</v>
          </cell>
          <cell r="B2943" t="str">
            <v>AMEREN ENERGY FUELS &amp; SERVICES</v>
          </cell>
          <cell r="C2943" t="str">
            <v>024-LEGAL</v>
          </cell>
        </row>
        <row r="2944">
          <cell r="A2944" t="str">
            <v>A2116</v>
          </cell>
          <cell r="B2944" t="str">
            <v>LONG TERM FINANCING - CORP (ALLOC)</v>
          </cell>
          <cell r="C2944" t="str">
            <v>075-BANKING AND INVESTOR SERVICES</v>
          </cell>
        </row>
        <row r="2945">
          <cell r="A2945" t="str">
            <v>A2122</v>
          </cell>
          <cell r="B2945" t="str">
            <v>FUNCTIONAL INDIRECT FOR ENTERPRISE</v>
          </cell>
          <cell r="C2945" t="str">
            <v>06H-NEO - ENTERPRISE NETWORKING</v>
          </cell>
        </row>
        <row r="2946">
          <cell r="A2946" t="str">
            <v>A2124</v>
          </cell>
          <cell r="B2946" t="str">
            <v>SHAREHOLDER SERVICES VR</v>
          </cell>
          <cell r="C2946" t="str">
            <v>065-NEO - TELEPHONE SERVICES</v>
          </cell>
        </row>
        <row r="2947">
          <cell r="A2947" t="str">
            <v>A2126</v>
          </cell>
          <cell r="B2947" t="str">
            <v>UEC ILL SVC TERRITORY XFER TO CIP</v>
          </cell>
          <cell r="C2947" t="str">
            <v>05B-CONTROLLERS BUDGETING</v>
          </cell>
        </row>
        <row r="2948">
          <cell r="A2948" t="str">
            <v>A2127</v>
          </cell>
          <cell r="B2948" t="str">
            <v>UE TRANSMISSION ESH SUPPORT SERVICE</v>
          </cell>
          <cell r="C2948" t="str">
            <v>049-ESH - GENERAL</v>
          </cell>
        </row>
        <row r="2949">
          <cell r="A2949" t="str">
            <v>A2128</v>
          </cell>
          <cell r="B2949" t="str">
            <v>UE DISTRIBUTION ESH SUPPORT SERVICE</v>
          </cell>
          <cell r="C2949" t="str">
            <v>049-ESH - GENERAL</v>
          </cell>
        </row>
        <row r="2950">
          <cell r="A2950" t="str">
            <v>A2130</v>
          </cell>
          <cell r="B2950" t="str">
            <v>IR SUPPORT FOR AFS</v>
          </cell>
          <cell r="C2950" t="str">
            <v>057-LABOR STRATEGY</v>
          </cell>
        </row>
        <row r="2951">
          <cell r="A2951" t="str">
            <v>A2132</v>
          </cell>
          <cell r="B2951" t="str">
            <v>PROVIDE ACCOUNTING SERVICES TO AFS</v>
          </cell>
          <cell r="C2951" t="str">
            <v>004-ACCOUNTING</v>
          </cell>
        </row>
        <row r="2952">
          <cell r="A2952" t="str">
            <v>A2133</v>
          </cell>
          <cell r="B2952" t="str">
            <v>MAINTAIN GEN ASSET RECORDS</v>
          </cell>
          <cell r="C2952" t="str">
            <v>004-ACCOUNTING</v>
          </cell>
        </row>
        <row r="2953">
          <cell r="A2953" t="str">
            <v>A2134</v>
          </cell>
          <cell r="B2953" t="str">
            <v>IMS SUPPORT (ELGIN)</v>
          </cell>
          <cell r="C2953" t="str">
            <v>05T-TAX</v>
          </cell>
        </row>
        <row r="2954">
          <cell r="A2954" t="str">
            <v>A2135</v>
          </cell>
          <cell r="B2954" t="str">
            <v>ASBESTOS EXPOSURE LITIGATION</v>
          </cell>
          <cell r="C2954" t="str">
            <v>038-CLAIMS</v>
          </cell>
        </row>
        <row r="2955">
          <cell r="A2955" t="str">
            <v>A2136</v>
          </cell>
          <cell r="B2955" t="str">
            <v>PPM ESH SUPPORT SERVICES</v>
          </cell>
          <cell r="C2955" t="str">
            <v>049-ESH - GENERAL</v>
          </cell>
        </row>
        <row r="2956">
          <cell r="A2956" t="str">
            <v>A2139</v>
          </cell>
          <cell r="B2956" t="str">
            <v>EVOLUTION (ACMS)</v>
          </cell>
          <cell r="C2956" t="str">
            <v>060-SCP - PLANNING</v>
          </cell>
        </row>
        <row r="2957">
          <cell r="A2957" t="str">
            <v>A2140</v>
          </cell>
          <cell r="B2957" t="str">
            <v>HUMAN RESOURCE VOICE RESPONSE</v>
          </cell>
          <cell r="C2957" t="str">
            <v>065-NEO - TELEPHONE SERVICES</v>
          </cell>
        </row>
        <row r="2958">
          <cell r="A2958" t="str">
            <v>A2142</v>
          </cell>
          <cell r="B2958" t="str">
            <v>LT FINANCING &amp; STRAT BUS DEV-GENCO</v>
          </cell>
          <cell r="C2958" t="str">
            <v>075-BANKING AND INVESTOR SERVICES</v>
          </cell>
        </row>
        <row r="2959">
          <cell r="A2959" t="str">
            <v>A2145</v>
          </cell>
          <cell r="B2959" t="str">
            <v>AUDIT OF CORPORATE PLANNING</v>
          </cell>
          <cell r="C2959" t="str">
            <v>05A-INTERNAL AUDIT</v>
          </cell>
        </row>
        <row r="2960">
          <cell r="A2960" t="str">
            <v>A2148</v>
          </cell>
          <cell r="B2960" t="str">
            <v>CORPORATE REPORTING SYSTEM</v>
          </cell>
          <cell r="C2960" t="str">
            <v>201-DEV - BUS &amp; CORP SVCS</v>
          </cell>
        </row>
        <row r="2961">
          <cell r="A2961" t="str">
            <v>A2149</v>
          </cell>
          <cell r="B2961" t="str">
            <v>METER READING MV-90 SUPPORT- GMC</v>
          </cell>
          <cell r="C2961" t="str">
            <v>03A-METER READING-AMS</v>
          </cell>
        </row>
        <row r="2962">
          <cell r="A2962" t="str">
            <v>A2150</v>
          </cell>
          <cell r="B2962" t="str">
            <v>SUPPORT ACTIVITIES FOR AEG</v>
          </cell>
          <cell r="C2962" t="str">
            <v>202-DEV - OPERATIONS</v>
          </cell>
        </row>
        <row r="2963">
          <cell r="A2963" t="str">
            <v>A2151</v>
          </cell>
          <cell r="B2963" t="str">
            <v>MGR - DISTRIBUTION CONTROL - UEC</v>
          </cell>
          <cell r="C2963" t="str">
            <v>030-DISTRIBUTION OPERATING - MO</v>
          </cell>
        </row>
        <row r="2964">
          <cell r="A2964" t="str">
            <v>A2152</v>
          </cell>
          <cell r="B2964" t="str">
            <v>MGR - DISTRIBUTION CONTROL - ALLOC</v>
          </cell>
          <cell r="C2964" t="str">
            <v>030-DISTRIBUTION OPERATING - MO</v>
          </cell>
        </row>
        <row r="2965">
          <cell r="A2965" t="str">
            <v>A2153</v>
          </cell>
          <cell r="B2965" t="str">
            <v>MANAGER - DISTRIBUTION CONTROL - AM</v>
          </cell>
          <cell r="C2965" t="str">
            <v>107-DISTRIBUTION OPERATING - MATTOO</v>
          </cell>
        </row>
        <row r="2966">
          <cell r="A2966" t="str">
            <v>A2154</v>
          </cell>
          <cell r="B2966" t="str">
            <v>ENGINEERING WORK FOR AM.ENERGY GEN.</v>
          </cell>
          <cell r="C2966" t="str">
            <v>03M-SUB MTCE &amp; CONST-ENG &amp; ADMIN</v>
          </cell>
        </row>
        <row r="2967">
          <cell r="A2967" t="str">
            <v>A2155</v>
          </cell>
          <cell r="B2967" t="str">
            <v>ENGINEERING WORK FOR AMERENUE PLTS</v>
          </cell>
          <cell r="C2967" t="str">
            <v>03M-SUB MTCE &amp; CONST-ENG &amp; ADMIN</v>
          </cell>
        </row>
        <row r="2968">
          <cell r="A2968" t="str">
            <v>A2158</v>
          </cell>
          <cell r="B2968" t="str">
            <v>ORACLE SW IMPLEMENTATION (EXPENSE)</v>
          </cell>
          <cell r="C2968" t="str">
            <v>060-SCP - PLANNING</v>
          </cell>
        </row>
        <row r="2969">
          <cell r="A2969" t="str">
            <v>A2161</v>
          </cell>
          <cell r="B2969" t="str">
            <v>POLE ASSET MGT-POLE ATTACHMENTS-UEC</v>
          </cell>
          <cell r="C2969" t="str">
            <v>0PM-ED FACILITIES MANAGEMENT</v>
          </cell>
        </row>
        <row r="2970">
          <cell r="A2970" t="str">
            <v>A2162</v>
          </cell>
          <cell r="B2970" t="str">
            <v>POLE ASSET MGT-POLE ATTACHMENTS-CIP</v>
          </cell>
          <cell r="C2970" t="str">
            <v>0PM-ED FACILITIES MANAGEMENT</v>
          </cell>
        </row>
        <row r="2971">
          <cell r="A2971" t="str">
            <v>A2163</v>
          </cell>
          <cell r="B2971" t="str">
            <v>POLE ASSET MGT-POLE ATT.-ALLOCATED</v>
          </cell>
          <cell r="C2971" t="str">
            <v>0PM-ED FACILITIES MANAGEMENT</v>
          </cell>
        </row>
        <row r="2972">
          <cell r="A2972" t="str">
            <v>A2164</v>
          </cell>
          <cell r="B2972" t="str">
            <v>POLE ASSET MGT-POLE MANAGEMENT- UEC</v>
          </cell>
          <cell r="C2972" t="str">
            <v>0PM-ED FACILITIES MANAGEMENT</v>
          </cell>
        </row>
        <row r="2973">
          <cell r="A2973" t="str">
            <v>A2165</v>
          </cell>
          <cell r="B2973" t="str">
            <v>POLE ASSET MGT-POLE MANAGEMENT- CIP</v>
          </cell>
          <cell r="C2973" t="str">
            <v>0PM-ED FACILITIES MANAGEMENT</v>
          </cell>
        </row>
        <row r="2974">
          <cell r="A2974" t="str">
            <v>A2166</v>
          </cell>
          <cell r="B2974" t="str">
            <v>POLE ASSET MGT-POLE MGMT- ALLOCATED</v>
          </cell>
          <cell r="C2974" t="str">
            <v>0PM-ED FACILITIES MANAGEMENT</v>
          </cell>
        </row>
        <row r="2975">
          <cell r="A2975" t="str">
            <v>A2167</v>
          </cell>
          <cell r="B2975" t="str">
            <v>POLE ASSET MGT-MISC. OFFICE EXPENSE</v>
          </cell>
          <cell r="C2975" t="str">
            <v>0PM-ED FACILITIES MANAGEMENT</v>
          </cell>
        </row>
        <row r="2976">
          <cell r="A2976" t="str">
            <v>A2168</v>
          </cell>
          <cell r="B2976" t="str">
            <v>EPROCUREMENT</v>
          </cell>
          <cell r="C2976" t="str">
            <v>201-DEV - BUS &amp; CORP SVCS</v>
          </cell>
        </row>
        <row r="2977">
          <cell r="A2977" t="str">
            <v>A2174</v>
          </cell>
          <cell r="B2977" t="str">
            <v>POLE ASSET MGT-INFRARED PROGRAM-UEC</v>
          </cell>
          <cell r="C2977" t="str">
            <v>0PM-ED FACILITIES MANAGEMENT</v>
          </cell>
        </row>
        <row r="2978">
          <cell r="A2978" t="str">
            <v>A2177</v>
          </cell>
          <cell r="B2978" t="str">
            <v>POLE ASSET MGT-AMERENUE</v>
          </cell>
          <cell r="C2978" t="str">
            <v>0PM-ED FACILITIES MANAGEMENT</v>
          </cell>
        </row>
        <row r="2979">
          <cell r="A2979" t="str">
            <v>A2178</v>
          </cell>
          <cell r="B2979" t="str">
            <v>POLE ASSET MGT-AMERENCIP</v>
          </cell>
          <cell r="C2979" t="str">
            <v>0PM-ED FACILITIES MANAGEMENT</v>
          </cell>
        </row>
        <row r="2980">
          <cell r="A2980" t="str">
            <v>A2179</v>
          </cell>
          <cell r="B2980" t="str">
            <v>POLE ASSET MGT-AMEREN ALLOCATED</v>
          </cell>
          <cell r="C2980" t="str">
            <v>0PM-ED FACILITIES MANAGEMENT</v>
          </cell>
        </row>
        <row r="2981">
          <cell r="A2981" t="str">
            <v>A2181</v>
          </cell>
          <cell r="B2981" t="str">
            <v>OFFICE XP PROJECT</v>
          </cell>
          <cell r="C2981" t="str">
            <v>06C-INF - STL CENTRAL SERVER OPS</v>
          </cell>
        </row>
        <row r="2982">
          <cell r="A2982" t="str">
            <v>A2184</v>
          </cell>
          <cell r="B2982" t="str">
            <v>EHR AND HRPOWERLINE WEB PAGE MAINTE</v>
          </cell>
          <cell r="C2982" t="str">
            <v>02V-EMPLOYEE COMMUNICATIONS</v>
          </cell>
        </row>
        <row r="2983">
          <cell r="A2983" t="str">
            <v>A2186</v>
          </cell>
          <cell r="B2983" t="str">
            <v>GROUP LIFE &amp; ADD (UE/AME/AMC)</v>
          </cell>
          <cell r="C2983" t="str">
            <v>019-EMPLOYEE BENEFIT PLANS</v>
          </cell>
        </row>
        <row r="2984">
          <cell r="A2984" t="str">
            <v>A2187</v>
          </cell>
          <cell r="B2984" t="str">
            <v>EMPLOYEE BENEFITS MGT, CIS, UEC CON</v>
          </cell>
          <cell r="C2984" t="str">
            <v>019-EMPLOYEE BENEFIT PLANS</v>
          </cell>
        </row>
        <row r="2985">
          <cell r="A2985" t="str">
            <v>A2188</v>
          </cell>
          <cell r="B2985" t="str">
            <v>401K - UEC CONTRACT EMPLOYEE</v>
          </cell>
          <cell r="C2985" t="str">
            <v>019-EMPLOYEE BENEFIT PLANS</v>
          </cell>
        </row>
        <row r="2986">
          <cell r="A2986" t="str">
            <v>A2189</v>
          </cell>
          <cell r="B2986" t="str">
            <v>DENTALVISION INSURANCE - LOCAL 1455</v>
          </cell>
          <cell r="C2986" t="str">
            <v>019-EMPLOYEE BENEFIT PLANS</v>
          </cell>
        </row>
        <row r="2987">
          <cell r="A2987" t="str">
            <v>A2190</v>
          </cell>
          <cell r="B2987" t="str">
            <v>401(K) MATCHING - CONTRACT</v>
          </cell>
          <cell r="C2987" t="str">
            <v>019-EMPLOYEE BENEFIT PLANS</v>
          </cell>
        </row>
        <row r="2988">
          <cell r="A2988" t="str">
            <v>A2191</v>
          </cell>
          <cell r="B2988" t="str">
            <v>401(K) COMPANY MATCH - MGMTUE CONTR</v>
          </cell>
          <cell r="C2988" t="str">
            <v>019-EMPLOYEE BENEFIT PLANS</v>
          </cell>
        </row>
        <row r="2989">
          <cell r="A2989" t="str">
            <v>A2192</v>
          </cell>
          <cell r="B2989" t="str">
            <v>401(K) COMPANY MATCH - CIPS CONTRAC</v>
          </cell>
          <cell r="C2989" t="str">
            <v>019-EMPLOYEE BENEFIT PLANS</v>
          </cell>
        </row>
        <row r="2990">
          <cell r="A2990" t="str">
            <v>A2193</v>
          </cell>
          <cell r="B2990" t="str">
            <v>IL- REGULATORY SERVICES ELEC/GAS</v>
          </cell>
          <cell r="C2990" t="str">
            <v>29R-REGULATORY POLICY</v>
          </cell>
        </row>
        <row r="2991">
          <cell r="A2991" t="str">
            <v>A2194</v>
          </cell>
          <cell r="B2991" t="str">
            <v>IL- REGULATORY SERVICES ELEC</v>
          </cell>
          <cell r="C2991" t="str">
            <v>29R-REGULATORY POLICY</v>
          </cell>
        </row>
        <row r="2992">
          <cell r="A2992" t="str">
            <v>A2196</v>
          </cell>
          <cell r="B2992" t="str">
            <v>UE-IL REGULATORY SERVICES ELEC</v>
          </cell>
          <cell r="C2992" t="str">
            <v>29R-REGULATORY POLICY</v>
          </cell>
        </row>
        <row r="2993">
          <cell r="A2993" t="str">
            <v>A2198</v>
          </cell>
          <cell r="B2993" t="str">
            <v>CIPS REGULATORY SERVICES ELEC</v>
          </cell>
          <cell r="C2993" t="str">
            <v>29R-REGULATORY POLICY</v>
          </cell>
        </row>
        <row r="2994">
          <cell r="A2994" t="str">
            <v>A2199</v>
          </cell>
          <cell r="B2994" t="str">
            <v>CIPS REGULATORY SERVICES GAS</v>
          </cell>
          <cell r="C2994" t="str">
            <v>29R-REGULATORY POLICY</v>
          </cell>
        </row>
        <row r="2995">
          <cell r="A2995" t="str">
            <v>A2201</v>
          </cell>
          <cell r="B2995" t="str">
            <v>TELECOM ATTACHMENTS - UE</v>
          </cell>
          <cell r="C2995" t="str">
            <v>061-REAL ESTATE</v>
          </cell>
        </row>
        <row r="2996">
          <cell r="A2996" t="str">
            <v>A2202</v>
          </cell>
          <cell r="B2996" t="str">
            <v>TELECOM ATTACHMENTS - CIP</v>
          </cell>
          <cell r="C2996" t="str">
            <v>061-REAL ESTATE</v>
          </cell>
        </row>
        <row r="2997">
          <cell r="A2997" t="str">
            <v>A2203</v>
          </cell>
          <cell r="B2997" t="str">
            <v>WIRELESS ATTACHMENTS - UE</v>
          </cell>
          <cell r="C2997" t="str">
            <v>061-REAL ESTATE</v>
          </cell>
        </row>
        <row r="2998">
          <cell r="A2998" t="str">
            <v>A2206</v>
          </cell>
          <cell r="B2998" t="str">
            <v>COLUMBIA CTG ESH SUPPORT SERVICES</v>
          </cell>
          <cell r="C2998" t="str">
            <v>049-ESH - GENERAL</v>
          </cell>
        </row>
        <row r="2999">
          <cell r="A2999" t="str">
            <v>A2209</v>
          </cell>
          <cell r="B2999" t="str">
            <v>DATA OPS DESKTOP SPT - FUNCTIONAL I</v>
          </cell>
          <cell r="C2999" t="str">
            <v>06M-CSF - TELECOM FIELD OPS</v>
          </cell>
        </row>
        <row r="3000">
          <cell r="A3000" t="str">
            <v>A2216</v>
          </cell>
          <cell r="B3000" t="str">
            <v>HELPDESK SUPPORT FOR UEC</v>
          </cell>
          <cell r="C3000" t="str">
            <v>06B-INF - ENTERPRISE COMPUTING SERV</v>
          </cell>
        </row>
        <row r="3001">
          <cell r="A3001" t="str">
            <v>A2217</v>
          </cell>
          <cell r="B3001" t="str">
            <v>HELPDESK SUPPORT FOR CIPS</v>
          </cell>
          <cell r="C3001" t="str">
            <v>06B-INF - ENTERPRISE COMPUTING SERV</v>
          </cell>
        </row>
        <row r="3002">
          <cell r="A3002" t="str">
            <v>A2220</v>
          </cell>
          <cell r="B3002" t="str">
            <v>FOCUSED ADVOCACY COMM PROG UEC</v>
          </cell>
          <cell r="C3002" t="str">
            <v>001-CORPORATE COMMUNICATIONS</v>
          </cell>
        </row>
        <row r="3003">
          <cell r="A3003" t="str">
            <v>A2223</v>
          </cell>
          <cell r="B3003" t="str">
            <v>MAINTENANCE OF THE IL BUILDING</v>
          </cell>
          <cell r="C3003" t="str">
            <v>07V-BUILDING SERVICES-AMS</v>
          </cell>
        </row>
        <row r="3004">
          <cell r="A3004" t="str">
            <v>A2224</v>
          </cell>
          <cell r="B3004" t="str">
            <v>DATAOPS - NT SERVER SUPPORT</v>
          </cell>
          <cell r="C3004" t="str">
            <v>06C-INF - STL CENTRAL SERVER OPS</v>
          </cell>
        </row>
        <row r="3005">
          <cell r="A3005" t="str">
            <v>A2227</v>
          </cell>
          <cell r="B3005" t="str">
            <v>STATEGIC DEVELOPMENT</v>
          </cell>
          <cell r="C3005" t="str">
            <v>075-BANKING AND INVESTOR SERVICES</v>
          </cell>
        </row>
        <row r="3006">
          <cell r="A3006" t="str">
            <v>A2257</v>
          </cell>
          <cell r="B3006" t="str">
            <v>CORPORATE SECURITY GOVERNANCE</v>
          </cell>
          <cell r="C3006" t="str">
            <v>06D-SCP - SECURITY</v>
          </cell>
        </row>
        <row r="3007">
          <cell r="A3007" t="str">
            <v>A2258</v>
          </cell>
          <cell r="B3007" t="str">
            <v>AE-FACIL.UPGR.STUDY-AUDRAIN-AMEREN</v>
          </cell>
          <cell r="C3007" t="str">
            <v>09E-ELECTRICAL ENGINEERING</v>
          </cell>
        </row>
        <row r="3008">
          <cell r="A3008" t="str">
            <v>A2263</v>
          </cell>
          <cell r="B3008" t="str">
            <v>AEG-STABILITY STUDY FOR ELGIN PLANT</v>
          </cell>
          <cell r="C3008" t="str">
            <v>09E-ELECTRICAL ENGINEERING</v>
          </cell>
        </row>
        <row r="3009">
          <cell r="A3009" t="str">
            <v>A2264</v>
          </cell>
          <cell r="B3009" t="str">
            <v>SAFETY SUPERVISOR - AMEREN UE</v>
          </cell>
          <cell r="C3009" t="str">
            <v>026-ED-SAFETY-UE</v>
          </cell>
        </row>
        <row r="3010">
          <cell r="A3010" t="str">
            <v>A2265</v>
          </cell>
          <cell r="B3010" t="str">
            <v>SAFETY SUPERVISOR - ALLOCATED</v>
          </cell>
          <cell r="C3010" t="str">
            <v>026-ED-SAFETY-UE</v>
          </cell>
        </row>
        <row r="3011">
          <cell r="A3011" t="str">
            <v>A2266</v>
          </cell>
          <cell r="B3011" t="str">
            <v>ECONOMIC DEV SERVICES - AE GENCO</v>
          </cell>
          <cell r="C3011" t="str">
            <v>016-ECONOMIC DEVELOPMENT</v>
          </cell>
        </row>
        <row r="3012">
          <cell r="A3012" t="str">
            <v>A2268</v>
          </cell>
          <cell r="B3012" t="str">
            <v>ECONOMIC DEVSERVICES - AE MKTG</v>
          </cell>
          <cell r="C3012" t="str">
            <v>016-ECONOMIC DEVELOPMENT</v>
          </cell>
        </row>
        <row r="3013">
          <cell r="A3013" t="str">
            <v>A2269</v>
          </cell>
          <cell r="B3013" t="str">
            <v>ECONOMIC DEV SERVICES - AE FUELS</v>
          </cell>
          <cell r="C3013" t="str">
            <v>016-ECONOMIC DEVELOPMENT</v>
          </cell>
        </row>
        <row r="3014">
          <cell r="A3014" t="str">
            <v>A2275</v>
          </cell>
          <cell r="B3014" t="str">
            <v>ECUSTOMER PROJECT - O&amp;M ITEMS</v>
          </cell>
          <cell r="C3014" t="str">
            <v>060-SCP - PLANNING</v>
          </cell>
        </row>
        <row r="3015">
          <cell r="A3015" t="str">
            <v>A2276</v>
          </cell>
          <cell r="B3015" t="str">
            <v>AMEREN.COM, SCHOLAR, STELLENT SPT</v>
          </cell>
          <cell r="C3015" t="str">
            <v>201-DEV - BUS &amp; CORP SVCS</v>
          </cell>
        </row>
        <row r="3016">
          <cell r="A3016" t="str">
            <v>A2278</v>
          </cell>
          <cell r="B3016" t="str">
            <v>CORP PLANNING SUPPORT FOR AFS</v>
          </cell>
          <cell r="C3016" t="str">
            <v>012-CORPORATE PLANNING</v>
          </cell>
        </row>
        <row r="3017">
          <cell r="A3017" t="str">
            <v>A2280</v>
          </cell>
          <cell r="B3017" t="str">
            <v>ONGOING M &amp; A SCREENING &amp; ANALYSIS</v>
          </cell>
          <cell r="C3017" t="str">
            <v>012-CORPORATE PLANNING</v>
          </cell>
        </row>
        <row r="3018">
          <cell r="A3018" t="str">
            <v>A2282</v>
          </cell>
          <cell r="B3018" t="str">
            <v>IMS SUPPORT (COLUMBIA)</v>
          </cell>
          <cell r="C3018" t="str">
            <v>05T-TAX</v>
          </cell>
        </row>
        <row r="3019">
          <cell r="A3019" t="str">
            <v>A2284</v>
          </cell>
          <cell r="B3019" t="str">
            <v>BLDG SRVC LABOR - AMEREN ENERGY GEN</v>
          </cell>
          <cell r="C3019" t="str">
            <v>07V-BUILDING SERVICES-AMS</v>
          </cell>
        </row>
        <row r="3020">
          <cell r="A3020" t="str">
            <v>A2285</v>
          </cell>
          <cell r="B3020" t="str">
            <v>PCS AND PERIPHERALS - HELPDESK SUPP</v>
          </cell>
          <cell r="C3020" t="str">
            <v>06B-INF - ENTERPRISE COMPUTING SERV</v>
          </cell>
        </row>
        <row r="3021">
          <cell r="A3021" t="str">
            <v>A2286</v>
          </cell>
          <cell r="B3021" t="str">
            <v>PCS AND PERIPHERALS - HELPDESK SUPP</v>
          </cell>
          <cell r="C3021" t="str">
            <v>06B-INF - ENTERPRISE COMPUTING SERV</v>
          </cell>
        </row>
        <row r="3022">
          <cell r="A3022" t="str">
            <v>A2287</v>
          </cell>
          <cell r="B3022" t="str">
            <v>AUDIT OF AMEREN ENERGY MARKETING</v>
          </cell>
          <cell r="C3022" t="str">
            <v>05A-INTERNAL AUDIT</v>
          </cell>
        </row>
        <row r="3023">
          <cell r="A3023" t="str">
            <v>A2288</v>
          </cell>
          <cell r="B3023" t="str">
            <v>AUDIT OF CAPITAL PROJECTS - AEG</v>
          </cell>
          <cell r="C3023" t="str">
            <v>05A-INTERNAL AUDIT</v>
          </cell>
        </row>
        <row r="3024">
          <cell r="A3024" t="str">
            <v>A2289</v>
          </cell>
          <cell r="B3024" t="str">
            <v>AUDIT OF CAPITAL PROJECTS - CIP</v>
          </cell>
          <cell r="C3024" t="str">
            <v>05A-INTERNAL AUDIT</v>
          </cell>
        </row>
        <row r="3025">
          <cell r="A3025" t="str">
            <v>A2291</v>
          </cell>
          <cell r="B3025" t="str">
            <v>ILLINOIS GAS RATE CASE AMERENUE</v>
          </cell>
          <cell r="C3025" t="str">
            <v>09D-TRANSMISSION POLICY</v>
          </cell>
        </row>
        <row r="3026">
          <cell r="A3026" t="str">
            <v>A2292</v>
          </cell>
          <cell r="B3026" t="str">
            <v>ILLINOIS GAS RATE CASE - UEC</v>
          </cell>
          <cell r="C3026" t="str">
            <v>09D-TRANSMISSION POLICY</v>
          </cell>
        </row>
        <row r="3027">
          <cell r="A3027" t="str">
            <v>A2293</v>
          </cell>
          <cell r="B3027" t="str">
            <v>MANAGER ALTON DISTRICT</v>
          </cell>
          <cell r="C3027" t="str">
            <v>014-ALTON DISTRICT</v>
          </cell>
        </row>
        <row r="3028">
          <cell r="A3028" t="str">
            <v>A2294</v>
          </cell>
          <cell r="B3028" t="str">
            <v>ESL IL - MANAGER - AMEREN DIVISION</v>
          </cell>
          <cell r="C3028" t="str">
            <v>015-ILLINOIS DISTRICT-E. ST. LOUIS</v>
          </cell>
        </row>
        <row r="3029">
          <cell r="A3029" t="str">
            <v>A2295</v>
          </cell>
          <cell r="B3029" t="str">
            <v>FUELS &amp; SERVICES ESH SUPPORT</v>
          </cell>
          <cell r="C3029" t="str">
            <v>049-ESH - GENERAL</v>
          </cell>
        </row>
        <row r="3030">
          <cell r="A3030" t="str">
            <v>A2296</v>
          </cell>
          <cell r="B3030" t="str">
            <v>ENERGY DELIVERY - CONTROLLER</v>
          </cell>
          <cell r="C3030" t="str">
            <v>45C-ED FINANCIAL SUPPORT &amp; ANALYSIS</v>
          </cell>
        </row>
        <row r="3031">
          <cell r="A3031" t="str">
            <v>A2297</v>
          </cell>
          <cell r="B3031" t="str">
            <v>ENERGY DELIVERY - CONTROLLER (TRANS</v>
          </cell>
          <cell r="C3031" t="str">
            <v>45C-ED FINANCIAL SUPPORT &amp; ANALYSIS</v>
          </cell>
        </row>
        <row r="3032">
          <cell r="A3032" t="str">
            <v>A2298</v>
          </cell>
          <cell r="B3032" t="str">
            <v>RISK MANAGEMENT - AFS</v>
          </cell>
          <cell r="C3032" t="str">
            <v>07Q-CORPORATE RISK MGMT</v>
          </cell>
        </row>
        <row r="3033">
          <cell r="A3033" t="str">
            <v>A2299</v>
          </cell>
          <cell r="B3033" t="str">
            <v>RISK MANAGEMENT - AMC</v>
          </cell>
          <cell r="C3033" t="str">
            <v>07Q-CORPORATE RISK MGMT</v>
          </cell>
        </row>
        <row r="3034">
          <cell r="A3034" t="str">
            <v>A2300</v>
          </cell>
          <cell r="B3034" t="str">
            <v>ENERGY DELIVERY STRATEGIC INITIATIV</v>
          </cell>
          <cell r="C3034" t="str">
            <v>45C-ED FINANCIAL SUPPORT &amp; ANALYSIS</v>
          </cell>
        </row>
        <row r="3035">
          <cell r="A3035" t="str">
            <v>A2301</v>
          </cell>
          <cell r="B3035" t="str">
            <v>DATA CENTER PRINTER USAGE</v>
          </cell>
          <cell r="C3035" t="str">
            <v>006-INF - DATA CENTER OPERATIONS</v>
          </cell>
        </row>
        <row r="3036">
          <cell r="A3036" t="str">
            <v>A2302</v>
          </cell>
          <cell r="B3036" t="str">
            <v>AUDIT OF RISK MANAGEMENT</v>
          </cell>
          <cell r="C3036" t="str">
            <v>05A-INTERNAL AUDIT</v>
          </cell>
        </row>
        <row r="3037">
          <cell r="A3037" t="str">
            <v>A2303</v>
          </cell>
          <cell r="B3037" t="str">
            <v>AUDIT OF PGA OPS - CIPS - ILLINOIS</v>
          </cell>
          <cell r="C3037" t="str">
            <v>05A-INTERNAL AUDIT</v>
          </cell>
        </row>
        <row r="3038">
          <cell r="A3038" t="str">
            <v>A2304</v>
          </cell>
          <cell r="B3038" t="str">
            <v>EAD BUSINESS CONTINUITY PROJECT</v>
          </cell>
          <cell r="C3038" t="str">
            <v>060-SCP - PLANNING</v>
          </cell>
        </row>
        <row r="3039">
          <cell r="A3039" t="str">
            <v>A2305</v>
          </cell>
          <cell r="B3039" t="str">
            <v>ELGIN CTG ESH SUPPORT SERVICES</v>
          </cell>
          <cell r="C3039" t="str">
            <v>049-ESH - GENERAL</v>
          </cell>
        </row>
        <row r="3040">
          <cell r="A3040" t="str">
            <v>A2306</v>
          </cell>
          <cell r="B3040" t="str">
            <v>PENO CREEK/PIKE CO. CTG ESH SUPPORT</v>
          </cell>
          <cell r="C3040" t="str">
            <v>049-ESH - GENERAL</v>
          </cell>
        </row>
        <row r="3041">
          <cell r="A3041" t="str">
            <v>A2307</v>
          </cell>
          <cell r="B3041" t="str">
            <v>SUPPORT FOR E CUSTOMER SYSTEM</v>
          </cell>
          <cell r="C3041" t="str">
            <v>204-DEV - ENERGY DELIVERY</v>
          </cell>
        </row>
        <row r="3042">
          <cell r="A3042" t="str">
            <v>A2308</v>
          </cell>
          <cell r="B3042" t="str">
            <v>IMPROVE OPERATIONAL EFFICIENCIES</v>
          </cell>
          <cell r="C3042" t="str">
            <v>006-INF - DATA CENTER OPERATIONS</v>
          </cell>
        </row>
        <row r="3043">
          <cell r="A3043" t="str">
            <v>A2309</v>
          </cell>
          <cell r="B3043" t="str">
            <v>HR RELATED EMPLOYEE COMMUNICATIONS</v>
          </cell>
          <cell r="C3043" t="str">
            <v>02V-EMPLOYEE COMMUNICATIONS</v>
          </cell>
        </row>
        <row r="3044">
          <cell r="A3044" t="str">
            <v>A2310</v>
          </cell>
          <cell r="B3044" t="str">
            <v>SWO - CIC PROP MGMT</v>
          </cell>
          <cell r="C3044" t="str">
            <v>061-REAL ESTATE</v>
          </cell>
        </row>
        <row r="3045">
          <cell r="A3045" t="str">
            <v>A2312</v>
          </cell>
          <cell r="B3045" t="str">
            <v>TR.PLANNING - ALLOCATED- PEAK LOAD</v>
          </cell>
          <cell r="C3045" t="str">
            <v>09P-ELECTRIC PLANNING</v>
          </cell>
        </row>
        <row r="3046">
          <cell r="A3046" t="str">
            <v>A2316</v>
          </cell>
          <cell r="B3046" t="str">
            <v>CORPORATE PLANNING SUPPORT FOR AER</v>
          </cell>
          <cell r="C3046" t="str">
            <v>012-CORPORATE PLANNING</v>
          </cell>
        </row>
        <row r="3047">
          <cell r="A3047" t="str">
            <v>A2317</v>
          </cell>
          <cell r="B3047" t="str">
            <v>HR SUPPORT SERVICES - NNUC</v>
          </cell>
          <cell r="C3047" t="str">
            <v>02T-HR - ORGANIZATION EFFECTIVENESS</v>
          </cell>
        </row>
        <row r="3048">
          <cell r="A3048" t="str">
            <v>A2321</v>
          </cell>
          <cell r="B3048" t="str">
            <v>ADMIN SUPPORT/OFFICE EXP-REGULATORY</v>
          </cell>
          <cell r="C3048" t="str">
            <v>29R-REGULATORY POLICY</v>
          </cell>
        </row>
        <row r="3049">
          <cell r="A3049" t="str">
            <v>A2323</v>
          </cell>
          <cell r="B3049" t="str">
            <v>AMEREN ENERGY RESOURCES - BUSINESS</v>
          </cell>
          <cell r="C3049" t="str">
            <v>310-AER SVCS - FINANCIAL ANALYSIS</v>
          </cell>
        </row>
        <row r="3050">
          <cell r="A3050" t="str">
            <v>A2324</v>
          </cell>
          <cell r="B3050" t="str">
            <v>AMEREN ENERGY MARKETING - BUSINESS</v>
          </cell>
          <cell r="C3050" t="str">
            <v>310-AER SVCS - FINANCIAL ANALYSIS</v>
          </cell>
        </row>
        <row r="3051">
          <cell r="A3051" t="str">
            <v>A2325</v>
          </cell>
          <cell r="B3051" t="str">
            <v>AMEREN ENERGY - BUSINESS SERVICES</v>
          </cell>
          <cell r="C3051" t="str">
            <v>310-AER SVCS - FINANCIAL ANALYSIS</v>
          </cell>
        </row>
        <row r="3052">
          <cell r="A3052" t="str">
            <v>A2326</v>
          </cell>
          <cell r="B3052" t="str">
            <v>AMEREN ENERGY FUELS AND SERVICES -</v>
          </cell>
          <cell r="C3052" t="str">
            <v>310-AER SVCS - FINANCIAL ANALYSIS</v>
          </cell>
        </row>
        <row r="3053">
          <cell r="A3053" t="str">
            <v>A2327</v>
          </cell>
          <cell r="B3053" t="str">
            <v>BUSINESS SERVICES - AMEREN ENERGY G</v>
          </cell>
          <cell r="C3053" t="str">
            <v>310-AER SVCS - FINANCIAL ANALYSIS</v>
          </cell>
        </row>
        <row r="3054">
          <cell r="A3054" t="str">
            <v>A2330</v>
          </cell>
          <cell r="B3054" t="str">
            <v>AMS INCOME TAX EXPENSE</v>
          </cell>
          <cell r="C3054" t="str">
            <v>05T-TAX</v>
          </cell>
        </row>
        <row r="3055">
          <cell r="A3055" t="str">
            <v>A2331</v>
          </cell>
          <cell r="B3055" t="str">
            <v>UEC REGULATORY POLICY - ELECTRIC</v>
          </cell>
          <cell r="C3055" t="str">
            <v>29R-REGULATORY POLICY</v>
          </cell>
        </row>
        <row r="3056">
          <cell r="A3056" t="str">
            <v>A2332</v>
          </cell>
          <cell r="B3056" t="str">
            <v>UEC REGULATORY POLICY - GAS</v>
          </cell>
          <cell r="C3056" t="str">
            <v>29R-REGULATORY POLICY</v>
          </cell>
        </row>
        <row r="3057">
          <cell r="A3057" t="str">
            <v>A2333</v>
          </cell>
          <cell r="B3057" t="str">
            <v>ILLINOIS REG POLICY-UEC-ELECTRIC</v>
          </cell>
          <cell r="C3057" t="str">
            <v>29R-REGULATORY POLICY</v>
          </cell>
        </row>
        <row r="3058">
          <cell r="A3058" t="str">
            <v>A2334</v>
          </cell>
          <cell r="B3058" t="str">
            <v>ILLINOIS REGULATORY POLICY-UEC-GAS</v>
          </cell>
          <cell r="C3058" t="str">
            <v>29R-REGULATORY POLICY</v>
          </cell>
        </row>
        <row r="3059">
          <cell r="A3059" t="str">
            <v>A2337</v>
          </cell>
          <cell r="B3059" t="str">
            <v>ILLINOIS REGULATORY POLICY-ELECTRIC</v>
          </cell>
          <cell r="C3059" t="str">
            <v>29R-REGULATORY POLICY</v>
          </cell>
        </row>
        <row r="3060">
          <cell r="A3060" t="str">
            <v>A2338</v>
          </cell>
          <cell r="B3060" t="str">
            <v>ILLINOIS REG POLICY - GAS</v>
          </cell>
          <cell r="C3060" t="str">
            <v>29R-REGULATORY POLICY</v>
          </cell>
        </row>
        <row r="3061">
          <cell r="A3061" t="str">
            <v>A2339</v>
          </cell>
          <cell r="B3061" t="str">
            <v>FED REGULATORY POLICY-GENERATION</v>
          </cell>
          <cell r="C3061" t="str">
            <v>29R-REGULATORY POLICY</v>
          </cell>
        </row>
        <row r="3062">
          <cell r="A3062" t="str">
            <v>A2340</v>
          </cell>
          <cell r="B3062" t="str">
            <v>FED REGULATORY POLICY-TRANSMISSION</v>
          </cell>
          <cell r="C3062" t="str">
            <v>29R-REGULATORY POLICY</v>
          </cell>
        </row>
        <row r="3063">
          <cell r="A3063" t="str">
            <v>A2341</v>
          </cell>
          <cell r="B3063" t="str">
            <v>FEDERAL REGULATORY POLICY - GAS</v>
          </cell>
          <cell r="C3063" t="str">
            <v>29R-REGULATORY POLICY</v>
          </cell>
        </row>
        <row r="3064">
          <cell r="A3064" t="str">
            <v>A2345</v>
          </cell>
          <cell r="B3064" t="str">
            <v>CIL - CONTROLLER'S SERVICES</v>
          </cell>
          <cell r="C3064" t="str">
            <v>004-ACCOUNTING</v>
          </cell>
        </row>
        <row r="3065">
          <cell r="A3065" t="str">
            <v>A2347</v>
          </cell>
          <cell r="B3065" t="str">
            <v>AER BUSINESS SERVICES INDIRECT FUNC</v>
          </cell>
          <cell r="C3065" t="str">
            <v>310-AER SVCS - FINANCIAL ANALYSIS</v>
          </cell>
        </row>
        <row r="3066">
          <cell r="A3066" t="str">
            <v>A2348</v>
          </cell>
          <cell r="B3066" t="str">
            <v>RISK MANAGEMENT - GMC</v>
          </cell>
          <cell r="C3066" t="str">
            <v>07Q-CORPORATE RISK MGMT</v>
          </cell>
        </row>
        <row r="3067">
          <cell r="A3067" t="str">
            <v>A2349</v>
          </cell>
          <cell r="B3067" t="str">
            <v>EMPRV-CALLAWAY</v>
          </cell>
          <cell r="C3067" t="str">
            <v>202-DEV - OPERATIONS</v>
          </cell>
        </row>
        <row r="3068">
          <cell r="A3068" t="str">
            <v>A2350</v>
          </cell>
          <cell r="B3068" t="str">
            <v>BENZENE EXPOSURE LITIGATION</v>
          </cell>
          <cell r="C3068" t="str">
            <v>038-CLAIMS</v>
          </cell>
        </row>
        <row r="3069">
          <cell r="A3069" t="str">
            <v>A2351</v>
          </cell>
          <cell r="B3069" t="str">
            <v>CIL - ED CONTROLLER COST COLLECTOR</v>
          </cell>
          <cell r="C3069" t="str">
            <v>45C-ED FINANCIAL SUPPORT &amp; ANALYSIS</v>
          </cell>
        </row>
        <row r="3070">
          <cell r="A3070" t="str">
            <v>A2352</v>
          </cell>
          <cell r="B3070" t="str">
            <v>CIL - GAS RATE ACTIVITIES</v>
          </cell>
          <cell r="C3070" t="str">
            <v>04R-REGULATORY ACCOUNTING</v>
          </cell>
        </row>
        <row r="3071">
          <cell r="A3071" t="str">
            <v>A2353</v>
          </cell>
          <cell r="B3071" t="str">
            <v>GEN COUNSEL SERVICES-CILCO ELECTRIC</v>
          </cell>
          <cell r="C3071" t="str">
            <v>024-LEGAL</v>
          </cell>
        </row>
        <row r="3072">
          <cell r="A3072" t="str">
            <v>A2354</v>
          </cell>
          <cell r="B3072" t="str">
            <v>CIL - TAX WORK</v>
          </cell>
          <cell r="C3072" t="str">
            <v>05T-TAX</v>
          </cell>
        </row>
        <row r="3073">
          <cell r="A3073" t="str">
            <v>A2355</v>
          </cell>
          <cell r="B3073" t="str">
            <v>ARG - DUCK CREEK ESH SUPPORT</v>
          </cell>
          <cell r="C3073" t="str">
            <v>049-ESH - GENERAL</v>
          </cell>
        </row>
        <row r="3074">
          <cell r="A3074" t="str">
            <v>A2356</v>
          </cell>
          <cell r="B3074" t="str">
            <v>ARG - EDWARDS ESH SUPPORT</v>
          </cell>
          <cell r="C3074" t="str">
            <v>049-ESH - GENERAL</v>
          </cell>
        </row>
        <row r="3075">
          <cell r="A3075" t="str">
            <v>A2357</v>
          </cell>
          <cell r="B3075" t="str">
            <v>CIL - T &amp; D ESH SUPPORT</v>
          </cell>
          <cell r="C3075" t="str">
            <v>049-ESH - GENERAL</v>
          </cell>
        </row>
        <row r="3076">
          <cell r="A3076" t="str">
            <v>A2358</v>
          </cell>
          <cell r="B3076" t="str">
            <v>EDTS - ONGOING SUPPORT SVCS. -CILCO</v>
          </cell>
          <cell r="C3076" t="str">
            <v>0PM-ED FACILITIES MANAGEMENT</v>
          </cell>
        </row>
        <row r="3077">
          <cell r="A3077" t="str">
            <v>A2359</v>
          </cell>
          <cell r="B3077" t="str">
            <v>CILCO ON-GOING COST</v>
          </cell>
          <cell r="C3077" t="str">
            <v>065-NEO - TELEPHONE SERVICES</v>
          </cell>
        </row>
        <row r="3078">
          <cell r="A3078" t="str">
            <v>A2360</v>
          </cell>
          <cell r="B3078" t="str">
            <v>REGULATORY DEVELOPMENT -UEC</v>
          </cell>
          <cell r="C3078" t="str">
            <v>09D-TRANSMISSION POLICY</v>
          </cell>
        </row>
        <row r="3079">
          <cell r="A3079" t="str">
            <v>A2361</v>
          </cell>
          <cell r="B3079" t="str">
            <v>REGULATORY DEVELOPMENT -CIPS</v>
          </cell>
          <cell r="C3079" t="str">
            <v>09D-TRANSMISSION POLICY</v>
          </cell>
        </row>
        <row r="3080">
          <cell r="A3080" t="str">
            <v>A2362</v>
          </cell>
          <cell r="B3080" t="str">
            <v>REGULATORY DEVELOPMENT -CILCO</v>
          </cell>
          <cell r="C3080" t="str">
            <v>09D-TRANSMISSION POLICY</v>
          </cell>
        </row>
        <row r="3081">
          <cell r="A3081" t="str">
            <v>A2363</v>
          </cell>
          <cell r="B3081" t="str">
            <v>REGULATORY DEVELOPMENT -UE DIST</v>
          </cell>
          <cell r="C3081" t="str">
            <v>09D-TRANSMISSION POLICY</v>
          </cell>
        </row>
        <row r="3082">
          <cell r="A3082" t="str">
            <v>A2364</v>
          </cell>
          <cell r="B3082" t="str">
            <v>REGULATORY DEVELOPMENT -UE TRANSM</v>
          </cell>
          <cell r="C3082" t="str">
            <v>09D-TRANSMISSION POLICY</v>
          </cell>
        </row>
        <row r="3083">
          <cell r="A3083" t="str">
            <v>A2365</v>
          </cell>
          <cell r="B3083" t="str">
            <v>REGULATORY DEVELOPMENT -UE GAS</v>
          </cell>
          <cell r="C3083" t="str">
            <v>09D-TRANSMISSION POLICY</v>
          </cell>
        </row>
        <row r="3084">
          <cell r="A3084" t="str">
            <v>A2366</v>
          </cell>
          <cell r="B3084" t="str">
            <v>LOBBYING FOR AMEREN/IL OPERA</v>
          </cell>
          <cell r="C3084" t="str">
            <v>157-GOVERNMENT RELATIONS</v>
          </cell>
        </row>
        <row r="3085">
          <cell r="A3085" t="str">
            <v>A2367</v>
          </cell>
          <cell r="B3085" t="str">
            <v>CIL LOBBYING FOR AMERENCILCO</v>
          </cell>
          <cell r="C3085" t="str">
            <v>157-GOVERNMENT RELATIONS</v>
          </cell>
        </row>
        <row r="3086">
          <cell r="A3086" t="str">
            <v>A2368</v>
          </cell>
          <cell r="B3086" t="str">
            <v>STORES ADMIN SUPPORT-CIL</v>
          </cell>
          <cell r="C3086" t="str">
            <v>05M-STOREROOMS-AMS</v>
          </cell>
        </row>
        <row r="3087">
          <cell r="A3087" t="str">
            <v>A2369</v>
          </cell>
          <cell r="B3087" t="str">
            <v>STORES AMS MGMT-CIL (IL ELEC/GAS)</v>
          </cell>
          <cell r="C3087" t="str">
            <v>05M-STOREROOMS-AMS</v>
          </cell>
        </row>
        <row r="3088">
          <cell r="A3088" t="str">
            <v>A2372</v>
          </cell>
          <cell r="B3088" t="str">
            <v>CIL-ECONOMIC DEVELOPMENT SERVICES</v>
          </cell>
          <cell r="C3088" t="str">
            <v>016-ECONOMIC DEVELOPMENT</v>
          </cell>
        </row>
        <row r="3089">
          <cell r="A3089" t="str">
            <v>A2373</v>
          </cell>
          <cell r="B3089" t="str">
            <v>2003 MISSOURI GAS RATE CASE</v>
          </cell>
          <cell r="C3089" t="str">
            <v>024-LEGAL</v>
          </cell>
        </row>
        <row r="3090">
          <cell r="A3090" t="str">
            <v>A2374</v>
          </cell>
          <cell r="B3090" t="str">
            <v>CIL - STORES MATL MGT SUPPORT</v>
          </cell>
          <cell r="C3090" t="str">
            <v>05M-STOREROOMS-AMS</v>
          </cell>
        </row>
        <row r="3091">
          <cell r="A3091" t="str">
            <v>A2378</v>
          </cell>
          <cell r="B3091" t="str">
            <v>CIL - AUDIT OF CILCO CONTRACTORS</v>
          </cell>
          <cell r="C3091" t="str">
            <v>05A-INTERNAL AUDIT</v>
          </cell>
        </row>
        <row r="3092">
          <cell r="A3092" t="str">
            <v>A2379</v>
          </cell>
          <cell r="B3092" t="str">
            <v>ARG - AUDIT OF CILCO POWER OPS</v>
          </cell>
          <cell r="C3092" t="str">
            <v>05A-INTERNAL AUDIT</v>
          </cell>
        </row>
        <row r="3093">
          <cell r="A3093" t="str">
            <v>A2380</v>
          </cell>
          <cell r="B3093" t="str">
            <v>CIL - AUDIT OF CILCO DISTRICT OPS</v>
          </cell>
          <cell r="C3093" t="str">
            <v>05A-INTERNAL AUDIT</v>
          </cell>
        </row>
        <row r="3094">
          <cell r="A3094" t="str">
            <v>A2381</v>
          </cell>
          <cell r="B3094" t="str">
            <v>AUDIT OF MEDINA VALLEY PLANT</v>
          </cell>
          <cell r="C3094" t="str">
            <v>05A-INTERNAL AUDIT</v>
          </cell>
        </row>
        <row r="3095">
          <cell r="A3095" t="str">
            <v>A2383</v>
          </cell>
          <cell r="B3095" t="str">
            <v>CIL-AUDIT OF INVENTORIES/MATERIALS</v>
          </cell>
          <cell r="C3095" t="str">
            <v>05A-INTERNAL AUDIT</v>
          </cell>
        </row>
        <row r="3096">
          <cell r="A3096" t="str">
            <v>A2386</v>
          </cell>
          <cell r="B3096" t="str">
            <v>ED ADMIN PROCESS - ALLOCATED</v>
          </cell>
          <cell r="C3096" t="str">
            <v>45C-ED FINANCIAL SUPPORT &amp; ANALYSIS</v>
          </cell>
        </row>
        <row r="3097">
          <cell r="A3097" t="str">
            <v>A2389</v>
          </cell>
          <cell r="B3097" t="str">
            <v>CIL - ENCLOSE CILCO UTILITY BILLS</v>
          </cell>
          <cell r="C3097" t="str">
            <v>06A-INF-INSERTING &amp; MAIL DELIVERY</v>
          </cell>
        </row>
        <row r="3098">
          <cell r="A3098" t="str">
            <v>A2392</v>
          </cell>
          <cell r="B3098" t="str">
            <v>ED PERFORMANCE IMPROVEMENT - UEC</v>
          </cell>
          <cell r="C3098" t="str">
            <v>234-ED SAFETY &amp; IND ENG</v>
          </cell>
        </row>
        <row r="3099">
          <cell r="A3099" t="str">
            <v>A2393</v>
          </cell>
          <cell r="B3099" t="str">
            <v>ED PERFORMANCE IMPROVEMENT</v>
          </cell>
          <cell r="C3099" t="str">
            <v>234-ED SAFETY &amp; IND ENG</v>
          </cell>
        </row>
        <row r="3100">
          <cell r="A3100" t="str">
            <v>A2394</v>
          </cell>
          <cell r="B3100" t="str">
            <v>ED PERFORMANCE IMPROVEMENT</v>
          </cell>
          <cell r="C3100" t="str">
            <v>234-ED SAFETY &amp; IND ENG</v>
          </cell>
        </row>
        <row r="3101">
          <cell r="A3101" t="str">
            <v>A2395</v>
          </cell>
          <cell r="B3101" t="str">
            <v>CIPS SUPERVISION - FUNCTION 24</v>
          </cell>
          <cell r="C3101" t="str">
            <v>232-GDSS ADMIN</v>
          </cell>
        </row>
        <row r="3102">
          <cell r="A3102" t="str">
            <v>A2396</v>
          </cell>
          <cell r="B3102" t="str">
            <v>UEC SUPERVISION - FUNCTION 24</v>
          </cell>
          <cell r="C3102" t="str">
            <v>232-GDSS ADMIN</v>
          </cell>
        </row>
        <row r="3103">
          <cell r="A3103" t="str">
            <v>A2398</v>
          </cell>
          <cell r="B3103" t="str">
            <v>CILCO IT EAD AND DATA OPS ONGOING S</v>
          </cell>
          <cell r="C3103" t="str">
            <v>006-INF - DATA CENTER OPERATIONS</v>
          </cell>
        </row>
        <row r="3104">
          <cell r="A3104" t="str">
            <v>A2399</v>
          </cell>
          <cell r="B3104" t="str">
            <v>ENVIRONMENTAL SAFETY AUDIT SYSTEM</v>
          </cell>
          <cell r="C3104" t="str">
            <v>204-DEV - ENERGY DELIVERY</v>
          </cell>
        </row>
        <row r="3105">
          <cell r="A3105" t="str">
            <v>A2400</v>
          </cell>
          <cell r="B3105" t="str">
            <v>ENVIRONMENTAL SAFETY SCORECARD SYST</v>
          </cell>
          <cell r="C3105" t="str">
            <v>204-DEV - ENERGY DELIVERY</v>
          </cell>
        </row>
        <row r="3106">
          <cell r="A3106" t="str">
            <v>A2401</v>
          </cell>
          <cell r="B3106" t="str">
            <v>PROVIDE SVCS TO BFT TOTAL CO-CILCO</v>
          </cell>
          <cell r="C3106" t="str">
            <v>02E-HR - STAFFING</v>
          </cell>
        </row>
        <row r="3107">
          <cell r="A3107" t="str">
            <v>A2403</v>
          </cell>
          <cell r="B3107" t="str">
            <v>ED-MGR-DIVISION OPERATIONS-CIPS</v>
          </cell>
          <cell r="C3107" t="str">
            <v>231-IL OPS ADMIN DIV IV V VI VII</v>
          </cell>
        </row>
        <row r="3108">
          <cell r="A3108" t="str">
            <v>A2404</v>
          </cell>
          <cell r="B3108" t="str">
            <v>ED-MGR-DIVISION OPERATIONS-UEC</v>
          </cell>
          <cell r="C3108" t="str">
            <v>231-IL OPS ADMIN DIV IV V VI VII</v>
          </cell>
        </row>
        <row r="3109">
          <cell r="A3109" t="str">
            <v>A2405</v>
          </cell>
          <cell r="B3109" t="str">
            <v>ED-MGR-DIVISION OPERATIONS-ALLOC</v>
          </cell>
          <cell r="C3109" t="str">
            <v>231-IL OPS ADMIN DIV IV V VI VII</v>
          </cell>
        </row>
        <row r="3110">
          <cell r="A3110" t="str">
            <v>A2409</v>
          </cell>
          <cell r="B3110" t="str">
            <v>CILCORP SUPPORT-PURCHASING</v>
          </cell>
          <cell r="C3110" t="str">
            <v>074-PURCHASING</v>
          </cell>
        </row>
        <row r="3111">
          <cell r="A3111" t="str">
            <v>A2411</v>
          </cell>
          <cell r="B3111" t="str">
            <v>COMM SERVICES AMEREN / CILCO</v>
          </cell>
          <cell r="C3111" t="str">
            <v>065-NEO - TELEPHONE SERVICES</v>
          </cell>
        </row>
        <row r="3112">
          <cell r="A3112" t="str">
            <v>A2412</v>
          </cell>
          <cell r="B3112" t="str">
            <v>BUILDING SERVICE - LABOR CILCO</v>
          </cell>
          <cell r="C3112" t="str">
            <v>07V-BUILDING SERVICES-AMS</v>
          </cell>
        </row>
        <row r="3113">
          <cell r="A3113" t="str">
            <v>A2413</v>
          </cell>
          <cell r="B3113" t="str">
            <v>MEDINA VALLEY - ACCOUNTING SERVICES</v>
          </cell>
          <cell r="C3113" t="str">
            <v>004-ACCOUNTING</v>
          </cell>
        </row>
        <row r="3114">
          <cell r="A3114" t="str">
            <v>A2414</v>
          </cell>
          <cell r="B3114" t="str">
            <v>MEDINA VALLEY TAX WORK</v>
          </cell>
          <cell r="C3114" t="str">
            <v>05T-TAX</v>
          </cell>
        </row>
        <row r="3115">
          <cell r="A3115" t="str">
            <v>A2416</v>
          </cell>
          <cell r="B3115" t="str">
            <v>BUSINESS STREAMLINING</v>
          </cell>
          <cell r="C3115" t="str">
            <v>01C-STRATEGIC INITIATIVES</v>
          </cell>
        </row>
        <row r="3116">
          <cell r="A3116" t="str">
            <v>A2417</v>
          </cell>
          <cell r="B3116" t="str">
            <v>GENERAL COUNSEL SERVICES-CILCO-GAS</v>
          </cell>
          <cell r="C3116" t="str">
            <v>024-LEGAL</v>
          </cell>
        </row>
        <row r="3117">
          <cell r="A3117" t="str">
            <v>A2418</v>
          </cell>
          <cell r="B3117" t="str">
            <v>PROCESS CILCO CUSTOMER PAYMENTS</v>
          </cell>
          <cell r="C3117" t="str">
            <v>076-TREASURY TECHNOLOGY SERVICES</v>
          </cell>
        </row>
        <row r="3118">
          <cell r="A3118" t="str">
            <v>A2419</v>
          </cell>
          <cell r="B3118" t="str">
            <v>AMEREN CILCO INVEST &amp; REMEDIATION</v>
          </cell>
          <cell r="C3118" t="str">
            <v>49B-ESH - WASTE</v>
          </cell>
        </row>
        <row r="3119">
          <cell r="A3119" t="str">
            <v>A2420</v>
          </cell>
          <cell r="B3119" t="str">
            <v>SWO - CIL PROP MGMT</v>
          </cell>
          <cell r="C3119" t="str">
            <v>061-REAL ESTATE</v>
          </cell>
        </row>
        <row r="3120">
          <cell r="A3120" t="str">
            <v>A2421</v>
          </cell>
          <cell r="B3120" t="str">
            <v>RISK MANAGEMENT - CILCO REGULATED</v>
          </cell>
          <cell r="C3120" t="str">
            <v>07Q-CORPORATE RISK MGMT</v>
          </cell>
        </row>
        <row r="3121">
          <cell r="A3121" t="str">
            <v>A2422</v>
          </cell>
          <cell r="B3121" t="str">
            <v>RISK MANAGEMENT - CILCO UNREGULATED</v>
          </cell>
          <cell r="C3121" t="str">
            <v>07Q-CORPORATE RISK MGMT</v>
          </cell>
        </row>
        <row r="3122">
          <cell r="A3122" t="str">
            <v>A2426</v>
          </cell>
          <cell r="B3122" t="str">
            <v>CORP COMM MO/IL GAS COMM ISSUES PSC</v>
          </cell>
          <cell r="C3122" t="str">
            <v>001-CORPORATE COMMUNICATIONS</v>
          </cell>
        </row>
        <row r="3123">
          <cell r="A3123" t="str">
            <v>A2427</v>
          </cell>
          <cell r="B3123" t="str">
            <v>MO OPS ADMIN</v>
          </cell>
          <cell r="C3123" t="str">
            <v>066-MO OPS ADMIN</v>
          </cell>
        </row>
        <row r="3124">
          <cell r="A3124" t="str">
            <v>A2429</v>
          </cell>
          <cell r="B3124" t="str">
            <v>RETIREE MEDICAL LITIGATION</v>
          </cell>
          <cell r="C3124" t="str">
            <v>024-LEGAL</v>
          </cell>
        </row>
        <row r="3125">
          <cell r="A3125" t="str">
            <v>A2430</v>
          </cell>
          <cell r="B3125" t="str">
            <v>CUSTOMER SYSTEM SERVICES - CILCO</v>
          </cell>
          <cell r="C3125" t="str">
            <v>08C-CUSTOMER SERVICE SYSTEM</v>
          </cell>
        </row>
        <row r="3126">
          <cell r="A3126" t="str">
            <v>A2431</v>
          </cell>
          <cell r="B3126" t="str">
            <v>METER READING MV-90 SUPPORT - CILCO</v>
          </cell>
          <cell r="C3126" t="str">
            <v>03A-METER READING-AMS</v>
          </cell>
        </row>
        <row r="3127">
          <cell r="A3127" t="str">
            <v>A2432</v>
          </cell>
          <cell r="B3127" t="str">
            <v>MANAGER - CSD OPERATIONS - CIL</v>
          </cell>
          <cell r="C3127" t="str">
            <v>03V-DISTRIBUTION SERVICES-AMS</v>
          </cell>
        </row>
        <row r="3128">
          <cell r="A3128" t="str">
            <v>A2433</v>
          </cell>
          <cell r="B3128" t="str">
            <v>MGR - DISTRIBUTION CONTROL - CILCO</v>
          </cell>
          <cell r="C3128" t="str">
            <v>030-DISTRIBUTION OPERATING - MO</v>
          </cell>
        </row>
        <row r="3129">
          <cell r="A3129" t="str">
            <v>A2434</v>
          </cell>
          <cell r="B3129" t="str">
            <v>SUBSTATION MTCE. &amp; CONST. - CIL</v>
          </cell>
          <cell r="C3129" t="str">
            <v>03M-SUB MTCE &amp; CONST-ENG &amp; ADMIN</v>
          </cell>
        </row>
        <row r="3130">
          <cell r="A3130" t="str">
            <v>A2435</v>
          </cell>
          <cell r="B3130" t="str">
            <v>MANAGER - CSD SUBST. &amp; TRANSM.-CIL</v>
          </cell>
          <cell r="C3130" t="str">
            <v>03M-SUB MTCE &amp; CONST-ENG &amp; ADMIN</v>
          </cell>
        </row>
        <row r="3131">
          <cell r="A3131" t="str">
            <v>A2436</v>
          </cell>
          <cell r="B3131" t="str">
            <v>TRANSMISSION SERVICES - CILCO</v>
          </cell>
          <cell r="C3131" t="str">
            <v>03T-TRANSMISSION-AMS</v>
          </cell>
        </row>
        <row r="3132">
          <cell r="A3132" t="str">
            <v>A2437</v>
          </cell>
          <cell r="B3132" t="str">
            <v>SYSTEM RELAY SERVICES - CILCO</v>
          </cell>
          <cell r="C3132" t="str">
            <v>090-SYSTEM RELAY SERVICES</v>
          </cell>
        </row>
        <row r="3133">
          <cell r="A3133" t="str">
            <v>A2440</v>
          </cell>
          <cell r="B3133" t="str">
            <v>TEST/REPAIR USED METERS - CILCO</v>
          </cell>
          <cell r="C3133" t="str">
            <v>03V-DISTRIBUTION SERVICES-AMS</v>
          </cell>
        </row>
        <row r="3134">
          <cell r="A3134" t="str">
            <v>A2442</v>
          </cell>
          <cell r="B3134" t="str">
            <v>TEST/REPAIR OTHER T&amp;D EQUIP-CIL</v>
          </cell>
          <cell r="C3134" t="str">
            <v>03V-DISTRIBUTION SERVICES-AMS</v>
          </cell>
        </row>
        <row r="3135">
          <cell r="A3135" t="str">
            <v>A2443</v>
          </cell>
          <cell r="B3135" t="str">
            <v>GAS METER TESTING - CILCO</v>
          </cell>
          <cell r="C3135" t="str">
            <v>0G2-GAS TECH SERVICES - AMS</v>
          </cell>
        </row>
        <row r="3136">
          <cell r="A3136" t="str">
            <v>A2444</v>
          </cell>
          <cell r="B3136" t="str">
            <v>GAS METER TESTING - CIPS</v>
          </cell>
          <cell r="C3136" t="str">
            <v>0G2-GAS TECH SERVICES - AMS</v>
          </cell>
        </row>
        <row r="3137">
          <cell r="A3137" t="str">
            <v>A2445</v>
          </cell>
          <cell r="B3137" t="str">
            <v>GAS SUPT ENG AND TECH SUPT CILCO</v>
          </cell>
          <cell r="C3137" t="str">
            <v>0G2-GAS TECH SERVICES - AMS</v>
          </cell>
        </row>
        <row r="3138">
          <cell r="A3138" t="str">
            <v>A2446</v>
          </cell>
          <cell r="B3138" t="str">
            <v>GAS SUPT END USER TRANS MGT CILCO</v>
          </cell>
          <cell r="C3138" t="str">
            <v>0G2-GAS TECH SERVICES - AMS</v>
          </cell>
        </row>
        <row r="3139">
          <cell r="A3139" t="str">
            <v>A2447</v>
          </cell>
          <cell r="B3139" t="str">
            <v>GAS TRAINING SUPPORT - CILCO</v>
          </cell>
          <cell r="C3139" t="str">
            <v>0G7-GAS TRAINING</v>
          </cell>
        </row>
        <row r="3140">
          <cell r="A3140" t="str">
            <v>A2448</v>
          </cell>
          <cell r="B3140" t="str">
            <v>ED ADMINISTRATION PROCESS - CILCO</v>
          </cell>
          <cell r="C3140" t="str">
            <v>45C-ED FINANCIAL SUPPORT &amp; ANALYSIS</v>
          </cell>
        </row>
        <row r="3141">
          <cell r="A3141" t="str">
            <v>A2449</v>
          </cell>
          <cell r="B3141" t="str">
            <v>CSD - TRAINING - CILCO</v>
          </cell>
          <cell r="C3141" t="str">
            <v>025-ED-CUSTOMER TRAINING</v>
          </cell>
        </row>
        <row r="3142">
          <cell r="A3142" t="str">
            <v>A2450</v>
          </cell>
          <cell r="B3142" t="str">
            <v>ED - PERFORMANCE IMPROVEMENT - CILC</v>
          </cell>
          <cell r="C3142" t="str">
            <v>234-ED SAFETY &amp; IND ENG</v>
          </cell>
        </row>
        <row r="3143">
          <cell r="A3143" t="str">
            <v>A2451</v>
          </cell>
          <cell r="B3143" t="str">
            <v>DIRECTOR - CUSTOMER SERVICE - CILCO</v>
          </cell>
          <cell r="C3143" t="str">
            <v>03W-CUSTOMER SERVICE-AMS</v>
          </cell>
        </row>
        <row r="3144">
          <cell r="A3144" t="str">
            <v>A2452</v>
          </cell>
          <cell r="B3144" t="str">
            <v>SUPERVISOR-CUSTOMER SERVICE-CILCO</v>
          </cell>
          <cell r="C3144" t="str">
            <v>03W-CUSTOMER SERVICE-AMS</v>
          </cell>
        </row>
        <row r="3145">
          <cell r="A3145" t="str">
            <v>A2456</v>
          </cell>
          <cell r="B3145" t="str">
            <v>MOTOR TRANS (ENGR/SUPVR - CILCO)</v>
          </cell>
          <cell r="C3145" t="str">
            <v>07T-FLEET SERVICES - AMS</v>
          </cell>
        </row>
        <row r="3146">
          <cell r="A3146" t="str">
            <v>A2459</v>
          </cell>
          <cell r="B3146" t="str">
            <v>METER READING SUPPORT - CILCO</v>
          </cell>
          <cell r="C3146" t="str">
            <v>03A-METER READING-AMS</v>
          </cell>
        </row>
        <row r="3147">
          <cell r="A3147" t="str">
            <v>A2460</v>
          </cell>
          <cell r="B3147" t="str">
            <v>ADMIN. OF TREE TRIMMING - CILCO</v>
          </cell>
          <cell r="C3147" t="str">
            <v>02F-VEGETATION MGT-IL</v>
          </cell>
        </row>
        <row r="3148">
          <cell r="A3148" t="str">
            <v>A2462</v>
          </cell>
          <cell r="B3148" t="str">
            <v>ED ELECTRICAL TRAINING - CILCO</v>
          </cell>
          <cell r="C3148" t="str">
            <v>230-DORSETT TRAINING</v>
          </cell>
        </row>
        <row r="3149">
          <cell r="A3149" t="str">
            <v>A2465</v>
          </cell>
          <cell r="B3149" t="str">
            <v>ED - SAFETY - CILCO</v>
          </cell>
          <cell r="C3149" t="str">
            <v>026-ED-SAFETY-UE</v>
          </cell>
        </row>
        <row r="3150">
          <cell r="A3150" t="str">
            <v>A2466</v>
          </cell>
          <cell r="B3150" t="str">
            <v>CIP - 401K (LU148)</v>
          </cell>
          <cell r="C3150" t="str">
            <v>019-EMPLOYEE BENEFIT PLANS</v>
          </cell>
        </row>
        <row r="3151">
          <cell r="A3151" t="str">
            <v>A2467</v>
          </cell>
          <cell r="B3151" t="str">
            <v>CILCO - 401K MATCH - CONTRACT</v>
          </cell>
          <cell r="C3151" t="str">
            <v>019-EMPLOYEE BENEFIT PLANS</v>
          </cell>
        </row>
        <row r="3152">
          <cell r="A3152" t="str">
            <v>A2468</v>
          </cell>
          <cell r="B3152" t="str">
            <v>CILCO - NCFO LOCAL 8 BEN PLAN ADMIN</v>
          </cell>
          <cell r="C3152" t="str">
            <v>019-EMPLOYEE BENEFIT PLANS</v>
          </cell>
        </row>
        <row r="3153">
          <cell r="A3153" t="str">
            <v>A2469</v>
          </cell>
          <cell r="B3153" t="str">
            <v>AMERENIP - 401K CONTRACT MATCHING</v>
          </cell>
          <cell r="C3153" t="str">
            <v>019-EMPLOYEE BENEFIT PLANS</v>
          </cell>
        </row>
        <row r="3154">
          <cell r="A3154" t="str">
            <v>A2470</v>
          </cell>
          <cell r="B3154" t="str">
            <v>AMERENIP - MISC MGT BENEFITS</v>
          </cell>
          <cell r="C3154" t="str">
            <v>019-EMPLOYEE BENEFIT PLANS</v>
          </cell>
        </row>
        <row r="3155">
          <cell r="A3155" t="str">
            <v>A2471</v>
          </cell>
          <cell r="B3155" t="str">
            <v>REGULATORY SERVICES-CILCO-ELECTRIC</v>
          </cell>
          <cell r="C3155" t="str">
            <v>29R-REGULATORY POLICY</v>
          </cell>
        </row>
        <row r="3156">
          <cell r="A3156" t="str">
            <v>A2472</v>
          </cell>
          <cell r="B3156" t="str">
            <v>REGULATORY SERVICES-CILCO-GAS</v>
          </cell>
          <cell r="C3156" t="str">
            <v>29R-REGULATORY POLICY</v>
          </cell>
        </row>
        <row r="3157">
          <cell r="A3157" t="str">
            <v>A2473</v>
          </cell>
          <cell r="B3157" t="str">
            <v>CILCO MGMT EMPLOYEE BEN PLAN EXP</v>
          </cell>
          <cell r="C3157" t="str">
            <v>019-EMPLOYEE BENEFIT PLANS</v>
          </cell>
        </row>
        <row r="3158">
          <cell r="A3158" t="str">
            <v>A2474</v>
          </cell>
          <cell r="B3158" t="str">
            <v>CILCO LOCAL 51 - IBEW BEN PLAN EXP</v>
          </cell>
          <cell r="C3158" t="str">
            <v>019-EMPLOYEE BENEFIT PLANS</v>
          </cell>
        </row>
        <row r="3159">
          <cell r="A3159" t="str">
            <v>A2475</v>
          </cell>
          <cell r="B3159" t="str">
            <v>PURCHASE MATL FOR AMERENCILCO EDS</v>
          </cell>
          <cell r="C3159" t="str">
            <v>074-PURCHASING</v>
          </cell>
        </row>
        <row r="3160">
          <cell r="A3160" t="str">
            <v>A2476</v>
          </cell>
          <cell r="B3160" t="str">
            <v>PURCHASING MATERIAL FOR CILCORP GEN</v>
          </cell>
          <cell r="C3160" t="str">
            <v>074-PURCHASING</v>
          </cell>
        </row>
        <row r="3161">
          <cell r="A3161" t="str">
            <v>A2477</v>
          </cell>
          <cell r="B3161" t="str">
            <v>AMEREN UE - BUSINESS SERVICES</v>
          </cell>
          <cell r="C3161" t="str">
            <v>310-AER SVCS - FINANCIAL ANALYSIS</v>
          </cell>
        </row>
        <row r="3162">
          <cell r="A3162" t="str">
            <v>A2478</v>
          </cell>
          <cell r="B3162" t="str">
            <v>AMEREN CIPS - BUSINESS SERVICES</v>
          </cell>
          <cell r="C3162" t="str">
            <v>310-AER SVCS - FINANCIAL ANALYSIS</v>
          </cell>
        </row>
        <row r="3163">
          <cell r="A3163" t="str">
            <v>A2479</v>
          </cell>
          <cell r="B3163" t="str">
            <v>CIL - AMEREN CILCO - BUSINESS SERVI</v>
          </cell>
          <cell r="C3163" t="str">
            <v>310-AER SVCS - FINANCIAL ANALYSIS</v>
          </cell>
        </row>
        <row r="3164">
          <cell r="A3164" t="str">
            <v>A2481</v>
          </cell>
          <cell r="B3164" t="str">
            <v>IR SUPPORT FOR CILCO</v>
          </cell>
          <cell r="C3164" t="str">
            <v>057-LABOR STRATEGY</v>
          </cell>
        </row>
        <row r="3165">
          <cell r="A3165" t="str">
            <v>A2482</v>
          </cell>
          <cell r="B3165" t="str">
            <v>MTCE OF PROJECTS &amp; ASSETS - CILCO</v>
          </cell>
          <cell r="C3165" t="str">
            <v>004-ACCOUNTING</v>
          </cell>
        </row>
        <row r="3166">
          <cell r="A3166" t="str">
            <v>A2483</v>
          </cell>
          <cell r="B3166" t="str">
            <v>T&amp;DD -TECH/DIRECT RESP.(CIL - 100%)</v>
          </cell>
          <cell r="C3166" t="str">
            <v>09E-ELECTRICAL ENGINEERING</v>
          </cell>
        </row>
        <row r="3167">
          <cell r="A3167" t="str">
            <v>A2484</v>
          </cell>
          <cell r="B3167" t="str">
            <v>T&amp;DD - SYS.PROTECTION (CIL - 100%)</v>
          </cell>
          <cell r="C3167" t="str">
            <v>09E-ELECTRICAL ENGINEERING</v>
          </cell>
        </row>
        <row r="3168">
          <cell r="A3168" t="str">
            <v>A2485</v>
          </cell>
          <cell r="B3168" t="str">
            <v>T&amp;DD - DRAFTING/DESIGN -CIL 100%</v>
          </cell>
          <cell r="C3168" t="str">
            <v>09C-EDTS DRAFTING</v>
          </cell>
        </row>
        <row r="3169">
          <cell r="A3169" t="str">
            <v>A2486</v>
          </cell>
          <cell r="B3169" t="str">
            <v>T&amp;DD - CONST., MATERIAL &amp; TOOL STDS</v>
          </cell>
          <cell r="C3169" t="str">
            <v>233-ED-ELECTRIC STANDARDS</v>
          </cell>
        </row>
        <row r="3170">
          <cell r="A3170" t="str">
            <v>A2487</v>
          </cell>
          <cell r="B3170" t="str">
            <v>CILCO - LOCAL 8 &amp; 51 EMPL BEN PLANS</v>
          </cell>
          <cell r="C3170" t="str">
            <v>019-EMPLOYEE BENEFIT PLANS</v>
          </cell>
        </row>
        <row r="3171">
          <cell r="A3171" t="str">
            <v>A2488</v>
          </cell>
          <cell r="B3171" t="str">
            <v>COMM SERVICES CTI/VRU CILCO</v>
          </cell>
          <cell r="C3171" t="str">
            <v>065-NEO - TELEPHONE SERVICES</v>
          </cell>
        </row>
        <row r="3172">
          <cell r="A3172" t="str">
            <v>A2489</v>
          </cell>
          <cell r="B3172" t="str">
            <v>LT FINANCING - CILCORP</v>
          </cell>
          <cell r="C3172" t="str">
            <v>075-BANKING AND INVESTOR SERVICES</v>
          </cell>
        </row>
        <row r="3173">
          <cell r="A3173" t="str">
            <v>A2490</v>
          </cell>
          <cell r="B3173" t="str">
            <v>LT FINANCING - CILCO</v>
          </cell>
          <cell r="C3173" t="str">
            <v>075-BANKING AND INVESTOR SERVICES</v>
          </cell>
        </row>
        <row r="3174">
          <cell r="A3174" t="str">
            <v>A2491</v>
          </cell>
          <cell r="B3174" t="str">
            <v>UPDATE&amp;MONITOR COSTOF CAPITAL (CCP)</v>
          </cell>
          <cell r="C3174" t="str">
            <v>075-BANKING AND INVESTOR SERVICES</v>
          </cell>
        </row>
        <row r="3175">
          <cell r="A3175" t="str">
            <v>A2492</v>
          </cell>
          <cell r="B3175" t="str">
            <v>UPDATE&amp;MONITOR COSTOF CAPITAL (CIL)</v>
          </cell>
          <cell r="C3175" t="str">
            <v>075-BANKING AND INVESTOR SERVICES</v>
          </cell>
        </row>
        <row r="3176">
          <cell r="A3176" t="str">
            <v>A2493</v>
          </cell>
          <cell r="B3176" t="str">
            <v>PERFORM PROJT EVAL REVIEWS (CCP)</v>
          </cell>
          <cell r="C3176" t="str">
            <v>075-BANKING AND INVESTOR SERVICES</v>
          </cell>
        </row>
        <row r="3177">
          <cell r="A3177" t="str">
            <v>A2494</v>
          </cell>
          <cell r="B3177" t="str">
            <v>PERFORM PROJT EVAL REVIEWS (CIL)</v>
          </cell>
          <cell r="C3177" t="str">
            <v>075-BANKING AND INVESTOR SERVICES</v>
          </cell>
        </row>
        <row r="3178">
          <cell r="A3178" t="str">
            <v>A2495</v>
          </cell>
          <cell r="B3178" t="str">
            <v>ECONOMIC DEVELOPMENT SERVICES-IL</v>
          </cell>
          <cell r="C3178" t="str">
            <v>016-ECONOMIC DEVELOPMENT</v>
          </cell>
        </row>
        <row r="3179">
          <cell r="A3179" t="str">
            <v>A2496</v>
          </cell>
          <cell r="B3179" t="str">
            <v>CIM LEASES</v>
          </cell>
          <cell r="C3179" t="str">
            <v>075-BANKING AND INVESTOR SERVICES</v>
          </cell>
        </row>
        <row r="3180">
          <cell r="A3180" t="str">
            <v>A2497</v>
          </cell>
          <cell r="B3180" t="str">
            <v>INSURANCE - PROPERTY - ARG</v>
          </cell>
          <cell r="C3180" t="str">
            <v>07R-FINANCIAL PLANNING, INS &amp; RISK</v>
          </cell>
        </row>
        <row r="3181">
          <cell r="A3181" t="str">
            <v>A2504</v>
          </cell>
          <cell r="B3181" t="str">
            <v>FIDUCIARY LIABILITY INSURANCE</v>
          </cell>
          <cell r="C3181" t="str">
            <v>07R-FINANCIAL PLANNING, INS &amp; RISK</v>
          </cell>
        </row>
        <row r="3182">
          <cell r="A3182" t="str">
            <v>A2505</v>
          </cell>
          <cell r="B3182" t="str">
            <v>CRIME PROPERTY INSURANCE</v>
          </cell>
          <cell r="C3182" t="str">
            <v>07R-FINANCIAL PLANNING, INS &amp; RISK</v>
          </cell>
        </row>
        <row r="3183">
          <cell r="A3183" t="str">
            <v>A2507</v>
          </cell>
          <cell r="B3183" t="str">
            <v>EXCESS WORKERS COMP INSURANCE</v>
          </cell>
          <cell r="C3183" t="str">
            <v>07R-FINANCIAL PLANNING, INS &amp; RISK</v>
          </cell>
        </row>
        <row r="3184">
          <cell r="A3184" t="str">
            <v>A2509</v>
          </cell>
          <cell r="B3184" t="str">
            <v>ESH SUPPORT FOR MEDINA VALLEY</v>
          </cell>
          <cell r="C3184" t="str">
            <v>049-ESH - GENERAL</v>
          </cell>
        </row>
        <row r="3185">
          <cell r="A3185" t="str">
            <v>A2510</v>
          </cell>
          <cell r="B3185" t="str">
            <v>MISO IMPLEMENTATION EXPENSES</v>
          </cell>
          <cell r="C3185" t="str">
            <v>304-AER SVCS INFO SYSTEMS-INVALID</v>
          </cell>
        </row>
        <row r="3186">
          <cell r="A3186" t="str">
            <v>A2511</v>
          </cell>
          <cell r="B3186" t="str">
            <v>CIS TAX WORK</v>
          </cell>
          <cell r="C3186" t="str">
            <v>05T-TAX</v>
          </cell>
        </row>
        <row r="3187">
          <cell r="A3187" t="str">
            <v>A2514</v>
          </cell>
          <cell r="B3187" t="str">
            <v>IT SUPPORT - GEN - MEREDOSIA</v>
          </cell>
          <cell r="C3187" t="str">
            <v>632-CSF - IT FIELD OPERATIONS</v>
          </cell>
        </row>
        <row r="3188">
          <cell r="A3188" t="str">
            <v>A2515</v>
          </cell>
          <cell r="B3188" t="str">
            <v>IT SUPPORT - ARG - DUCK CREEK</v>
          </cell>
          <cell r="C3188" t="str">
            <v>632-CSF - IT FIELD OPERATIONS</v>
          </cell>
        </row>
        <row r="3189">
          <cell r="A3189" t="str">
            <v>A2516</v>
          </cell>
          <cell r="B3189" t="str">
            <v>IT SUPPORT - ARG - EDWARDS</v>
          </cell>
          <cell r="C3189" t="str">
            <v>632-CSF - IT FIELD OPERATIONS</v>
          </cell>
        </row>
        <row r="3190">
          <cell r="A3190" t="str">
            <v>A2517</v>
          </cell>
          <cell r="B3190" t="str">
            <v>IT SUPPORT - UEC - CALLAWAY</v>
          </cell>
          <cell r="C3190" t="str">
            <v>006-INF - DATA CENTER OPERATIONS</v>
          </cell>
        </row>
        <row r="3191">
          <cell r="A3191" t="str">
            <v>A2518</v>
          </cell>
          <cell r="B3191" t="str">
            <v>STORES MATERIAL MGMT SUPPORT-ARG</v>
          </cell>
          <cell r="C3191" t="str">
            <v>05M-STOREROOMS-AMS</v>
          </cell>
        </row>
        <row r="3192">
          <cell r="A3192" t="str">
            <v>A2519</v>
          </cell>
          <cell r="B3192" t="str">
            <v>STORES MANAGEMENT OPERATIONS-ARG</v>
          </cell>
          <cell r="C3192" t="str">
            <v>05M-STOREROOMS-AMS</v>
          </cell>
        </row>
        <row r="3193">
          <cell r="A3193" t="str">
            <v>A2520</v>
          </cell>
          <cell r="B3193" t="str">
            <v>STORES ADMINISTRATIVE SUPPORT-ARG</v>
          </cell>
          <cell r="C3193" t="str">
            <v>05M-STOREROOMS-AMS</v>
          </cell>
        </row>
        <row r="3194">
          <cell r="A3194" t="str">
            <v>A2522</v>
          </cell>
          <cell r="B3194" t="str">
            <v>NON-NUCLEAR GENERATION ACTIVITIES</v>
          </cell>
          <cell r="C3194" t="str">
            <v>310-AER SVCS - FINANCIAL ANALYSIS</v>
          </cell>
        </row>
        <row r="3195">
          <cell r="A3195" t="str">
            <v>A2523</v>
          </cell>
          <cell r="B3195" t="str">
            <v>MAINTAIN ARG ACCOUNTING RECORDS</v>
          </cell>
          <cell r="C3195" t="str">
            <v>004-ACCOUNTING</v>
          </cell>
        </row>
        <row r="3196">
          <cell r="A3196" t="str">
            <v>A2524</v>
          </cell>
          <cell r="B3196" t="str">
            <v>AQUILA INTEGRATION</v>
          </cell>
          <cell r="C3196" t="str">
            <v>012-CORPORATE PLANNING</v>
          </cell>
        </row>
        <row r="3197">
          <cell r="A3197" t="str">
            <v>A2531</v>
          </cell>
          <cell r="B3197" t="str">
            <v>CONVERSION OF CILCO COMPANY ASSETS</v>
          </cell>
          <cell r="C3197" t="str">
            <v>004-ACCOUNTING</v>
          </cell>
        </row>
        <row r="3198">
          <cell r="A3198" t="str">
            <v>A2532</v>
          </cell>
          <cell r="B3198" t="str">
            <v>ARG - TAX WORK</v>
          </cell>
          <cell r="C3198" t="str">
            <v>05T-TAX</v>
          </cell>
        </row>
        <row r="3199">
          <cell r="A3199" t="str">
            <v>A2533</v>
          </cell>
          <cell r="B3199" t="str">
            <v>INDIAN TRAILS ESH DIRECT SUPPORT</v>
          </cell>
          <cell r="C3199" t="str">
            <v>049-ESH - GENERAL</v>
          </cell>
        </row>
        <row r="3200">
          <cell r="A3200" t="str">
            <v>A2534</v>
          </cell>
          <cell r="B3200" t="str">
            <v>REAL ESTATE SERVICES FOR DUCK CREEK</v>
          </cell>
          <cell r="C3200" t="str">
            <v>061-REAL ESTATE</v>
          </cell>
        </row>
        <row r="3201">
          <cell r="A3201" t="str">
            <v>A2535</v>
          </cell>
          <cell r="B3201" t="str">
            <v>TELECOM SERVICES - AER GENERATING</v>
          </cell>
          <cell r="C3201" t="str">
            <v>065-NEO - TELEPHONE SERVICES</v>
          </cell>
        </row>
        <row r="3202">
          <cell r="A3202" t="str">
            <v>A2536</v>
          </cell>
          <cell r="B3202" t="str">
            <v>TELECOM SVC - MEDINA VALLEY CO</v>
          </cell>
          <cell r="C3202" t="str">
            <v>065-NEO - TELEPHONE SERVICES</v>
          </cell>
        </row>
        <row r="3203">
          <cell r="A3203" t="str">
            <v>A2537</v>
          </cell>
          <cell r="B3203" t="str">
            <v>METRO EAST TRANSFER (MET)</v>
          </cell>
          <cell r="C3203" t="str">
            <v>201-DEV - BUS &amp; CORP SVCS</v>
          </cell>
        </row>
        <row r="3204">
          <cell r="A3204" t="str">
            <v>A2538</v>
          </cell>
          <cell r="B3204" t="str">
            <v>SUPPLY CHAIN-PURCHASING INITIATIVE</v>
          </cell>
          <cell r="C3204" t="str">
            <v>012-CORPORATE PLANNING</v>
          </cell>
        </row>
        <row r="3205">
          <cell r="A3205" t="str">
            <v>A2539</v>
          </cell>
          <cell r="B3205" t="str">
            <v>MAINTAIN CIM ACCOUNTING RECORDS</v>
          </cell>
          <cell r="C3205" t="str">
            <v>004-ACCOUNTING</v>
          </cell>
        </row>
        <row r="3206">
          <cell r="A3206" t="str">
            <v>A2540</v>
          </cell>
          <cell r="B3206" t="str">
            <v>RESIDENTIAL TIME OF USE</v>
          </cell>
          <cell r="C3206" t="str">
            <v>012-CORPORATE PLANNING</v>
          </cell>
        </row>
        <row r="3207">
          <cell r="A3207" t="str">
            <v>A2543</v>
          </cell>
          <cell r="B3207" t="str">
            <v>GEN COUNSEL SERVICES-AERG</v>
          </cell>
          <cell r="C3207" t="str">
            <v>024-LEGAL</v>
          </cell>
        </row>
        <row r="3208">
          <cell r="A3208" t="str">
            <v>A2544</v>
          </cell>
          <cell r="B3208" t="str">
            <v>CILCORP INC.</v>
          </cell>
          <cell r="C3208" t="str">
            <v>024-LEGAL</v>
          </cell>
        </row>
        <row r="3209">
          <cell r="A3209" t="str">
            <v>A2545</v>
          </cell>
          <cell r="B3209" t="str">
            <v>POWER PLANT SOFTWARE EXPENSES</v>
          </cell>
          <cell r="C3209" t="str">
            <v>004-ACCOUNTING</v>
          </cell>
        </row>
        <row r="3210">
          <cell r="A3210" t="str">
            <v>A2546</v>
          </cell>
          <cell r="B3210" t="str">
            <v>ILL REGULATORY SUPPORT - ELECTRIC</v>
          </cell>
          <cell r="C3210" t="str">
            <v>012-CORPORATE PLANNING</v>
          </cell>
        </row>
        <row r="3211">
          <cell r="A3211" t="str">
            <v>A2547</v>
          </cell>
          <cell r="B3211" t="str">
            <v>CILCORP ACCOUNTING ACTIVITIES</v>
          </cell>
          <cell r="C3211" t="str">
            <v>004-ACCOUNTING</v>
          </cell>
        </row>
        <row r="3212">
          <cell r="A3212" t="str">
            <v>A2548</v>
          </cell>
          <cell r="B3212" t="str">
            <v>ENTERPRISE SECURITY MGT SYSTEM ESMS</v>
          </cell>
          <cell r="C3212" t="str">
            <v>201-DEV - BUS &amp; CORP SVCS</v>
          </cell>
        </row>
        <row r="3213">
          <cell r="A3213" t="str">
            <v>A2549</v>
          </cell>
          <cell r="B3213" t="str">
            <v>POST-2006 INITIATIVE</v>
          </cell>
          <cell r="C3213" t="str">
            <v>29R-REGULATORY POLICY</v>
          </cell>
        </row>
        <row r="3214">
          <cell r="A3214" t="str">
            <v>A2550</v>
          </cell>
          <cell r="B3214" t="str">
            <v>PROJECT ASPEN</v>
          </cell>
          <cell r="C3214" t="str">
            <v>012-CORPORATE PLANNING</v>
          </cell>
        </row>
        <row r="3215">
          <cell r="A3215" t="str">
            <v>A2552</v>
          </cell>
          <cell r="B3215" t="str">
            <v>DISASTER RECOVERY PLANNING AND TEST</v>
          </cell>
          <cell r="C3215" t="str">
            <v>06D-SCP - SECURITY</v>
          </cell>
        </row>
        <row r="3216">
          <cell r="A3216" t="str">
            <v>A2553</v>
          </cell>
          <cell r="B3216" t="str">
            <v>BUSINESS CONTINUITY</v>
          </cell>
          <cell r="C3216" t="str">
            <v>06D-SCP - SECURITY</v>
          </cell>
        </row>
        <row r="3217">
          <cell r="A3217" t="str">
            <v>A2554</v>
          </cell>
          <cell r="B3217" t="str">
            <v>FERC COMPLIANCE</v>
          </cell>
          <cell r="C3217" t="str">
            <v>29R-REGULATORY POLICY</v>
          </cell>
        </row>
        <row r="3218">
          <cell r="A3218" t="str">
            <v>A2555</v>
          </cell>
          <cell r="B3218" t="str">
            <v>STRATEGIC SOURCING</v>
          </cell>
          <cell r="C3218" t="str">
            <v>07M-STRATEGIC SOURCING</v>
          </cell>
        </row>
        <row r="3219">
          <cell r="A3219" t="str">
            <v>A2556</v>
          </cell>
          <cell r="B3219" t="str">
            <v>STRATEGIC SOURCING</v>
          </cell>
          <cell r="C3219" t="str">
            <v>07M-STRATEGIC SOURCING</v>
          </cell>
        </row>
        <row r="3220">
          <cell r="A3220" t="str">
            <v>A2557</v>
          </cell>
          <cell r="B3220" t="str">
            <v>STRATEGIC SOURCING</v>
          </cell>
          <cell r="C3220" t="str">
            <v>07M-STRATEGIC SOURCING</v>
          </cell>
        </row>
        <row r="3221">
          <cell r="A3221" t="str">
            <v>A2558</v>
          </cell>
          <cell r="B3221" t="str">
            <v>STRATEGIC SOURCING</v>
          </cell>
          <cell r="C3221" t="str">
            <v>07M-STRATEGIC SOURCING</v>
          </cell>
        </row>
        <row r="3222">
          <cell r="A3222" t="str">
            <v>A2559</v>
          </cell>
          <cell r="B3222" t="str">
            <v>STRATEGIC SOURCING</v>
          </cell>
          <cell r="C3222" t="str">
            <v>07M-STRATEGIC SOURCING</v>
          </cell>
        </row>
        <row r="3223">
          <cell r="A3223" t="str">
            <v>A2560</v>
          </cell>
          <cell r="B3223" t="str">
            <v>STRATEGIC SOURCING</v>
          </cell>
          <cell r="C3223" t="str">
            <v>07M-STRATEGIC SOURCING</v>
          </cell>
        </row>
        <row r="3224">
          <cell r="A3224" t="str">
            <v>A2563</v>
          </cell>
          <cell r="B3224" t="str">
            <v>SCR MANAGEMENT SERVICES</v>
          </cell>
          <cell r="C3224" t="str">
            <v>09V-NEW GEN &amp; ENV PROJECTS</v>
          </cell>
        </row>
        <row r="3225">
          <cell r="A3225" t="str">
            <v>A2564</v>
          </cell>
          <cell r="B3225" t="str">
            <v>09V NON-PROJECT O&amp;M LABOR AND EXPEN</v>
          </cell>
          <cell r="C3225" t="str">
            <v>09V-NEW GEN &amp; ENV PROJECTS</v>
          </cell>
        </row>
        <row r="3226">
          <cell r="A3226" t="str">
            <v>A2566</v>
          </cell>
          <cell r="B3226" t="str">
            <v>DESKTOP SUPPORT</v>
          </cell>
          <cell r="C3226" t="str">
            <v>06B-INF - ENTERPRISE COMPUTING SERV</v>
          </cell>
        </row>
        <row r="3227">
          <cell r="A3227" t="str">
            <v>A2567</v>
          </cell>
          <cell r="B3227" t="str">
            <v>IL IT SERVICE SUPPORT</v>
          </cell>
          <cell r="C3227" t="str">
            <v>632-CSF - IT FIELD OPERATIONS</v>
          </cell>
        </row>
        <row r="3228">
          <cell r="A3228" t="str">
            <v>A2568</v>
          </cell>
          <cell r="B3228" t="str">
            <v>MO PC &amp; SERVER SUPPORT</v>
          </cell>
          <cell r="C3228" t="str">
            <v>632-CSF - IT FIELD OPERATIONS</v>
          </cell>
        </row>
        <row r="3229">
          <cell r="A3229" t="str">
            <v>A2569</v>
          </cell>
          <cell r="B3229" t="str">
            <v>AMEREN CONNECT (ALLCONNECT)</v>
          </cell>
          <cell r="C3229" t="str">
            <v>204-DEV - ENERGY DELIVERY</v>
          </cell>
        </row>
        <row r="3230">
          <cell r="A3230" t="str">
            <v>A2570</v>
          </cell>
          <cell r="B3230" t="str">
            <v>LODESTAR SUPPORT</v>
          </cell>
          <cell r="C3230" t="str">
            <v>204-DEV - ENERGY DELIVERY</v>
          </cell>
        </row>
        <row r="3231">
          <cell r="A3231" t="str">
            <v>A2571</v>
          </cell>
          <cell r="B3231" t="str">
            <v>CALLAWAY EMPRV - PHASE 2</v>
          </cell>
          <cell r="C3231" t="str">
            <v>202-DEV - OPERATIONS</v>
          </cell>
        </row>
        <row r="3232">
          <cell r="A3232" t="str">
            <v>A2572</v>
          </cell>
          <cell r="B3232" t="str">
            <v>CALLAWAY EMPRV - ONGOING SUPPORT</v>
          </cell>
          <cell r="C3232" t="str">
            <v>202-DEV - OPERATIONS</v>
          </cell>
        </row>
        <row r="3233">
          <cell r="A3233" t="str">
            <v>A2573</v>
          </cell>
          <cell r="B3233" t="str">
            <v>SUBSTATIONS APPS SUPPORT</v>
          </cell>
          <cell r="C3233" t="str">
            <v>202-DEV - OPERATIONS</v>
          </cell>
        </row>
        <row r="3234">
          <cell r="A3234" t="str">
            <v>A2575</v>
          </cell>
          <cell r="B3234" t="str">
            <v>DOJM PROJECT MANAGER - AMEREN/CILCO</v>
          </cell>
          <cell r="C3234" t="str">
            <v>08C-CUSTOMER SERVICE SYSTEM</v>
          </cell>
        </row>
        <row r="3235">
          <cell r="A3235" t="str">
            <v>A2577</v>
          </cell>
          <cell r="B3235" t="str">
            <v>GENERAL RATE ACCOUNTING ACTIVITIES</v>
          </cell>
          <cell r="C3235" t="str">
            <v>04R-REGULATORY ACCOUNTING</v>
          </cell>
        </row>
        <row r="3236">
          <cell r="A3236" t="str">
            <v>A2578</v>
          </cell>
          <cell r="B3236" t="str">
            <v>IPC CONTROLLER'S SERVICES</v>
          </cell>
          <cell r="C3236" t="str">
            <v>004-ACCOUNTING</v>
          </cell>
        </row>
        <row r="3237">
          <cell r="A3237" t="str">
            <v>A2583</v>
          </cell>
          <cell r="B3237" t="str">
            <v>RTO-SMD MANAGMENT SERVICES FOR GEN</v>
          </cell>
          <cell r="C3237" t="str">
            <v>09T-COMMERCIAL OPERATIONS SUPPORT</v>
          </cell>
        </row>
        <row r="3238">
          <cell r="A3238" t="str">
            <v>A2584</v>
          </cell>
          <cell r="B3238" t="str">
            <v>RTO-SMD MANAGEMENT SERVICES FOR AE</v>
          </cell>
          <cell r="C3238" t="str">
            <v>09T-COMMERCIAL OPERATIONS SUPPORT</v>
          </cell>
        </row>
        <row r="3239">
          <cell r="A3239" t="str">
            <v>A2585</v>
          </cell>
          <cell r="B3239" t="str">
            <v>RTO-SMD MANAGEMENT SERVICES FOR AEM</v>
          </cell>
          <cell r="C3239" t="str">
            <v>09T-COMMERCIAL OPERATIONS SUPPORT</v>
          </cell>
        </row>
        <row r="3240">
          <cell r="A3240" t="str">
            <v>A2586</v>
          </cell>
          <cell r="B3240" t="str">
            <v>RTO-SMD MGMT SERVICES FOR AERG</v>
          </cell>
          <cell r="C3240" t="str">
            <v>09T-COMMERCIAL OPERATIONS SUPPORT</v>
          </cell>
        </row>
        <row r="3241">
          <cell r="A3241" t="str">
            <v>A2587</v>
          </cell>
          <cell r="B3241" t="str">
            <v>RTO-SMD MGMT SERVICES FOR REG BUS</v>
          </cell>
          <cell r="C3241" t="str">
            <v>09T-COMMERCIAL OPERATIONS SUPPORT</v>
          </cell>
        </row>
        <row r="3242">
          <cell r="A3242" t="str">
            <v>A2588</v>
          </cell>
          <cell r="B3242" t="str">
            <v>CIM TAX WORK</v>
          </cell>
          <cell r="C3242" t="str">
            <v>05T-TAX</v>
          </cell>
        </row>
        <row r="3243">
          <cell r="A3243" t="str">
            <v>A2589</v>
          </cell>
          <cell r="B3243" t="str">
            <v>STORES OFFICE SUPPORT OF IPC</v>
          </cell>
          <cell r="C3243" t="str">
            <v>05M-STOREROOMS-AMS</v>
          </cell>
        </row>
        <row r="3244">
          <cell r="A3244" t="str">
            <v>A2590</v>
          </cell>
          <cell r="B3244" t="str">
            <v>STORES MANAGEMENT SUPPORT FOR IPC</v>
          </cell>
          <cell r="C3244" t="str">
            <v>05M-STOREROOMS-AMS</v>
          </cell>
        </row>
        <row r="3245">
          <cell r="A3245" t="str">
            <v>A2591</v>
          </cell>
          <cell r="B3245" t="str">
            <v>MATERIALS MGT FOR IPC</v>
          </cell>
          <cell r="C3245" t="str">
            <v>05M-STOREROOMS-AMS</v>
          </cell>
        </row>
        <row r="3246">
          <cell r="A3246" t="str">
            <v>A2593</v>
          </cell>
          <cell r="B3246" t="str">
            <v>RE MGMT OF PROP - AMEREN/IP</v>
          </cell>
          <cell r="C3246" t="str">
            <v>061-REAL ESTATE</v>
          </cell>
        </row>
        <row r="3247">
          <cell r="A3247" t="str">
            <v>A2594</v>
          </cell>
          <cell r="B3247" t="str">
            <v>EDTS-ONGOING SUPPT.SVCS.-AMEREN IP</v>
          </cell>
          <cell r="C3247" t="str">
            <v>0PM-ED FACILITIES MANAGEMENT</v>
          </cell>
        </row>
        <row r="3248">
          <cell r="A3248" t="str">
            <v>A2595</v>
          </cell>
          <cell r="B3248" t="str">
            <v>SYSTEM RELAY - 100% TO IP</v>
          </cell>
          <cell r="C3248" t="str">
            <v>090-SYSTEM RELAY SERVICES</v>
          </cell>
        </row>
        <row r="3249">
          <cell r="A3249" t="str">
            <v>A2596</v>
          </cell>
          <cell r="B3249" t="str">
            <v>IPC-TRANSMISSION &amp; DISTRIBUTION SUP</v>
          </cell>
          <cell r="C3249" t="str">
            <v>049-ESH - GENERAL</v>
          </cell>
        </row>
        <row r="3250">
          <cell r="A3250" t="str">
            <v>A2597</v>
          </cell>
          <cell r="B3250" t="str">
            <v>IPC-MGP SITE INVESTIGATION &amp; REMEDI</v>
          </cell>
          <cell r="C3250" t="str">
            <v>049-ESH - GENERAL</v>
          </cell>
        </row>
        <row r="3251">
          <cell r="A3251" t="str">
            <v>A2598</v>
          </cell>
          <cell r="B3251" t="str">
            <v>LOBBYING SERVICES FOR AMERENIP</v>
          </cell>
          <cell r="C3251" t="str">
            <v>157-GOVERNMENT RELATIONS</v>
          </cell>
        </row>
        <row r="3252">
          <cell r="A3252" t="str">
            <v>A2599</v>
          </cell>
          <cell r="B3252" t="str">
            <v>ILLINOIS POWER - ELECTRIC</v>
          </cell>
          <cell r="C3252" t="str">
            <v>024-LEGAL</v>
          </cell>
        </row>
        <row r="3253">
          <cell r="A3253" t="str">
            <v>A2600</v>
          </cell>
          <cell r="B3253" t="str">
            <v>PURCHASING ACTIVITIES FOR IPC</v>
          </cell>
          <cell r="C3253" t="str">
            <v>074-PURCHASING</v>
          </cell>
        </row>
        <row r="3254">
          <cell r="A3254" t="str">
            <v>A2601</v>
          </cell>
          <cell r="B3254" t="str">
            <v>IP TRANSITION COSTS 074 MGMT</v>
          </cell>
          <cell r="C3254" t="str">
            <v>074-PURCHASING</v>
          </cell>
        </row>
        <row r="3255">
          <cell r="A3255" t="str">
            <v>A2602</v>
          </cell>
          <cell r="B3255" t="str">
            <v>ILLINOIS POWER - GAS</v>
          </cell>
          <cell r="C3255" t="str">
            <v>024-LEGAL</v>
          </cell>
        </row>
        <row r="3256">
          <cell r="A3256" t="str">
            <v>A2603</v>
          </cell>
          <cell r="B3256" t="str">
            <v>BUILDING SERVICE - LABOR IP</v>
          </cell>
          <cell r="C3256" t="str">
            <v>07V-BUILDING SERVICES-AMS</v>
          </cell>
        </row>
        <row r="3257">
          <cell r="A3257" t="str">
            <v>A2604</v>
          </cell>
          <cell r="B3257" t="str">
            <v>ED FS&amp;A ONGING SUPPORT - IPC</v>
          </cell>
          <cell r="C3257" t="str">
            <v>45C-ED FINANCIAL SUPPORT &amp; ANALYSIS</v>
          </cell>
        </row>
        <row r="3258">
          <cell r="A3258" t="str">
            <v>A2605</v>
          </cell>
          <cell r="B3258" t="str">
            <v>IP TAX WORK</v>
          </cell>
          <cell r="C3258" t="str">
            <v>05T-TAX</v>
          </cell>
        </row>
        <row r="3259">
          <cell r="A3259" t="str">
            <v>A2606</v>
          </cell>
          <cell r="B3259" t="str">
            <v>ED ARES ONGOING SUPPORT - IPC</v>
          </cell>
          <cell r="C3259" t="str">
            <v>048-TRANSMISSION SVCS BUSINESS CTR</v>
          </cell>
        </row>
        <row r="3260">
          <cell r="A3260" t="str">
            <v>A2607</v>
          </cell>
          <cell r="B3260" t="str">
            <v>ED BUS IMPRVMT ONGOING SUPPORT - IP</v>
          </cell>
          <cell r="C3260" t="str">
            <v>234-ED SAFETY &amp; IND ENG</v>
          </cell>
        </row>
        <row r="3261">
          <cell r="A3261" t="str">
            <v>A2608</v>
          </cell>
          <cell r="B3261" t="str">
            <v>ED BUS SERVICES ONGOING SUPPORT - I</v>
          </cell>
          <cell r="C3261" t="str">
            <v>020-ED PRODUCTS &amp; SERVICES</v>
          </cell>
        </row>
        <row r="3262">
          <cell r="A3262" t="str">
            <v>A2609</v>
          </cell>
          <cell r="B3262" t="str">
            <v>ED CUST TRAINING ONGOING SUPPORT -</v>
          </cell>
          <cell r="C3262" t="str">
            <v>025-ED-CUSTOMER TRAINING</v>
          </cell>
        </row>
        <row r="3263">
          <cell r="A3263" t="str">
            <v>A2610</v>
          </cell>
          <cell r="B3263" t="str">
            <v>ED SAFETY ONGOING SUPPORT - IP</v>
          </cell>
          <cell r="C3263" t="str">
            <v>026-ED-SAFETY-UE</v>
          </cell>
        </row>
        <row r="3264">
          <cell r="A3264" t="str">
            <v>A2611</v>
          </cell>
          <cell r="B3264" t="str">
            <v>ED ELEC TRNG ONGOING SUPPORT - IPC</v>
          </cell>
          <cell r="C3264" t="str">
            <v>230-DORSETT TRAINING</v>
          </cell>
        </row>
        <row r="3265">
          <cell r="A3265" t="str">
            <v>A2612</v>
          </cell>
          <cell r="B3265" t="str">
            <v>ED CAD ONGOING SUPPORT - IPC</v>
          </cell>
          <cell r="C3265" t="str">
            <v>003-CUSTOMER ACCOUNTING</v>
          </cell>
        </row>
        <row r="3266">
          <cell r="A3266" t="str">
            <v>A2613</v>
          </cell>
          <cell r="B3266" t="str">
            <v>GAS SUPPORT ONGOING SUPPORT - IP</v>
          </cell>
          <cell r="C3266" t="str">
            <v>0G2-GAS TECH SERVICES - AMS</v>
          </cell>
        </row>
        <row r="3267">
          <cell r="A3267" t="str">
            <v>A2614</v>
          </cell>
          <cell r="B3267" t="str">
            <v>GAS STORAGE ONGOING SUPPORT - IP</v>
          </cell>
          <cell r="C3267" t="str">
            <v>0G6-GAS STORAGE</v>
          </cell>
        </row>
        <row r="3268">
          <cell r="A3268" t="str">
            <v>A2615</v>
          </cell>
          <cell r="B3268" t="str">
            <v>GAS TRAINING SUPPORT - IP</v>
          </cell>
          <cell r="C3268" t="str">
            <v>0G7-GAS TRAINING</v>
          </cell>
        </row>
        <row r="3269">
          <cell r="A3269" t="str">
            <v>A2616</v>
          </cell>
          <cell r="B3269" t="str">
            <v>CILCO SUPPORT DUE TO WS AND OT REFU</v>
          </cell>
          <cell r="C3269" t="str">
            <v>668-IL OPS ADMIN DIV I II III</v>
          </cell>
        </row>
        <row r="3270">
          <cell r="A3270" t="str">
            <v>A2617</v>
          </cell>
          <cell r="B3270" t="str">
            <v>IPC - GAS RATE CASE ACTIVITIES</v>
          </cell>
          <cell r="C3270" t="str">
            <v>04R-REGULATORY ACCOUNTING</v>
          </cell>
        </row>
        <row r="3271">
          <cell r="A3271" t="str">
            <v>A2618</v>
          </cell>
          <cell r="B3271" t="str">
            <v>INSURANCE - ILLINOIS POWER</v>
          </cell>
          <cell r="C3271" t="str">
            <v>07R-FINANCIAL PLANNING, INS &amp; RISK</v>
          </cell>
        </row>
        <row r="3272">
          <cell r="A3272" t="str">
            <v>A2619</v>
          </cell>
          <cell r="B3272" t="str">
            <v>MV1 - CAPITAL ASSET ACCOUNTING</v>
          </cell>
          <cell r="C3272" t="str">
            <v>004-ACCOUNTING</v>
          </cell>
        </row>
        <row r="3273">
          <cell r="A3273" t="str">
            <v>A2620</v>
          </cell>
          <cell r="B3273" t="str">
            <v>ARG - PLANT ACCOUNTING</v>
          </cell>
          <cell r="C3273" t="str">
            <v>004-ACCOUNTING</v>
          </cell>
        </row>
        <row r="3274">
          <cell r="A3274" t="str">
            <v>A2621</v>
          </cell>
          <cell r="B3274" t="str">
            <v>IT IP OPERATIONS - ONGOING SUPPORT</v>
          </cell>
          <cell r="C3274" t="str">
            <v>006-INF - DATA CENTER OPERATIONS</v>
          </cell>
        </row>
        <row r="3275">
          <cell r="A3275" t="str">
            <v>A2622</v>
          </cell>
          <cell r="B3275" t="str">
            <v>COMMUNITY RELATIONS-IP</v>
          </cell>
          <cell r="C3275" t="str">
            <v>29C-COMMUNITY RELATIONS</v>
          </cell>
        </row>
        <row r="3276">
          <cell r="A3276" t="str">
            <v>A2623</v>
          </cell>
          <cell r="B3276" t="str">
            <v>ECO DEVELOP SERVICE - AMEREN/IP</v>
          </cell>
          <cell r="C3276" t="str">
            <v>016-ECONOMIC DEVELOPMENT</v>
          </cell>
        </row>
        <row r="3277">
          <cell r="A3277" t="str">
            <v>A2627</v>
          </cell>
          <cell r="B3277" t="str">
            <v>IPC-ENCLOSE UTILITY BILLS</v>
          </cell>
          <cell r="C3277" t="str">
            <v>06A-INF-INSERTING &amp; MAIL DELIVERY</v>
          </cell>
        </row>
        <row r="3278">
          <cell r="A3278" t="str">
            <v>A2628</v>
          </cell>
          <cell r="B3278" t="str">
            <v>IR SERVICES FOR IP</v>
          </cell>
          <cell r="C3278" t="str">
            <v>057-LABOR STRATEGY</v>
          </cell>
        </row>
        <row r="3279">
          <cell r="A3279" t="str">
            <v>A2631</v>
          </cell>
          <cell r="B3279" t="str">
            <v>PROVIDE SRVCE, ACTV &amp; PROG FOR IP</v>
          </cell>
          <cell r="C3279" t="str">
            <v>02E-HR - STAFFING</v>
          </cell>
        </row>
        <row r="3280">
          <cell r="A3280" t="str">
            <v>A2632</v>
          </cell>
          <cell r="B3280" t="str">
            <v>DISTRIBUTION CONTROL - ONGOING SUPP</v>
          </cell>
          <cell r="C3280" t="str">
            <v>030-DISTRIBUTION OPERATING - MO</v>
          </cell>
        </row>
        <row r="3281">
          <cell r="A3281" t="str">
            <v>A2633</v>
          </cell>
          <cell r="B3281" t="str">
            <v>RISK MANAGEMENT - AMERENIP</v>
          </cell>
          <cell r="C3281" t="str">
            <v>07Q-CORPORATE RISK MGMT</v>
          </cell>
        </row>
        <row r="3282">
          <cell r="A3282" t="str">
            <v>A2634</v>
          </cell>
          <cell r="B3282" t="str">
            <v>GAS STORAGE ONGOING SUPPORT - CIPS</v>
          </cell>
          <cell r="C3282" t="str">
            <v>0G6-GAS STORAGE</v>
          </cell>
        </row>
        <row r="3283">
          <cell r="A3283" t="str">
            <v>A2635</v>
          </cell>
          <cell r="B3283" t="str">
            <v>GAS STORAGE ONGOING SUPPORT - CILCO</v>
          </cell>
          <cell r="C3283" t="str">
            <v>0G6-GAS STORAGE</v>
          </cell>
        </row>
        <row r="3284">
          <cell r="A3284" t="str">
            <v>A2636</v>
          </cell>
          <cell r="B3284" t="str">
            <v>ILLINOIS REGULATORY SUPPORT - ELEC</v>
          </cell>
          <cell r="C3284" t="str">
            <v>01C-STRATEGIC INITIATIVES</v>
          </cell>
        </row>
        <row r="3285">
          <cell r="A3285" t="str">
            <v>A2637</v>
          </cell>
          <cell r="B3285" t="str">
            <v>IPC REGULATORY POLICY-ELECTRIC</v>
          </cell>
          <cell r="C3285" t="str">
            <v>29R-REGULATORY POLICY</v>
          </cell>
        </row>
        <row r="3286">
          <cell r="A3286" t="str">
            <v>A2638</v>
          </cell>
          <cell r="B3286" t="str">
            <v>IPC REGULATORY POLICY GAS</v>
          </cell>
          <cell r="C3286" t="str">
            <v>29R-REGULATORY POLICY</v>
          </cell>
        </row>
        <row r="3287">
          <cell r="A3287" t="str">
            <v>A2639</v>
          </cell>
          <cell r="B3287" t="str">
            <v>BUYING MATERIAL FOR AMERENIP</v>
          </cell>
          <cell r="C3287" t="str">
            <v>074-PURCHASING</v>
          </cell>
        </row>
        <row r="3288">
          <cell r="A3288" t="str">
            <v>A2643</v>
          </cell>
          <cell r="B3288" t="str">
            <v>INVENTORY INVESTMENT CNTRL-ALLOC (E</v>
          </cell>
          <cell r="C3288" t="str">
            <v>05M-STOREROOMS-AMS</v>
          </cell>
        </row>
        <row r="3289">
          <cell r="A3289" t="str">
            <v>A2644</v>
          </cell>
          <cell r="B3289" t="str">
            <v>STORES MANAGEMENT (ELEC/GAS MO/IL)</v>
          </cell>
          <cell r="C3289" t="str">
            <v>05M-STOREROOMS-AMS</v>
          </cell>
        </row>
        <row r="3290">
          <cell r="A3290" t="str">
            <v>A2645</v>
          </cell>
          <cell r="B3290" t="str">
            <v>STORES ADMINISTRATIVE SUPPORT (ELEC</v>
          </cell>
          <cell r="C3290" t="str">
            <v>05M-STOREROOMS-AMS</v>
          </cell>
        </row>
        <row r="3291">
          <cell r="A3291" t="str">
            <v>A2649</v>
          </cell>
          <cell r="B3291" t="str">
            <v>IP APPLICATIONS SUPPORT</v>
          </cell>
          <cell r="C3291" t="str">
            <v>204-DEV - ENERGY DELIVERY</v>
          </cell>
        </row>
        <row r="3292">
          <cell r="A3292" t="str">
            <v>A2650</v>
          </cell>
          <cell r="B3292" t="str">
            <v>NERC CIPC</v>
          </cell>
          <cell r="C3292" t="str">
            <v>060-SCP - PLANNING</v>
          </cell>
        </row>
        <row r="3293">
          <cell r="A3293" t="str">
            <v>A2652</v>
          </cell>
          <cell r="B3293" t="str">
            <v>CILCO REGIONAL OPS SUPERVISION</v>
          </cell>
          <cell r="C3293" t="str">
            <v>668-IL OPS ADMIN DIV I II III</v>
          </cell>
        </row>
        <row r="3294">
          <cell r="A3294" t="str">
            <v>A2653</v>
          </cell>
          <cell r="B3294" t="str">
            <v>CILCO CUSTOMER SERVICE SUPERVISION</v>
          </cell>
          <cell r="C3294" t="str">
            <v>668-IL OPS ADMIN DIV I II III</v>
          </cell>
        </row>
        <row r="3295">
          <cell r="A3295" t="str">
            <v>A2654</v>
          </cell>
          <cell r="B3295" t="str">
            <v>CIPS CALL CTR, CREDIT &amp; COLL.SUPV</v>
          </cell>
          <cell r="C3295" t="str">
            <v>668-IL OPS ADMIN DIV I II III</v>
          </cell>
        </row>
        <row r="3296">
          <cell r="A3296" t="str">
            <v>A2655</v>
          </cell>
          <cell r="B3296" t="str">
            <v>ILLINOIS GENERAL RATE ACTIVITIES</v>
          </cell>
          <cell r="C3296" t="str">
            <v>04R-REGULATORY ACCOUNTING</v>
          </cell>
        </row>
        <row r="3297">
          <cell r="A3297" t="str">
            <v>A2660</v>
          </cell>
          <cell r="B3297" t="str">
            <v>BLANKET PROPERTY INSURANCE</v>
          </cell>
          <cell r="C3297" t="str">
            <v>07R-FINANCIAL PLANNING, INS &amp; RISK</v>
          </cell>
        </row>
        <row r="3298">
          <cell r="A3298" t="str">
            <v>A2661</v>
          </cell>
          <cell r="B3298" t="str">
            <v>DIRECTORS &amp; OFFICERS LIABILITY</v>
          </cell>
          <cell r="C3298" t="str">
            <v>07R-FINANCIAL PLANNING, INS &amp; RISK</v>
          </cell>
        </row>
        <row r="3299">
          <cell r="A3299" t="str">
            <v>A2662</v>
          </cell>
          <cell r="B3299" t="str">
            <v>EXCESS LIABILITY</v>
          </cell>
          <cell r="C3299" t="str">
            <v>07R-FINANCIAL PLANNING, INS &amp; RISK</v>
          </cell>
        </row>
        <row r="3300">
          <cell r="A3300" t="str">
            <v>A2663</v>
          </cell>
          <cell r="B3300" t="str">
            <v>AMERENUE-MO PRE-RATE CASE WORK-ELEC</v>
          </cell>
          <cell r="C3300" t="str">
            <v>024-LEGAL</v>
          </cell>
        </row>
        <row r="3301">
          <cell r="A3301" t="str">
            <v>A2664</v>
          </cell>
          <cell r="B3301" t="str">
            <v>ILLINOIS ELECTRIC POST 06 RATE CASE</v>
          </cell>
          <cell r="C3301" t="str">
            <v>024-LEGAL</v>
          </cell>
        </row>
        <row r="3302">
          <cell r="A3302" t="str">
            <v>A2665</v>
          </cell>
          <cell r="B3302" t="str">
            <v>ILL AUCTION PROCESS/RATE DESIGN</v>
          </cell>
          <cell r="C3302" t="str">
            <v>024-LEGAL</v>
          </cell>
        </row>
        <row r="3303">
          <cell r="A3303" t="str">
            <v>A2666</v>
          </cell>
          <cell r="B3303" t="str">
            <v>DEV-B&amp;CS APPL GENERAL - TRADING</v>
          </cell>
          <cell r="C3303" t="str">
            <v>201-DEV - BUS &amp; CORP SVCS</v>
          </cell>
        </row>
        <row r="3304">
          <cell r="A3304" t="str">
            <v>A2667</v>
          </cell>
          <cell r="B3304" t="str">
            <v>AUDIT OF AMERENIP OPERATIONS</v>
          </cell>
          <cell r="C3304" t="str">
            <v>05A-INTERNAL AUDIT</v>
          </cell>
        </row>
        <row r="3305">
          <cell r="A3305" t="str">
            <v>A2668</v>
          </cell>
          <cell r="B3305" t="str">
            <v>2006 RFP FOR UE CTG PLANT</v>
          </cell>
          <cell r="C3305" t="str">
            <v>012-CORPORATE PLANNING</v>
          </cell>
        </row>
        <row r="3306">
          <cell r="A3306" t="str">
            <v>A2669</v>
          </cell>
          <cell r="B3306" t="str">
            <v>POWERPLANT APPLICATION SUPPORT</v>
          </cell>
          <cell r="C3306" t="str">
            <v>201-DEV - BUS &amp; CORP SVCS</v>
          </cell>
        </row>
        <row r="3307">
          <cell r="A3307" t="str">
            <v>A2670</v>
          </cell>
          <cell r="B3307" t="str">
            <v>MOTOR TRANS.-ENGR-SUPV.-AMERENIPC</v>
          </cell>
          <cell r="C3307" t="str">
            <v>07T-FLEET SERVICES - AMS</v>
          </cell>
        </row>
        <row r="3308">
          <cell r="A3308" t="str">
            <v>A2672</v>
          </cell>
          <cell r="B3308" t="str">
            <v>IPC REGIONAL OPS SUPERVISION</v>
          </cell>
          <cell r="C3308" t="str">
            <v>91A-IL OPS ADMIN</v>
          </cell>
        </row>
        <row r="3309">
          <cell r="A3309" t="str">
            <v>A2673</v>
          </cell>
          <cell r="B3309" t="str">
            <v>TRANSP OF MAT'L/EQUIP-IPC (IL ELEC)</v>
          </cell>
          <cell r="C3309" t="str">
            <v>074-PURCHASING</v>
          </cell>
        </row>
        <row r="3310">
          <cell r="A3310" t="str">
            <v>A2674</v>
          </cell>
          <cell r="B3310" t="str">
            <v>BUYING EDS BUSINESS LINE-IPC (IL EL</v>
          </cell>
          <cell r="C3310" t="str">
            <v>074-PURCHASING</v>
          </cell>
        </row>
        <row r="3311">
          <cell r="A3311" t="str">
            <v>A2675</v>
          </cell>
          <cell r="B3311" t="str">
            <v>ASSET RECOVERY FOR IPC</v>
          </cell>
          <cell r="C3311" t="str">
            <v>074-PURCHASING</v>
          </cell>
        </row>
        <row r="3312">
          <cell r="A3312" t="str">
            <v>A2676</v>
          </cell>
          <cell r="B3312" t="str">
            <v>MATL MGMT &amp; INVENTORY CONTROL-IPC</v>
          </cell>
          <cell r="C3312" t="str">
            <v>05M-STOREROOMS-AMS</v>
          </cell>
        </row>
        <row r="3313">
          <cell r="A3313" t="str">
            <v>A2677</v>
          </cell>
          <cell r="B3313" t="str">
            <v>STORES MGMT OF AMERENIP (IPC) (ELEC</v>
          </cell>
          <cell r="C3313" t="str">
            <v>05M-STOREROOMS-AMS</v>
          </cell>
        </row>
        <row r="3314">
          <cell r="A3314" t="str">
            <v>A2678</v>
          </cell>
          <cell r="B3314" t="str">
            <v>STORES ADMIN SUPPORT TO AMERENIP (E</v>
          </cell>
          <cell r="C3314" t="str">
            <v>05M-STOREROOMS-AMS</v>
          </cell>
        </row>
        <row r="3315">
          <cell r="A3315" t="str">
            <v>A2679</v>
          </cell>
          <cell r="B3315" t="str">
            <v>PROCESS AMERENIP PAYMENTS</v>
          </cell>
          <cell r="C3315" t="str">
            <v>076-TREASURY TECHNOLOGY SERVICES</v>
          </cell>
        </row>
        <row r="3316">
          <cell r="A3316" t="str">
            <v>A2680</v>
          </cell>
          <cell r="B3316" t="str">
            <v>PROCESS CIPS,CILCO,IP,UE UTIL REC</v>
          </cell>
          <cell r="C3316" t="str">
            <v>076-TREASURY TECHNOLOGY SERVICES</v>
          </cell>
        </row>
        <row r="3317">
          <cell r="A3317" t="str">
            <v>A2682</v>
          </cell>
          <cell r="B3317" t="str">
            <v>BENEFITS - EMPLOYEE ASSISTANCE PROG</v>
          </cell>
          <cell r="C3317" t="str">
            <v>019-EMPLOYEE BENEFIT PLANS</v>
          </cell>
        </row>
        <row r="3318">
          <cell r="A3318" t="str">
            <v>A2683</v>
          </cell>
          <cell r="B3318" t="str">
            <v>AVENUE FOR GMC - DEV ED</v>
          </cell>
          <cell r="C3318" t="str">
            <v>204-DEV - ENERGY DELIVERY</v>
          </cell>
        </row>
        <row r="3319">
          <cell r="A3319" t="str">
            <v>A2684</v>
          </cell>
          <cell r="B3319" t="str">
            <v>AMEREN ENERGY - ESO</v>
          </cell>
          <cell r="C3319" t="str">
            <v>301-AME - TRADING-ELECTRICITY</v>
          </cell>
        </row>
        <row r="3320">
          <cell r="A3320" t="str">
            <v>A2685</v>
          </cell>
          <cell r="B3320" t="str">
            <v>SMP PILOT - MERAMEC PLANT</v>
          </cell>
          <cell r="C3320" t="str">
            <v>06H-NEO - ENTERPRISE NETWORKING</v>
          </cell>
        </row>
        <row r="3321">
          <cell r="A3321" t="str">
            <v>A2686</v>
          </cell>
          <cell r="B3321" t="str">
            <v>TRUNKED RADIO - CIP</v>
          </cell>
          <cell r="C3321" t="str">
            <v>06M-CSF - TELECOM FIELD OPS</v>
          </cell>
        </row>
        <row r="3322">
          <cell r="A3322" t="str">
            <v>A2687</v>
          </cell>
          <cell r="B3322" t="str">
            <v>BENEFIT RELATED - AFS</v>
          </cell>
          <cell r="C3322" t="str">
            <v>019-EMPLOYEE BENEFIT PLANS</v>
          </cell>
        </row>
        <row r="3323">
          <cell r="A3323" t="str">
            <v>A2688</v>
          </cell>
          <cell r="B3323" t="str">
            <v>BENEFIT RELATED - AME</v>
          </cell>
          <cell r="C3323" t="str">
            <v>019-EMPLOYEE BENEFIT PLANS</v>
          </cell>
        </row>
        <row r="3324">
          <cell r="A3324" t="str">
            <v>A2689</v>
          </cell>
          <cell r="B3324" t="str">
            <v>BENEFIT RELATED - ARG</v>
          </cell>
          <cell r="C3324" t="str">
            <v>019-EMPLOYEE BENEFIT PLANS</v>
          </cell>
        </row>
        <row r="3325">
          <cell r="A3325" t="str">
            <v>A2690</v>
          </cell>
          <cell r="B3325" t="str">
            <v>BENEFIT RELATED - AEG</v>
          </cell>
          <cell r="C3325" t="str">
            <v>019-EMPLOYEE BENEFIT PLANS</v>
          </cell>
        </row>
        <row r="3326">
          <cell r="A3326" t="str">
            <v>A2691</v>
          </cell>
          <cell r="B3326" t="str">
            <v>BENEFIT RELATED - AEM</v>
          </cell>
          <cell r="C3326" t="str">
            <v>019-EMPLOYEE BENEFIT PLANS</v>
          </cell>
        </row>
        <row r="3327">
          <cell r="A3327" t="str">
            <v>A2692</v>
          </cell>
          <cell r="B3327" t="str">
            <v>BENEFIT RELATED - UEC</v>
          </cell>
          <cell r="C3327" t="str">
            <v>019-EMPLOYEE BENEFIT PLANS</v>
          </cell>
        </row>
        <row r="3328">
          <cell r="A3328" t="str">
            <v>A2693</v>
          </cell>
          <cell r="B3328" t="str">
            <v>BENEFIT RELATED - CIP</v>
          </cell>
          <cell r="C3328" t="str">
            <v>019-EMPLOYEE BENEFIT PLANS</v>
          </cell>
        </row>
        <row r="3329">
          <cell r="A3329" t="str">
            <v>A2694</v>
          </cell>
          <cell r="B3329" t="str">
            <v>MMIS REPLACEMENT/INV MOVE TO EMPRV</v>
          </cell>
          <cell r="C3329" t="str">
            <v>202-DEV - OPERATIONS</v>
          </cell>
        </row>
        <row r="3330">
          <cell r="A3330" t="str">
            <v>A2695</v>
          </cell>
          <cell r="B3330" t="str">
            <v>09V LABOR BLANKET CAPITAL</v>
          </cell>
          <cell r="C3330" t="str">
            <v>09V-NEW GEN &amp; ENV PROJECTS</v>
          </cell>
        </row>
        <row r="3331">
          <cell r="A3331" t="str">
            <v>A2696</v>
          </cell>
          <cell r="B3331" t="str">
            <v>MTCE OF PROJECTS &amp; ASSETS IPC</v>
          </cell>
          <cell r="C3331" t="str">
            <v>004-ACCOUNTING</v>
          </cell>
        </row>
        <row r="3332">
          <cell r="A3332" t="str">
            <v>A2700</v>
          </cell>
          <cell r="B3332" t="str">
            <v>GEN PROJECT MANAGEMENT OFFICE EQUIP</v>
          </cell>
          <cell r="C3332" t="str">
            <v>09Q-GENERATION PROJECT SERVICES</v>
          </cell>
        </row>
        <row r="3333">
          <cell r="A3333" t="str">
            <v>A2701</v>
          </cell>
          <cell r="B3333" t="str">
            <v>GPE GENERATION SUPPORT</v>
          </cell>
          <cell r="C3333" t="str">
            <v>09M-GENERATION PROJECT ENGINEERING</v>
          </cell>
        </row>
        <row r="3334">
          <cell r="A3334" t="str">
            <v>A2702</v>
          </cell>
          <cell r="B3334" t="str">
            <v>GPE GENERATION SUPPORT EXPENSE</v>
          </cell>
          <cell r="C3334" t="str">
            <v>09M-GENERATION PROJECT ENGINEERING</v>
          </cell>
        </row>
        <row r="3335">
          <cell r="A3335" t="str">
            <v>A2703</v>
          </cell>
          <cell r="B3335" t="str">
            <v>THERMOGRAPHY WORK - MEDINA VAL. 1</v>
          </cell>
          <cell r="C3335" t="str">
            <v>020-ED PRODUCTS &amp; SERVICES</v>
          </cell>
        </row>
        <row r="3336">
          <cell r="A3336" t="str">
            <v>A2704</v>
          </cell>
          <cell r="B3336" t="str">
            <v>THERMOGRAPHY WORK - MEREDOSIA</v>
          </cell>
          <cell r="C3336" t="str">
            <v>020-ED PRODUCTS &amp; SERVICES</v>
          </cell>
        </row>
        <row r="3337">
          <cell r="A3337" t="str">
            <v>A2705</v>
          </cell>
          <cell r="B3337" t="str">
            <v>THERMOGRAPHY WORK - INDIAN TRAILS</v>
          </cell>
          <cell r="C3337" t="str">
            <v>020-ED PRODUCTS &amp; SERVICES</v>
          </cell>
        </row>
        <row r="3338">
          <cell r="A3338" t="str">
            <v>A2706</v>
          </cell>
          <cell r="B3338" t="str">
            <v>THERMOGRAPHY WORK - EDWDS/DUCK CRK</v>
          </cell>
          <cell r="C3338" t="str">
            <v>020-ED PRODUCTS &amp; SERVICES</v>
          </cell>
        </row>
        <row r="3339">
          <cell r="A3339" t="str">
            <v>A2707</v>
          </cell>
          <cell r="B3339" t="str">
            <v>DEV-B&amp;CS BOLTS SUPPORT</v>
          </cell>
          <cell r="C3339" t="str">
            <v>201-DEV - BUS &amp; CORP SVCS</v>
          </cell>
        </row>
        <row r="3340">
          <cell r="A3340" t="str">
            <v>A2708</v>
          </cell>
          <cell r="B3340" t="str">
            <v>DEV-B&amp;CS ZAINET SUPPORT</v>
          </cell>
          <cell r="C3340" t="str">
            <v>201-DEV - BUS &amp; CORP SVCS</v>
          </cell>
        </row>
        <row r="3341">
          <cell r="A3341" t="str">
            <v>A2709</v>
          </cell>
          <cell r="B3341" t="str">
            <v>DEV-B&amp;CS JDA P&amp;L SUPPORT</v>
          </cell>
          <cell r="C3341" t="str">
            <v>201-DEV - BUS &amp; CORP SVCS</v>
          </cell>
        </row>
        <row r="3342">
          <cell r="A3342" t="str">
            <v>A2710</v>
          </cell>
          <cell r="B3342" t="str">
            <v>DEV-B&amp;CS NMARKET SUPPORT</v>
          </cell>
          <cell r="C3342" t="str">
            <v>201-DEV - BUS &amp; CORP SVCS</v>
          </cell>
        </row>
        <row r="3343">
          <cell r="A3343" t="str">
            <v>A2711</v>
          </cell>
          <cell r="B3343" t="str">
            <v>SALE OF CILCORP LEVERAGE LEASE PORT</v>
          </cell>
          <cell r="C3343" t="str">
            <v>075-BANKING AND INVESTOR SERVICES</v>
          </cell>
        </row>
        <row r="3344">
          <cell r="A3344" t="str">
            <v>A2712</v>
          </cell>
          <cell r="B3344" t="str">
            <v>CILCO DIVISION OPS SUPPORT</v>
          </cell>
          <cell r="C3344" t="str">
            <v>91A-IL OPS ADMIN</v>
          </cell>
        </row>
        <row r="3345">
          <cell r="A3345" t="str">
            <v>A2713</v>
          </cell>
          <cell r="B3345" t="str">
            <v>CIPS DIVISION OPS SUPPORT</v>
          </cell>
          <cell r="C3345" t="str">
            <v>91A-IL OPS ADMIN</v>
          </cell>
        </row>
        <row r="3346">
          <cell r="A3346" t="str">
            <v>A2714</v>
          </cell>
          <cell r="B3346" t="str">
            <v>IPC DIVISION OPS SUPPORT</v>
          </cell>
          <cell r="C3346" t="str">
            <v>91A-IL OPS ADMIN</v>
          </cell>
        </row>
        <row r="3347">
          <cell r="A3347" t="str">
            <v>A2715</v>
          </cell>
          <cell r="B3347" t="str">
            <v>MANAGER - METERING SERVICES - IPC</v>
          </cell>
          <cell r="C3347" t="str">
            <v>03V-DISTRIBUTION SERVICES-AMS</v>
          </cell>
        </row>
        <row r="3348">
          <cell r="A3348" t="str">
            <v>A2716</v>
          </cell>
          <cell r="B3348" t="str">
            <v>MANAGER -METERING SVCS-CIL/CIP/IPC</v>
          </cell>
          <cell r="C3348" t="str">
            <v>03V-DISTRIBUTION SERVICES-AMS</v>
          </cell>
        </row>
        <row r="3349">
          <cell r="A3349" t="str">
            <v>A2717</v>
          </cell>
          <cell r="B3349" t="str">
            <v>METERING Reading SUPPORT-IPC</v>
          </cell>
          <cell r="C3349" t="str">
            <v>03A-METER READING-AMS</v>
          </cell>
        </row>
        <row r="3350">
          <cell r="A3350" t="str">
            <v>A2718</v>
          </cell>
          <cell r="B3350" t="str">
            <v>METERING SUPPORT - CIL/CIP/IPC</v>
          </cell>
          <cell r="C3350" t="str">
            <v>03A-METER READING-AMS</v>
          </cell>
        </row>
        <row r="3351">
          <cell r="A3351" t="str">
            <v>A2719</v>
          </cell>
          <cell r="B3351" t="str">
            <v>PERFORM PROJECT EVAL REVIEWS (IPC)</v>
          </cell>
          <cell r="C3351" t="str">
            <v>075-BANKING AND INVESTOR SERVICES</v>
          </cell>
        </row>
        <row r="3352">
          <cell r="A3352" t="str">
            <v>A2720</v>
          </cell>
          <cell r="B3352" t="str">
            <v>CIPS CUSTOMER SERVICE SUPPORT</v>
          </cell>
          <cell r="C3352" t="str">
            <v>91A-IL OPS ADMIN</v>
          </cell>
        </row>
        <row r="3353">
          <cell r="A3353" t="str">
            <v>A2721</v>
          </cell>
          <cell r="B3353" t="str">
            <v>ENERGY MARKET BUSINESS INFO PROJECT</v>
          </cell>
          <cell r="C3353" t="str">
            <v>09T-COMMERCIAL OPERATIONS SUPPORT</v>
          </cell>
        </row>
        <row r="3354">
          <cell r="A3354" t="str">
            <v>A2722</v>
          </cell>
          <cell r="B3354" t="str">
            <v>CILCO CUSTOMER SERVICE SUPPORT</v>
          </cell>
          <cell r="C3354" t="str">
            <v>91A-IL OPS ADMIN</v>
          </cell>
        </row>
        <row r="3355">
          <cell r="A3355" t="str">
            <v>A2723</v>
          </cell>
          <cell r="B3355" t="str">
            <v>IPC CUSTOMER SERVICE SUPPORT</v>
          </cell>
          <cell r="C3355" t="str">
            <v>91A-IL OPS ADMIN</v>
          </cell>
        </row>
        <row r="3356">
          <cell r="A3356" t="str">
            <v>A2727</v>
          </cell>
          <cell r="B3356" t="str">
            <v>AMS- IP</v>
          </cell>
          <cell r="C3356" t="str">
            <v>03M-SUB MTCE &amp; CONST-ENG &amp; ADMIN</v>
          </cell>
        </row>
        <row r="3357">
          <cell r="A3357" t="str">
            <v>A2728</v>
          </cell>
          <cell r="B3357" t="str">
            <v>UEC-NONPROJECT ACTIVITIES</v>
          </cell>
          <cell r="C3357" t="str">
            <v>360-DEREGULATED CTG COMMON EXP</v>
          </cell>
        </row>
        <row r="3358">
          <cell r="A3358" t="str">
            <v>A2729</v>
          </cell>
          <cell r="B3358" t="str">
            <v>GEN-NONPROJECT ACTIVITIES</v>
          </cell>
          <cell r="C3358" t="str">
            <v>360-DEREGULATED CTG COMMON EXP</v>
          </cell>
        </row>
        <row r="3359">
          <cell r="A3359" t="str">
            <v>A2730</v>
          </cell>
          <cell r="B3359" t="str">
            <v>ARG-NONPROJECT ACTIVITIES</v>
          </cell>
          <cell r="C3359" t="str">
            <v>360-DEREGULATED CTG COMMON EXP</v>
          </cell>
        </row>
        <row r="3360">
          <cell r="A3360" t="str">
            <v>A2731</v>
          </cell>
          <cell r="B3360" t="str">
            <v>CIL-NONPROJECT ACTIVITIES</v>
          </cell>
          <cell r="C3360" t="str">
            <v>360-DEREGULATED CTG COMMON EXP</v>
          </cell>
        </row>
        <row r="3361">
          <cell r="A3361" t="str">
            <v>A2732</v>
          </cell>
          <cell r="B3361" t="str">
            <v>MV1-NONPROJECT ACTIVITIES</v>
          </cell>
          <cell r="C3361" t="str">
            <v>360-DEREGULATED CTG COMMON EXP</v>
          </cell>
        </row>
        <row r="3362">
          <cell r="A3362" t="str">
            <v>A2733</v>
          </cell>
          <cell r="B3362" t="str">
            <v>DEV OPS-BUILDING SERVICE APPL SUPPT</v>
          </cell>
          <cell r="C3362" t="str">
            <v>202-DEV - OPERATIONS</v>
          </cell>
        </row>
        <row r="3363">
          <cell r="A3363" t="str">
            <v>A2734</v>
          </cell>
          <cell r="B3363" t="str">
            <v>DEV-B&amp;CS PEOPLESOFT OSHA SUPPORT</v>
          </cell>
          <cell r="C3363" t="str">
            <v>201-DEV - BUS &amp; CORP SVCS</v>
          </cell>
        </row>
        <row r="3364">
          <cell r="A3364" t="str">
            <v>A2735</v>
          </cell>
          <cell r="B3364" t="str">
            <v>BA Cost Recovery Schedule 24</v>
          </cell>
          <cell r="C3364" t="str">
            <v>042-TRANSMISSION OPERATIONS</v>
          </cell>
        </row>
        <row r="3365">
          <cell r="A3365" t="str">
            <v>A2736</v>
          </cell>
          <cell r="B3365" t="str">
            <v>DEV-OPS EB SOFTWARE SUPPORT</v>
          </cell>
          <cell r="C3365" t="str">
            <v>202-DEV - OPERATIONS</v>
          </cell>
        </row>
        <row r="3366">
          <cell r="A3366" t="str">
            <v>A2737</v>
          </cell>
          <cell r="B3366" t="str">
            <v>DEV-OPS ERIP APPLICATION SUPPORT</v>
          </cell>
          <cell r="C3366" t="str">
            <v>202-DEV - OPERATIONS</v>
          </cell>
        </row>
        <row r="3367">
          <cell r="A3367" t="str">
            <v>A2738</v>
          </cell>
          <cell r="B3367" t="str">
            <v>DEV-OPS MAINFRAME REPLATFORM</v>
          </cell>
          <cell r="C3367" t="str">
            <v>202-DEV - OPERATIONS</v>
          </cell>
        </row>
        <row r="3368">
          <cell r="A3368" t="str">
            <v>A2739</v>
          </cell>
          <cell r="B3368" t="str">
            <v>DEV-B&amp;CS OPEN PAGES SUPPORT</v>
          </cell>
          <cell r="C3368" t="str">
            <v>201-DEV - BUS &amp; CORP SVCS</v>
          </cell>
        </row>
        <row r="3369">
          <cell r="A3369" t="str">
            <v>A2740</v>
          </cell>
          <cell r="B3369" t="str">
            <v>Source to Settle</v>
          </cell>
          <cell r="C3369" t="str">
            <v>08P-SUPPLY CHAIN PROCESS &amp; PERFORMA</v>
          </cell>
        </row>
        <row r="3370">
          <cell r="A3370" t="str">
            <v>A2741</v>
          </cell>
          <cell r="B3370" t="str">
            <v>BOILER &amp; MACHINERY ENGINEERING INSP</v>
          </cell>
          <cell r="C3370" t="str">
            <v>07R-FINANCIAL PLANNING, INS &amp; RISK</v>
          </cell>
        </row>
        <row r="3371">
          <cell r="A3371" t="str">
            <v>A2742</v>
          </cell>
          <cell r="B3371" t="str">
            <v>IDENTITY MANAGEMENT STUDY</v>
          </cell>
          <cell r="C3371" t="str">
            <v>06D-SCP - SECURITY</v>
          </cell>
        </row>
        <row r="3372">
          <cell r="A3372" t="str">
            <v>A2743</v>
          </cell>
          <cell r="B3372" t="str">
            <v>NETWORK METER READING - ILLINOIS</v>
          </cell>
          <cell r="C3372" t="str">
            <v>03A-METER READING-AMS</v>
          </cell>
        </row>
        <row r="3373">
          <cell r="A3373" t="str">
            <v>A2744</v>
          </cell>
          <cell r="B3373" t="str">
            <v>DDO FIELD SUPPORT</v>
          </cell>
          <cell r="C3373" t="str">
            <v>632-CSF - IT FIELD OPERATIONS</v>
          </cell>
        </row>
        <row r="3374">
          <cell r="A3374" t="str">
            <v>A2745</v>
          </cell>
          <cell r="B3374" t="str">
            <v>ESO FIELD SUPPORT</v>
          </cell>
          <cell r="C3374" t="str">
            <v>632-CSF - IT FIELD OPERATIONS</v>
          </cell>
        </row>
        <row r="3375">
          <cell r="A3375" t="str">
            <v>A2746</v>
          </cell>
          <cell r="B3375" t="str">
            <v>OFFICE 2003 PROJECT</v>
          </cell>
          <cell r="C3375" t="str">
            <v>06B-INF - ENTERPRISE COMPUTING SERV</v>
          </cell>
        </row>
        <row r="3376">
          <cell r="A3376" t="str">
            <v>A2747</v>
          </cell>
          <cell r="B3376" t="str">
            <v>AMS ADMN SUPPORT FOR AEG</v>
          </cell>
          <cell r="C3376" t="str">
            <v>131-EFFINGHAM RESOURCE CENTER</v>
          </cell>
        </row>
        <row r="3377">
          <cell r="A3377" t="str">
            <v>A2750</v>
          </cell>
          <cell r="B3377" t="str">
            <v>AMS SUPPORT OF COFFEEN BOILERS</v>
          </cell>
          <cell r="C3377" t="str">
            <v>131-EFFINGHAM RESOURCE CENTER</v>
          </cell>
        </row>
        <row r="3378">
          <cell r="A3378" t="str">
            <v>A2751</v>
          </cell>
          <cell r="B3378" t="str">
            <v>AMS SUPP FOR COFF TURBINES</v>
          </cell>
          <cell r="C3378" t="str">
            <v>131-EFFINGHAM RESOURCE CENTER</v>
          </cell>
        </row>
        <row r="3379">
          <cell r="A3379" t="str">
            <v>A2752</v>
          </cell>
          <cell r="B3379" t="str">
            <v>AMS SUPP FOR COFF INSTRUMENT&amp; ELEC</v>
          </cell>
          <cell r="C3379" t="str">
            <v>131-EFFINGHAM RESOURCE CENTER</v>
          </cell>
        </row>
        <row r="3380">
          <cell r="A3380" t="str">
            <v>A2753</v>
          </cell>
          <cell r="B3380" t="str">
            <v>AMS LAB SUPPORT FOR COFF</v>
          </cell>
          <cell r="C3380" t="str">
            <v>131-EFFINGHAM RESOURCE CENTER</v>
          </cell>
        </row>
        <row r="3381">
          <cell r="A3381" t="str">
            <v>A2755</v>
          </cell>
          <cell r="B3381" t="str">
            <v>AMS TURB-GEN SUPPORT &amp; EXP FOR UEC</v>
          </cell>
          <cell r="C3381" t="str">
            <v>40D-GENERATION MAINT ENG</v>
          </cell>
        </row>
        <row r="3382">
          <cell r="A3382" t="str">
            <v>A2757</v>
          </cell>
          <cell r="B3382" t="str">
            <v>AMS SUPP FOR DOSH BOILERS</v>
          </cell>
          <cell r="C3382" t="str">
            <v>131-EFFINGHAM RESOURCE CENTER</v>
          </cell>
        </row>
        <row r="3383">
          <cell r="A3383" t="str">
            <v>A2758</v>
          </cell>
          <cell r="B3383" t="str">
            <v>AMS SUPP FOR DOSH TURBINES</v>
          </cell>
          <cell r="C3383" t="str">
            <v>131-EFFINGHAM RESOURCE CENTER</v>
          </cell>
        </row>
        <row r="3384">
          <cell r="A3384" t="str">
            <v>A2759</v>
          </cell>
          <cell r="B3384" t="str">
            <v>AMS SUPP FOR DOSH INSTRUMENT&amp; ELEC</v>
          </cell>
          <cell r="C3384" t="str">
            <v>131-EFFINGHAM RESOURCE CENTER</v>
          </cell>
        </row>
        <row r="3385">
          <cell r="A3385" t="str">
            <v>A2760</v>
          </cell>
          <cell r="B3385" t="str">
            <v>AMS LAB SUPPORT FOR DOSH</v>
          </cell>
          <cell r="C3385" t="str">
            <v>131-EFFINGHAM RESOURCE CENTER</v>
          </cell>
        </row>
        <row r="3386">
          <cell r="A3386" t="str">
            <v>A2761</v>
          </cell>
          <cell r="B3386" t="str">
            <v>AMS SUPP FOR HUT BOILERS</v>
          </cell>
          <cell r="C3386" t="str">
            <v>131-EFFINGHAM RESOURCE CENTER</v>
          </cell>
        </row>
        <row r="3387">
          <cell r="A3387" t="str">
            <v>A2762</v>
          </cell>
          <cell r="B3387" t="str">
            <v>AMS SUPP FOR HUT TURBINES</v>
          </cell>
          <cell r="C3387" t="str">
            <v>131-EFFINGHAM RESOURCE CENTER</v>
          </cell>
        </row>
        <row r="3388">
          <cell r="A3388" t="str">
            <v>A2763</v>
          </cell>
          <cell r="B3388" t="str">
            <v>AMS SUPP FOR HUT INSTRUMENT &amp; ELEC</v>
          </cell>
          <cell r="C3388" t="str">
            <v>131-EFFINGHAM RESOURCE CENTER</v>
          </cell>
        </row>
        <row r="3389">
          <cell r="A3389" t="str">
            <v>A2764</v>
          </cell>
          <cell r="B3389" t="str">
            <v>AMS LAB SUPPORT FOR HUT</v>
          </cell>
          <cell r="C3389" t="str">
            <v>131-EFFINGHAM RESOURCE CENTER</v>
          </cell>
        </row>
        <row r="3390">
          <cell r="A3390" t="str">
            <v>A2765</v>
          </cell>
          <cell r="B3390" t="str">
            <v>AMS SUPP FOR NWT BOILERS</v>
          </cell>
          <cell r="C3390" t="str">
            <v>131-EFFINGHAM RESOURCE CENTER</v>
          </cell>
        </row>
        <row r="3391">
          <cell r="A3391" t="str">
            <v>A2766</v>
          </cell>
          <cell r="B3391" t="str">
            <v>AMS SUPP FOR NWT TURBINES</v>
          </cell>
          <cell r="C3391" t="str">
            <v>131-EFFINGHAM RESOURCE CENTER</v>
          </cell>
        </row>
        <row r="3392">
          <cell r="A3392" t="str">
            <v>A2767</v>
          </cell>
          <cell r="B3392" t="str">
            <v>AMS SUPP FOR NWT INSTRUMENT &amp; ELEC</v>
          </cell>
          <cell r="C3392" t="str">
            <v>131-EFFINGHAM RESOURCE CENTER</v>
          </cell>
        </row>
        <row r="3393">
          <cell r="A3393" t="str">
            <v>A2768</v>
          </cell>
          <cell r="B3393" t="str">
            <v>AMS LAB SUPPORT FOR NWT</v>
          </cell>
          <cell r="C3393" t="str">
            <v>131-EFFINGHAM RESOURCE CENTER</v>
          </cell>
        </row>
        <row r="3394">
          <cell r="A3394" t="str">
            <v>A2769</v>
          </cell>
          <cell r="B3394" t="str">
            <v>AMS SUPP FOR DC BOILERS</v>
          </cell>
          <cell r="C3394" t="str">
            <v>131-EFFINGHAM RESOURCE CENTER</v>
          </cell>
        </row>
        <row r="3395">
          <cell r="A3395" t="str">
            <v>A2770</v>
          </cell>
          <cell r="B3395" t="str">
            <v>AMS SUPP FOR DC TURBINES</v>
          </cell>
          <cell r="C3395" t="str">
            <v>131-EFFINGHAM RESOURCE CENTER</v>
          </cell>
        </row>
        <row r="3396">
          <cell r="A3396" t="str">
            <v>A2771</v>
          </cell>
          <cell r="B3396" t="str">
            <v>AMS SUPP FOR DC INSTRUMENT &amp; ELEC</v>
          </cell>
          <cell r="C3396" t="str">
            <v>131-EFFINGHAM RESOURCE CENTER</v>
          </cell>
        </row>
        <row r="3397">
          <cell r="A3397" t="str">
            <v>A2772</v>
          </cell>
          <cell r="B3397" t="str">
            <v>AMS LAB SUPPORT FOR DC</v>
          </cell>
          <cell r="C3397" t="str">
            <v>131-EFFINGHAM RESOURCE CENTER</v>
          </cell>
        </row>
        <row r="3398">
          <cell r="A3398" t="str">
            <v>A2773</v>
          </cell>
          <cell r="B3398" t="str">
            <v>AMS SUPP FOR EDE BOILERS</v>
          </cell>
          <cell r="C3398" t="str">
            <v>131-EFFINGHAM RESOURCE CENTER</v>
          </cell>
        </row>
        <row r="3399">
          <cell r="A3399" t="str">
            <v>A2774</v>
          </cell>
          <cell r="B3399" t="str">
            <v>AMS SUPP FOR EDE TURBINES</v>
          </cell>
          <cell r="C3399" t="str">
            <v>131-EFFINGHAM RESOURCE CENTER</v>
          </cell>
        </row>
        <row r="3400">
          <cell r="A3400" t="str">
            <v>A2775</v>
          </cell>
          <cell r="B3400" t="str">
            <v>AMS SUPP FOR EDE INSTRUMENT &amp; ELEC</v>
          </cell>
          <cell r="C3400" t="str">
            <v>131-EFFINGHAM RESOURCE CENTER</v>
          </cell>
        </row>
        <row r="3401">
          <cell r="A3401" t="str">
            <v>A2776</v>
          </cell>
          <cell r="B3401" t="str">
            <v>AMS LAB SUPPORT FOR EDE</v>
          </cell>
          <cell r="C3401" t="str">
            <v>131-EFFINGHAM RESOURCE CENTER</v>
          </cell>
        </row>
        <row r="3402">
          <cell r="A3402" t="str">
            <v>A2777</v>
          </cell>
          <cell r="B3402" t="str">
            <v>AMS SUPP FOR GDTWR CTG</v>
          </cell>
          <cell r="C3402" t="str">
            <v>131-EFFINGHAM RESOURCE CENTER</v>
          </cell>
        </row>
        <row r="3403">
          <cell r="A3403" t="str">
            <v>A2778</v>
          </cell>
          <cell r="B3403" t="str">
            <v>AMS SUPP FOR GDTWR INSTRUMENT&amp;ELEC</v>
          </cell>
          <cell r="C3403" t="str">
            <v>131-EFFINGHAM RESOURCE CENTER</v>
          </cell>
        </row>
        <row r="3404">
          <cell r="A3404" t="str">
            <v>A2779</v>
          </cell>
          <cell r="B3404" t="str">
            <v>AMS LAB SUPPORT FOR GDTWR</v>
          </cell>
          <cell r="C3404" t="str">
            <v>131-EFFINGHAM RESOURCE CENTER</v>
          </cell>
        </row>
        <row r="3405">
          <cell r="A3405" t="str">
            <v>A2780</v>
          </cell>
          <cell r="B3405" t="str">
            <v>AMS SUPP FOR LBD BOILERS</v>
          </cell>
          <cell r="C3405" t="str">
            <v>131-EFFINGHAM RESOURCE CENTER</v>
          </cell>
        </row>
        <row r="3406">
          <cell r="A3406" t="str">
            <v>A2781</v>
          </cell>
          <cell r="B3406" t="str">
            <v>AMS SUPP FOR LBD TURBINES</v>
          </cell>
          <cell r="C3406" t="str">
            <v>131-EFFINGHAM RESOURCE CENTER</v>
          </cell>
        </row>
        <row r="3407">
          <cell r="A3407" t="str">
            <v>A2782</v>
          </cell>
          <cell r="B3407" t="str">
            <v>AMS SUPP FOR LBD INSTRUMENT &amp; ELEC</v>
          </cell>
          <cell r="C3407" t="str">
            <v>131-EFFINGHAM RESOURCE CENTER</v>
          </cell>
        </row>
        <row r="3408">
          <cell r="A3408" t="str">
            <v>A2783</v>
          </cell>
          <cell r="B3408" t="str">
            <v>AMS LAB SUPPORT FOR LBD</v>
          </cell>
          <cell r="C3408" t="str">
            <v>131-EFFINGHAM RESOURCE CENTER</v>
          </cell>
        </row>
        <row r="3409">
          <cell r="A3409" t="str">
            <v>A2784</v>
          </cell>
          <cell r="B3409" t="str">
            <v>AMS SUPP FOR MERM BOILERS</v>
          </cell>
          <cell r="C3409" t="str">
            <v>131-EFFINGHAM RESOURCE CENTER</v>
          </cell>
        </row>
        <row r="3410">
          <cell r="A3410" t="str">
            <v>A2785</v>
          </cell>
          <cell r="B3410" t="str">
            <v>AMS SUPP FOR MERM TURBINES</v>
          </cell>
          <cell r="C3410" t="str">
            <v>131-EFFINGHAM RESOURCE CENTER</v>
          </cell>
        </row>
        <row r="3411">
          <cell r="A3411" t="str">
            <v>A2786</v>
          </cell>
          <cell r="B3411" t="str">
            <v>AMS SUPP FOR MERM INSTRUMENT&amp; ELEC</v>
          </cell>
          <cell r="C3411" t="str">
            <v>131-EFFINGHAM RESOURCE CENTER</v>
          </cell>
        </row>
        <row r="3412">
          <cell r="A3412" t="str">
            <v>A2787</v>
          </cell>
          <cell r="B3412" t="str">
            <v>AMS LAB SUPPORT FOR MERM</v>
          </cell>
          <cell r="C3412" t="str">
            <v>131-EFFINGHAM RESOURCE CENTER</v>
          </cell>
        </row>
        <row r="3413">
          <cell r="A3413" t="str">
            <v>A2788</v>
          </cell>
          <cell r="B3413" t="str">
            <v>AMS SUPP FOR RI BOILERS</v>
          </cell>
          <cell r="C3413" t="str">
            <v>131-EFFINGHAM RESOURCE CENTER</v>
          </cell>
        </row>
        <row r="3414">
          <cell r="A3414" t="str">
            <v>A2789</v>
          </cell>
          <cell r="B3414" t="str">
            <v>AMS SUPP FOR RI TURBINES</v>
          </cell>
          <cell r="C3414" t="str">
            <v>131-EFFINGHAM RESOURCE CENTER</v>
          </cell>
        </row>
        <row r="3415">
          <cell r="A3415" t="str">
            <v>A2790</v>
          </cell>
          <cell r="B3415" t="str">
            <v>AMS SUPP FOR RI INSTRUMENT &amp; ELEC</v>
          </cell>
          <cell r="C3415" t="str">
            <v>131-EFFINGHAM RESOURCE CENTER</v>
          </cell>
        </row>
        <row r="3416">
          <cell r="A3416" t="str">
            <v>A2791</v>
          </cell>
          <cell r="B3416" t="str">
            <v>AMS LAB SUPPORT FOR RI</v>
          </cell>
          <cell r="C3416" t="str">
            <v>131-EFFINGHAM RESOURCE CENTER</v>
          </cell>
        </row>
        <row r="3417">
          <cell r="A3417" t="str">
            <v>A2792</v>
          </cell>
          <cell r="B3417" t="str">
            <v>AMS SUPP FOR SX BOILERS</v>
          </cell>
          <cell r="C3417" t="str">
            <v>131-EFFINGHAM RESOURCE CENTER</v>
          </cell>
        </row>
        <row r="3418">
          <cell r="A3418" t="str">
            <v>A2793</v>
          </cell>
          <cell r="B3418" t="str">
            <v>AMS SUPP FOR SX TURBINES</v>
          </cell>
          <cell r="C3418" t="str">
            <v>131-EFFINGHAM RESOURCE CENTER</v>
          </cell>
        </row>
        <row r="3419">
          <cell r="A3419" t="str">
            <v>A2794</v>
          </cell>
          <cell r="B3419" t="str">
            <v>AMS SUPP FOR SX INSTRUMENT &amp; ELEC</v>
          </cell>
          <cell r="C3419" t="str">
            <v>131-EFFINGHAM RESOURCE CENTER</v>
          </cell>
        </row>
        <row r="3420">
          <cell r="A3420" t="str">
            <v>A2795</v>
          </cell>
          <cell r="B3420" t="str">
            <v>AMS LAB SUPPORT FOR SX</v>
          </cell>
          <cell r="C3420" t="str">
            <v>131-EFFINGHAM RESOURCE CENTER</v>
          </cell>
        </row>
        <row r="3421">
          <cell r="A3421" t="str">
            <v>A2797</v>
          </cell>
          <cell r="B3421" t="str">
            <v>AMS TRAINING &amp; DEVELOPMENT UEC</v>
          </cell>
          <cell r="C3421" t="str">
            <v>40E-GENERATION TRAIN &amp; DEV SRVCS</v>
          </cell>
        </row>
        <row r="3422">
          <cell r="A3422" t="str">
            <v>A2798</v>
          </cell>
          <cell r="B3422" t="str">
            <v>AMS TRAINING &amp; DEVELOPMENT GEN</v>
          </cell>
          <cell r="C3422" t="str">
            <v>40E-GENERATION TRAIN &amp; DEV SRVCS</v>
          </cell>
        </row>
        <row r="3423">
          <cell r="A3423" t="str">
            <v>A2799</v>
          </cell>
          <cell r="B3423" t="str">
            <v>AMS TRAINING &amp; DEVELOPMENT ARG</v>
          </cell>
          <cell r="C3423" t="str">
            <v>40E-GENERATION TRAIN &amp; DEV SRVCS</v>
          </cell>
        </row>
        <row r="3424">
          <cell r="A3424" t="str">
            <v>A2800</v>
          </cell>
          <cell r="B3424" t="str">
            <v>AMS SUPPORT CORRECTIVE ACTION - UEC</v>
          </cell>
          <cell r="C3424" t="str">
            <v>40G-GENERATION CORRECTIVE ACTION</v>
          </cell>
        </row>
        <row r="3425">
          <cell r="A3425" t="str">
            <v>A2801</v>
          </cell>
          <cell r="B3425" t="str">
            <v>AMS SUPPORT CORRECTIVE ACTION - GEN</v>
          </cell>
          <cell r="C3425" t="str">
            <v>40G-GENERATION CORRECTIVE ACTION</v>
          </cell>
        </row>
        <row r="3426">
          <cell r="A3426" t="str">
            <v>A2802</v>
          </cell>
          <cell r="B3426" t="str">
            <v>AMS SUPPORT CORRECTIVE ACTION - ARG</v>
          </cell>
          <cell r="C3426" t="str">
            <v>40G-GENERATION CORRECTIVE ACTION</v>
          </cell>
        </row>
        <row r="3427">
          <cell r="A3427" t="str">
            <v>A2803</v>
          </cell>
          <cell r="B3427" t="str">
            <v>AMS PEFORMANCE MONITORING-UEC</v>
          </cell>
          <cell r="C3427" t="str">
            <v>81D-GEN PERF MONITOR &amp; ASSESS</v>
          </cell>
        </row>
        <row r="3428">
          <cell r="A3428" t="str">
            <v>A2804</v>
          </cell>
          <cell r="B3428" t="str">
            <v>AMS PEFORMANCE MONITORING-GEN</v>
          </cell>
          <cell r="C3428" t="str">
            <v>81D-GEN PERF MONITOR &amp; ASSESS</v>
          </cell>
        </row>
        <row r="3429">
          <cell r="A3429" t="str">
            <v>A2805</v>
          </cell>
          <cell r="B3429" t="str">
            <v>AMS PEFORMANCE MONITORING-ARG</v>
          </cell>
          <cell r="C3429" t="str">
            <v>81D-GEN PERF MONITOR &amp; ASSESS</v>
          </cell>
        </row>
        <row r="3430">
          <cell r="A3430" t="str">
            <v>A2806</v>
          </cell>
          <cell r="B3430" t="str">
            <v>GTS CORRECTIVE ACTION PROCESS DEV</v>
          </cell>
          <cell r="C3430" t="str">
            <v>40G-GENERATION CORRECTIVE ACTION</v>
          </cell>
        </row>
        <row r="3431">
          <cell r="A3431" t="str">
            <v>A2807</v>
          </cell>
          <cell r="B3431" t="str">
            <v>AMS ADMN SUPPORT FOR UEC</v>
          </cell>
          <cell r="C3431" t="str">
            <v>131-EFFINGHAM RESOURCE CENTER</v>
          </cell>
        </row>
        <row r="3432">
          <cell r="A3432" t="str">
            <v>A2808</v>
          </cell>
          <cell r="B3432" t="str">
            <v>GEN PROJECT MANAGEMENT EXPENSES</v>
          </cell>
          <cell r="C3432" t="str">
            <v>09Q-GENERATION PROJECT SERVICES</v>
          </cell>
        </row>
        <row r="3433">
          <cell r="A3433" t="str">
            <v>A2811</v>
          </cell>
          <cell r="B3433" t="str">
            <v>AMS GENERAL ENG SUPPORT COFF</v>
          </cell>
          <cell r="C3433" t="str">
            <v>131-EFFINGHAM RESOURCE CENTER</v>
          </cell>
        </row>
        <row r="3434">
          <cell r="A3434" t="str">
            <v>A2812</v>
          </cell>
          <cell r="B3434" t="str">
            <v>AMS GENERAL ENG SUPPORT DOSH</v>
          </cell>
          <cell r="C3434" t="str">
            <v>131-EFFINGHAM RESOURCE CENTER</v>
          </cell>
        </row>
        <row r="3435">
          <cell r="A3435" t="str">
            <v>A2813</v>
          </cell>
          <cell r="B3435" t="str">
            <v>AMS GENERAL ENG SUPPORT HUT</v>
          </cell>
          <cell r="C3435" t="str">
            <v>131-EFFINGHAM RESOURCE CENTER</v>
          </cell>
        </row>
        <row r="3436">
          <cell r="A3436" t="str">
            <v>A2814</v>
          </cell>
          <cell r="B3436" t="str">
            <v>AMS GENERAL ENG SUPPORT NWT</v>
          </cell>
          <cell r="C3436" t="str">
            <v>131-EFFINGHAM RESOURCE CENTER</v>
          </cell>
        </row>
        <row r="3437">
          <cell r="A3437" t="str">
            <v>A2815</v>
          </cell>
          <cell r="B3437" t="str">
            <v>AMS GENERAL ENG SUPPORT DC</v>
          </cell>
          <cell r="C3437" t="str">
            <v>131-EFFINGHAM RESOURCE CENTER</v>
          </cell>
        </row>
        <row r="3438">
          <cell r="A3438" t="str">
            <v>A2816</v>
          </cell>
          <cell r="B3438" t="str">
            <v>AMS GENERAL ENG SUPPORT EDE</v>
          </cell>
          <cell r="C3438" t="str">
            <v>131-EFFINGHAM RESOURCE CENTER</v>
          </cell>
        </row>
        <row r="3439">
          <cell r="A3439" t="str">
            <v>A2817</v>
          </cell>
          <cell r="B3439" t="str">
            <v>AMS GENERAL ENG SUPPORT GDTWR</v>
          </cell>
          <cell r="C3439" t="str">
            <v>131-EFFINGHAM RESOURCE CENTER</v>
          </cell>
        </row>
        <row r="3440">
          <cell r="A3440" t="str">
            <v>A2818</v>
          </cell>
          <cell r="B3440" t="str">
            <v>AMS GENERAL ENG SUPPORT LBD</v>
          </cell>
          <cell r="C3440" t="str">
            <v>131-EFFINGHAM RESOURCE CENTER</v>
          </cell>
        </row>
        <row r="3441">
          <cell r="A3441" t="str">
            <v>A2819</v>
          </cell>
          <cell r="B3441" t="str">
            <v>AMS GENERAL ENG SUPPORT MERM</v>
          </cell>
          <cell r="C3441" t="str">
            <v>131-EFFINGHAM RESOURCE CENTER</v>
          </cell>
        </row>
        <row r="3442">
          <cell r="A3442" t="str">
            <v>A2820</v>
          </cell>
          <cell r="B3442" t="str">
            <v>AMS GENERAL ENG SUPPORT RI</v>
          </cell>
          <cell r="C3442" t="str">
            <v>131-EFFINGHAM RESOURCE CENTER</v>
          </cell>
        </row>
        <row r="3443">
          <cell r="A3443" t="str">
            <v>A2821</v>
          </cell>
          <cell r="B3443" t="str">
            <v>AMS GENERAL ENG SUPPORT SX</v>
          </cell>
          <cell r="C3443" t="str">
            <v>131-EFFINGHAM RESOURCE CENTER</v>
          </cell>
        </row>
        <row r="3444">
          <cell r="A3444" t="str">
            <v>A2822</v>
          </cell>
          <cell r="B3444" t="str">
            <v>BCS OPTIMIZATION APPL ROADMAP</v>
          </cell>
          <cell r="C3444" t="str">
            <v>201-DEV - BUS &amp; CORP SVCS</v>
          </cell>
        </row>
        <row r="3445">
          <cell r="A3445" t="str">
            <v>A2823</v>
          </cell>
          <cell r="B3445" t="str">
            <v>AUTOMATED METER READING (AMR) - ILL</v>
          </cell>
          <cell r="C3445" t="str">
            <v>204-DEV - ENERGY DELIVERY</v>
          </cell>
        </row>
        <row r="3446">
          <cell r="A3446" t="str">
            <v>A2824</v>
          </cell>
          <cell r="B3446" t="str">
            <v>AMS SUPP ALL FOSSIL GENERATION</v>
          </cell>
          <cell r="C3446" t="str">
            <v>131-EFFINGHAM RESOURCE CENTER</v>
          </cell>
        </row>
        <row r="3447">
          <cell r="A3447" t="str">
            <v>A2825</v>
          </cell>
          <cell r="B3447" t="str">
            <v>SIMULATING ADVANCED POWER SYSTEMS</v>
          </cell>
          <cell r="C3447" t="str">
            <v>09V-NEW GEN &amp; ENV PROJECTS</v>
          </cell>
        </row>
        <row r="3448">
          <cell r="A3448" t="str">
            <v>A2826</v>
          </cell>
          <cell r="B3448" t="str">
            <v>LABOR/HR SERVICES FOR ED IL</v>
          </cell>
          <cell r="C3448" t="str">
            <v>057-LABOR STRATEGY</v>
          </cell>
        </row>
        <row r="3449">
          <cell r="A3449" t="str">
            <v>A2827</v>
          </cell>
          <cell r="B3449" t="str">
            <v>LABOR-HR SERVICES FOR UEC GENRTN</v>
          </cell>
          <cell r="C3449" t="str">
            <v>057-LABOR STRATEGY</v>
          </cell>
        </row>
        <row r="3450">
          <cell r="A3450" t="str">
            <v>A2828</v>
          </cell>
          <cell r="B3450" t="str">
            <v>LABOR-HR SERV UEC FOSSIL GENERATION</v>
          </cell>
          <cell r="C3450" t="str">
            <v>057-LABOR STRATEGY</v>
          </cell>
        </row>
        <row r="3451">
          <cell r="A3451" t="str">
            <v>A2829</v>
          </cell>
          <cell r="B3451" t="str">
            <v>LABOR-HR SERV UEC NUCLEAR GNRTN</v>
          </cell>
          <cell r="C3451" t="str">
            <v>057-LABOR STRATEGY</v>
          </cell>
        </row>
        <row r="3452">
          <cell r="A3452" t="str">
            <v>A2830</v>
          </cell>
          <cell r="B3452" t="str">
            <v>LABOR-HR SERV FOR UNREG GEN - ARG</v>
          </cell>
          <cell r="C3452" t="str">
            <v>057-LABOR STRATEGY</v>
          </cell>
        </row>
        <row r="3453">
          <cell r="A3453" t="str">
            <v>A2831</v>
          </cell>
          <cell r="B3453" t="str">
            <v>LABOR-HR SERV--BUS &amp; CORP SERV UEC</v>
          </cell>
          <cell r="C3453" t="str">
            <v>057-LABOR STRATEGY</v>
          </cell>
        </row>
        <row r="3454">
          <cell r="A3454" t="str">
            <v>A2832</v>
          </cell>
          <cell r="B3454" t="str">
            <v>LABOR-HR SERV--BUS &amp; CORP SERV IPC</v>
          </cell>
          <cell r="C3454" t="str">
            <v>057-LABOR STRATEGY</v>
          </cell>
        </row>
        <row r="3455">
          <cell r="A3455" t="str">
            <v>A2833</v>
          </cell>
          <cell r="B3455" t="str">
            <v>LABOR-HR SERV--BUS &amp; CORP SERV CIPS</v>
          </cell>
          <cell r="C3455" t="str">
            <v>057-LABOR STRATEGY</v>
          </cell>
        </row>
        <row r="3456">
          <cell r="A3456" t="str">
            <v>A2834</v>
          </cell>
          <cell r="B3456" t="str">
            <v>LABOR-HR SERV--BUS &amp; CORP SERV CIL</v>
          </cell>
          <cell r="C3456" t="str">
            <v>057-LABOR STRATEGY</v>
          </cell>
        </row>
        <row r="3457">
          <cell r="A3457" t="str">
            <v>A2835</v>
          </cell>
          <cell r="B3457" t="str">
            <v>AMS ADMN SUPPORT FOR ARG</v>
          </cell>
          <cell r="C3457" t="str">
            <v>131-EFFINGHAM RESOURCE CENTER</v>
          </cell>
        </row>
        <row r="3458">
          <cell r="A3458" t="str">
            <v>A2836</v>
          </cell>
          <cell r="B3458" t="str">
            <v>MISO RECON TEAM and DISPUTE REVIEW</v>
          </cell>
          <cell r="C3458" t="str">
            <v>09T-COMMERCIAL OPERATIONS SUPPORT</v>
          </cell>
        </row>
        <row r="3459">
          <cell r="A3459" t="str">
            <v>A2837</v>
          </cell>
          <cell r="B3459" t="str">
            <v>AUDIT SVC VENDOR-GEN</v>
          </cell>
          <cell r="C3459" t="str">
            <v>4PL-PLANT ACCOUNTING</v>
          </cell>
        </row>
        <row r="3460">
          <cell r="A3460" t="str">
            <v>A2838</v>
          </cell>
          <cell r="B3460" t="str">
            <v>AUDIT SVC VENDOR-NUCLEAR</v>
          </cell>
          <cell r="C3460" t="str">
            <v>4PL-PLANT ACCOUNTING</v>
          </cell>
        </row>
        <row r="3461">
          <cell r="A3461" t="str">
            <v>A2839</v>
          </cell>
          <cell r="B3461" t="str">
            <v>AUDIT SVC VENDOR-ENERGY DEL</v>
          </cell>
          <cell r="C3461" t="str">
            <v>4PL-PLANT ACCOUNTING</v>
          </cell>
        </row>
        <row r="3462">
          <cell r="A3462" t="str">
            <v>A2840</v>
          </cell>
          <cell r="B3462" t="str">
            <v>AMS GENL OUTAGE PLAN, SUPP FOR COFF</v>
          </cell>
          <cell r="C3462" t="str">
            <v>131-EFFINGHAM RESOURCE CENTER</v>
          </cell>
        </row>
        <row r="3463">
          <cell r="A3463" t="str">
            <v>A2841</v>
          </cell>
          <cell r="B3463" t="str">
            <v>AMS GENL OUTAGE PLAN, SUPP FOR NEWT</v>
          </cell>
          <cell r="C3463" t="str">
            <v>131-EFFINGHAM RESOURCE CENTER</v>
          </cell>
        </row>
        <row r="3464">
          <cell r="A3464" t="str">
            <v>A2842</v>
          </cell>
          <cell r="B3464" t="str">
            <v>AMS GENL OUTAGE PLAN, SUPP FOR HUT</v>
          </cell>
          <cell r="C3464" t="str">
            <v>131-EFFINGHAM RESOURCE CENTER</v>
          </cell>
        </row>
        <row r="3465">
          <cell r="A3465" t="str">
            <v>A2843</v>
          </cell>
          <cell r="B3465" t="str">
            <v>AMS GENL OUTAGE PLAN, SUPP FOR DOSH</v>
          </cell>
          <cell r="C3465" t="str">
            <v>131-EFFINGHAM RESOURCE CENTER</v>
          </cell>
        </row>
        <row r="3466">
          <cell r="A3466" t="str">
            <v>A2845</v>
          </cell>
          <cell r="B3466" t="str">
            <v>AMS GENL OUTAGE PLAN, SUPP FOR SX</v>
          </cell>
          <cell r="C3466" t="str">
            <v>131-EFFINGHAM RESOURCE CENTER</v>
          </cell>
        </row>
        <row r="3467">
          <cell r="A3467" t="str">
            <v>A2846</v>
          </cell>
          <cell r="B3467" t="str">
            <v>AMS GENL OUTAGE PLAN, SUPP FOR RI</v>
          </cell>
          <cell r="C3467" t="str">
            <v>131-EFFINGHAM RESOURCE CENTER</v>
          </cell>
        </row>
        <row r="3468">
          <cell r="A3468" t="str">
            <v>A2847</v>
          </cell>
          <cell r="B3468" t="str">
            <v>AMS GENL OUTAGE PLAN, SUPP FOR MERM</v>
          </cell>
          <cell r="C3468" t="str">
            <v>131-EFFINGHAM RESOURCE CENTER</v>
          </cell>
        </row>
        <row r="3469">
          <cell r="A3469" t="str">
            <v>A2848</v>
          </cell>
          <cell r="B3469" t="str">
            <v>AMS GENL OUTAGE PLAN, SUPP FOR LBD</v>
          </cell>
          <cell r="C3469" t="str">
            <v>131-EFFINGHAM RESOURCE CENTER</v>
          </cell>
        </row>
        <row r="3470">
          <cell r="A3470" t="str">
            <v>A2849</v>
          </cell>
          <cell r="B3470" t="str">
            <v>AMS GENL OUTAGE PLAN, SUPP FOR EDE</v>
          </cell>
          <cell r="C3470" t="str">
            <v>131-EFFINGHAM RESOURCE CENTER</v>
          </cell>
        </row>
        <row r="3471">
          <cell r="A3471" t="str">
            <v>A2850</v>
          </cell>
          <cell r="B3471" t="str">
            <v>AMS GENL OUTAGE PLAN, SUPP FOR DC</v>
          </cell>
          <cell r="C3471" t="str">
            <v>131-EFFINGHAM RESOURCE CENTER</v>
          </cell>
        </row>
        <row r="3472">
          <cell r="A3472" t="str">
            <v>A2851</v>
          </cell>
          <cell r="B3472" t="str">
            <v>PRICING AND ANALYSIS FOR AEM</v>
          </cell>
          <cell r="C3472" t="str">
            <v>012-CORPORATE PLANNING</v>
          </cell>
        </row>
        <row r="3473">
          <cell r="A3473" t="str">
            <v>A2852</v>
          </cell>
          <cell r="B3473" t="str">
            <v>Union Electric - Nuclear</v>
          </cell>
          <cell r="C3473" t="str">
            <v>024-LEGAL</v>
          </cell>
        </row>
        <row r="3474">
          <cell r="A3474" t="str">
            <v>A2853</v>
          </cell>
          <cell r="B3474" t="str">
            <v>UNION ELECTRIC - ENERGY DELIVERY</v>
          </cell>
          <cell r="C3474" t="str">
            <v>024-LEGAL</v>
          </cell>
        </row>
        <row r="3475">
          <cell r="A3475" t="str">
            <v>A2854</v>
          </cell>
          <cell r="B3475" t="str">
            <v>UNION ELECTRIC-GENERATION-NON-NUCL</v>
          </cell>
          <cell r="C3475" t="str">
            <v>024-LEGAL</v>
          </cell>
        </row>
        <row r="3476">
          <cell r="A3476" t="str">
            <v>A2855</v>
          </cell>
          <cell r="B3476" t="str">
            <v>COMMUNITY PROGRAMS CALLAWAY</v>
          </cell>
          <cell r="C3476" t="str">
            <v>001-CORPORATE COMMUNICATIONS</v>
          </cell>
        </row>
        <row r="3477">
          <cell r="A3477" t="str">
            <v>A2856</v>
          </cell>
          <cell r="B3477" t="str">
            <v>COMMUNITY PROGRAMS ENERGY DELIVERY</v>
          </cell>
          <cell r="C3477" t="str">
            <v>001-CORPORATE COMMUNICATIONS</v>
          </cell>
        </row>
        <row r="3478">
          <cell r="A3478" t="str">
            <v>A2857</v>
          </cell>
          <cell r="B3478" t="str">
            <v>COMMUNITY PROGRAMS NON NUCLEAR GEN</v>
          </cell>
          <cell r="C3478" t="str">
            <v>001-CORPORATE COMMUNICATIONS</v>
          </cell>
        </row>
        <row r="3479">
          <cell r="A3479" t="str">
            <v>A2858</v>
          </cell>
          <cell r="B3479" t="str">
            <v>ILL Distribution Ops</v>
          </cell>
          <cell r="C3479" t="str">
            <v>91A-IL OPS ADMIN</v>
          </cell>
        </row>
        <row r="3480">
          <cell r="A3480" t="str">
            <v>A2859</v>
          </cell>
          <cell r="B3480" t="str">
            <v>GTS TECH SERV TRNG, AMS PERSONNEL</v>
          </cell>
          <cell r="C3480" t="str">
            <v>40E-GENERATION TRAIN &amp; DEV SRVCS</v>
          </cell>
        </row>
        <row r="3481">
          <cell r="A3481" t="str">
            <v>A2860</v>
          </cell>
          <cell r="B3481" t="str">
            <v>Provide service to UEC-Nuclear</v>
          </cell>
          <cell r="C3481" t="str">
            <v>02E-HR - STAFFING</v>
          </cell>
        </row>
        <row r="3482">
          <cell r="A3482" t="str">
            <v>A2861</v>
          </cell>
          <cell r="B3482" t="str">
            <v>Provide svc to Non-Nuclear Gen.</v>
          </cell>
          <cell r="C3482" t="str">
            <v>02E-HR - STAFFING</v>
          </cell>
        </row>
        <row r="3483">
          <cell r="A3483" t="str">
            <v>A2862</v>
          </cell>
          <cell r="B3483" t="str">
            <v>PROVIDE SVC to ED-MO</v>
          </cell>
          <cell r="C3483" t="str">
            <v>02E-HR - STAFFING</v>
          </cell>
        </row>
        <row r="3484">
          <cell r="A3484" t="str">
            <v>A2863</v>
          </cell>
          <cell r="B3484" t="str">
            <v>PROVIDE SVC to ED-IL</v>
          </cell>
          <cell r="C3484" t="str">
            <v>02E-HR - STAFFING</v>
          </cell>
        </row>
        <row r="3485">
          <cell r="A3485" t="str">
            <v>A2864</v>
          </cell>
          <cell r="B3485" t="str">
            <v>FPI SUPPORT for NUCLEAR GEN</v>
          </cell>
          <cell r="C3485" t="str">
            <v>005-SYSTEMS &amp; SPECIAL PROJECTS</v>
          </cell>
        </row>
        <row r="3486">
          <cell r="A3486" t="str">
            <v>A2865</v>
          </cell>
          <cell r="B3486" t="str">
            <v>FPI SUPPORT for NNUC</v>
          </cell>
          <cell r="C3486" t="str">
            <v>005-SYSTEMS &amp; SPECIAL PROJECTS</v>
          </cell>
        </row>
        <row r="3487">
          <cell r="A3487" t="str">
            <v>A2866</v>
          </cell>
          <cell r="B3487" t="str">
            <v>FPI SUPPORT for ENERGY DELIVERY</v>
          </cell>
          <cell r="C3487" t="str">
            <v>005-SYSTEMS &amp; SPECIAL PROJECTS</v>
          </cell>
        </row>
        <row r="3488">
          <cell r="A3488" t="str">
            <v>A2867</v>
          </cell>
          <cell r="B3488" t="str">
            <v>NCL - DEVELOP-DELIVER TRAINING</v>
          </cell>
          <cell r="C3488" t="str">
            <v>06J-CSF - ASC CUSTOMER SERVICES</v>
          </cell>
        </row>
        <row r="3489">
          <cell r="A3489" t="str">
            <v>A2868</v>
          </cell>
          <cell r="B3489" t="str">
            <v>NNG - DEVELOP-DELIVER TRAINING</v>
          </cell>
          <cell r="C3489" t="str">
            <v>06J-CSF - ASC CUSTOMER SERVICES</v>
          </cell>
        </row>
        <row r="3490">
          <cell r="A3490" t="str">
            <v>A2869</v>
          </cell>
          <cell r="B3490" t="str">
            <v>EDY - DEVELOP-DELIVER TRAINING</v>
          </cell>
          <cell r="C3490" t="str">
            <v>06J-CSF - ASC CUSTOMER SERVICES</v>
          </cell>
        </row>
        <row r="3491">
          <cell r="A3491" t="str">
            <v>A2870</v>
          </cell>
          <cell r="B3491" t="str">
            <v>SOURCE TO SETTLE (S2S) - O&amp;M</v>
          </cell>
          <cell r="C3491" t="str">
            <v>202-DEV - OPERATIONS</v>
          </cell>
        </row>
        <row r="3492">
          <cell r="A3492" t="str">
            <v>A2872</v>
          </cell>
          <cell r="B3492" t="str">
            <v>LAB SUPPORT FOR CALLAWAY</v>
          </cell>
          <cell r="C3492" t="str">
            <v>81A-GENERATION QUALITY ENGINEERING</v>
          </cell>
        </row>
        <row r="3493">
          <cell r="A3493" t="str">
            <v>A2873</v>
          </cell>
          <cell r="B3493" t="str">
            <v>AMS ENGINEERING SUPPORT OF CALLAWAY</v>
          </cell>
          <cell r="C3493" t="str">
            <v>40D-GENERATION MAINT ENG</v>
          </cell>
        </row>
        <row r="3494">
          <cell r="A3494" t="str">
            <v>A2874</v>
          </cell>
          <cell r="B3494" t="str">
            <v>AUDIT OF GAS METERING OPERATIONS</v>
          </cell>
          <cell r="C3494" t="str">
            <v>05A-INTERNAL AUDIT</v>
          </cell>
        </row>
        <row r="3495">
          <cell r="A3495" t="str">
            <v>A2875</v>
          </cell>
          <cell r="B3495" t="str">
            <v>UEC-NONPROJECT ACTIVITIES - 340</v>
          </cell>
          <cell r="C3495" t="str">
            <v>340-REGULATED CTG COMMON EXP</v>
          </cell>
        </row>
        <row r="3496">
          <cell r="A3496" t="str">
            <v>A2879</v>
          </cell>
          <cell r="B3496" t="str">
            <v>B&amp;CS Operational Analysis</v>
          </cell>
          <cell r="C3496" t="str">
            <v>012-CORPORATE PLANNING</v>
          </cell>
        </row>
        <row r="3497">
          <cell r="A3497" t="str">
            <v>A2880</v>
          </cell>
          <cell r="B3497" t="str">
            <v>Comm Trans Analysis- ED-Illinois</v>
          </cell>
          <cell r="C3497" t="str">
            <v>012-CORPORATE PLANNING</v>
          </cell>
        </row>
        <row r="3498">
          <cell r="A3498" t="str">
            <v>A2881</v>
          </cell>
          <cell r="B3498" t="str">
            <v>Comm Trans Analysis-ED- Missouri</v>
          </cell>
          <cell r="C3498" t="str">
            <v>012-CORPORATE PLANNING</v>
          </cell>
        </row>
        <row r="3499">
          <cell r="A3499" t="str">
            <v>A2882</v>
          </cell>
          <cell r="B3499" t="str">
            <v>DEV-ED ENERGY DEL WEB APP SUPPORT</v>
          </cell>
          <cell r="C3499" t="str">
            <v>204-DEV - ENERGY DELIVERY</v>
          </cell>
        </row>
        <row r="3500">
          <cell r="A3500" t="str">
            <v>A2883</v>
          </cell>
          <cell r="B3500" t="str">
            <v>Safety Fair Expenses - Allocated</v>
          </cell>
          <cell r="C3500" t="str">
            <v>026-ED-SAFETY-UE</v>
          </cell>
        </row>
        <row r="3501">
          <cell r="A3501" t="str">
            <v>A2884</v>
          </cell>
          <cell r="B3501" t="str">
            <v>TELECOM NETWORK - IPC</v>
          </cell>
          <cell r="C3501" t="str">
            <v>06T-NEO - MOBILE &amp; SCADA COMM</v>
          </cell>
        </row>
        <row r="3502">
          <cell r="A3502" t="str">
            <v>A2885</v>
          </cell>
          <cell r="B3502" t="str">
            <v>Audrain CTG ESH Support</v>
          </cell>
          <cell r="C3502" t="str">
            <v>049-ESH - GENERAL</v>
          </cell>
        </row>
        <row r="3503">
          <cell r="A3503" t="str">
            <v>A2886</v>
          </cell>
          <cell r="B3503" t="str">
            <v>Goose Creek CTG ESH Support</v>
          </cell>
          <cell r="C3503" t="str">
            <v>049-ESH - GENERAL</v>
          </cell>
        </row>
        <row r="3504">
          <cell r="A3504" t="str">
            <v>A2887</v>
          </cell>
          <cell r="B3504" t="str">
            <v>Raccoon Creek CTG ESH Support</v>
          </cell>
          <cell r="C3504" t="str">
            <v>049-ESH - GENERAL</v>
          </cell>
        </row>
        <row r="3505">
          <cell r="A3505" t="str">
            <v>A2888</v>
          </cell>
          <cell r="B3505" t="str">
            <v>DEV-ED - LODESTAR SUPPORT - GMC</v>
          </cell>
          <cell r="C3505" t="str">
            <v>204-DEV - ENERGY DELIVERY</v>
          </cell>
        </row>
        <row r="3506">
          <cell r="A3506" t="str">
            <v>A2889</v>
          </cell>
          <cell r="B3506" t="str">
            <v>AMS GENL ENG SUPP AT GIBSON CTY CTG</v>
          </cell>
          <cell r="C3506" t="str">
            <v>131-EFFINGHAM RESOURCE CENTER</v>
          </cell>
        </row>
        <row r="3507">
          <cell r="A3507" t="str">
            <v>A2890</v>
          </cell>
          <cell r="B3507" t="str">
            <v>AMS GENL ENG SUPP AT ELGIN CTG</v>
          </cell>
          <cell r="C3507" t="str">
            <v>131-EFFINGHAM RESOURCE CENTER</v>
          </cell>
        </row>
        <row r="3508">
          <cell r="A3508" t="str">
            <v>A2891</v>
          </cell>
          <cell r="B3508" t="str">
            <v>AMS GENL ENG SUPP AT COLUMBIA CTG</v>
          </cell>
          <cell r="C3508" t="str">
            <v>131-EFFINGHAM RESOURCE CENTER</v>
          </cell>
        </row>
        <row r="3509">
          <cell r="A3509" t="str">
            <v>A2892</v>
          </cell>
          <cell r="B3509" t="str">
            <v>AMS GENL ENG SUPP AT IND TRLS COGEN</v>
          </cell>
          <cell r="C3509" t="str">
            <v>131-EFFINGHAM RESOURCE CENTER</v>
          </cell>
        </row>
        <row r="3510">
          <cell r="A3510" t="str">
            <v>A2893</v>
          </cell>
          <cell r="B3510" t="str">
            <v>AMS GENL ENG SUPP AT STERLING CTG</v>
          </cell>
          <cell r="C3510" t="str">
            <v>131-EFFINGHAM RESOURCE CENTER</v>
          </cell>
        </row>
        <row r="3511">
          <cell r="A3511" t="str">
            <v>A2894</v>
          </cell>
          <cell r="B3511" t="str">
            <v>AMS GENL ENG SUPP AT VENICE CTG</v>
          </cell>
          <cell r="C3511" t="str">
            <v>131-EFFINGHAM RESOURCE CENTER</v>
          </cell>
        </row>
        <row r="3512">
          <cell r="A3512" t="str">
            <v>A2895</v>
          </cell>
          <cell r="B3512" t="str">
            <v>AMS GENL ENG SUPP AT HOWARD BND CTG</v>
          </cell>
          <cell r="C3512" t="str">
            <v>131-EFFINGHAM RESOURCE CENTER</v>
          </cell>
        </row>
        <row r="3513">
          <cell r="A3513" t="str">
            <v>A2896</v>
          </cell>
          <cell r="B3513" t="str">
            <v>AMS GENL ENG SUPP AT MERAMEC CTG</v>
          </cell>
          <cell r="C3513" t="str">
            <v>131-EFFINGHAM RESOURCE CENTER</v>
          </cell>
        </row>
        <row r="3514">
          <cell r="A3514" t="str">
            <v>A2897</v>
          </cell>
          <cell r="B3514" t="str">
            <v>AMS GENL ENG SUPP AT FAIRGRONDS CTG</v>
          </cell>
          <cell r="C3514" t="str">
            <v>131-EFFINGHAM RESOURCE CENTER</v>
          </cell>
        </row>
        <row r="3515">
          <cell r="A3515" t="str">
            <v>A2898</v>
          </cell>
          <cell r="B3515" t="str">
            <v>AMS GENL ENG SUPP AT KIRKSVILLE CTG</v>
          </cell>
          <cell r="C3515" t="str">
            <v>131-EFFINGHAM RESOURCE CENTER</v>
          </cell>
        </row>
        <row r="3516">
          <cell r="A3516" t="str">
            <v>A2899</v>
          </cell>
          <cell r="B3516" t="str">
            <v>AMS GENL ENG SUPP AT MOREAU CTG</v>
          </cell>
          <cell r="C3516" t="str">
            <v>131-EFFINGHAM RESOURCE CENTER</v>
          </cell>
        </row>
        <row r="3517">
          <cell r="A3517" t="str">
            <v>A2900</v>
          </cell>
          <cell r="B3517" t="str">
            <v>AMS GENL ENG SUPP AT MOBERLY CTG</v>
          </cell>
          <cell r="C3517" t="str">
            <v>131-EFFINGHAM RESOURCE CENTER</v>
          </cell>
        </row>
        <row r="3518">
          <cell r="A3518" t="str">
            <v>A2901</v>
          </cell>
          <cell r="B3518" t="str">
            <v>AMS GENL ENG SUPP AT MEXICO CTG</v>
          </cell>
          <cell r="C3518" t="str">
            <v>131-EFFINGHAM RESOURCE CENTER</v>
          </cell>
        </row>
        <row r="3519">
          <cell r="A3519" t="str">
            <v>A2902</v>
          </cell>
          <cell r="B3519" t="str">
            <v>AMS GENL ENG SUPP AT VIADUCT CTG</v>
          </cell>
          <cell r="C3519" t="str">
            <v>131-EFFINGHAM RESOURCE CENTER</v>
          </cell>
        </row>
        <row r="3520">
          <cell r="A3520" t="str">
            <v>A2903</v>
          </cell>
          <cell r="B3520" t="str">
            <v>AMS GENL ENG SUPP AT PENO CREEK CTG</v>
          </cell>
          <cell r="C3520" t="str">
            <v>131-EFFINGHAM RESOURCE CENTER</v>
          </cell>
        </row>
        <row r="3521">
          <cell r="A3521" t="str">
            <v>A2904</v>
          </cell>
          <cell r="B3521" t="str">
            <v>AMS GENL ENG SUPP AT AUDRAIN CTG</v>
          </cell>
          <cell r="C3521" t="str">
            <v>131-EFFINGHAM RESOURCE CENTER</v>
          </cell>
        </row>
        <row r="3522">
          <cell r="A3522" t="str">
            <v>A2905</v>
          </cell>
          <cell r="B3522" t="str">
            <v>AMS GENL ENG SUPP AT GOOSE CREK CTG</v>
          </cell>
          <cell r="C3522" t="str">
            <v>131-EFFINGHAM RESOURCE CENTER</v>
          </cell>
        </row>
        <row r="3523">
          <cell r="A3523" t="str">
            <v>A2906</v>
          </cell>
          <cell r="B3523" t="str">
            <v>AMS GENL ENG SUPP AT KINMUNDY CTG</v>
          </cell>
          <cell r="C3523" t="str">
            <v>131-EFFINGHAM RESOURCE CENTER</v>
          </cell>
        </row>
        <row r="3524">
          <cell r="A3524" t="str">
            <v>A2907</v>
          </cell>
          <cell r="B3524" t="str">
            <v>AMS GENL ENG SUPP AT PNCKNEYVLE CTG</v>
          </cell>
          <cell r="C3524" t="str">
            <v>131-EFFINGHAM RESOURCE CENTER</v>
          </cell>
        </row>
        <row r="3525">
          <cell r="A3525" t="str">
            <v>A2908</v>
          </cell>
          <cell r="B3525" t="str">
            <v>AMS GENL ENG SUPP AT RACCOON CK CTG</v>
          </cell>
          <cell r="C3525" t="str">
            <v>131-EFFINGHAM RESOURCE CENTER</v>
          </cell>
        </row>
        <row r="3526">
          <cell r="A3526" t="str">
            <v>A2909</v>
          </cell>
          <cell r="B3526" t="str">
            <v>NMarket Allocation Manager</v>
          </cell>
          <cell r="C3526" t="str">
            <v>09T-COMMERCIAL OPERATIONS SUPPORT</v>
          </cell>
        </row>
        <row r="3527">
          <cell r="A3527" t="str">
            <v>A2910</v>
          </cell>
          <cell r="B3527" t="str">
            <v>RENT FOR AMEREN SERVICES EMPLOYEES</v>
          </cell>
          <cell r="C3527" t="str">
            <v>190-APPORTIONMENTS/SPECIAL ITEMS</v>
          </cell>
        </row>
        <row r="3528">
          <cell r="A3528" t="str">
            <v>A2911</v>
          </cell>
          <cell r="B3528" t="str">
            <v>RENT FOR AMEREN SERVICES EMPLOYEES</v>
          </cell>
          <cell r="C3528" t="str">
            <v>190-APPORTIONMENTS/SPECIAL ITEMS</v>
          </cell>
        </row>
        <row r="3529">
          <cell r="A3529" t="str">
            <v>A2912</v>
          </cell>
          <cell r="B3529" t="str">
            <v>ILLINOIS CUSTOMER MAIL - ELECTRIC</v>
          </cell>
          <cell r="C3529" t="str">
            <v>06A-INF-INSERTING &amp; MAIL DELIVERY</v>
          </cell>
        </row>
        <row r="3530">
          <cell r="A3530" t="str">
            <v>A2913</v>
          </cell>
          <cell r="B3530" t="str">
            <v>ILLINOIS CUSTOMER MAIL - GAS</v>
          </cell>
          <cell r="C3530" t="str">
            <v>06A-INF-INSERTING &amp; MAIL DELIVERY</v>
          </cell>
        </row>
        <row r="3531">
          <cell r="A3531" t="str">
            <v>A2914</v>
          </cell>
          <cell r="B3531" t="str">
            <v>GEN QUALITY MANAGEMENT INITIATIVES</v>
          </cell>
          <cell r="C3531" t="str">
            <v>680-GENERATION PRECISION QUALITY MG</v>
          </cell>
        </row>
        <row r="3532">
          <cell r="A3532" t="str">
            <v>A2915</v>
          </cell>
          <cell r="B3532" t="str">
            <v>DAM SAFETY DEPT. EXPENSES</v>
          </cell>
          <cell r="C3532" t="str">
            <v>09H-DAM SAFETY &amp; HYDRO ENGINEERING</v>
          </cell>
        </row>
        <row r="3533">
          <cell r="A3533" t="str">
            <v>A2916</v>
          </cell>
          <cell r="B3533" t="str">
            <v>DAM SAFETY DEPT. CAPITAL</v>
          </cell>
          <cell r="C3533" t="str">
            <v>09H-DAM SAFETY &amp; HYDRO ENGINEERING</v>
          </cell>
        </row>
        <row r="3534">
          <cell r="A3534" t="str">
            <v>A2917</v>
          </cell>
          <cell r="B3534" t="str">
            <v>Indirect Functional SR - 07W</v>
          </cell>
          <cell r="C3534" t="str">
            <v>07W-BLDG SVCS-CIL</v>
          </cell>
        </row>
        <row r="3535">
          <cell r="A3535" t="str">
            <v>A2918</v>
          </cell>
          <cell r="B3535" t="str">
            <v>GAS METER TESTING - IP</v>
          </cell>
          <cell r="C3535" t="str">
            <v>0G2-GAS TECH SERVICES - AMS</v>
          </cell>
        </row>
        <row r="3536">
          <cell r="A3536" t="str">
            <v>A2919</v>
          </cell>
          <cell r="B3536" t="str">
            <v>AMS</v>
          </cell>
          <cell r="C3536" t="str">
            <v>03M-SUB MTCE &amp; CONST-ENG &amp; ADMIN</v>
          </cell>
        </row>
        <row r="3537">
          <cell r="A3537" t="str">
            <v>A2920</v>
          </cell>
          <cell r="B3537" t="str">
            <v>AMS TURB-GEN SUPPORT AT KEOKUK</v>
          </cell>
          <cell r="C3537" t="str">
            <v>40D-GENERATION MAINT ENG</v>
          </cell>
        </row>
        <row r="3538">
          <cell r="A3538" t="str">
            <v>A2921</v>
          </cell>
          <cell r="B3538" t="str">
            <v>AMS TURB-GEN SUPPORT AT OSAGE</v>
          </cell>
          <cell r="C3538" t="str">
            <v>40D-GENERATION MAINT ENG</v>
          </cell>
        </row>
        <row r="3539">
          <cell r="A3539" t="str">
            <v>A2922</v>
          </cell>
          <cell r="B3539" t="str">
            <v>AMS TURB-GEN SUPPORT AT TAUM SAUK</v>
          </cell>
          <cell r="C3539" t="str">
            <v>40D-GENERATION MAINT ENG</v>
          </cell>
        </row>
        <row r="3540">
          <cell r="A3540" t="str">
            <v>A2923</v>
          </cell>
          <cell r="B3540" t="str">
            <v xml:space="preserve">MANAGER - CSD SUBST. OFFICE EQUIP. </v>
          </cell>
          <cell r="C3540" t="str">
            <v>03M-SUB MTCE &amp; CONST-ENG &amp; ADMIN</v>
          </cell>
        </row>
        <row r="3541">
          <cell r="A3541" t="str">
            <v>A2924</v>
          </cell>
          <cell r="B3541" t="str">
            <v>Source to Settle</v>
          </cell>
          <cell r="C3541" t="str">
            <v>08P-SUPPLY CHAIN PROCESS &amp; PERFORMA</v>
          </cell>
        </row>
        <row r="3542">
          <cell r="A3542" t="str">
            <v>A2927</v>
          </cell>
          <cell r="B3542" t="str">
            <v>DEV-OPS - EMPRV MATERIALS</v>
          </cell>
          <cell r="C3542" t="str">
            <v>202-DEV - OPERATIONS</v>
          </cell>
        </row>
        <row r="3543">
          <cell r="A3543" t="str">
            <v>A2929</v>
          </cell>
          <cell r="B3543" t="str">
            <v>DEV-B&amp;CS - OARP SUPPORT</v>
          </cell>
          <cell r="C3543" t="str">
            <v>201-DEV - BUS &amp; CORP SVCS</v>
          </cell>
        </row>
        <row r="3544">
          <cell r="A3544" t="str">
            <v>A2930</v>
          </cell>
          <cell r="B3544" t="str">
            <v>GTPA SERVICES TO COFFEEN</v>
          </cell>
          <cell r="C3544" t="str">
            <v>40E-GENERATION TRAIN &amp; DEV SRVCS</v>
          </cell>
        </row>
        <row r="3545">
          <cell r="A3545" t="str">
            <v>A2931</v>
          </cell>
          <cell r="B3545" t="str">
            <v>GTPA SERVICES TO GRAND TOWER</v>
          </cell>
          <cell r="C3545" t="str">
            <v>40E-GENERATION TRAIN &amp; DEV SRVCS</v>
          </cell>
        </row>
        <row r="3546">
          <cell r="A3546" t="str">
            <v>A2932</v>
          </cell>
          <cell r="B3546" t="str">
            <v>GTPA SERVICES TO HUTSONVILLE</v>
          </cell>
          <cell r="C3546" t="str">
            <v>40E-GENERATION TRAIN &amp; DEV SRVCS</v>
          </cell>
        </row>
        <row r="3547">
          <cell r="A3547" t="str">
            <v>A2933</v>
          </cell>
          <cell r="B3547" t="str">
            <v>GTPA SERVICES TO MEREDOSIA</v>
          </cell>
          <cell r="C3547" t="str">
            <v>40E-GENERATION TRAIN &amp; DEV SRVCS</v>
          </cell>
        </row>
        <row r="3548">
          <cell r="A3548" t="str">
            <v>A2934</v>
          </cell>
          <cell r="B3548" t="str">
            <v>GTPA SERVICES TO NEWTON</v>
          </cell>
          <cell r="C3548" t="str">
            <v>40E-GENERATION TRAIN &amp; DEV SRVCS</v>
          </cell>
        </row>
        <row r="3549">
          <cell r="A3549" t="str">
            <v>A2935</v>
          </cell>
          <cell r="B3549" t="str">
            <v>GTPA SERVICES TO DUCK CREEK</v>
          </cell>
          <cell r="C3549" t="str">
            <v>40E-GENERATION TRAIN &amp; DEV SRVCS</v>
          </cell>
        </row>
        <row r="3550">
          <cell r="A3550" t="str">
            <v>A2936</v>
          </cell>
          <cell r="B3550" t="str">
            <v>GTPA SERVICES TO EDWARDS</v>
          </cell>
          <cell r="C3550" t="str">
            <v>40E-GENERATION TRAIN &amp; DEV SRVCS</v>
          </cell>
        </row>
        <row r="3551">
          <cell r="A3551" t="str">
            <v>A2937</v>
          </cell>
          <cell r="B3551" t="str">
            <v>GTPA SERVICES TO LABADIE</v>
          </cell>
          <cell r="C3551" t="str">
            <v>40E-GENERATION TRAIN &amp; DEV SRVCS</v>
          </cell>
        </row>
        <row r="3552">
          <cell r="A3552" t="str">
            <v>A2939</v>
          </cell>
          <cell r="B3552" t="str">
            <v>GTPA SERVICES TO MERAMEC</v>
          </cell>
          <cell r="C3552" t="str">
            <v>40E-GENERATION TRAIN &amp; DEV SRVCS</v>
          </cell>
        </row>
        <row r="3553">
          <cell r="A3553" t="str">
            <v>A2940</v>
          </cell>
          <cell r="B3553" t="str">
            <v>GTPA SERVICES TO RUSH ISLAND</v>
          </cell>
          <cell r="C3553" t="str">
            <v>40E-GENERATION TRAIN &amp; DEV SRVCS</v>
          </cell>
        </row>
        <row r="3554">
          <cell r="A3554" t="str">
            <v>A2941</v>
          </cell>
          <cell r="B3554" t="str">
            <v>GTPA SERVICES TO SIOUX</v>
          </cell>
          <cell r="C3554" t="str">
            <v>40E-GENERATION TRAIN &amp; DEV SRVCS</v>
          </cell>
        </row>
        <row r="3555">
          <cell r="A3555" t="str">
            <v>A2942</v>
          </cell>
          <cell r="B3555" t="str">
            <v>GTPA SRVCS TO CIL CORP DEREG CTGs</v>
          </cell>
          <cell r="C3555" t="str">
            <v>40E-GENERATION TRAIN &amp; DEV SRVCS</v>
          </cell>
        </row>
        <row r="3556">
          <cell r="A3556" t="str">
            <v>A2943</v>
          </cell>
          <cell r="B3556" t="str">
            <v>GTPA SRVCS TO GEN CORP DEREG CTGs</v>
          </cell>
          <cell r="C3556" t="str">
            <v>40E-GENERATION TRAIN &amp; DEV SRVCS</v>
          </cell>
        </row>
        <row r="3557">
          <cell r="A3557" t="str">
            <v>A2944</v>
          </cell>
          <cell r="B3557" t="str">
            <v>GTPA SRVCS TO ARG CORP DEREG CTGs</v>
          </cell>
          <cell r="C3557" t="str">
            <v>40E-GENERATION TRAIN &amp; DEV SRVCS</v>
          </cell>
        </row>
        <row r="3558">
          <cell r="A3558" t="str">
            <v>A2945</v>
          </cell>
          <cell r="B3558" t="str">
            <v>GTPA SRVCS TO MV1 CORP DEREG CTGs</v>
          </cell>
          <cell r="C3558" t="str">
            <v>40E-GENERATION TRAIN &amp; DEV SRVCS</v>
          </cell>
        </row>
        <row r="3559">
          <cell r="A3559" t="str">
            <v>A2946</v>
          </cell>
          <cell r="B3559" t="str">
            <v>GTPA SRVCS TO UEC CORP REG CTGs</v>
          </cell>
          <cell r="C3559" t="str">
            <v>40E-GENERATION TRAIN &amp; DEV SRVCS</v>
          </cell>
        </row>
        <row r="3560">
          <cell r="A3560" t="str">
            <v>A2947</v>
          </cell>
          <cell r="B3560" t="str">
            <v>AMS GENERATION TECH MGMT SUPPORT</v>
          </cell>
          <cell r="C3560" t="str">
            <v>81H-GENERATION TECHNOLOGY MGMT</v>
          </cell>
        </row>
        <row r="3561">
          <cell r="A3561" t="str">
            <v>A2953</v>
          </cell>
          <cell r="B3561" t="str">
            <v>OARP R2</v>
          </cell>
          <cell r="C3561" t="str">
            <v>09T-COMMERCIAL OPERATIONS SUPPORT</v>
          </cell>
        </row>
        <row r="3562">
          <cell r="A3562" t="str">
            <v>A2956</v>
          </cell>
          <cell r="B3562" t="str">
            <v>Long Term Forecasting Tool</v>
          </cell>
          <cell r="C3562" t="str">
            <v>09T-COMMERCIAL OPERATIONS SUPPORT</v>
          </cell>
        </row>
        <row r="3563">
          <cell r="A3563" t="str">
            <v>A2957</v>
          </cell>
          <cell r="B3563" t="str">
            <v>Ameren Reconfig (ARP)</v>
          </cell>
          <cell r="C3563" t="str">
            <v>09T-COMMERCIAL OPERATIONS SUPPORT</v>
          </cell>
        </row>
        <row r="3564">
          <cell r="A3564" t="str">
            <v>A2959</v>
          </cell>
          <cell r="B3564" t="str">
            <v>BPM SFTWR &amp; PROOF OF CONCEPT DESIGN</v>
          </cell>
          <cell r="C3564" t="str">
            <v>81H-GENERATION TECHNOLOGY MGMT</v>
          </cell>
        </row>
        <row r="3565">
          <cell r="A3565" t="str">
            <v>A2960</v>
          </cell>
          <cell r="B3565" t="str">
            <v>KEOKUK GENL ENGINEERING SUPP</v>
          </cell>
          <cell r="C3565" t="str">
            <v>09H-DAM SAFETY &amp; HYDRO ENGINEERING</v>
          </cell>
        </row>
        <row r="3566">
          <cell r="A3566" t="str">
            <v>A2961</v>
          </cell>
          <cell r="B3566" t="str">
            <v>OSAGE GENL ENGINEERING SUPP</v>
          </cell>
          <cell r="C3566" t="str">
            <v>09H-DAM SAFETY &amp; HYDRO ENGINEERING</v>
          </cell>
        </row>
        <row r="3567">
          <cell r="A3567" t="str">
            <v>A2962</v>
          </cell>
          <cell r="B3567" t="str">
            <v>TAUM SAUK GENL ENGINEERING SUPP</v>
          </cell>
          <cell r="C3567" t="str">
            <v>09H-DAM SAFETY &amp; HYDRO ENGINEERING</v>
          </cell>
        </row>
        <row r="3568">
          <cell r="A3568" t="str">
            <v>A2963</v>
          </cell>
          <cell r="B3568" t="str">
            <v>Trans-Op, Plng, Rel,Reg allocated</v>
          </cell>
          <cell r="C3568" t="str">
            <v>042-TRANSMISSION OPERATIONS</v>
          </cell>
        </row>
        <row r="3569">
          <cell r="A3569" t="str">
            <v>A2964</v>
          </cell>
          <cell r="B3569" t="str">
            <v>Trans-Op, Plng, Rel,Reg allocated</v>
          </cell>
          <cell r="C3569" t="str">
            <v>042-TRANSMISSION OPERATIONS</v>
          </cell>
        </row>
        <row r="3570">
          <cell r="A3570" t="str">
            <v>A2965</v>
          </cell>
          <cell r="B3570" t="str">
            <v>Trans-Op, Plng, Rel,Reg for UEC</v>
          </cell>
          <cell r="C3570" t="str">
            <v>042-TRANSMISSION OPERATIONS</v>
          </cell>
        </row>
        <row r="3571">
          <cell r="A3571" t="str">
            <v>A2966</v>
          </cell>
          <cell r="B3571" t="str">
            <v>Trans-Op, Plng, Rel,Reg for CIP</v>
          </cell>
          <cell r="C3571" t="str">
            <v>042-TRANSMISSION OPERATIONS</v>
          </cell>
        </row>
        <row r="3572">
          <cell r="A3572" t="str">
            <v>A2967</v>
          </cell>
          <cell r="B3572" t="str">
            <v>Trans-Op, Plng, Rel,Reg for CIL</v>
          </cell>
          <cell r="C3572" t="str">
            <v>042-TRANSMISSION OPERATIONS</v>
          </cell>
        </row>
        <row r="3573">
          <cell r="A3573" t="str">
            <v>A2968</v>
          </cell>
          <cell r="B3573" t="str">
            <v>Trans-Op, Plng, Rel,Reg for IPC</v>
          </cell>
          <cell r="C3573" t="str">
            <v>042-TRANSMISSION OPERATIONS</v>
          </cell>
        </row>
        <row r="3574">
          <cell r="A3574" t="str">
            <v>A2969</v>
          </cell>
          <cell r="B3574" t="str">
            <v>Business Risk Management</v>
          </cell>
          <cell r="C3574" t="str">
            <v>07R-FINANCIAL PLANNING, INS &amp; RISK</v>
          </cell>
        </row>
        <row r="3575">
          <cell r="A3575" t="str">
            <v>A2970</v>
          </cell>
          <cell r="B3575" t="str">
            <v>Dist. Plng for IL</v>
          </cell>
          <cell r="C3575" t="str">
            <v>028-ED DISTRIBUTION ENGINEERING</v>
          </cell>
        </row>
        <row r="3576">
          <cell r="A3576" t="str">
            <v>A2971</v>
          </cell>
          <cell r="B3576" t="str">
            <v>Dist. Plng for MO</v>
          </cell>
          <cell r="C3576" t="str">
            <v>028-ED DISTRIBUTION ENGINEERING</v>
          </cell>
        </row>
        <row r="3577">
          <cell r="A3577" t="str">
            <v>A2972</v>
          </cell>
          <cell r="B3577" t="str">
            <v>Trans- Plng, Rel,Reg allocated</v>
          </cell>
          <cell r="C3577" t="str">
            <v>09P-ELECTRIC PLANNING</v>
          </cell>
        </row>
        <row r="3578">
          <cell r="A3578" t="str">
            <v>A2974</v>
          </cell>
          <cell r="B3578" t="str">
            <v>Straight Through Processing</v>
          </cell>
          <cell r="C3578" t="str">
            <v>310-AER SVCS - FINANCIAL ANALYSIS</v>
          </cell>
        </row>
        <row r="3579">
          <cell r="A3579" t="str">
            <v>A2975</v>
          </cell>
          <cell r="B3579" t="str">
            <v>BUSINESS SRVS, GFOA, SUPPT FOR AEG</v>
          </cell>
          <cell r="C3579" t="str">
            <v>130-BUSINESS SERVICES - AEG</v>
          </cell>
        </row>
        <row r="3580">
          <cell r="A3580" t="str">
            <v>A2976</v>
          </cell>
          <cell r="B3580" t="str">
            <v>BUSINESS SRVS, GFOA, SUPPT FOR ARG</v>
          </cell>
          <cell r="C3580" t="str">
            <v>130-BUSINESS SERVICES - AEG</v>
          </cell>
        </row>
        <row r="3581">
          <cell r="A3581" t="str">
            <v>A2977</v>
          </cell>
          <cell r="B3581" t="str">
            <v>BUSINESS SRVS, GFOA, SUPPT FOR UEC</v>
          </cell>
          <cell r="C3581" t="str">
            <v>130-BUSINESS SERVICES - AEG</v>
          </cell>
        </row>
        <row r="3582">
          <cell r="A3582" t="str">
            <v>A2978</v>
          </cell>
          <cell r="B3582" t="str">
            <v>RECORD CENTER SUPPORT</v>
          </cell>
          <cell r="C3582" t="str">
            <v>06F-INF - ENTERPRISE STORAGE</v>
          </cell>
        </row>
        <row r="3583">
          <cell r="A3583" t="str">
            <v>A2979</v>
          </cell>
          <cell r="B3583" t="str">
            <v>UEC ADMINISTRATION PROCESS</v>
          </cell>
          <cell r="C3583" t="str">
            <v>45C-ED FINANCIAL SUPPORT &amp; ANALYSIS</v>
          </cell>
        </row>
        <row r="3584">
          <cell r="A3584" t="str">
            <v>ARG03</v>
          </cell>
          <cell r="B3584" t="str">
            <v>INDIRECT OVERHEADS ARG</v>
          </cell>
          <cell r="C3584" t="str">
            <v>092-SPECIAL ITEMS-ACCOUNTING DEPT</v>
          </cell>
        </row>
        <row r="3585">
          <cell r="A3585" t="str">
            <v>AXA11</v>
          </cell>
          <cell r="B3585" t="str">
            <v>EXECUTIVE ADVISORY SERVICES - AMS (</v>
          </cell>
          <cell r="C3585" t="str">
            <v>022-GENERAL EXECUTIVE STAFF-AMS</v>
          </cell>
        </row>
        <row r="3586">
          <cell r="A3586" t="str">
            <v>AXA1F</v>
          </cell>
          <cell r="B3586" t="str">
            <v>EXEC ADVSRY SVCS - AMEREN ENERGY FU</v>
          </cell>
          <cell r="C3586" t="str">
            <v>022-GENERAL EXECUTIVE STAFF-AMS</v>
          </cell>
        </row>
        <row r="3587">
          <cell r="A3587" t="str">
            <v>AXA1G</v>
          </cell>
          <cell r="B3587" t="str">
            <v>EXECUTIVE ADV SERV-AEM</v>
          </cell>
          <cell r="C3587" t="str">
            <v>022-GENERAL EXECUTIVE STAFF-AMS</v>
          </cell>
        </row>
        <row r="3588">
          <cell r="A3588" t="str">
            <v>AXA21</v>
          </cell>
          <cell r="B3588" t="str">
            <v>EXECUTIVE ADVISORY SERVICES - UE (A</v>
          </cell>
          <cell r="C3588" t="str">
            <v>022-GENERAL EXECUTIVE STAFF-AMS</v>
          </cell>
        </row>
        <row r="3589">
          <cell r="A3589" t="str">
            <v>AXA41</v>
          </cell>
          <cell r="B3589" t="str">
            <v>EXECUTIVE ADVISORY SERVICES - CIPS(</v>
          </cell>
          <cell r="C3589" t="str">
            <v>022-GENERAL EXECUTIVE STAFF-AMS</v>
          </cell>
        </row>
        <row r="3590">
          <cell r="A3590" t="str">
            <v>AXACL</v>
          </cell>
          <cell r="B3590" t="str">
            <v>EXECUTIVE ADVISORY SER - CIL(ABOVE)</v>
          </cell>
          <cell r="C3590" t="str">
            <v>022-GENERAL EXECUTIVE STAFF-AMS</v>
          </cell>
        </row>
        <row r="3591">
          <cell r="A3591" t="str">
            <v>AXAIP</v>
          </cell>
          <cell r="B3591" t="str">
            <v>EXECUTIVE ADV SERV-IPC(ABOVE)</v>
          </cell>
          <cell r="C3591" t="str">
            <v>022-GENERAL EXECUTIVE STAFF-AMS</v>
          </cell>
        </row>
        <row r="3592">
          <cell r="A3592" t="str">
            <v>AXARG</v>
          </cell>
          <cell r="B3592" t="str">
            <v>EXECUTIVE ADV SERV-ARG</v>
          </cell>
          <cell r="C3592" t="str">
            <v>022-GENERAL EXECUTIVE STAFF-AMS</v>
          </cell>
        </row>
        <row r="3593">
          <cell r="A3593" t="str">
            <v>AXB10</v>
          </cell>
          <cell r="B3593" t="str">
            <v>EXEC ADV SERVICES &amp; HQ EXPENSE-AMC(</v>
          </cell>
          <cell r="C3593" t="str">
            <v>022-GENERAL EXECUTIVE STAFF-AMS</v>
          </cell>
        </row>
        <row r="3594">
          <cell r="A3594" t="str">
            <v>AXB11</v>
          </cell>
          <cell r="B3594" t="str">
            <v>EXECUTIVE ADVISORY SERVICES - AMS(B</v>
          </cell>
          <cell r="C3594" t="str">
            <v>022-GENERAL EXECUTIVE STAFF-AMS</v>
          </cell>
        </row>
        <row r="3595">
          <cell r="A3595" t="str">
            <v>AXB12</v>
          </cell>
          <cell r="B3595" t="str">
            <v>EXECUTIVE ADVISORY SERVICES - AEC (</v>
          </cell>
          <cell r="C3595" t="str">
            <v>022-GENERAL EXECUTIVE STAFF-AMS</v>
          </cell>
        </row>
        <row r="3596">
          <cell r="A3596" t="str">
            <v>AXB13</v>
          </cell>
          <cell r="B3596" t="str">
            <v>EXEC ADVISORY SERVICES - CIC(ABOVE</v>
          </cell>
          <cell r="C3596" t="str">
            <v>022-GENERAL EXECUTIVE STAFF-AMS</v>
          </cell>
        </row>
        <row r="3597">
          <cell r="A3597" t="str">
            <v>AXB14</v>
          </cell>
          <cell r="B3597" t="str">
            <v>EXEC ADVISORY SERVICES - UDC(BELOW</v>
          </cell>
          <cell r="C3597" t="str">
            <v>022-GENERAL EXECUTIVE STAFF-AMS</v>
          </cell>
        </row>
        <row r="3598">
          <cell r="A3598" t="str">
            <v>AXB16</v>
          </cell>
          <cell r="B3598" t="str">
            <v>EXEC ADVISORY SERVICES - AME (ABOVE</v>
          </cell>
          <cell r="C3598" t="str">
            <v>022-GENERAL EXECUTIVE STAFF-AMS</v>
          </cell>
        </row>
        <row r="3599">
          <cell r="A3599" t="str">
            <v>AXB18</v>
          </cell>
          <cell r="B3599" t="str">
            <v>EXEC ADVISORY SERVICES - ERC (ABOVE</v>
          </cell>
          <cell r="C3599" t="str">
            <v>022-GENERAL EXECUTIVE STAFF-AMS</v>
          </cell>
        </row>
        <row r="3600">
          <cell r="A3600" t="str">
            <v>AXB1D</v>
          </cell>
          <cell r="B3600" t="str">
            <v>EXEC. ADV. SERVICES - AED (ABOVE TH</v>
          </cell>
          <cell r="C3600" t="str">
            <v>022-GENERAL EXECUTIVE STAFF-AMS</v>
          </cell>
        </row>
        <row r="3601">
          <cell r="A3601" t="str">
            <v>AXB1G</v>
          </cell>
          <cell r="B3601" t="str">
            <v>EXEC. ADV. SERVICES - GMC(ABOVE THE</v>
          </cell>
          <cell r="C3601" t="str">
            <v>022-GENERAL EXECUTIVE STAFF-AMS</v>
          </cell>
        </row>
        <row r="3602">
          <cell r="A3602" t="str">
            <v>AXB1H</v>
          </cell>
          <cell r="B3602" t="str">
            <v>EXEC. ADV. SERVICES - IHC (ABOVE TH</v>
          </cell>
          <cell r="C3602" t="str">
            <v>022-GENERAL EXECUTIVE STAFF-AMS</v>
          </cell>
        </row>
        <row r="3603">
          <cell r="A3603" t="str">
            <v>AXB1M</v>
          </cell>
          <cell r="B3603" t="str">
            <v>EXEC. ADV. SERVICES - IMS (ABOVE TH</v>
          </cell>
          <cell r="C3603" t="str">
            <v>022-GENERAL EXECUTIVE STAFF-AMS</v>
          </cell>
        </row>
        <row r="3604">
          <cell r="A3604" t="str">
            <v>AXB21</v>
          </cell>
          <cell r="B3604" t="str">
            <v>EXECUTIVE ADVISORY SERVICES - UE (B</v>
          </cell>
          <cell r="C3604" t="str">
            <v>022-GENERAL EXECUTIVE STAFF-AMS</v>
          </cell>
        </row>
        <row r="3605">
          <cell r="A3605" t="str">
            <v>AXB41</v>
          </cell>
          <cell r="B3605" t="str">
            <v>EXEC ADVISORY SERVICES - CIPS (BELO</v>
          </cell>
          <cell r="C3605" t="str">
            <v>022-GENERAL EXECUTIVE STAFF-AMS</v>
          </cell>
        </row>
        <row r="3606">
          <cell r="A3606" t="str">
            <v>AXB90</v>
          </cell>
          <cell r="B3606" t="str">
            <v>EXEC. ADV. SERVICES - GENCO (ABOVE</v>
          </cell>
          <cell r="C3606" t="str">
            <v>022-GENERAL EXECUTIVE STAFF-AMS</v>
          </cell>
        </row>
        <row r="3607">
          <cell r="A3607" t="str">
            <v>C0022</v>
          </cell>
          <cell r="B3607" t="str">
            <v>R/E CHARGES TO CIPS DIST. SUBSTATIO</v>
          </cell>
          <cell r="C3607" t="str">
            <v>03D-SUB MTCE &amp; CONST-IL EAST</v>
          </cell>
        </row>
        <row r="3608">
          <cell r="A3608" t="str">
            <v>C0025</v>
          </cell>
          <cell r="B3608" t="str">
            <v>MISC CAPITAL EXPENDITURES &lt;$50,000</v>
          </cell>
          <cell r="C3608" t="str">
            <v>065-NEO - TELEPHONE SERVICES</v>
          </cell>
        </row>
        <row r="3609">
          <cell r="A3609" t="str">
            <v>C0030</v>
          </cell>
          <cell r="B3609" t="str">
            <v>G-83 GAS OTHER GENERAL PLANT(SCADA)</v>
          </cell>
          <cell r="C3609" t="str">
            <v>0G1-GAS TECH SERVICES - CIP</v>
          </cell>
        </row>
        <row r="3610">
          <cell r="A3610" t="str">
            <v>C0031</v>
          </cell>
          <cell r="B3610" t="str">
            <v>G-40 MAINS LESS THAN 100,000 - CIP</v>
          </cell>
          <cell r="C3610" t="str">
            <v>0G1-GAS TECH SERVICES - CIP</v>
          </cell>
        </row>
        <row r="3611">
          <cell r="A3611" t="str">
            <v>C0032</v>
          </cell>
          <cell r="B3611" t="str">
            <v>SWO - CIP RETIREMENTS</v>
          </cell>
          <cell r="C3611" t="str">
            <v>061-REAL ESTATE</v>
          </cell>
        </row>
        <row r="3612">
          <cell r="A3612" t="str">
            <v>C0057</v>
          </cell>
          <cell r="B3612" t="str">
            <v>SWO CIP METROE LINEXFMRS-T&amp;D DESIGN</v>
          </cell>
          <cell r="C3612" t="str">
            <v>233-ED-ELECTRIC STANDARDS</v>
          </cell>
        </row>
        <row r="3613">
          <cell r="A3613" t="str">
            <v>C0091</v>
          </cell>
          <cell r="B3613" t="str">
            <v>GS G40 MAINS LESS THAN 10000 CIPS</v>
          </cell>
          <cell r="C3613" t="str">
            <v>0G1-GAS TECH SERVICES - CIP</v>
          </cell>
        </row>
        <row r="3614">
          <cell r="A3614" t="str">
            <v>C0101</v>
          </cell>
          <cell r="B3614" t="str">
            <v>NEW BUSINESS ADDITIONS E10 - NORTHE</v>
          </cell>
          <cell r="C3614" t="str">
            <v>231-IL OPS ADMIN DIV IV V VI VII</v>
          </cell>
        </row>
        <row r="3615">
          <cell r="A3615" t="str">
            <v>C0102</v>
          </cell>
          <cell r="B3615" t="str">
            <v>TRANSMISSION &amp; DISTRIBUTION LINES -</v>
          </cell>
          <cell r="C3615" t="str">
            <v>231-IL OPS ADMIN DIV IV V VI VII</v>
          </cell>
        </row>
        <row r="3616">
          <cell r="A3616" t="str">
            <v>C0103</v>
          </cell>
          <cell r="B3616" t="str">
            <v>GOVERNMENT RELOCATIONS E50 - NORTHE</v>
          </cell>
          <cell r="C3616" t="str">
            <v>231-IL OPS ADMIN DIV IV V VI VII</v>
          </cell>
        </row>
        <row r="3617">
          <cell r="A3617" t="str">
            <v>C0111</v>
          </cell>
          <cell r="B3617" t="str">
            <v>NEW BUSINESS GAS ADDITIONS G10 - NO</v>
          </cell>
          <cell r="C3617" t="str">
            <v>231-IL OPS ADMIN DIV IV V VI VII</v>
          </cell>
        </row>
        <row r="3618">
          <cell r="A3618" t="str">
            <v>C0113</v>
          </cell>
          <cell r="B3618" t="str">
            <v>GAS TRANS &amp; DISTR LINES G40 - NO PR</v>
          </cell>
          <cell r="C3618" t="str">
            <v>231-IL OPS ADMIN DIV IV V VI VII</v>
          </cell>
        </row>
        <row r="3619">
          <cell r="A3619" t="str">
            <v>C0114</v>
          </cell>
          <cell r="B3619" t="str">
            <v>G50 - GAS - GOV RELOCATIONS - CIPS</v>
          </cell>
          <cell r="C3619" t="str">
            <v>231-IL OPS ADMIN DIV IV V VI VII</v>
          </cell>
        </row>
        <row r="3620">
          <cell r="A3620" t="str">
            <v>C0117</v>
          </cell>
          <cell r="B3620" t="str">
            <v>SWO -CIP SUB ROOF-DRIVEWAY REPL-E63</v>
          </cell>
          <cell r="C3620" t="str">
            <v>03M-SUB MTCE &amp; CONST-ENG &amp; ADMIN</v>
          </cell>
        </row>
        <row r="3621">
          <cell r="A3621" t="str">
            <v>C0223</v>
          </cell>
          <cell r="B3621" t="str">
            <v>UNDERGROUND CABLE REPLACEMENTS-CIP</v>
          </cell>
          <cell r="C3621" t="str">
            <v>91A-IL OPS ADMIN</v>
          </cell>
        </row>
        <row r="3622">
          <cell r="A3622" t="str">
            <v>C0224</v>
          </cell>
          <cell r="B3622" t="str">
            <v>MED PRIORITY DIST SVCS-T&amp;D LINES</v>
          </cell>
          <cell r="C3622" t="str">
            <v>91A-IL OPS ADMIN</v>
          </cell>
        </row>
        <row r="3623">
          <cell r="A3623" t="str">
            <v>C0226</v>
          </cell>
          <cell r="B3623" t="str">
            <v>EMRGNCY WRK DIST SVCS-T&amp;D LINES</v>
          </cell>
          <cell r="C3623" t="str">
            <v>91A-IL OPS ADMIN</v>
          </cell>
        </row>
        <row r="3624">
          <cell r="A3624" t="str">
            <v>C0227</v>
          </cell>
          <cell r="B3624" t="str">
            <v>CUST RQSTD DIST SVCS-T&amp;D LINES</v>
          </cell>
          <cell r="C3624" t="str">
            <v>91A-IL OPS ADMIN</v>
          </cell>
        </row>
        <row r="3625">
          <cell r="A3625" t="str">
            <v>C0228</v>
          </cell>
          <cell r="B3625" t="str">
            <v>MED PRIORITY DIST SVCS-T&amp;D GAS</v>
          </cell>
          <cell r="C3625" t="str">
            <v>91A-IL OPS ADMIN</v>
          </cell>
        </row>
        <row r="3626">
          <cell r="A3626" t="str">
            <v>C0230</v>
          </cell>
          <cell r="B3626" t="str">
            <v>CIP MISC E40 LESS THAN 10K SYSMAINT</v>
          </cell>
          <cell r="C3626" t="str">
            <v>91A-IL OPS ADMIN</v>
          </cell>
        </row>
        <row r="3627">
          <cell r="A3627" t="str">
            <v>C0231</v>
          </cell>
          <cell r="B3627" t="str">
            <v>CUST RQSTD DIST SVCS-T&amp;D GAS</v>
          </cell>
          <cell r="C3627" t="str">
            <v>91A-IL OPS ADMIN</v>
          </cell>
        </row>
        <row r="3628">
          <cell r="A3628" t="str">
            <v>C0239</v>
          </cell>
          <cell r="B3628" t="str">
            <v>GAS SUPT G40 MAINS MEDIUM PR CIPS</v>
          </cell>
          <cell r="C3628" t="str">
            <v>0G1-GAS TECH SERVICES - CIP</v>
          </cell>
        </row>
        <row r="3629">
          <cell r="A3629" t="str">
            <v>C0243</v>
          </cell>
          <cell r="B3629" t="str">
            <v>CIP MISC G40 LESS THAN 10K SYSMAINT</v>
          </cell>
          <cell r="C3629" t="str">
            <v>91A-IL OPS ADMIN</v>
          </cell>
        </row>
        <row r="3630">
          <cell r="A3630" t="str">
            <v>C0290</v>
          </cell>
          <cell r="B3630" t="str">
            <v>STRONG THUNDERSTORMS/TORNADO3/11/06</v>
          </cell>
          <cell r="C3630" t="str">
            <v>231-IL OPS ADMIN DIV IV V VI VII</v>
          </cell>
        </row>
        <row r="3631">
          <cell r="A3631" t="str">
            <v>C0291</v>
          </cell>
          <cell r="B3631" t="str">
            <v>THUNDERSTORMS/HIGH WINDS 4/2/06</v>
          </cell>
          <cell r="C3631" t="str">
            <v>231-IL OPS ADMIN DIV IV V VI VII</v>
          </cell>
        </row>
        <row r="3632">
          <cell r="A3632" t="str">
            <v>C0292</v>
          </cell>
          <cell r="B3632" t="str">
            <v>Illinois CIPS Storm</v>
          </cell>
          <cell r="C3632" t="str">
            <v>231-IL OPS ADMIN DIV IV V VI VII</v>
          </cell>
        </row>
        <row r="3633">
          <cell r="A3633" t="str">
            <v>C0293</v>
          </cell>
          <cell r="B3633" t="str">
            <v>CIP STORMS</v>
          </cell>
          <cell r="C3633" t="str">
            <v>231-IL OPS ADMIN DIV IV V VI VII</v>
          </cell>
        </row>
        <row r="3634">
          <cell r="A3634" t="str">
            <v>C0294</v>
          </cell>
          <cell r="B3634" t="str">
            <v>STORM CIP DISTRIBUTION</v>
          </cell>
          <cell r="C3634" t="str">
            <v>066-MO OPS ADMIN</v>
          </cell>
        </row>
        <row r="3635">
          <cell r="A3635" t="str">
            <v>C0295</v>
          </cell>
          <cell r="B3635" t="str">
            <v>ILLINI STORM DAMAGE</v>
          </cell>
          <cell r="C3635" t="str">
            <v>231-IL OPS ADMIN DIV IV V VI VII</v>
          </cell>
        </row>
        <row r="3636">
          <cell r="A3636" t="str">
            <v>C0296</v>
          </cell>
          <cell r="B3636" t="str">
            <v>ILLINI STORM DAMAGE 5-30-04</v>
          </cell>
          <cell r="C3636" t="str">
            <v>2MS-DIVISION IV SUPPORT STAFF</v>
          </cell>
        </row>
        <row r="3637">
          <cell r="A3637" t="str">
            <v>C0297</v>
          </cell>
          <cell r="B3637" t="str">
            <v>ILLINI-PAXTON-SEVERE THUNDERSTORMS</v>
          </cell>
          <cell r="C3637" t="str">
            <v>231-IL OPS ADMIN DIV IV V VI VII</v>
          </cell>
        </row>
        <row r="3638">
          <cell r="A3638" t="str">
            <v>C0298</v>
          </cell>
          <cell r="B3638" t="str">
            <v>ILLINI-WINTER STORM</v>
          </cell>
          <cell r="C3638" t="str">
            <v>231-IL OPS ADMIN DIV IV V VI VII</v>
          </cell>
        </row>
        <row r="3639">
          <cell r="A3639" t="str">
            <v>C0299</v>
          </cell>
          <cell r="B3639" t="str">
            <v>ILL DIV 5 EAST ST LOUIS-HIGH WINDS</v>
          </cell>
          <cell r="C3639" t="str">
            <v>231-IL OPS ADMIN DIV IV V VI VII</v>
          </cell>
        </row>
        <row r="3640">
          <cell r="A3640" t="str">
            <v>C0319</v>
          </cell>
          <cell r="B3640" t="str">
            <v>SWO CIP METROE. METER.EQPMT.PURCH.</v>
          </cell>
          <cell r="C3640" t="str">
            <v>03V-DISTRIBUTION SERVICES-AMS</v>
          </cell>
        </row>
        <row r="3641">
          <cell r="A3641" t="str">
            <v>C0894</v>
          </cell>
          <cell r="B3641" t="str">
            <v>GREAT RIVER DIVISION 5/25/04 STORM</v>
          </cell>
          <cell r="C3641" t="str">
            <v>8MS-DIVISION II SUPPORT STAFF</v>
          </cell>
        </row>
        <row r="3642">
          <cell r="A3642" t="str">
            <v>C0920</v>
          </cell>
          <cell r="B3642" t="str">
            <v>PROJECTS UNDER $100,000- E70 - COFF</v>
          </cell>
          <cell r="C3642" t="str">
            <v>CFG-COFFEEN - GENERAL</v>
          </cell>
        </row>
        <row r="3643">
          <cell r="A3643" t="str">
            <v>C0930</v>
          </cell>
          <cell r="B3643" t="str">
            <v>PROJECTS UNDER $100,000-E70-MEREDOS</v>
          </cell>
          <cell r="C3643" t="str">
            <v>140-MEREDOSIA</v>
          </cell>
        </row>
        <row r="3644">
          <cell r="A3644" t="str">
            <v>C0940</v>
          </cell>
          <cell r="B3644" t="str">
            <v>GDTWR PROJECTS UNDER $100,000 EACH</v>
          </cell>
          <cell r="C3644" t="str">
            <v>354-GRAND TOWER PLANT</v>
          </cell>
        </row>
        <row r="3645">
          <cell r="A3645" t="str">
            <v>C0950</v>
          </cell>
          <cell r="B3645" t="str">
            <v>PROJECTS UNDER $100,000-E70 - HUTSO</v>
          </cell>
          <cell r="C3645" t="str">
            <v>145-HUTSONVILLE</v>
          </cell>
        </row>
        <row r="3646">
          <cell r="A3646" t="str">
            <v>C0990</v>
          </cell>
          <cell r="B3646" t="str">
            <v>CIPS MAJOR STORM-TRANSMISSION</v>
          </cell>
          <cell r="C3646" t="str">
            <v>03C-TRANSMISSION-CIPS</v>
          </cell>
        </row>
        <row r="3647">
          <cell r="A3647" t="str">
            <v>C0991</v>
          </cell>
          <cell r="B3647" t="str">
            <v>CIPS MAJOR STORM-TRANSMISSION</v>
          </cell>
          <cell r="C3647" t="str">
            <v>03C-TRANSMISSION-CIPS</v>
          </cell>
        </row>
        <row r="3648">
          <cell r="A3648" t="str">
            <v>C0992</v>
          </cell>
          <cell r="B3648" t="str">
            <v>CIPS TORNADO - 5/6/03</v>
          </cell>
          <cell r="C3648" t="str">
            <v>03T-TRANSMISSION-AMS</v>
          </cell>
        </row>
        <row r="3649">
          <cell r="A3649" t="str">
            <v>C0993</v>
          </cell>
          <cell r="B3649" t="str">
            <v>CIPS TRANSMISSION LINE MAJOR STORM</v>
          </cell>
          <cell r="C3649" t="str">
            <v>03C-TRANSMISSION-CIPS</v>
          </cell>
        </row>
        <row r="3650">
          <cell r="A3650" t="str">
            <v>C0994</v>
          </cell>
          <cell r="B3650" t="str">
            <v>CIPS MAJOR STORM-TRANSMISSION</v>
          </cell>
          <cell r="C3650" t="str">
            <v>03C-TRANSMISSION-CIPS</v>
          </cell>
        </row>
        <row r="3651">
          <cell r="A3651" t="str">
            <v>C0995</v>
          </cell>
          <cell r="B3651" t="str">
            <v>STRONG THUNDERSTORMS/TORNADO3/11/06</v>
          </cell>
          <cell r="C3651" t="str">
            <v>03C-TRANSMISSION-CIPS</v>
          </cell>
        </row>
        <row r="3652">
          <cell r="A3652" t="str">
            <v>C0996</v>
          </cell>
          <cell r="B3652" t="str">
            <v>THUNDERSTORMS/HIGH WINDS4/2/06</v>
          </cell>
          <cell r="C3652" t="str">
            <v>03C-TRANSMISSION-CIPS</v>
          </cell>
        </row>
        <row r="3653">
          <cell r="A3653" t="str">
            <v>C0997</v>
          </cell>
          <cell r="B3653" t="str">
            <v>CIPS MAJOR STORM-TRANSMISSION</v>
          </cell>
          <cell r="C3653" t="str">
            <v>03C-TRANSMISSION-CIPS</v>
          </cell>
        </row>
        <row r="3654">
          <cell r="A3654" t="str">
            <v>C0998</v>
          </cell>
          <cell r="B3654" t="str">
            <v>CIPS MAJOR STORM-TRANSMISSION</v>
          </cell>
          <cell r="C3654" t="str">
            <v>03C-TRANSMISSION-CIPS</v>
          </cell>
        </row>
        <row r="3655">
          <cell r="A3655" t="str">
            <v>C0999</v>
          </cell>
          <cell r="B3655" t="str">
            <v>CIPS MAJOR STORM-TRANSMISSION</v>
          </cell>
          <cell r="C3655" t="str">
            <v>03C-TRANSMISSION-CIPS</v>
          </cell>
        </row>
        <row r="3656">
          <cell r="A3656" t="str">
            <v>C1126</v>
          </cell>
          <cell r="B3656" t="str">
            <v>Peoria Dispatch Office Equi</v>
          </cell>
          <cell r="C3656" t="str">
            <v>629-DISTRIBUTION OPERATING - PEORIA</v>
          </cell>
        </row>
        <row r="3657">
          <cell r="A3657" t="str">
            <v>C1190</v>
          </cell>
          <cell r="B3657" t="str">
            <v>CILCO STORMS</v>
          </cell>
          <cell r="C3657" t="str">
            <v>668-IL OPS ADMIN DIV I II III</v>
          </cell>
        </row>
        <row r="3658">
          <cell r="A3658" t="str">
            <v>C1191</v>
          </cell>
          <cell r="B3658" t="str">
            <v>ILLINOIS - CIL STORMS</v>
          </cell>
          <cell r="C3658" t="str">
            <v>668-IL OPS ADMIN DIV I II III</v>
          </cell>
        </row>
        <row r="3659">
          <cell r="A3659" t="str">
            <v>C1192</v>
          </cell>
          <cell r="B3659" t="str">
            <v>STORM CIL DISTRIBUTION</v>
          </cell>
          <cell r="C3659" t="str">
            <v>066-MO OPS ADMIN</v>
          </cell>
        </row>
        <row r="3660">
          <cell r="A3660" t="str">
            <v>C1193</v>
          </cell>
          <cell r="B3660" t="str">
            <v>HEAVY RAIN, HAIL AND HEAVY WINDS 6/</v>
          </cell>
          <cell r="C3660" t="str">
            <v>668-IL OPS ADMIN DIV I II III</v>
          </cell>
        </row>
        <row r="3661">
          <cell r="A3661" t="str">
            <v>C1194</v>
          </cell>
          <cell r="B3661" t="str">
            <v>STRONG THUNDERSTORMS/TORNADO3/11/06</v>
          </cell>
          <cell r="C3661" t="str">
            <v>91A-IL OPS ADMIN</v>
          </cell>
        </row>
        <row r="3662">
          <cell r="A3662" t="str">
            <v>C1195</v>
          </cell>
          <cell r="B3662" t="str">
            <v>THUNDERSTORMS/HIGH WINDS 4/2/06</v>
          </cell>
          <cell r="C3662" t="str">
            <v>668-IL OPS ADMIN DIV I II III</v>
          </cell>
        </row>
        <row r="3663">
          <cell r="A3663" t="str">
            <v>C1196</v>
          </cell>
          <cell r="B3663" t="str">
            <v>THUNDERSTORMS 4/15/06 ILLINOIS CIL</v>
          </cell>
          <cell r="C3663" t="str">
            <v>668-IL OPS ADMIN DIV I II III</v>
          </cell>
        </row>
        <row r="3664">
          <cell r="A3664" t="str">
            <v>C1197</v>
          </cell>
          <cell r="B3664" t="str">
            <v>STRONG THUNDERSTORMS/TORNADO3/11/06</v>
          </cell>
          <cell r="C3664" t="str">
            <v>668-IL OPS ADMIN DIV I II III</v>
          </cell>
        </row>
        <row r="3665">
          <cell r="A3665" t="str">
            <v>C1198</v>
          </cell>
          <cell r="B3665" t="str">
            <v>ILL TRANSMISSION-TORNADO 4/18/06</v>
          </cell>
          <cell r="C3665" t="str">
            <v>668-IL OPS ADMIN DIV I II III</v>
          </cell>
        </row>
        <row r="3666">
          <cell r="A3666" t="str">
            <v>C1199</v>
          </cell>
          <cell r="B3666" t="str">
            <v>MAJOR STORM - CILCO - TRANSMISSION</v>
          </cell>
          <cell r="C3666" t="str">
            <v>03B-TRANSMISSION - CILCO</v>
          </cell>
        </row>
        <row r="3667">
          <cell r="A3667" t="str">
            <v>C1201</v>
          </cell>
          <cell r="B3667" t="str">
            <v>SWO - CIL RETIREMENTS</v>
          </cell>
          <cell r="C3667" t="str">
            <v>061-REAL ESTATE</v>
          </cell>
        </row>
        <row r="3668">
          <cell r="A3668" t="str">
            <v>C1209</v>
          </cell>
          <cell r="B3668" t="str">
            <v>E40 ELECTRIC DISTRIBUTION LINE WORK</v>
          </cell>
          <cell r="C3668" t="str">
            <v>668-IL OPS ADMIN DIV I II III</v>
          </cell>
        </row>
        <row r="3669">
          <cell r="A3669" t="str">
            <v>C1220</v>
          </cell>
          <cell r="B3669" t="str">
            <v>G10 GAS DISTRIBUTION NEW BUSINESS</v>
          </cell>
          <cell r="C3669" t="str">
            <v>668-IL OPS ADMIN DIV I II III</v>
          </cell>
        </row>
        <row r="3670">
          <cell r="A3670" t="str">
            <v>C1227</v>
          </cell>
          <cell r="B3670" t="str">
            <v>ELEC GOVERNMENT RELOCATIONS CILCO</v>
          </cell>
          <cell r="C3670" t="str">
            <v>668-IL OPS ADMIN DIV I II III</v>
          </cell>
        </row>
        <row r="3671">
          <cell r="A3671" t="str">
            <v>C1228</v>
          </cell>
          <cell r="B3671" t="str">
            <v>GAS GOVERNMENT RELOCATIONS CILCO</v>
          </cell>
          <cell r="C3671" t="str">
            <v>668-IL OPS ADMIN DIV I II III</v>
          </cell>
        </row>
        <row r="3672">
          <cell r="A3672" t="str">
            <v>C1235</v>
          </cell>
          <cell r="B3672" t="str">
            <v>SWO - CIL METERING EQUIPMENT - E30</v>
          </cell>
          <cell r="C3672" t="str">
            <v>03V-DISTRIBUTION SERVICES-AMS</v>
          </cell>
        </row>
        <row r="3673">
          <cell r="A3673" t="str">
            <v>C1250</v>
          </cell>
          <cell r="B3673" t="str">
            <v>E10 ELECTRIC NEW BUSINESS</v>
          </cell>
          <cell r="C3673" t="str">
            <v>668-IL OPS ADMIN DIV I II III</v>
          </cell>
        </row>
        <row r="3674">
          <cell r="A3674" t="str">
            <v>C1276</v>
          </cell>
          <cell r="B3674" t="str">
            <v>G40 MAINS &lt;$100,000 - CIL</v>
          </cell>
          <cell r="C3674" t="str">
            <v>0G4-GAS TECH SERVICES - CIL</v>
          </cell>
        </row>
        <row r="3675">
          <cell r="A3675" t="str">
            <v>C1280</v>
          </cell>
          <cell r="B3675" t="str">
            <v>GAS STORAGE LESS THAN $100,000 - CI</v>
          </cell>
          <cell r="C3675" t="str">
            <v>0G4-GAS TECH SERVICES - CIL</v>
          </cell>
        </row>
        <row r="3676">
          <cell r="A3676" t="str">
            <v>C1310</v>
          </cell>
          <cell r="B3676" t="str">
            <v>G40 GAS DISTRIBUTION LINE WORK</v>
          </cell>
          <cell r="C3676" t="str">
            <v>668-IL OPS ADMIN DIV I II III</v>
          </cell>
        </row>
        <row r="3677">
          <cell r="A3677" t="str">
            <v>C1350</v>
          </cell>
          <cell r="B3677" t="str">
            <v>GIBSON CITY MISCELLANEOUS CAPITAL</v>
          </cell>
          <cell r="C3677" t="str">
            <v>350-GIBSON CTG</v>
          </cell>
        </row>
        <row r="3678">
          <cell r="A3678" t="str">
            <v>C2119</v>
          </cell>
          <cell r="B3678" t="str">
            <v>MISC E40 SYS Maint less than $10K</v>
          </cell>
          <cell r="C3678" t="str">
            <v>91A-IL OPS ADMIN</v>
          </cell>
        </row>
        <row r="3679">
          <cell r="A3679" t="str">
            <v>C2223</v>
          </cell>
          <cell r="B3679" t="str">
            <v>SUBTRAN REMOTE AUTO SWIT RELIB E40</v>
          </cell>
          <cell r="C3679" t="str">
            <v>91A-IL OPS ADMIN</v>
          </cell>
        </row>
        <row r="3680">
          <cell r="A3680" t="str">
            <v>C2224</v>
          </cell>
          <cell r="B3680" t="str">
            <v>MED PRIORITY DIST SVCS-T&amp;D LINES</v>
          </cell>
          <cell r="C3680" t="str">
            <v>91A-IL OPS ADMIN</v>
          </cell>
        </row>
        <row r="3681">
          <cell r="A3681" t="str">
            <v>C2226</v>
          </cell>
          <cell r="B3681" t="str">
            <v>EMRGNCY WRK DIST SVCS-T&amp;D LINES</v>
          </cell>
          <cell r="C3681" t="str">
            <v>91A-IL OPS ADMIN</v>
          </cell>
        </row>
        <row r="3682">
          <cell r="A3682" t="str">
            <v>C2227</v>
          </cell>
          <cell r="B3682" t="str">
            <v>CUST RQSTD DIST SVCS-T&amp;D LINES</v>
          </cell>
          <cell r="C3682" t="str">
            <v>91A-IL OPS ADMIN</v>
          </cell>
        </row>
        <row r="3683">
          <cell r="A3683" t="str">
            <v>C2228</v>
          </cell>
          <cell r="B3683" t="str">
            <v>MED PRIORITY DIST SVCS-T&amp;D GAS</v>
          </cell>
          <cell r="C3683" t="str">
            <v>91A-IL OPS ADMIN</v>
          </cell>
        </row>
        <row r="3684">
          <cell r="A3684" t="str">
            <v>C2231</v>
          </cell>
          <cell r="B3684" t="str">
            <v>CUST RQSTD DIST SVCS-T&amp;D GAS</v>
          </cell>
          <cell r="C3684" t="str">
            <v>91A-IL OPS ADMIN</v>
          </cell>
        </row>
        <row r="3685">
          <cell r="A3685" t="str">
            <v>C2232</v>
          </cell>
          <cell r="B3685" t="str">
            <v>GAS SUPT G40 MAINS MEDIUM PR CIL</v>
          </cell>
          <cell r="C3685" t="str">
            <v>0G4-GAS TECH SERVICES - CIL</v>
          </cell>
        </row>
        <row r="3686">
          <cell r="A3686" t="str">
            <v>C2236</v>
          </cell>
          <cell r="B3686" t="str">
            <v>CIL MISC G40 LESS THAN 10K SYSMAINT</v>
          </cell>
          <cell r="C3686" t="str">
            <v>91A-IL OPS ADMIN</v>
          </cell>
        </row>
        <row r="3687">
          <cell r="A3687" t="str">
            <v>C2237</v>
          </cell>
          <cell r="B3687" t="str">
            <v>GS G40 MAINS LESS THAN 10000 CIL</v>
          </cell>
          <cell r="C3687" t="str">
            <v>0G4-GAS TECH SERVICES - CIL</v>
          </cell>
        </row>
        <row r="3688">
          <cell r="A3688" t="str">
            <v>C3162</v>
          </cell>
          <cell r="B3688" t="str">
            <v>GAS SUPT G40 T&amp;D IP</v>
          </cell>
          <cell r="C3688" t="str">
            <v>0G5-GAS TECH SERVICES - IPC</v>
          </cell>
        </row>
        <row r="3689">
          <cell r="A3689" t="str">
            <v>C3170</v>
          </cell>
          <cell r="B3689" t="str">
            <v>SWO-IPC ELEC.METER PURCHASES -E30</v>
          </cell>
          <cell r="C3689" t="str">
            <v>03V-DISTRIBUTION SERVICES-AMS</v>
          </cell>
        </row>
        <row r="3690">
          <cell r="A3690" t="str">
            <v>C3181</v>
          </cell>
          <cell r="B3690" t="str">
            <v>SWO-IPC TRANSM.POLE &amp; XARM RPL.-E40</v>
          </cell>
          <cell r="C3690" t="str">
            <v>91H-TRANSMISSION - IPC</v>
          </cell>
        </row>
        <row r="3691">
          <cell r="A3691" t="str">
            <v>C3182</v>
          </cell>
          <cell r="B3691" t="str">
            <v>SWO-IPC GENL. TRANSM. LINES -E40</v>
          </cell>
          <cell r="C3691" t="str">
            <v>91H-TRANSMISSION - IPC</v>
          </cell>
        </row>
        <row r="3692">
          <cell r="A3692" t="str">
            <v>C3183</v>
          </cell>
          <cell r="B3692" t="str">
            <v>SWO-IPC TRANSM.LN.-GOVT.RELOC.-E50</v>
          </cell>
          <cell r="C3692" t="str">
            <v>91H-TRANSMISSION - IPC</v>
          </cell>
        </row>
        <row r="3693">
          <cell r="A3693" t="str">
            <v>C3190</v>
          </cell>
          <cell r="B3693" t="str">
            <v>STRONG THUNDERSTORMS/TORNADO3/11/06</v>
          </cell>
          <cell r="C3693" t="str">
            <v>91H-TRANSMISSION - IPC</v>
          </cell>
        </row>
        <row r="3694">
          <cell r="A3694" t="str">
            <v>C3191</v>
          </cell>
          <cell r="B3694" t="str">
            <v>THUNDERSTORMS/HIGH WINDS 4/2/06</v>
          </cell>
          <cell r="C3694" t="str">
            <v>91H-TRANSMISSION - IPC</v>
          </cell>
        </row>
        <row r="3695">
          <cell r="A3695" t="str">
            <v>C3192</v>
          </cell>
          <cell r="B3695" t="str">
            <v>ILLINOIS IP TRANSMISSION STORM</v>
          </cell>
          <cell r="C3695" t="str">
            <v>91H-TRANSMISSION - IPC</v>
          </cell>
        </row>
        <row r="3696">
          <cell r="A3696" t="str">
            <v>C3193</v>
          </cell>
          <cell r="B3696" t="str">
            <v>STORM IPC TRANSMISSION</v>
          </cell>
          <cell r="C3696" t="str">
            <v>91H-TRANSMISSION - IPC</v>
          </cell>
        </row>
        <row r="3697">
          <cell r="A3697" t="str">
            <v>C3194</v>
          </cell>
          <cell r="B3697" t="str">
            <v>TRANSMISSION SERVICES - STORM #5</v>
          </cell>
          <cell r="C3697" t="str">
            <v>91H-TRANSMISSION - IPC</v>
          </cell>
        </row>
        <row r="3698">
          <cell r="A3698" t="str">
            <v>C3195</v>
          </cell>
          <cell r="B3698" t="str">
            <v>TRANSMISSION SERVICES - STORM #6</v>
          </cell>
          <cell r="C3698" t="str">
            <v>91H-TRANSMISSION - IPC</v>
          </cell>
        </row>
        <row r="3699">
          <cell r="A3699" t="str">
            <v>C3196</v>
          </cell>
          <cell r="B3699" t="str">
            <v>TRANSMISSION SERVICES - STORM #7</v>
          </cell>
          <cell r="C3699" t="str">
            <v>91H-TRANSMISSION - IPC</v>
          </cell>
        </row>
        <row r="3700">
          <cell r="A3700" t="str">
            <v>C3197</v>
          </cell>
          <cell r="B3700" t="str">
            <v>TRANSMISSION SERVICES - STORM #8</v>
          </cell>
          <cell r="C3700" t="str">
            <v>91H-TRANSMISSION - IPC</v>
          </cell>
        </row>
        <row r="3701">
          <cell r="A3701" t="str">
            <v>C3198</v>
          </cell>
          <cell r="B3701" t="str">
            <v>TRANSMISSION SERVICES - STORM #9</v>
          </cell>
          <cell r="C3701" t="str">
            <v>91H-TRANSMISSION - IPC</v>
          </cell>
        </row>
        <row r="3702">
          <cell r="A3702" t="str">
            <v>C3199</v>
          </cell>
          <cell r="B3702" t="str">
            <v>TRANSMISSION SERVICES - STORM #10</v>
          </cell>
          <cell r="C3702" t="str">
            <v>91H-TRANSMISSION - IPC</v>
          </cell>
        </row>
        <row r="3703">
          <cell r="A3703" t="str">
            <v>C3201</v>
          </cell>
          <cell r="B3703" t="str">
            <v>DIST SVC NEW BUS ELEC</v>
          </cell>
          <cell r="C3703" t="str">
            <v>91A-IL OPS ADMIN</v>
          </cell>
        </row>
        <row r="3704">
          <cell r="A3704" t="str">
            <v>C3202</v>
          </cell>
          <cell r="B3704" t="str">
            <v>DIST SVC T &amp; D ELECTRIC LINES</v>
          </cell>
          <cell r="C3704" t="str">
            <v>91A-IL OPS ADMIN</v>
          </cell>
        </row>
        <row r="3705">
          <cell r="A3705" t="str">
            <v>C3205</v>
          </cell>
          <cell r="B3705" t="str">
            <v>DISTRIBUTION SERVICES - POLE REPLAC</v>
          </cell>
          <cell r="C3705" t="str">
            <v>91A-IL OPS ADMIN</v>
          </cell>
        </row>
        <row r="3706">
          <cell r="A3706" t="str">
            <v>C3206</v>
          </cell>
          <cell r="B3706" t="str">
            <v>DIST SVC LIGHTENING ARRESTERS</v>
          </cell>
          <cell r="C3706" t="str">
            <v>91A-IL OPS ADMIN</v>
          </cell>
        </row>
        <row r="3707">
          <cell r="A3707" t="str">
            <v>C3207</v>
          </cell>
          <cell r="B3707" t="str">
            <v>DISTRIBUTION SERVICES - TAP FUSING</v>
          </cell>
          <cell r="C3707" t="str">
            <v>91A-IL OPS ADMIN</v>
          </cell>
        </row>
        <row r="3708">
          <cell r="A3708" t="str">
            <v>C3208</v>
          </cell>
          <cell r="B3708" t="str">
            <v>SUB TRANS REMOTE AUTO SWTCHING</v>
          </cell>
          <cell r="C3708" t="str">
            <v>91A-IL OPS ADMIN</v>
          </cell>
        </row>
        <row r="3709">
          <cell r="A3709" t="str">
            <v>C3209</v>
          </cell>
          <cell r="B3709" t="str">
            <v>DIST SVC INFARED TESTING</v>
          </cell>
          <cell r="C3709" t="str">
            <v>91A-IL OPS ADMIN</v>
          </cell>
        </row>
        <row r="3710">
          <cell r="A3710" t="str">
            <v>C3210</v>
          </cell>
          <cell r="B3710" t="str">
            <v>DIST SVC CABLE REPLACEMENT</v>
          </cell>
          <cell r="C3710" t="str">
            <v>91A-IL OPS ADMIN</v>
          </cell>
        </row>
        <row r="3711">
          <cell r="A3711" t="str">
            <v>C3211</v>
          </cell>
          <cell r="B3711" t="str">
            <v>HEAVY RAIN, HAIL AND HEAVY WINDS 6/</v>
          </cell>
          <cell r="C3711" t="str">
            <v>91A-IL OPS ADMIN</v>
          </cell>
        </row>
        <row r="3712">
          <cell r="A3712" t="str">
            <v>C3212</v>
          </cell>
          <cell r="B3712" t="str">
            <v>THUNDERSTORMS AND HEAVY WINDS DIV V</v>
          </cell>
          <cell r="C3712" t="str">
            <v>91A-IL OPS ADMIN</v>
          </cell>
        </row>
        <row r="3713">
          <cell r="A3713" t="str">
            <v>C3213</v>
          </cell>
          <cell r="B3713" t="str">
            <v>THUNDERSTORMS-DIVISION 6 BELLEVILLE</v>
          </cell>
          <cell r="C3713" t="str">
            <v>91A-IL OPS ADMIN</v>
          </cell>
        </row>
        <row r="3714">
          <cell r="A3714" t="str">
            <v>C3214</v>
          </cell>
          <cell r="B3714" t="str">
            <v>THUNDERSTORMS-DIVISION 6 BELLEVILLE</v>
          </cell>
          <cell r="C3714" t="str">
            <v>91A-IL OPS ADMIN</v>
          </cell>
        </row>
        <row r="3715">
          <cell r="A3715" t="str">
            <v>C3215</v>
          </cell>
          <cell r="B3715" t="str">
            <v>STRONG THUNDERSTORMS/TORNADO3/11/06</v>
          </cell>
          <cell r="C3715" t="str">
            <v>91A-IL OPS ADMIN</v>
          </cell>
        </row>
        <row r="3716">
          <cell r="A3716" t="str">
            <v>C3216</v>
          </cell>
          <cell r="B3716" t="str">
            <v>THUNDERSTORMS/HIGH WINDS 4/2/06</v>
          </cell>
          <cell r="C3716" t="str">
            <v>91A-IL OPS ADMIN</v>
          </cell>
        </row>
        <row r="3717">
          <cell r="A3717" t="str">
            <v>C3217</v>
          </cell>
          <cell r="B3717" t="str">
            <v>THUNDERSTORMS 4/15/06 ILLINOIS IP</v>
          </cell>
          <cell r="C3717" t="str">
            <v>91A-IL OPS ADMIN</v>
          </cell>
        </row>
        <row r="3718">
          <cell r="A3718" t="str">
            <v>C3218</v>
          </cell>
          <cell r="B3718" t="str">
            <v>ILLINOIS IP STORMS</v>
          </cell>
          <cell r="C3718" t="str">
            <v>91A-IL OPS ADMIN</v>
          </cell>
        </row>
        <row r="3719">
          <cell r="A3719" t="str">
            <v>C3219</v>
          </cell>
          <cell r="B3719" t="str">
            <v>ILLINOIS IP STORMS</v>
          </cell>
          <cell r="C3719" t="str">
            <v>91A-IL OPS ADMIN</v>
          </cell>
        </row>
        <row r="3720">
          <cell r="A3720" t="str">
            <v>C3220</v>
          </cell>
          <cell r="B3720" t="str">
            <v>STORM IPC DISTRIBUTION</v>
          </cell>
          <cell r="C3720" t="str">
            <v>91A-IL OPS ADMIN</v>
          </cell>
        </row>
        <row r="3721">
          <cell r="A3721" t="str">
            <v>C3221</v>
          </cell>
          <cell r="B3721" t="str">
            <v>GOVERNMENT RELOCATIONS</v>
          </cell>
          <cell r="C3721" t="str">
            <v>91A-IL OPS ADMIN</v>
          </cell>
        </row>
        <row r="3722">
          <cell r="A3722" t="str">
            <v>C3222</v>
          </cell>
          <cell r="B3722" t="str">
            <v>CUST RQSTD DIST SVCS-T&amp;D GAS</v>
          </cell>
          <cell r="C3722" t="str">
            <v>91A-IL OPS ADMIN</v>
          </cell>
        </row>
        <row r="3723">
          <cell r="A3723" t="str">
            <v>C3223</v>
          </cell>
          <cell r="B3723" t="str">
            <v>IPC MISC E40 LESS THAN 10K SYSMAINT</v>
          </cell>
          <cell r="C3723" t="str">
            <v>91A-IL OPS ADMIN</v>
          </cell>
        </row>
        <row r="3724">
          <cell r="A3724" t="str">
            <v>C3224</v>
          </cell>
          <cell r="B3724" t="str">
            <v>MED PRIORITY DIST SVCS-T&amp;D LINES</v>
          </cell>
          <cell r="C3724" t="str">
            <v>91A-IL OPS ADMIN</v>
          </cell>
        </row>
        <row r="3725">
          <cell r="A3725" t="str">
            <v>C3226</v>
          </cell>
          <cell r="B3725" t="str">
            <v>EMRGNCY WRK DIST SVCS-T&amp;D LINES</v>
          </cell>
          <cell r="C3725" t="str">
            <v>91A-IL OPS ADMIN</v>
          </cell>
        </row>
        <row r="3726">
          <cell r="A3726" t="str">
            <v>C3227</v>
          </cell>
          <cell r="B3726" t="str">
            <v>CUST RQSTD DIST SVCS-T&amp;D LINES</v>
          </cell>
          <cell r="C3726" t="str">
            <v>91A-IL OPS ADMIN</v>
          </cell>
        </row>
        <row r="3727">
          <cell r="A3727" t="str">
            <v>C3228</v>
          </cell>
          <cell r="B3727" t="str">
            <v>MED PRIORITY DIST SVCS-T&amp;D GAS</v>
          </cell>
          <cell r="C3727" t="str">
            <v>91A-IL OPS ADMIN</v>
          </cell>
        </row>
        <row r="3728">
          <cell r="A3728" t="str">
            <v>C3231</v>
          </cell>
          <cell r="B3728" t="str">
            <v>DIST SVC NEW BUSINESS GAS</v>
          </cell>
          <cell r="C3728" t="str">
            <v>91A-IL OPS ADMIN</v>
          </cell>
        </row>
        <row r="3729">
          <cell r="A3729" t="str">
            <v>C3232</v>
          </cell>
          <cell r="B3729" t="str">
            <v>DIST SVC T &amp; D GAS</v>
          </cell>
          <cell r="C3729" t="str">
            <v>91A-IL OPS ADMIN</v>
          </cell>
        </row>
        <row r="3730">
          <cell r="A3730" t="str">
            <v>C3233</v>
          </cell>
          <cell r="B3730" t="str">
            <v>DIST SVC GOVERNMENT RELO GAS</v>
          </cell>
          <cell r="C3730" t="str">
            <v>91A-IL OPS ADMIN</v>
          </cell>
        </row>
        <row r="3731">
          <cell r="A3731" t="str">
            <v>C3234</v>
          </cell>
          <cell r="B3731" t="str">
            <v>DISTRIBUTION SERVICES - OFFICE FURN</v>
          </cell>
          <cell r="C3731" t="str">
            <v>91A-IL OPS ADMIN</v>
          </cell>
        </row>
        <row r="3732">
          <cell r="A3732" t="str">
            <v>C3235</v>
          </cell>
          <cell r="B3732" t="str">
            <v>DIST SVC OTHER GENERAL PLANT GAS</v>
          </cell>
          <cell r="C3732" t="str">
            <v>91A-IL OPS ADMIN</v>
          </cell>
        </row>
        <row r="3733">
          <cell r="A3733" t="str">
            <v>C3236</v>
          </cell>
          <cell r="B3733" t="str">
            <v>GAS SUPT G40 MAINS MEDIUM PR IP</v>
          </cell>
          <cell r="C3733" t="str">
            <v>0G5-GAS TECH SERVICES - IPC</v>
          </cell>
        </row>
        <row r="3734">
          <cell r="A3734" t="str">
            <v>C3241</v>
          </cell>
          <cell r="B3734" t="str">
            <v>IPC MISC G40 LESS THAN 10K SYSMAINT</v>
          </cell>
          <cell r="C3734" t="str">
            <v>91A-IL OPS ADMIN</v>
          </cell>
        </row>
        <row r="3735">
          <cell r="A3735" t="str">
            <v>C3242</v>
          </cell>
          <cell r="B3735" t="str">
            <v>GS G40 MAINS LESS THAN 10000 IP</v>
          </cell>
          <cell r="C3735" t="str">
            <v>0G5-GAS TECH SERVICES - IPC</v>
          </cell>
        </row>
        <row r="3736">
          <cell r="A3736" t="str">
            <v>C3286</v>
          </cell>
          <cell r="B3736" t="str">
            <v>DIST SVC LBR TO INSTALL GAS MTR</v>
          </cell>
          <cell r="C3736" t="str">
            <v>91A-IL OPS ADMIN</v>
          </cell>
        </row>
        <row r="3737">
          <cell r="A3737" t="str">
            <v>C3291</v>
          </cell>
          <cell r="B3737" t="str">
            <v>MED PRIORITY DIST SVCS- T&amp;D LINES</v>
          </cell>
          <cell r="C3737" t="str">
            <v>91A-IL OPS ADMIN</v>
          </cell>
        </row>
        <row r="3738">
          <cell r="A3738" t="str">
            <v>C3293</v>
          </cell>
          <cell r="B3738" t="str">
            <v>CUST REQSTD DIST SVCS-T&amp;D LINES</v>
          </cell>
          <cell r="C3738" t="str">
            <v>91A-IL OPS ADMIN</v>
          </cell>
        </row>
        <row r="3739">
          <cell r="A3739" t="str">
            <v>C3294</v>
          </cell>
          <cell r="B3739" t="str">
            <v>MED PRIORITY DIST SVCS- T&amp;D GAS</v>
          </cell>
          <cell r="C3739" t="str">
            <v>91A-IL OPS ADMIN</v>
          </cell>
        </row>
        <row r="3740">
          <cell r="A3740" t="str">
            <v>C3295</v>
          </cell>
          <cell r="B3740" t="str">
            <v>MISC E40 LESS THAN 10K SYS MAINT</v>
          </cell>
          <cell r="C3740" t="str">
            <v>91A-IL OPS ADMIN</v>
          </cell>
        </row>
        <row r="3741">
          <cell r="A3741" t="str">
            <v>C3296</v>
          </cell>
          <cell r="B3741" t="str">
            <v>CUST RQSTD DIST SVCS- T&amp;D GAS</v>
          </cell>
          <cell r="C3741" t="str">
            <v>91A-IL OPS ADMIN</v>
          </cell>
        </row>
        <row r="3742">
          <cell r="A3742" t="str">
            <v>C3297</v>
          </cell>
          <cell r="B3742" t="str">
            <v>MISC G40 LESS THAN 10K SYS MAINT</v>
          </cell>
          <cell r="C3742" t="str">
            <v>91A-IL OPS ADMIN</v>
          </cell>
        </row>
        <row r="3743">
          <cell r="A3743" t="str">
            <v>CIL01</v>
          </cell>
          <cell r="B3743" t="str">
            <v>INDIRECT OVERHEADS CUSTOMER SERVICE</v>
          </cell>
          <cell r="C3743" t="str">
            <v>028-ED DISTRIBUTION ENGINEERING</v>
          </cell>
        </row>
        <row r="3744">
          <cell r="A3744" t="str">
            <v>CIP01</v>
          </cell>
          <cell r="B3744" t="str">
            <v>INDIRECT OVERHEADS CUSTOMER SERVICE</v>
          </cell>
          <cell r="C3744" t="str">
            <v>09E-ELECTRICAL ENGINEERING</v>
          </cell>
        </row>
        <row r="3745">
          <cell r="A3745" t="str">
            <v>D9995</v>
          </cell>
          <cell r="B3745" t="str">
            <v>IPC DAMAGES CLAIMS</v>
          </cell>
          <cell r="C3745" t="str">
            <v>91A-IL OPS ADMIN</v>
          </cell>
        </row>
        <row r="3746">
          <cell r="A3746" t="str">
            <v>D9996</v>
          </cell>
          <cell r="B3746" t="str">
            <v>CIL DAMAGES CLAIMS</v>
          </cell>
          <cell r="C3746" t="str">
            <v>668-IL OPS ADMIN DIV I II III</v>
          </cell>
        </row>
        <row r="3747">
          <cell r="A3747" t="str">
            <v>D9998</v>
          </cell>
          <cell r="B3747" t="str">
            <v>CIP DAMAGES CLAIMS</v>
          </cell>
          <cell r="C3747" t="str">
            <v>231-IL OPS ADMIN DIV IV V VI VII</v>
          </cell>
        </row>
        <row r="3748">
          <cell r="A3748" t="str">
            <v>D9999</v>
          </cell>
          <cell r="B3748" t="str">
            <v>UEC DAMAGES CLAIMS</v>
          </cell>
          <cell r="C3748" t="str">
            <v>066-MO OPS ADMIN</v>
          </cell>
        </row>
        <row r="3749">
          <cell r="A3749" t="str">
            <v>GEN03</v>
          </cell>
          <cell r="B3749" t="str">
            <v>INDIRECT OVERHEADS POWER OPERATIONS</v>
          </cell>
          <cell r="C3749" t="str">
            <v>130-BUSINESS SERVICES - AEG</v>
          </cell>
        </row>
        <row r="3750">
          <cell r="A3750" t="str">
            <v>IPC01</v>
          </cell>
          <cell r="B3750" t="str">
            <v>INDIRECT OVERHEADS CUSTOMER SERVICE</v>
          </cell>
          <cell r="C3750" t="str">
            <v>028-ED DISTRIBUTION ENGINEERING</v>
          </cell>
        </row>
        <row r="3751">
          <cell r="A3751" t="str">
            <v>M0280</v>
          </cell>
          <cell r="B3751" t="str">
            <v>ERWS Suite Upgrades and Database</v>
          </cell>
          <cell r="C3751" t="str">
            <v>8GF-NUCL - ENG TS - RELIABILITY</v>
          </cell>
        </row>
        <row r="3752">
          <cell r="A3752" t="str">
            <v>P0007</v>
          </cell>
          <cell r="B3752" t="str">
            <v>HVAC REPAIRS DONE DURING DCS UPGR</v>
          </cell>
          <cell r="C3752" t="str">
            <v>09M-GENERATION PROJECT ENGINEERING</v>
          </cell>
        </row>
        <row r="3753">
          <cell r="A3753" t="str">
            <v>P0034</v>
          </cell>
          <cell r="B3753" t="str">
            <v>REMOTE PERFORMANCE MONITORING</v>
          </cell>
          <cell r="C3753" t="str">
            <v>81D-GEN PERF MONITOR &amp; ASSESS</v>
          </cell>
        </row>
        <row r="3754">
          <cell r="A3754" t="str">
            <v>P0043</v>
          </cell>
          <cell r="B3754" t="str">
            <v>SUBFP FLUID DRIVE OVERHAULS</v>
          </cell>
          <cell r="C3754" t="str">
            <v>85A-SIOUX PLANT GENERAL &amp; BUD</v>
          </cell>
        </row>
        <row r="3755">
          <cell r="A3755" t="str">
            <v>P0118</v>
          </cell>
          <cell r="B3755" t="str">
            <v>MERAMEC 316(B) STUDIES</v>
          </cell>
          <cell r="C3755" t="str">
            <v>49C-ESH - WATER</v>
          </cell>
        </row>
        <row r="3756">
          <cell r="A3756" t="str">
            <v>P0119</v>
          </cell>
          <cell r="B3756" t="str">
            <v>LABADIE 316(B) STUDIES</v>
          </cell>
          <cell r="C3756" t="str">
            <v>49C-ESH - WATER</v>
          </cell>
        </row>
        <row r="3757">
          <cell r="A3757" t="str">
            <v>P0120</v>
          </cell>
          <cell r="B3757" t="str">
            <v>SIOUX 316(B) STUDIES</v>
          </cell>
          <cell r="C3757" t="str">
            <v>49C-ESH - WATER</v>
          </cell>
        </row>
        <row r="3758">
          <cell r="A3758" t="str">
            <v>P0121</v>
          </cell>
          <cell r="B3758" t="str">
            <v>RUSH ISLAND 316(B) STUDIES</v>
          </cell>
          <cell r="C3758" t="str">
            <v>49C-ESH - WATER</v>
          </cell>
        </row>
        <row r="3759">
          <cell r="A3759" t="str">
            <v>P0130</v>
          </cell>
          <cell r="B3759" t="str">
            <v>HUTSONVILLE COMBUSTOR RETROFIT BLR</v>
          </cell>
          <cell r="C3759" t="str">
            <v>09V-NEW GEN &amp; ENV PROJECTS</v>
          </cell>
        </row>
        <row r="3760">
          <cell r="A3760" t="str">
            <v>P0178</v>
          </cell>
          <cell r="B3760" t="str">
            <v>LBD - 3D Coal Mill and Exhauster Ov</v>
          </cell>
          <cell r="C3760" t="str">
            <v>83A-LABADIE PLANT GENERAL &amp; BUD</v>
          </cell>
        </row>
        <row r="3761">
          <cell r="A3761" t="str">
            <v>P0196</v>
          </cell>
          <cell r="B3761" t="str">
            <v>LBD - Overhaul 3A CWP and 3A TWS As</v>
          </cell>
          <cell r="C3761" t="str">
            <v>83A-LABADIE PLANT GENERAL &amp; BUD</v>
          </cell>
        </row>
        <row r="3762">
          <cell r="A3762" t="str">
            <v>P0201</v>
          </cell>
          <cell r="B3762" t="str">
            <v>LBD - Overhaul One HPRWP Each Year</v>
          </cell>
          <cell r="C3762" t="str">
            <v>83A-LABADIE PLANT GENERAL &amp; BUD</v>
          </cell>
        </row>
        <row r="3763">
          <cell r="A3763" t="str">
            <v>P0213</v>
          </cell>
          <cell r="B3763" t="str">
            <v>AMS SUPPORT SERVICES</v>
          </cell>
          <cell r="C3763" t="str">
            <v>83A-LABADIE PLANT GENERAL &amp; BUD</v>
          </cell>
        </row>
        <row r="3764">
          <cell r="A3764" t="str">
            <v>P0214</v>
          </cell>
          <cell r="B3764" t="str">
            <v>AMS SUPPORT SERVICES</v>
          </cell>
          <cell r="C3764" t="str">
            <v>85A-SIOUX PLANT GENERAL &amp; BUD</v>
          </cell>
        </row>
        <row r="3765">
          <cell r="A3765" t="str">
            <v>P0222</v>
          </cell>
          <cell r="B3765" t="str">
            <v>GPE ENGINEERING STUDIES UEC</v>
          </cell>
          <cell r="C3765" t="str">
            <v>09M-GENERATION PROJECT ENGINEERING</v>
          </cell>
        </row>
        <row r="3766">
          <cell r="A3766" t="str">
            <v>P0223</v>
          </cell>
          <cell r="B3766" t="str">
            <v>GPE ENGINEERING STUDIES GEN</v>
          </cell>
          <cell r="C3766" t="str">
            <v>09M-GENERATION PROJECT ENGINEERING</v>
          </cell>
        </row>
        <row r="3767">
          <cell r="A3767" t="str">
            <v>P0224</v>
          </cell>
          <cell r="B3767" t="str">
            <v>GPE ENGINEERING STUDIES ARG</v>
          </cell>
          <cell r="C3767" t="str">
            <v>09M-GENERATION PROJECT ENGINEERING</v>
          </cell>
        </row>
        <row r="3768">
          <cell r="A3768" t="str">
            <v>P0228</v>
          </cell>
          <cell r="B3768" t="str">
            <v>AMS SUPPORT SERVICES</v>
          </cell>
          <cell r="C3768" t="str">
            <v>78A-RUSH ISLAND PLANT GENERAL &amp; BUD</v>
          </cell>
        </row>
        <row r="3769">
          <cell r="A3769" t="str">
            <v>P0229</v>
          </cell>
          <cell r="B3769" t="str">
            <v>AMS SUPPORT SERVICES</v>
          </cell>
          <cell r="C3769" t="str">
            <v>79A-MERAMEC PLANT GENERAL &amp; BUD</v>
          </cell>
        </row>
        <row r="3770">
          <cell r="A3770" t="str">
            <v>P0230</v>
          </cell>
          <cell r="B3770" t="str">
            <v>TAUM SAUK UPPER RESERVOIR FAILURE</v>
          </cell>
          <cell r="C3770" t="str">
            <v>46C-TAUM SAUK PLANT MAINTENANCE</v>
          </cell>
        </row>
        <row r="3771">
          <cell r="A3771" t="str">
            <v>P0231</v>
          </cell>
          <cell r="B3771" t="str">
            <v>TS RESERVR FAILURE *LIABILITY* WORK</v>
          </cell>
          <cell r="C3771" t="str">
            <v>46A-TAUM SAUK PLANT GENERAL &amp; BUD</v>
          </cell>
        </row>
        <row r="3772">
          <cell r="A3772" t="str">
            <v>P0232</v>
          </cell>
          <cell r="B3772" t="str">
            <v>LBD - U3 Generator Winding Repair</v>
          </cell>
          <cell r="C3772" t="str">
            <v>83A-LABADIE PLANT GENERAL &amp; BUD</v>
          </cell>
        </row>
        <row r="3773">
          <cell r="A3773" t="str">
            <v>P0239</v>
          </cell>
          <cell r="B3773" t="str">
            <v>GCMS TRVL ALLWNCE, MILEAGE EXP, GEN</v>
          </cell>
          <cell r="C3773" t="str">
            <v>40A-GENERATION CONST MGMT SVCS</v>
          </cell>
        </row>
        <row r="3774">
          <cell r="A3774" t="str">
            <v>P0240</v>
          </cell>
          <cell r="B3774" t="str">
            <v>GCMS TRVL ALLWNCE, MILEAGE EXP, ARG</v>
          </cell>
          <cell r="C3774" t="str">
            <v>40A-GENERATION CONST MGMT SVCS</v>
          </cell>
        </row>
        <row r="3775">
          <cell r="A3775" t="str">
            <v>P0241</v>
          </cell>
          <cell r="B3775" t="str">
            <v>GCMS TRVL ALWNCE, MILG EXP, ALL FSL</v>
          </cell>
          <cell r="C3775" t="str">
            <v>40A-GENERATION CONST MGMT SVCS</v>
          </cell>
        </row>
        <row r="3776">
          <cell r="A3776" t="str">
            <v>P0243</v>
          </cell>
          <cell r="B3776" t="str">
            <v>GCMS TRVL ALLWNCE, MILEAGE EXP, MV1</v>
          </cell>
          <cell r="C3776" t="str">
            <v>40A-GENERATION CONST MGMT SVCS</v>
          </cell>
        </row>
        <row r="3777">
          <cell r="A3777" t="str">
            <v>P0270</v>
          </cell>
          <cell r="B3777" t="str">
            <v>NEWTON BURGETT LK DAM EVALUATION</v>
          </cell>
          <cell r="C3777" t="str">
            <v>09H-DAM SAFETY &amp; HYDRO ENGINEERING</v>
          </cell>
        </row>
        <row r="3778">
          <cell r="A3778" t="str">
            <v>P0336</v>
          </cell>
          <cell r="B3778" t="str">
            <v>PCS PRECIP SUPPORT SERVICES - UEC</v>
          </cell>
          <cell r="C3778" t="str">
            <v>09V-NEW GEN &amp; ENV PROJECTS</v>
          </cell>
        </row>
        <row r="3779">
          <cell r="A3779" t="str">
            <v>P0337</v>
          </cell>
          <cell r="B3779" t="str">
            <v>PCS PRECIP SUPPORT SERVICES - GEN</v>
          </cell>
          <cell r="C3779" t="str">
            <v>09V-NEW GEN &amp; ENV PROJECTS</v>
          </cell>
        </row>
        <row r="3780">
          <cell r="A3780" t="str">
            <v>P0339</v>
          </cell>
          <cell r="B3780" t="str">
            <v>PCS PRECIP SUPPORT SERVICES - ARG</v>
          </cell>
          <cell r="C3780" t="str">
            <v>09V-NEW GEN &amp; ENV PROJECTS</v>
          </cell>
        </row>
        <row r="3781">
          <cell r="A3781" t="str">
            <v>P0340</v>
          </cell>
          <cell r="B3781" t="str">
            <v>BHA PRECIPITATOR MATRIX - UEC</v>
          </cell>
          <cell r="C3781" t="str">
            <v>09V-NEW GEN &amp; ENV PROJECTS</v>
          </cell>
        </row>
        <row r="3782">
          <cell r="A3782" t="str">
            <v>P0342</v>
          </cell>
          <cell r="B3782" t="str">
            <v>BHA PRECIPITATOR MATRIX - ARG</v>
          </cell>
          <cell r="C3782" t="str">
            <v>09V-NEW GEN &amp; ENV PROJECTS</v>
          </cell>
        </row>
        <row r="3783">
          <cell r="A3783" t="str">
            <v>P0385</v>
          </cell>
          <cell r="B3783" t="str">
            <v>LBD - U3 Generator Inspect &amp; Repair</v>
          </cell>
          <cell r="C3783" t="str">
            <v>83A-LABADIE PLANT GENERAL &amp; BUD</v>
          </cell>
        </row>
        <row r="3784">
          <cell r="A3784" t="str">
            <v>P0387</v>
          </cell>
          <cell r="B3784" t="str">
            <v>LABADIE LOW RIVER IMPACT STUDY</v>
          </cell>
          <cell r="C3784" t="str">
            <v>09H-DAM SAFETY &amp; HYDRO ENGINEERING</v>
          </cell>
        </row>
        <row r="3785">
          <cell r="A3785" t="str">
            <v>P0388</v>
          </cell>
          <cell r="B3785" t="str">
            <v>ARG DAM SAFETY SUPPORT STUDIES</v>
          </cell>
          <cell r="C3785" t="str">
            <v>09H-DAM SAFETY &amp; HYDRO ENGINEERING</v>
          </cell>
        </row>
        <row r="3786">
          <cell r="A3786" t="str">
            <v>P0389</v>
          </cell>
          <cell r="B3786" t="str">
            <v>GEN DAM SAFETY SUPPORT STUDIES</v>
          </cell>
          <cell r="C3786" t="str">
            <v>09H-DAM SAFETY &amp; HYDRO ENGINEERING</v>
          </cell>
        </row>
        <row r="3787">
          <cell r="A3787" t="str">
            <v>UEC01</v>
          </cell>
          <cell r="B3787" t="str">
            <v>INDIRECT OVERHEADS CUSTOMER SERVICE</v>
          </cell>
          <cell r="C3787" t="str">
            <v>028-ED DISTRIBUTION ENGINEERING</v>
          </cell>
        </row>
        <row r="3788">
          <cell r="A3788" t="str">
            <v>UEC03</v>
          </cell>
          <cell r="B3788" t="str">
            <v>INDIRECT OVERHEADS POWER OPERATIONS</v>
          </cell>
          <cell r="C3788" t="str">
            <v>40A-GENERATION CONST MGMT SVCS</v>
          </cell>
        </row>
        <row r="3789">
          <cell r="A3789" t="str">
            <v>W0037</v>
          </cell>
          <cell r="B3789" t="str">
            <v>NPS U1 INSPECT &amp; REPAIR TURB VLVS</v>
          </cell>
          <cell r="C3789" t="str">
            <v>NAD-NEWTON - TRAINING &amp; BENEFIT ADM</v>
          </cell>
        </row>
        <row r="3790">
          <cell r="A3790" t="str">
            <v>W0093</v>
          </cell>
          <cell r="B3790" t="str">
            <v>ROUTINE U2 LOWER FURNACE CONDITION</v>
          </cell>
          <cell r="C3790" t="str">
            <v>CFG-COFFEEN - GENERAL</v>
          </cell>
        </row>
        <row r="3791">
          <cell r="A3791" t="str">
            <v>W0344</v>
          </cell>
          <cell r="B3791" t="str">
            <v>UNIT 3 PLANNED OUTAGE ROUTINES</v>
          </cell>
          <cell r="C3791" t="str">
            <v>62A-EDWARDS PLANT GENERAL</v>
          </cell>
        </row>
        <row r="3792">
          <cell r="A3792" t="str">
            <v>W0352</v>
          </cell>
          <cell r="B3792" t="str">
            <v>HIGH ENERGY PIPING INSP, AEG, ARG</v>
          </cell>
          <cell r="C3792" t="str">
            <v>131-EFFINGHAM RESOURCE CENTER</v>
          </cell>
        </row>
        <row r="3793">
          <cell r="A3793" t="str">
            <v>W0362</v>
          </cell>
          <cell r="B3793" t="str">
            <v>COFFEEN 316(B) STUDIES</v>
          </cell>
          <cell r="C3793" t="str">
            <v>49C-ESH - WATER</v>
          </cell>
        </row>
        <row r="3794">
          <cell r="A3794" t="str">
            <v>W0363</v>
          </cell>
          <cell r="B3794" t="str">
            <v>GRAND TOWER 316(B) STUDIES</v>
          </cell>
          <cell r="C3794" t="str">
            <v>49C-ESH - WATER</v>
          </cell>
        </row>
        <row r="3795">
          <cell r="A3795" t="str">
            <v>W0364</v>
          </cell>
          <cell r="B3795" t="str">
            <v>HUTSONVILLE 316(B) STUDIES</v>
          </cell>
          <cell r="C3795" t="str">
            <v>49C-ESH - WATER</v>
          </cell>
        </row>
        <row r="3796">
          <cell r="A3796" t="str">
            <v>W0365</v>
          </cell>
          <cell r="B3796" t="str">
            <v>MEREDOSIA 316(B) STUDIES</v>
          </cell>
          <cell r="C3796" t="str">
            <v>49C-ESH - WATER</v>
          </cell>
        </row>
        <row r="3797">
          <cell r="A3797" t="str">
            <v>W0366</v>
          </cell>
          <cell r="B3797" t="str">
            <v>NEWTON 316(B) STUDIES</v>
          </cell>
          <cell r="C3797" t="str">
            <v>49C-ESH - WATER</v>
          </cell>
        </row>
        <row r="3798">
          <cell r="A3798" t="str">
            <v>W0367</v>
          </cell>
          <cell r="B3798" t="str">
            <v>DUCK CREEK 316(B) STUDIES</v>
          </cell>
          <cell r="C3798" t="str">
            <v>49C-ESH - WATER</v>
          </cell>
        </row>
        <row r="3799">
          <cell r="A3799" t="str">
            <v>W0368</v>
          </cell>
          <cell r="B3799" t="str">
            <v>EDWARDS 316(B) STUDIES</v>
          </cell>
          <cell r="C3799" t="str">
            <v>49C-ESH - WATER</v>
          </cell>
        </row>
        <row r="3800">
          <cell r="A3800" t="str">
            <v>W0399</v>
          </cell>
          <cell r="B3800" t="str">
            <v>GTSS - ENGR SUPT - NEWTON</v>
          </cell>
          <cell r="C3800" t="str">
            <v>40D-GENERATION MAINT ENG</v>
          </cell>
        </row>
        <row r="3801">
          <cell r="A3801" t="str">
            <v>W0400</v>
          </cell>
          <cell r="B3801" t="str">
            <v>GTSS - ENGR SUPT - COFFEEN</v>
          </cell>
          <cell r="C3801" t="str">
            <v>40D-GENERATION MAINT ENG</v>
          </cell>
        </row>
        <row r="3802">
          <cell r="A3802" t="str">
            <v>W0401</v>
          </cell>
          <cell r="B3802" t="str">
            <v>GTSS - ENGR SUPT - DUCK CREEK</v>
          </cell>
          <cell r="C3802" t="str">
            <v>40D-GENERATION MAINT ENG</v>
          </cell>
        </row>
        <row r="3803">
          <cell r="A3803" t="str">
            <v>W0402</v>
          </cell>
          <cell r="B3803" t="str">
            <v>GTSS - ENGR SUPT - EDWARDS</v>
          </cell>
          <cell r="C3803" t="str">
            <v>40D-GENERATION MAINT ENG</v>
          </cell>
        </row>
        <row r="3804">
          <cell r="A3804" t="str">
            <v>W0403</v>
          </cell>
          <cell r="B3804" t="str">
            <v>GTSS - ENGR SUPT - MEREDOSIA</v>
          </cell>
          <cell r="C3804" t="str">
            <v>40D-GENERATION MAINT ENG</v>
          </cell>
        </row>
        <row r="3805">
          <cell r="A3805" t="str">
            <v>W0404</v>
          </cell>
          <cell r="B3805" t="str">
            <v>GTSS - ENGR SUPT - HUTSONVILLE</v>
          </cell>
          <cell r="C3805" t="str">
            <v>40D-GENERATION MAINT ENG</v>
          </cell>
        </row>
        <row r="3806">
          <cell r="A3806" t="str">
            <v>W0427</v>
          </cell>
          <cell r="B3806" t="str">
            <v>COFFEEN CATALYST MANAGEMENT</v>
          </cell>
          <cell r="C3806" t="str">
            <v>09V-NEW GEN &amp; ENV PROJECTS</v>
          </cell>
        </row>
        <row r="3807">
          <cell r="A3807" t="str">
            <v>W0428</v>
          </cell>
          <cell r="B3807" t="str">
            <v>EDWARDS CATALYST MANAGEMENT</v>
          </cell>
          <cell r="C3807" t="str">
            <v>09V-NEW GEN &amp; ENV PROJECTS</v>
          </cell>
        </row>
        <row r="3808">
          <cell r="A3808" t="str">
            <v>W0429</v>
          </cell>
          <cell r="B3808" t="str">
            <v>DUCK CREEK CATALYST MANAGEMENT</v>
          </cell>
          <cell r="C3808" t="str">
            <v>09V-NEW GEN &amp; ENV PROJECTS</v>
          </cell>
        </row>
        <row r="3809">
          <cell r="A3809" t="str">
            <v>W0482</v>
          </cell>
          <cell r="B3809" t="str">
            <v>UEC HIGH ENERGY PIPING INSPECTION</v>
          </cell>
          <cell r="C3809" t="str">
            <v>81A-GENERATION QUALITY ENGINEERING</v>
          </cell>
        </row>
        <row r="3810">
          <cell r="A3810" t="str">
            <v>W0533</v>
          </cell>
          <cell r="B3810" t="str">
            <v>AUE MAINT/PLAN TRAIN, DEV, ASSESS</v>
          </cell>
          <cell r="C3810" t="str">
            <v>40E-GENERATION TRAIN &amp; DEV SRVCS</v>
          </cell>
        </row>
        <row r="3811">
          <cell r="A3811" t="str">
            <v>W0539</v>
          </cell>
          <cell r="B3811" t="str">
            <v>AUE PERFORMANCE MONITORING &amp; IMPROV</v>
          </cell>
          <cell r="C3811" t="str">
            <v>81D-GEN PERF MONITOR &amp; ASSESS</v>
          </cell>
        </row>
        <row r="3812">
          <cell r="A3812" t="str">
            <v>W0542</v>
          </cell>
          <cell r="B3812" t="str">
            <v>AEG EQUIPMENT PREDICTIVE MONITORING</v>
          </cell>
          <cell r="C3812" t="str">
            <v>81D-GEN PERF MONITOR &amp; ASSESS</v>
          </cell>
        </row>
        <row r="3813">
          <cell r="A3813" t="str">
            <v>W0543</v>
          </cell>
          <cell r="B3813" t="str">
            <v>ARG EQUIPMENT PREDICTIVE MONITORING</v>
          </cell>
          <cell r="C3813" t="str">
            <v>81D-GEN PERF MONITOR &amp; ASSESS</v>
          </cell>
        </row>
        <row r="3814">
          <cell r="A3814" t="str">
            <v>W0544</v>
          </cell>
          <cell r="B3814" t="str">
            <v>UEC EQUIPMENT PREDICTIVE MONITORING</v>
          </cell>
          <cell r="C3814" t="str">
            <v>81D-GEN PERF MONITOR &amp; ASSESS</v>
          </cell>
        </row>
        <row r="3815">
          <cell r="A3815" t="str">
            <v>W0549</v>
          </cell>
          <cell r="B3815" t="str">
            <v>AUE OPS TRAIN, DEVELOPMENT, ASSESS</v>
          </cell>
          <cell r="C3815" t="str">
            <v>40E-GENERATION TRAIN &amp; DEV SRVCS</v>
          </cell>
        </row>
        <row r="3816">
          <cell r="A3816" t="str">
            <v>W0617</v>
          </cell>
          <cell r="B3816" t="str">
            <v>GEN SAFETY TRAINING, DEV, ASSESS</v>
          </cell>
          <cell r="C3816" t="str">
            <v>40E-GENERATION TRAIN &amp; DEV SRVCS</v>
          </cell>
        </row>
        <row r="3817">
          <cell r="A3817" t="str">
            <v>W0618</v>
          </cell>
          <cell r="B3817" t="str">
            <v>ARG SAFETY TRAINING, DEV, ASSESS</v>
          </cell>
          <cell r="C3817" t="str">
            <v>40E-GENERATION TRAIN &amp; DEV SRVCS</v>
          </cell>
        </row>
        <row r="3818">
          <cell r="A3818" t="str">
            <v>W0619</v>
          </cell>
          <cell r="B3818" t="str">
            <v>UEC SAFETY TRAINING, DEV, ASSESS</v>
          </cell>
          <cell r="C3818" t="str">
            <v>40E-GENERATION TRAIN &amp; DEV SRVCS</v>
          </cell>
        </row>
        <row r="3819">
          <cell r="A3819" t="str">
            <v>W0620</v>
          </cell>
          <cell r="B3819" t="str">
            <v>GEN OPERATIONS TRAINING DEV, ASSESS</v>
          </cell>
          <cell r="C3819" t="str">
            <v>40E-GENERATION TRAIN &amp; DEV SRVCS</v>
          </cell>
        </row>
        <row r="3820">
          <cell r="A3820" t="str">
            <v>W0621</v>
          </cell>
          <cell r="B3820" t="str">
            <v>ARG OPERATIONS TRAINING DEV, ASSESS</v>
          </cell>
          <cell r="C3820" t="str">
            <v>40E-GENERATION TRAIN &amp; DEV SRVCS</v>
          </cell>
        </row>
        <row r="3821">
          <cell r="A3821" t="str">
            <v>W0622</v>
          </cell>
          <cell r="B3821" t="str">
            <v>UEC OPERATIONS TRAINING DEV, ASSESS</v>
          </cell>
          <cell r="C3821" t="str">
            <v>40E-GENERATION TRAIN &amp; DEV SRVCS</v>
          </cell>
        </row>
        <row r="3822">
          <cell r="A3822" t="str">
            <v>W0623</v>
          </cell>
          <cell r="B3822" t="str">
            <v>GEN MAINT &amp; PLANNING TRNG, DEV</v>
          </cell>
          <cell r="C3822" t="str">
            <v>40E-GENERATION TRAIN &amp; DEV SRVCS</v>
          </cell>
        </row>
        <row r="3823">
          <cell r="A3823" t="str">
            <v>W0624</v>
          </cell>
          <cell r="B3823" t="str">
            <v>ARG MAINT &amp; PLANNING TRNG, DEV</v>
          </cell>
          <cell r="C3823" t="str">
            <v>40E-GENERATION TRAIN &amp; DEV SRVCS</v>
          </cell>
        </row>
        <row r="3824">
          <cell r="A3824" t="str">
            <v>W0625</v>
          </cell>
          <cell r="B3824" t="str">
            <v>UEC MAINT &amp; PLANNING TRNG, DEV</v>
          </cell>
          <cell r="C3824" t="str">
            <v>40E-GENERATION TRAIN &amp; DEV SRVCS</v>
          </cell>
        </row>
        <row r="3825">
          <cell r="A3825" t="str">
            <v>W0626</v>
          </cell>
          <cell r="B3825" t="str">
            <v>GEN MGMT TRAINING, DEV, ASSESSMENT</v>
          </cell>
          <cell r="C3825" t="str">
            <v>40E-GENERATION TRAIN &amp; DEV SRVCS</v>
          </cell>
        </row>
        <row r="3826">
          <cell r="A3826" t="str">
            <v>W0627</v>
          </cell>
          <cell r="B3826" t="str">
            <v>ARG MGMT TRAINING, DEV, ASSESSMENT</v>
          </cell>
          <cell r="C3826" t="str">
            <v>40E-GENERATION TRAIN &amp; DEV SRVCS</v>
          </cell>
        </row>
        <row r="3827">
          <cell r="A3827" t="str">
            <v>W0628</v>
          </cell>
          <cell r="B3827" t="str">
            <v>UEC MGMT TRAINING, DEV, ASSESSMENT</v>
          </cell>
          <cell r="C3827" t="str">
            <v>40E-GENERATION TRAIN &amp; DEV SRVCS</v>
          </cell>
        </row>
        <row r="3828">
          <cell r="A3828" t="str">
            <v>W0789</v>
          </cell>
          <cell r="B3828" t="str">
            <v>PLANT &amp; ADMIN PROCEDURE DEVELOPMENT</v>
          </cell>
          <cell r="C3828" t="str">
            <v>40E-GENERATION TRAIN &amp; DEV SRVCS</v>
          </cell>
        </row>
        <row r="3829">
          <cell r="A3829" t="str">
            <v>W0804</v>
          </cell>
          <cell r="B3829" t="str">
            <v>PROJECT MGMT TRAINING</v>
          </cell>
          <cell r="C3829" t="str">
            <v>40E-GENERATION TRAIN &amp; DEV SRVCS</v>
          </cell>
        </row>
        <row r="3830">
          <cell r="A3830" t="str">
            <v>W0807</v>
          </cell>
          <cell r="B3830" t="str">
            <v>CODE OF CONDUCT COMPLIANCE</v>
          </cell>
          <cell r="C3830" t="str">
            <v>40E-GENERATION TRAIN &amp; DEV SRVCS</v>
          </cell>
        </row>
        <row r="3831">
          <cell r="A3831" t="str">
            <v>X9998</v>
          </cell>
          <cell r="B3831" t="str">
            <v>BILL BACK JOBS ACCOUNT 186-001</v>
          </cell>
          <cell r="C3831" t="str">
            <v>4GL-GENERAL &amp; ASSET ACCOUNTING</v>
          </cell>
        </row>
        <row r="3832">
          <cell r="A3832" t="str">
            <v>X9999</v>
          </cell>
          <cell r="B3832" t="str">
            <v>BILL BACK JOBS ACCOUNT 186-001</v>
          </cell>
          <cell r="C3832" t="str">
            <v>4GL-GENERAL &amp; ASSET ACCOUNTING</v>
          </cell>
        </row>
      </sheetData>
      <sheetData sheetId="25">
        <row r="2">
          <cell r="A2" t="str">
            <v>001</v>
          </cell>
          <cell r="B2" t="str">
            <v>CORPORATE COMMUNICATIONS</v>
          </cell>
        </row>
        <row r="3">
          <cell r="A3" t="str">
            <v>002</v>
          </cell>
          <cell r="B3" t="str">
            <v>EAS - PAYROLL &amp; EMPLOYEE SVCS</v>
          </cell>
        </row>
        <row r="4">
          <cell r="A4" t="str">
            <v>003</v>
          </cell>
          <cell r="B4" t="str">
            <v>CUSTOMER ACCOUNTING</v>
          </cell>
        </row>
        <row r="5">
          <cell r="A5" t="str">
            <v>004</v>
          </cell>
          <cell r="B5" t="str">
            <v>ACCOUNTING</v>
          </cell>
        </row>
        <row r="6">
          <cell r="A6" t="str">
            <v>005</v>
          </cell>
          <cell r="B6" t="str">
            <v>CONTROLLERS STAFF</v>
          </cell>
        </row>
        <row r="7">
          <cell r="A7" t="str">
            <v>006</v>
          </cell>
          <cell r="B7" t="str">
            <v>INF - DATA CENTER OPERATIONS</v>
          </cell>
        </row>
        <row r="8">
          <cell r="A8" t="str">
            <v>007</v>
          </cell>
          <cell r="B8" t="str">
            <v>INVALID BUDGET</v>
          </cell>
        </row>
        <row r="9">
          <cell r="A9" t="str">
            <v>008</v>
          </cell>
          <cell r="B9" t="str">
            <v>CUSTOMER SERVICE CTR MO</v>
          </cell>
        </row>
        <row r="10">
          <cell r="A10" t="str">
            <v>009</v>
          </cell>
          <cell r="B10" t="str">
            <v>INVALID BUDGET</v>
          </cell>
        </row>
        <row r="11">
          <cell r="A11" t="str">
            <v>010</v>
          </cell>
          <cell r="B11" t="str">
            <v>INVALID BUDGET</v>
          </cell>
        </row>
        <row r="12">
          <cell r="A12" t="str">
            <v>011</v>
          </cell>
          <cell r="B12" t="str">
            <v>ALT - UEC</v>
          </cell>
        </row>
        <row r="13">
          <cell r="A13" t="str">
            <v>012</v>
          </cell>
          <cell r="B13" t="str">
            <v>CORPORATE PLANNING</v>
          </cell>
        </row>
        <row r="14">
          <cell r="A14" t="str">
            <v>013</v>
          </cell>
          <cell r="B14" t="str">
            <v>C&amp;C  FIELD COLLECTION OFFICE</v>
          </cell>
        </row>
        <row r="15">
          <cell r="A15" t="str">
            <v>014</v>
          </cell>
          <cell r="B15" t="str">
            <v>ALTON DISTRICT</v>
          </cell>
        </row>
        <row r="16">
          <cell r="A16" t="str">
            <v>015</v>
          </cell>
          <cell r="B16" t="str">
            <v>E. ST. LOUIS DISTRICT</v>
          </cell>
        </row>
        <row r="17">
          <cell r="A17" t="str">
            <v>016</v>
          </cell>
          <cell r="B17" t="str">
            <v>ECONOMIC DEVELOPMENT</v>
          </cell>
        </row>
        <row r="18">
          <cell r="A18" t="str">
            <v>017</v>
          </cell>
          <cell r="B18" t="str">
            <v>EMPLOYEE BENEFITS</v>
          </cell>
        </row>
        <row r="19">
          <cell r="A19" t="str">
            <v>018</v>
          </cell>
          <cell r="B19" t="str">
            <v>INVALID BUDGET</v>
          </cell>
        </row>
        <row r="20">
          <cell r="A20" t="str">
            <v>019</v>
          </cell>
          <cell r="B20" t="str">
            <v>BENEFIT PLANS</v>
          </cell>
        </row>
        <row r="21">
          <cell r="A21" t="str">
            <v>020</v>
          </cell>
          <cell r="B21" t="str">
            <v>ED PRODUCTS &amp; SERVICES</v>
          </cell>
        </row>
        <row r="22">
          <cell r="A22" t="str">
            <v>021</v>
          </cell>
          <cell r="B22" t="str">
            <v>VEGETATION MGT - UEC</v>
          </cell>
        </row>
        <row r="23">
          <cell r="A23" t="str">
            <v>022</v>
          </cell>
          <cell r="B23" t="str">
            <v>ALT - AMS</v>
          </cell>
        </row>
        <row r="24">
          <cell r="A24" t="str">
            <v>023</v>
          </cell>
          <cell r="B24" t="str">
            <v>CREDIT &amp; COLLECTION MO</v>
          </cell>
        </row>
        <row r="25">
          <cell r="A25" t="str">
            <v>024</v>
          </cell>
          <cell r="B25" t="str">
            <v>LEGAL</v>
          </cell>
        </row>
        <row r="26">
          <cell r="A26" t="str">
            <v>025</v>
          </cell>
          <cell r="B26" t="str">
            <v>ED - CUSTOMER TRAINING</v>
          </cell>
        </row>
        <row r="27">
          <cell r="A27" t="str">
            <v>026</v>
          </cell>
          <cell r="B27" t="str">
            <v>ED - SAFETY</v>
          </cell>
        </row>
        <row r="28">
          <cell r="A28" t="str">
            <v>027</v>
          </cell>
          <cell r="B28" t="str">
            <v>DORSETT</v>
          </cell>
        </row>
        <row r="29">
          <cell r="A29" t="str">
            <v>028</v>
          </cell>
          <cell r="B29" t="str">
            <v>ED DISTRIB ENGINEERING</v>
          </cell>
        </row>
        <row r="30">
          <cell r="A30" t="str">
            <v>029</v>
          </cell>
          <cell r="B30" t="str">
            <v>ED DRAFTING</v>
          </cell>
        </row>
        <row r="31">
          <cell r="A31" t="str">
            <v>030</v>
          </cell>
          <cell r="B31" t="str">
            <v>DISTRIBUTION OPERATING - MO</v>
          </cell>
        </row>
        <row r="32">
          <cell r="A32" t="str">
            <v>031</v>
          </cell>
          <cell r="B32" t="str">
            <v>METER SERVICES - UEC</v>
          </cell>
        </row>
        <row r="33">
          <cell r="A33" t="str">
            <v>033</v>
          </cell>
          <cell r="B33" t="str">
            <v>SUB MTCE &amp; CONST - UEC NORTH</v>
          </cell>
        </row>
        <row r="34">
          <cell r="A34" t="str">
            <v>034</v>
          </cell>
          <cell r="B34" t="str">
            <v>NUCLEAR FUEL</v>
          </cell>
        </row>
        <row r="35">
          <cell r="A35" t="str">
            <v>035</v>
          </cell>
          <cell r="B35" t="str">
            <v>METRO CONTRACTORS - INVALID</v>
          </cell>
        </row>
        <row r="36">
          <cell r="A36" t="str">
            <v>036</v>
          </cell>
          <cell r="B36" t="str">
            <v>UNDERGROUND</v>
          </cell>
        </row>
        <row r="37">
          <cell r="A37" t="str">
            <v>037</v>
          </cell>
          <cell r="B37" t="str">
            <v>TRANSMISSION - UEC</v>
          </cell>
        </row>
        <row r="38">
          <cell r="A38" t="str">
            <v>038</v>
          </cell>
          <cell r="B38" t="str">
            <v>CLAIMS</v>
          </cell>
        </row>
        <row r="39">
          <cell r="A39" t="str">
            <v>039</v>
          </cell>
          <cell r="B39" t="str">
            <v>SECURITY</v>
          </cell>
        </row>
        <row r="40">
          <cell r="A40" t="str">
            <v>040</v>
          </cell>
          <cell r="B40" t="str">
            <v>INVALID BUDGET - PPM</v>
          </cell>
        </row>
        <row r="41">
          <cell r="A41" t="str">
            <v>042</v>
          </cell>
          <cell r="B41" t="str">
            <v>TRANSMISSION OPERATIONS</v>
          </cell>
        </row>
        <row r="42">
          <cell r="A42" t="str">
            <v>043</v>
          </cell>
          <cell r="B42" t="str">
            <v>NATL GAS SUP, TRANSP &amp; CNTRL</v>
          </cell>
        </row>
        <row r="43">
          <cell r="A43" t="str">
            <v>044</v>
          </cell>
          <cell r="B43" t="str">
            <v>INVALID BUDGET - OSAGE</v>
          </cell>
        </row>
        <row r="44">
          <cell r="A44" t="str">
            <v>046</v>
          </cell>
          <cell r="B44" t="str">
            <v>INVALID BUDGET - TAUM SAUK</v>
          </cell>
        </row>
        <row r="45">
          <cell r="A45" t="str">
            <v>047</v>
          </cell>
          <cell r="B45" t="str">
            <v>RESEARCH AND DEVELOPMENT</v>
          </cell>
        </row>
        <row r="46">
          <cell r="A46" t="str">
            <v>048</v>
          </cell>
          <cell r="B46" t="str">
            <v>TRANSMISSION SVCS BUSINESS CTR</v>
          </cell>
        </row>
        <row r="47">
          <cell r="A47" t="str">
            <v>049</v>
          </cell>
          <cell r="B47" t="str">
            <v>ESH - GENERAL</v>
          </cell>
        </row>
        <row r="48">
          <cell r="A48" t="str">
            <v>050</v>
          </cell>
          <cell r="B48" t="str">
            <v>STOREROOMS - MO</v>
          </cell>
        </row>
        <row r="49">
          <cell r="A49" t="str">
            <v>052</v>
          </cell>
          <cell r="B49" t="str">
            <v>MACKENZIE</v>
          </cell>
        </row>
        <row r="50">
          <cell r="A50" t="str">
            <v>053</v>
          </cell>
          <cell r="B50" t="str">
            <v>ELLISVILLE DISTRICT</v>
          </cell>
        </row>
        <row r="51">
          <cell r="A51" t="str">
            <v>055</v>
          </cell>
          <cell r="B51" t="str">
            <v>BERKELEY</v>
          </cell>
        </row>
        <row r="52">
          <cell r="A52" t="str">
            <v>056</v>
          </cell>
          <cell r="B52" t="str">
            <v>GERALDINE</v>
          </cell>
        </row>
        <row r="53">
          <cell r="A53" t="str">
            <v>057</v>
          </cell>
          <cell r="B53" t="str">
            <v>LABOR STRATEGY</v>
          </cell>
        </row>
        <row r="54">
          <cell r="A54" t="str">
            <v>058</v>
          </cell>
          <cell r="B54" t="str">
            <v>SECRETARY'S</v>
          </cell>
        </row>
        <row r="55">
          <cell r="A55" t="str">
            <v>059</v>
          </cell>
          <cell r="B55" t="str">
            <v>INVALID BUDGET</v>
          </cell>
        </row>
        <row r="56">
          <cell r="A56" t="str">
            <v>060</v>
          </cell>
          <cell r="B56" t="str">
            <v>SCP - PLANNING</v>
          </cell>
        </row>
        <row r="57">
          <cell r="A57" t="str">
            <v>061</v>
          </cell>
          <cell r="B57" t="str">
            <v>REAL ESTATE</v>
          </cell>
        </row>
        <row r="58">
          <cell r="A58" t="str">
            <v>062</v>
          </cell>
          <cell r="B58" t="str">
            <v>INVALID BUDGET</v>
          </cell>
        </row>
        <row r="59">
          <cell r="A59" t="str">
            <v>063</v>
          </cell>
          <cell r="B59" t="str">
            <v>LAKESIDE</v>
          </cell>
        </row>
        <row r="60">
          <cell r="A60" t="str">
            <v>064</v>
          </cell>
          <cell r="B60" t="str">
            <v>EAS - PERSONNEL ADMINISTRATION</v>
          </cell>
        </row>
        <row r="61">
          <cell r="A61" t="str">
            <v>065</v>
          </cell>
          <cell r="B61" t="str">
            <v>NEO - TELEPHONE SERVICES</v>
          </cell>
        </row>
        <row r="62">
          <cell r="A62" t="str">
            <v>066</v>
          </cell>
          <cell r="B62" t="str">
            <v>MoOPS ADMIN</v>
          </cell>
        </row>
        <row r="63">
          <cell r="A63" t="str">
            <v>068</v>
          </cell>
          <cell r="B63" t="str">
            <v>FRANKLIN DISTRICT</v>
          </cell>
        </row>
        <row r="64">
          <cell r="A64" t="str">
            <v>069</v>
          </cell>
          <cell r="B64" t="str">
            <v>ST CHARLES</v>
          </cell>
        </row>
        <row r="65">
          <cell r="A65" t="str">
            <v>070</v>
          </cell>
          <cell r="B65" t="str">
            <v>JEFFERSON</v>
          </cell>
        </row>
        <row r="66">
          <cell r="A66" t="str">
            <v>071</v>
          </cell>
          <cell r="B66" t="str">
            <v>ST FRANCOIS</v>
          </cell>
        </row>
        <row r="67">
          <cell r="A67" t="str">
            <v>072</v>
          </cell>
          <cell r="B67" t="str">
            <v>BUILDING SERVICES-MO</v>
          </cell>
        </row>
        <row r="68">
          <cell r="A68" t="str">
            <v>073</v>
          </cell>
          <cell r="B68" t="str">
            <v>FLEET SVCS - UEC</v>
          </cell>
        </row>
        <row r="69">
          <cell r="A69" t="str">
            <v>074</v>
          </cell>
          <cell r="B69" t="str">
            <v>PURCHASING</v>
          </cell>
        </row>
        <row r="70">
          <cell r="A70" t="str">
            <v>075</v>
          </cell>
          <cell r="B70" t="str">
            <v>BANKING AND INVESTOR SERVICES</v>
          </cell>
        </row>
        <row r="71">
          <cell r="A71" t="str">
            <v>076</v>
          </cell>
          <cell r="B71" t="str">
            <v>TREASURY TECHNOLOGY SERVICES</v>
          </cell>
        </row>
        <row r="72">
          <cell r="A72" t="str">
            <v>077</v>
          </cell>
          <cell r="B72" t="str">
            <v>INVALID BUDGET</v>
          </cell>
        </row>
        <row r="73">
          <cell r="A73" t="str">
            <v>078</v>
          </cell>
          <cell r="B73" t="str">
            <v>INVALID BUDGET - RUSH ISLAND</v>
          </cell>
        </row>
        <row r="74">
          <cell r="A74" t="str">
            <v>079</v>
          </cell>
          <cell r="B74" t="str">
            <v>INVALID BUDGET - MERAMEC</v>
          </cell>
        </row>
        <row r="75">
          <cell r="A75" t="str">
            <v>081</v>
          </cell>
          <cell r="B75" t="str">
            <v>INVALID BUDGET - LAB SERVICES</v>
          </cell>
        </row>
        <row r="76">
          <cell r="A76" t="str">
            <v>082</v>
          </cell>
          <cell r="B76" t="str">
            <v>INVALID BUDGET - VENICE</v>
          </cell>
        </row>
        <row r="77">
          <cell r="A77" t="str">
            <v>083</v>
          </cell>
          <cell r="B77" t="str">
            <v>INVALID BUDGET - LABADIE</v>
          </cell>
        </row>
        <row r="78">
          <cell r="A78" t="str">
            <v>084</v>
          </cell>
          <cell r="B78" t="str">
            <v>INVALID BUDGET - KEOKUK</v>
          </cell>
        </row>
        <row r="79">
          <cell r="A79" t="str">
            <v>085</v>
          </cell>
          <cell r="B79" t="str">
            <v>INVALID BUDGET - SIOUX</v>
          </cell>
        </row>
        <row r="80">
          <cell r="A80" t="str">
            <v>086</v>
          </cell>
          <cell r="B80" t="str">
            <v>FOSSIL FUEL BURNED</v>
          </cell>
        </row>
        <row r="81">
          <cell r="A81" t="str">
            <v>087</v>
          </cell>
          <cell r="B81" t="str">
            <v>FOSSIL FUELS</v>
          </cell>
        </row>
        <row r="82">
          <cell r="A82" t="str">
            <v>088</v>
          </cell>
          <cell r="B82" t="str">
            <v>PERSONNEL TRNG &amp; OFFICE &amp; BUD</v>
          </cell>
        </row>
        <row r="83">
          <cell r="A83" t="str">
            <v>089</v>
          </cell>
          <cell r="B83" t="str">
            <v>APPORTIONMENTS - UEC</v>
          </cell>
        </row>
        <row r="84">
          <cell r="A84" t="str">
            <v>090</v>
          </cell>
          <cell r="B84" t="str">
            <v>SYSTEM RELAY SERVICES</v>
          </cell>
        </row>
        <row r="85">
          <cell r="A85" t="str">
            <v>091</v>
          </cell>
          <cell r="B85" t="str">
            <v>SYS RELAY SERVICES-AMS INVALID</v>
          </cell>
        </row>
        <row r="86">
          <cell r="A86" t="str">
            <v>092</v>
          </cell>
          <cell r="B86" t="str">
            <v>SPECIAL ITEMS-ACCOUNTING DEPT</v>
          </cell>
        </row>
        <row r="87">
          <cell r="A87" t="str">
            <v>093</v>
          </cell>
          <cell r="B87" t="str">
            <v>WENTZVILLE</v>
          </cell>
        </row>
        <row r="88">
          <cell r="A88" t="str">
            <v>094</v>
          </cell>
          <cell r="B88" t="str">
            <v>INVALID BUDGET</v>
          </cell>
        </row>
        <row r="89">
          <cell r="A89" t="str">
            <v>095</v>
          </cell>
          <cell r="B89" t="str">
            <v>INVALID BUDGET</v>
          </cell>
        </row>
        <row r="90">
          <cell r="A90" t="str">
            <v>096</v>
          </cell>
          <cell r="B90" t="str">
            <v>MEMBERSHIPS</v>
          </cell>
        </row>
        <row r="91">
          <cell r="A91" t="str">
            <v>097</v>
          </cell>
          <cell r="B91" t="str">
            <v>INVALID BUDGET</v>
          </cell>
        </row>
        <row r="92">
          <cell r="A92" t="str">
            <v>098</v>
          </cell>
          <cell r="B92" t="str">
            <v>OVERHEADS CAPITALIZED - UEC</v>
          </cell>
        </row>
        <row r="93">
          <cell r="A93" t="str">
            <v>099</v>
          </cell>
          <cell r="B93" t="str">
            <v>CORPORATE SPECIAL ITEMS - UEC</v>
          </cell>
        </row>
        <row r="94">
          <cell r="A94">
            <v>106</v>
          </cell>
          <cell r="B94" t="str">
            <v>INVALID BUDGET</v>
          </cell>
        </row>
        <row r="95">
          <cell r="A95">
            <v>107</v>
          </cell>
          <cell r="B95" t="str">
            <v>DISTRIBUTION OPERATING-Mattoon</v>
          </cell>
        </row>
        <row r="96">
          <cell r="A96">
            <v>111</v>
          </cell>
          <cell r="B96" t="str">
            <v>INVALID BUDGET</v>
          </cell>
        </row>
        <row r="97">
          <cell r="A97">
            <v>112</v>
          </cell>
          <cell r="B97" t="str">
            <v>INVALID BUDGET</v>
          </cell>
        </row>
        <row r="98">
          <cell r="A98">
            <v>113</v>
          </cell>
          <cell r="B98" t="str">
            <v>INVALID BUDGET</v>
          </cell>
        </row>
        <row r="99">
          <cell r="A99">
            <v>114</v>
          </cell>
          <cell r="B99" t="str">
            <v>INVALID BUDGET</v>
          </cell>
        </row>
        <row r="100">
          <cell r="A100">
            <v>115</v>
          </cell>
          <cell r="B100" t="str">
            <v>INVALID BUDGET</v>
          </cell>
        </row>
        <row r="101">
          <cell r="A101">
            <v>116</v>
          </cell>
          <cell r="B101" t="str">
            <v>INVALID BUDGET</v>
          </cell>
        </row>
        <row r="102">
          <cell r="A102">
            <v>117</v>
          </cell>
          <cell r="B102" t="str">
            <v>INVALID BUDGET</v>
          </cell>
        </row>
        <row r="103">
          <cell r="A103">
            <v>118</v>
          </cell>
          <cell r="B103" t="str">
            <v>INVALID BUDGET</v>
          </cell>
        </row>
        <row r="104">
          <cell r="A104">
            <v>130</v>
          </cell>
          <cell r="B104" t="str">
            <v>BUSINESS SERVICES - AEG &amp; BUD</v>
          </cell>
        </row>
        <row r="105">
          <cell r="A105">
            <v>131</v>
          </cell>
          <cell r="B105" t="str">
            <v>EFFINGHAM RESOURCE CENTER</v>
          </cell>
        </row>
        <row r="106">
          <cell r="A106">
            <v>132</v>
          </cell>
          <cell r="B106" t="str">
            <v>PRODUCTION SVCS - AEG-INVALID</v>
          </cell>
        </row>
        <row r="107">
          <cell r="A107">
            <v>133</v>
          </cell>
          <cell r="B107" t="str">
            <v>PEORIA RESOURCE CENTER</v>
          </cell>
        </row>
        <row r="108">
          <cell r="A108">
            <v>134</v>
          </cell>
          <cell r="B108" t="str">
            <v>AEG RESOURCE CENTER-INVALID</v>
          </cell>
        </row>
        <row r="109">
          <cell r="A109">
            <v>136</v>
          </cell>
          <cell r="B109" t="str">
            <v>INVALID BUDGET - NEWTON</v>
          </cell>
        </row>
        <row r="110">
          <cell r="A110">
            <v>140</v>
          </cell>
          <cell r="B110" t="str">
            <v>MEREDOSIA</v>
          </cell>
        </row>
        <row r="111">
          <cell r="A111">
            <v>143</v>
          </cell>
          <cell r="B111" t="str">
            <v>INVALID BUDGET - GRAND TOWER</v>
          </cell>
        </row>
        <row r="112">
          <cell r="A112">
            <v>145</v>
          </cell>
          <cell r="B112" t="str">
            <v>HUTSONVILLE</v>
          </cell>
        </row>
        <row r="113">
          <cell r="A113">
            <v>148</v>
          </cell>
          <cell r="B113" t="str">
            <v>INVALID BUDGET - COFFEEN</v>
          </cell>
        </row>
        <row r="114">
          <cell r="A114">
            <v>151</v>
          </cell>
          <cell r="B114" t="str">
            <v>ALT- CIPS</v>
          </cell>
        </row>
        <row r="115">
          <cell r="A115">
            <v>152</v>
          </cell>
          <cell r="B115" t="str">
            <v>ALT- GEN</v>
          </cell>
        </row>
        <row r="116">
          <cell r="A116">
            <v>153</v>
          </cell>
          <cell r="B116" t="str">
            <v>ALT- IHC</v>
          </cell>
        </row>
        <row r="117">
          <cell r="A117">
            <v>154</v>
          </cell>
          <cell r="B117" t="str">
            <v>ALT- AFS</v>
          </cell>
        </row>
        <row r="118">
          <cell r="A118">
            <v>155</v>
          </cell>
          <cell r="B118" t="str">
            <v>INVALID BUDGET</v>
          </cell>
        </row>
        <row r="119">
          <cell r="A119">
            <v>157</v>
          </cell>
          <cell r="B119" t="str">
            <v>GOVERNMENT RELATIONS</v>
          </cell>
        </row>
        <row r="120">
          <cell r="A120">
            <v>158</v>
          </cell>
          <cell r="B120" t="str">
            <v>ALT- GMC</v>
          </cell>
        </row>
        <row r="121">
          <cell r="A121">
            <v>159</v>
          </cell>
          <cell r="B121" t="str">
            <v>ALT- AME</v>
          </cell>
        </row>
        <row r="122">
          <cell r="A122">
            <v>186</v>
          </cell>
          <cell r="B122" t="str">
            <v>FOSSIL FUEL-GENCO</v>
          </cell>
        </row>
        <row r="123">
          <cell r="A123">
            <v>189</v>
          </cell>
          <cell r="B123" t="str">
            <v>APPORTIONMENTS - CIPS</v>
          </cell>
        </row>
        <row r="124">
          <cell r="A124">
            <v>190</v>
          </cell>
          <cell r="B124" t="str">
            <v>APPMNTS - SPECIAL ITEMS - AMS</v>
          </cell>
        </row>
        <row r="125">
          <cell r="A125">
            <v>192</v>
          </cell>
          <cell r="B125" t="str">
            <v>PLT &amp; REG AUTOMATED JOURNALS</v>
          </cell>
        </row>
        <row r="126">
          <cell r="A126">
            <v>193</v>
          </cell>
          <cell r="B126" t="str">
            <v>PLANT &amp; REGULATORY ITEMS - CIPS</v>
          </cell>
        </row>
        <row r="127">
          <cell r="A127">
            <v>194</v>
          </cell>
          <cell r="B127" t="str">
            <v>PLANT &amp; REGULATORY ITEMS - AMS</v>
          </cell>
        </row>
        <row r="128">
          <cell r="A128">
            <v>199</v>
          </cell>
          <cell r="B128" t="str">
            <v>CORPORATE SPECIAL ITEMS</v>
          </cell>
        </row>
        <row r="129">
          <cell r="A129">
            <v>201</v>
          </cell>
          <cell r="B129" t="str">
            <v>DEV - BUS &amp; CORP SVCS</v>
          </cell>
        </row>
        <row r="130">
          <cell r="A130">
            <v>202</v>
          </cell>
          <cell r="B130" t="str">
            <v>DEV - OPERATIONS</v>
          </cell>
        </row>
        <row r="131">
          <cell r="A131">
            <v>203</v>
          </cell>
          <cell r="B131" t="str">
            <v>INVALID - DEV HUMAN RESOURCES</v>
          </cell>
        </row>
        <row r="132">
          <cell r="A132">
            <v>204</v>
          </cell>
          <cell r="B132" t="str">
            <v>DEV - ENERGY DELIVERY</v>
          </cell>
        </row>
        <row r="133">
          <cell r="A133">
            <v>230</v>
          </cell>
          <cell r="B133" t="str">
            <v>ED - ELECTRIC TRAINING</v>
          </cell>
        </row>
        <row r="134">
          <cell r="A134">
            <v>231</v>
          </cell>
          <cell r="B134" t="str">
            <v>IL OPS ADMN DIV IV V VI VII</v>
          </cell>
        </row>
        <row r="135">
          <cell r="A135">
            <v>232</v>
          </cell>
          <cell r="B135" t="str">
            <v>GAS ENGINEERING &amp; SUPPORT</v>
          </cell>
        </row>
        <row r="136">
          <cell r="A136">
            <v>233</v>
          </cell>
          <cell r="B136" t="str">
            <v>ED ELECTRIC STANDARDS</v>
          </cell>
        </row>
        <row r="137">
          <cell r="A137">
            <v>234</v>
          </cell>
          <cell r="B137" t="str">
            <v>ED PERFORMANCE IMPROVEMENT</v>
          </cell>
        </row>
        <row r="138">
          <cell r="A138">
            <v>235</v>
          </cell>
          <cell r="B138" t="str">
            <v>ED STRATEGIC PLANNING INVALID</v>
          </cell>
        </row>
        <row r="139">
          <cell r="A139">
            <v>286</v>
          </cell>
          <cell r="B139" t="str">
            <v>FOSSIL FUEL-CIL</v>
          </cell>
        </row>
        <row r="140">
          <cell r="A140">
            <v>299</v>
          </cell>
          <cell r="B140" t="str">
            <v>ACCOUNTING ENTRIES-CIL</v>
          </cell>
        </row>
        <row r="141">
          <cell r="A141">
            <v>300</v>
          </cell>
          <cell r="B141" t="str">
            <v>AME - EXECUTIVE</v>
          </cell>
        </row>
        <row r="142">
          <cell r="A142">
            <v>301</v>
          </cell>
          <cell r="B142" t="str">
            <v>AME - TRADING-ELECTRICITY</v>
          </cell>
        </row>
        <row r="143">
          <cell r="A143">
            <v>302</v>
          </cell>
          <cell r="B143" t="str">
            <v>AME - MKTG-NATURAL GAS</v>
          </cell>
        </row>
        <row r="144">
          <cell r="A144">
            <v>303</v>
          </cell>
          <cell r="B144" t="str">
            <v>AER SVCS - OPERATION - INVALID</v>
          </cell>
        </row>
        <row r="145">
          <cell r="A145">
            <v>304</v>
          </cell>
          <cell r="B145" t="str">
            <v>AER SVCS - INFO SYST - INVALID</v>
          </cell>
        </row>
        <row r="146">
          <cell r="A146">
            <v>305</v>
          </cell>
          <cell r="B146" t="str">
            <v>AME - HUMAN RESOURCES-INVALID</v>
          </cell>
        </row>
        <row r="147">
          <cell r="A147">
            <v>306</v>
          </cell>
          <cell r="B147" t="str">
            <v>AME - RISK MANAGEMENT-INVALID</v>
          </cell>
        </row>
        <row r="148">
          <cell r="A148">
            <v>307</v>
          </cell>
          <cell r="B148" t="str">
            <v>AME - MRKT - STRUCTURE-INVALID</v>
          </cell>
        </row>
        <row r="149">
          <cell r="A149">
            <v>308</v>
          </cell>
          <cell r="B149" t="str">
            <v>AME - TRAD-NATURAL GAS-INVALID</v>
          </cell>
        </row>
        <row r="150">
          <cell r="A150">
            <v>309</v>
          </cell>
          <cell r="B150" t="str">
            <v>AME - MKTG COMMUNICATIONS</v>
          </cell>
        </row>
        <row r="151">
          <cell r="A151">
            <v>310</v>
          </cell>
          <cell r="B151" t="str">
            <v>AER SVCS - FINANCIAL ANALYSIS</v>
          </cell>
        </row>
        <row r="152">
          <cell r="A152">
            <v>311</v>
          </cell>
          <cell r="B152" t="str">
            <v>AME - GENERAL ITEMS</v>
          </cell>
        </row>
        <row r="153">
          <cell r="A153">
            <v>312</v>
          </cell>
          <cell r="B153" t="str">
            <v>PRICING &amp; ANALYSIS</v>
          </cell>
        </row>
        <row r="154">
          <cell r="A154">
            <v>313</v>
          </cell>
          <cell r="B154" t="str">
            <v>AME - BILLINGS TO IHC-INVALID</v>
          </cell>
        </row>
        <row r="155">
          <cell r="A155">
            <v>340</v>
          </cell>
          <cell r="B155" t="str">
            <v>REGULATED CTG COMMON</v>
          </cell>
        </row>
        <row r="156">
          <cell r="A156">
            <v>341</v>
          </cell>
          <cell r="B156" t="str">
            <v>VENICE CTGs</v>
          </cell>
        </row>
        <row r="157">
          <cell r="A157">
            <v>342</v>
          </cell>
          <cell r="B157" t="str">
            <v>HOWARD BEND CTG</v>
          </cell>
        </row>
        <row r="158">
          <cell r="A158">
            <v>343</v>
          </cell>
          <cell r="B158" t="str">
            <v>MERAMEC CTGs</v>
          </cell>
        </row>
        <row r="159">
          <cell r="A159">
            <v>344</v>
          </cell>
          <cell r="B159" t="str">
            <v>FAIRGROUNDS CTG</v>
          </cell>
        </row>
        <row r="160">
          <cell r="A160">
            <v>345</v>
          </cell>
          <cell r="B160" t="str">
            <v>KIRKSVILLE CTG</v>
          </cell>
        </row>
        <row r="161">
          <cell r="A161">
            <v>346</v>
          </cell>
          <cell r="B161" t="str">
            <v>MOREAU CTG</v>
          </cell>
        </row>
        <row r="162">
          <cell r="A162">
            <v>347</v>
          </cell>
          <cell r="B162" t="str">
            <v>MOBERLY CTG</v>
          </cell>
        </row>
        <row r="163">
          <cell r="A163">
            <v>348</v>
          </cell>
          <cell r="B163" t="str">
            <v>MEXICO CTG</v>
          </cell>
        </row>
        <row r="164">
          <cell r="A164">
            <v>349</v>
          </cell>
          <cell r="B164" t="str">
            <v>VIADUCT CTG</v>
          </cell>
        </row>
        <row r="165">
          <cell r="A165">
            <v>350</v>
          </cell>
          <cell r="B165" t="str">
            <v>GIBSON CITY CTG</v>
          </cell>
        </row>
        <row r="166">
          <cell r="A166">
            <v>351</v>
          </cell>
          <cell r="B166" t="str">
            <v>KINMUNDY CTG</v>
          </cell>
        </row>
        <row r="167">
          <cell r="A167">
            <v>352</v>
          </cell>
          <cell r="B167" t="str">
            <v>PINCKNEYVILLE CTG</v>
          </cell>
        </row>
        <row r="168">
          <cell r="A168">
            <v>353</v>
          </cell>
          <cell r="B168" t="str">
            <v>TUSCOLA CTG</v>
          </cell>
        </row>
        <row r="169">
          <cell r="A169">
            <v>354</v>
          </cell>
          <cell r="B169" t="str">
            <v>GRAND TOWER PLANT</v>
          </cell>
        </row>
        <row r="170">
          <cell r="A170">
            <v>355</v>
          </cell>
          <cell r="B170" t="str">
            <v>ELGIN CTG</v>
          </cell>
        </row>
        <row r="171">
          <cell r="A171">
            <v>356</v>
          </cell>
          <cell r="B171" t="str">
            <v>COLUMBIA CTG</v>
          </cell>
        </row>
        <row r="172">
          <cell r="A172">
            <v>358</v>
          </cell>
          <cell r="B172" t="str">
            <v>JOPPA 7B CTG</v>
          </cell>
        </row>
        <row r="173">
          <cell r="A173">
            <v>359</v>
          </cell>
          <cell r="B173" t="str">
            <v>PENO CREEK CTG</v>
          </cell>
        </row>
        <row r="174">
          <cell r="A174">
            <v>360</v>
          </cell>
          <cell r="B174" t="str">
            <v>DEREGULATED  CTG COMMON</v>
          </cell>
        </row>
        <row r="175">
          <cell r="A175">
            <v>361</v>
          </cell>
          <cell r="B175" t="str">
            <v>AUDRAIN CTG</v>
          </cell>
        </row>
        <row r="176">
          <cell r="A176">
            <v>362</v>
          </cell>
          <cell r="B176" t="str">
            <v>GOOSE CREEK CTG</v>
          </cell>
        </row>
        <row r="177">
          <cell r="A177">
            <v>363</v>
          </cell>
          <cell r="B177" t="str">
            <v>RACCOON CREEK CTG</v>
          </cell>
        </row>
        <row r="178">
          <cell r="A178">
            <v>399</v>
          </cell>
          <cell r="B178" t="str">
            <v>ACCOUNTING ENTRIES - IPC</v>
          </cell>
        </row>
        <row r="179">
          <cell r="A179">
            <v>601</v>
          </cell>
          <cell r="B179" t="str">
            <v>CORP - COMM &amp; ADV-CIL-INVALID</v>
          </cell>
        </row>
        <row r="180">
          <cell r="A180">
            <v>602</v>
          </cell>
          <cell r="B180" t="str">
            <v>SPFLD DIV SUPP SRV-CIL-INVALID</v>
          </cell>
        </row>
        <row r="181">
          <cell r="A181">
            <v>603</v>
          </cell>
          <cell r="B181" t="str">
            <v>TUSCOLA GAS OPERATIONS</v>
          </cell>
        </row>
        <row r="182">
          <cell r="A182">
            <v>604</v>
          </cell>
          <cell r="B182" t="str">
            <v>LINCOLN ELECTRIC OPS</v>
          </cell>
        </row>
        <row r="183">
          <cell r="A183">
            <v>605</v>
          </cell>
          <cell r="B183" t="str">
            <v>SPRINGFIELD ELECTRIC OPS</v>
          </cell>
        </row>
        <row r="184">
          <cell r="A184">
            <v>606</v>
          </cell>
          <cell r="B184" t="str">
            <v>HOMER ELECTRIC OPS</v>
          </cell>
        </row>
        <row r="185">
          <cell r="A185">
            <v>607</v>
          </cell>
          <cell r="B185" t="str">
            <v>LINCOLN GAS OPS</v>
          </cell>
        </row>
        <row r="186">
          <cell r="A186">
            <v>608</v>
          </cell>
          <cell r="B186" t="str">
            <v>SPFLD GAS CONSTRUCTION</v>
          </cell>
        </row>
        <row r="187">
          <cell r="A187">
            <v>609</v>
          </cell>
          <cell r="B187" t="str">
            <v>SPFLD GAS SERVICE</v>
          </cell>
        </row>
        <row r="188">
          <cell r="A188">
            <v>610</v>
          </cell>
          <cell r="B188" t="str">
            <v>SPFLD SUBST SERV-CIL - INVALID</v>
          </cell>
        </row>
        <row r="189">
          <cell r="A189">
            <v>611</v>
          </cell>
          <cell r="B189" t="str">
            <v>AM FM POWER ON-CIL - INVALID</v>
          </cell>
        </row>
        <row r="190">
          <cell r="A190">
            <v>612</v>
          </cell>
          <cell r="B190" t="str">
            <v>PEORIA EL OP ADMIN-CIL-INVALID</v>
          </cell>
        </row>
        <row r="191">
          <cell r="A191">
            <v>613</v>
          </cell>
          <cell r="B191" t="str">
            <v>PEO ELEC OPER SUPP-CIL-INVALID</v>
          </cell>
        </row>
        <row r="192">
          <cell r="A192">
            <v>614</v>
          </cell>
          <cell r="B192" t="str">
            <v>VEGETATION MGT - CIL INVALID</v>
          </cell>
        </row>
        <row r="193">
          <cell r="A193">
            <v>615</v>
          </cell>
          <cell r="B193" t="str">
            <v>METER SERVICES - CIL</v>
          </cell>
        </row>
        <row r="194">
          <cell r="A194">
            <v>616</v>
          </cell>
          <cell r="B194" t="str">
            <v>SUB MTCE &amp; CONST - IL WEST</v>
          </cell>
        </row>
        <row r="195">
          <cell r="A195">
            <v>617</v>
          </cell>
          <cell r="B195" t="str">
            <v>NORTHERN ELECTRIC</v>
          </cell>
        </row>
        <row r="196">
          <cell r="A196">
            <v>618</v>
          </cell>
          <cell r="B196" t="str">
            <v>CENTRAL ELECTRIC</v>
          </cell>
        </row>
        <row r="197">
          <cell r="A197">
            <v>619</v>
          </cell>
          <cell r="B197" t="str">
            <v>PEORIA ELEC UNDERGROUND</v>
          </cell>
        </row>
        <row r="198">
          <cell r="A198">
            <v>620</v>
          </cell>
          <cell r="B198" t="str">
            <v>REG &amp; PRESSURE SERV-CIL INVALD</v>
          </cell>
        </row>
        <row r="199">
          <cell r="A199">
            <v>621</v>
          </cell>
          <cell r="B199" t="str">
            <v>GAS STORAGE FIELDS-CIL INVALID</v>
          </cell>
        </row>
        <row r="200">
          <cell r="A200">
            <v>622</v>
          </cell>
          <cell r="B200" t="str">
            <v>GAS DIV - CNTL DISPT-CIL INVLD</v>
          </cell>
        </row>
        <row r="201">
          <cell r="A201">
            <v>623</v>
          </cell>
          <cell r="B201" t="str">
            <v>GAS CORP METER-CIL INVALID</v>
          </cell>
        </row>
        <row r="202">
          <cell r="A202">
            <v>624</v>
          </cell>
          <cell r="B202" t="str">
            <v>PEORIA GAS SERVICE</v>
          </cell>
        </row>
        <row r="203">
          <cell r="A203">
            <v>625</v>
          </cell>
          <cell r="B203" t="str">
            <v>GAS CORP SERV DISPAT-CIL INVAL</v>
          </cell>
        </row>
        <row r="204">
          <cell r="A204">
            <v>626</v>
          </cell>
          <cell r="B204" t="str">
            <v>LDU - COMPL &amp; RECD-CIL INVALID</v>
          </cell>
        </row>
        <row r="205">
          <cell r="A205">
            <v>627</v>
          </cell>
          <cell r="B205" t="str">
            <v>CORP MOBILE COMM-CIL-INVALID</v>
          </cell>
        </row>
        <row r="206">
          <cell r="A206">
            <v>628</v>
          </cell>
          <cell r="B206" t="str">
            <v>PEORIA GAS CONSTRUCTION</v>
          </cell>
        </row>
        <row r="207">
          <cell r="A207">
            <v>629</v>
          </cell>
          <cell r="B207" t="str">
            <v>DISTRIBUTION OPERATING-Peoria</v>
          </cell>
        </row>
        <row r="208">
          <cell r="A208">
            <v>630</v>
          </cell>
          <cell r="B208" t="str">
            <v>PEORIA MTR READING-CIL-INVALID</v>
          </cell>
        </row>
        <row r="209">
          <cell r="A209">
            <v>631</v>
          </cell>
          <cell r="B209" t="str">
            <v>EDU FINANCE &amp; ADMN-CIL-INVALID</v>
          </cell>
        </row>
        <row r="210">
          <cell r="A210">
            <v>632</v>
          </cell>
          <cell r="B210" t="str">
            <v>CSF - IT FIELD OPERATIONS</v>
          </cell>
        </row>
        <row r="211">
          <cell r="A211">
            <v>633</v>
          </cell>
          <cell r="B211" t="str">
            <v>CRP RATES-REG AFFS-CIL-INVALID</v>
          </cell>
        </row>
        <row r="212">
          <cell r="A212">
            <v>634</v>
          </cell>
          <cell r="B212" t="str">
            <v>CUST ACCTG &amp; REV PROT - IL</v>
          </cell>
        </row>
        <row r="213">
          <cell r="A213">
            <v>635</v>
          </cell>
          <cell r="B213" t="str">
            <v>ALT - CIL</v>
          </cell>
        </row>
        <row r="214">
          <cell r="A214">
            <v>636</v>
          </cell>
          <cell r="B214" t="str">
            <v>MKTG &amp; SALES ADMIN-CIL-INVALID</v>
          </cell>
        </row>
        <row r="215">
          <cell r="A215">
            <v>637</v>
          </cell>
          <cell r="B215" t="str">
            <v>KEY ACCOUNTS - IL</v>
          </cell>
        </row>
        <row r="216">
          <cell r="A216">
            <v>638</v>
          </cell>
          <cell r="B216" t="str">
            <v>CRP LEGI &amp; PUB AFF-CIL-INVALID</v>
          </cell>
        </row>
        <row r="217">
          <cell r="A217">
            <v>639</v>
          </cell>
          <cell r="B217" t="str">
            <v>CUSTOMER CONTACT CENTER - IL</v>
          </cell>
        </row>
        <row r="218">
          <cell r="A218">
            <v>641</v>
          </cell>
          <cell r="B218" t="str">
            <v>CORPORATE MARKETG-CIL-INVALID</v>
          </cell>
        </row>
        <row r="219">
          <cell r="A219">
            <v>642</v>
          </cell>
          <cell r="B219" t="str">
            <v>CILCO ENERGY TRADING-INVALID</v>
          </cell>
        </row>
        <row r="220">
          <cell r="A220">
            <v>643</v>
          </cell>
          <cell r="B220" t="str">
            <v>HALLOCK POWER MODULES</v>
          </cell>
        </row>
        <row r="221">
          <cell r="A221">
            <v>644</v>
          </cell>
          <cell r="B221" t="str">
            <v>KICKAPOO POWER MODULES</v>
          </cell>
        </row>
        <row r="222">
          <cell r="A222">
            <v>646</v>
          </cell>
          <cell r="B222" t="str">
            <v>CAT-MOSSVILLE POWER MODULES</v>
          </cell>
        </row>
        <row r="223">
          <cell r="A223">
            <v>647</v>
          </cell>
          <cell r="B223" t="str">
            <v>CAT-MAPLETON POWER MODULES</v>
          </cell>
        </row>
        <row r="224">
          <cell r="A224">
            <v>648</v>
          </cell>
          <cell r="B224" t="str">
            <v>TAZEWELL ALTORFER POWER MODULE</v>
          </cell>
        </row>
        <row r="225">
          <cell r="A225">
            <v>649</v>
          </cell>
          <cell r="B225" t="str">
            <v>HALLOCK ALT TMP PWR MD-INVALID</v>
          </cell>
        </row>
        <row r="226">
          <cell r="A226">
            <v>650</v>
          </cell>
          <cell r="B226" t="str">
            <v>SPFLD DIV ADMIN-CIL - INVALID</v>
          </cell>
        </row>
        <row r="227">
          <cell r="A227">
            <v>654</v>
          </cell>
          <cell r="B227" t="str">
            <v>WORK STOPPAGE-CIL-INVALID</v>
          </cell>
        </row>
        <row r="228">
          <cell r="A228">
            <v>664</v>
          </cell>
          <cell r="B228" t="str">
            <v>GAS CENT DIST DSGN -CIL-INVALD</v>
          </cell>
        </row>
        <row r="229">
          <cell r="A229">
            <v>665</v>
          </cell>
          <cell r="B229" t="str">
            <v>INFRASERVICES - CIS - INVALID</v>
          </cell>
        </row>
        <row r="230">
          <cell r="A230">
            <v>667</v>
          </cell>
          <cell r="B230" t="str">
            <v>DIVISION III SUPT -CIL</v>
          </cell>
        </row>
        <row r="231">
          <cell r="A231">
            <v>668</v>
          </cell>
          <cell r="B231" t="str">
            <v>IL OPS ADMN DIV I II III</v>
          </cell>
        </row>
        <row r="232">
          <cell r="A232">
            <v>669</v>
          </cell>
          <cell r="B232" t="str">
            <v>DIVISION I SUPPORT STAFF</v>
          </cell>
        </row>
        <row r="233">
          <cell r="A233">
            <v>670</v>
          </cell>
          <cell r="B233" t="str">
            <v>STERLING AVENUE CTG</v>
          </cell>
        </row>
        <row r="234">
          <cell r="A234">
            <v>671</v>
          </cell>
          <cell r="B234" t="str">
            <v>ALT - ARG</v>
          </cell>
        </row>
        <row r="235">
          <cell r="A235">
            <v>680</v>
          </cell>
          <cell r="B235" t="str">
            <v>GENERATION PRECISION QLTY MGMT</v>
          </cell>
        </row>
        <row r="236">
          <cell r="A236">
            <v>802</v>
          </cell>
          <cell r="B236" t="str">
            <v>NUCL - ENG PI - PERF IMPROVE</v>
          </cell>
        </row>
        <row r="237">
          <cell r="A237">
            <v>803</v>
          </cell>
          <cell r="B237" t="str">
            <v>NUCL - PROBABILISTIC RISK ASMT</v>
          </cell>
        </row>
        <row r="238">
          <cell r="A238">
            <v>805</v>
          </cell>
          <cell r="B238" t="str">
            <v>NUCL - BUDGET - COST MGMT</v>
          </cell>
        </row>
        <row r="239">
          <cell r="A239">
            <v>806</v>
          </cell>
          <cell r="B239" t="str">
            <v>NUCL - FUELS</v>
          </cell>
        </row>
        <row r="240">
          <cell r="A240">
            <v>807</v>
          </cell>
          <cell r="B240" t="str">
            <v>CA - SYSTEMS ENGINEERING</v>
          </cell>
        </row>
        <row r="241">
          <cell r="A241">
            <v>808</v>
          </cell>
          <cell r="B241" t="str">
            <v>CA - SYSTEMS ENGINRING INVALID</v>
          </cell>
        </row>
        <row r="242">
          <cell r="A242" t="str">
            <v>01C</v>
          </cell>
          <cell r="B242" t="str">
            <v>STRATEGIC INITIATIVES</v>
          </cell>
        </row>
        <row r="243">
          <cell r="A243" t="str">
            <v>01Z</v>
          </cell>
          <cell r="B243" t="str">
            <v>UE GENERATION-VACANCY FACTOR</v>
          </cell>
        </row>
        <row r="244">
          <cell r="A244" t="str">
            <v>02A</v>
          </cell>
          <cell r="B244" t="str">
            <v>RESOURCE POOL</v>
          </cell>
        </row>
        <row r="245">
          <cell r="A245" t="str">
            <v>02B</v>
          </cell>
          <cell r="B245" t="str">
            <v>CONTRACT PERSONNEL</v>
          </cell>
        </row>
        <row r="246">
          <cell r="A246" t="str">
            <v>02C</v>
          </cell>
          <cell r="B246" t="str">
            <v>EDTS CONSTRUCTION SVCS</v>
          </cell>
        </row>
        <row r="247">
          <cell r="A247" t="str">
            <v>02E</v>
          </cell>
          <cell r="B247" t="str">
            <v>HR - STAFFING</v>
          </cell>
        </row>
        <row r="248">
          <cell r="A248" t="str">
            <v>02F</v>
          </cell>
          <cell r="B248" t="str">
            <v>VEGETATION MGT - IL</v>
          </cell>
        </row>
        <row r="249">
          <cell r="A249" t="str">
            <v>02H</v>
          </cell>
          <cell r="B249" t="str">
            <v>HR - OPERATIONS &amp; COMPLIANCE</v>
          </cell>
        </row>
        <row r="250">
          <cell r="A250" t="str">
            <v>02N</v>
          </cell>
          <cell r="B250" t="str">
            <v>CREDIT &amp; COLLECTIONS - IL</v>
          </cell>
        </row>
        <row r="251">
          <cell r="A251" t="str">
            <v>02P</v>
          </cell>
          <cell r="B251" t="str">
            <v>HR - TOTAL REWARDS</v>
          </cell>
        </row>
        <row r="252">
          <cell r="A252" t="str">
            <v>02Q</v>
          </cell>
          <cell r="B252" t="str">
            <v>INVALID BUDGET</v>
          </cell>
        </row>
        <row r="253">
          <cell r="A253" t="str">
            <v>02R</v>
          </cell>
          <cell r="B253" t="str">
            <v>HR - DIVERSITY</v>
          </cell>
        </row>
        <row r="254">
          <cell r="A254" t="str">
            <v>02T</v>
          </cell>
          <cell r="B254" t="str">
            <v>HR -ORGANIZATION EFFECTIVENESS</v>
          </cell>
        </row>
        <row r="255">
          <cell r="A255" t="str">
            <v>02V</v>
          </cell>
          <cell r="B255" t="str">
            <v>EMPLOYEE COMMUNICATIONS</v>
          </cell>
        </row>
        <row r="256">
          <cell r="A256" t="str">
            <v>02Z</v>
          </cell>
          <cell r="B256" t="str">
            <v>CUSTOMER SVC VACANCY FACTOR</v>
          </cell>
        </row>
        <row r="257">
          <cell r="A257" t="str">
            <v>03A</v>
          </cell>
          <cell r="B257" t="str">
            <v>METER READING - AMS</v>
          </cell>
        </row>
        <row r="258">
          <cell r="A258" t="str">
            <v>03B</v>
          </cell>
          <cell r="B258" t="str">
            <v>TRANSMISSION - CIL</v>
          </cell>
        </row>
        <row r="259">
          <cell r="A259" t="str">
            <v>03C</v>
          </cell>
          <cell r="B259" t="str">
            <v>TRANSMISSION - CIP</v>
          </cell>
        </row>
        <row r="260">
          <cell r="A260" t="str">
            <v>03D</v>
          </cell>
          <cell r="B260" t="str">
            <v>SUB MTCE &amp; CONST - IL EAST</v>
          </cell>
        </row>
        <row r="261">
          <cell r="A261" t="str">
            <v>03F</v>
          </cell>
          <cell r="B261" t="str">
            <v>SUB MTCE &amp; CONST - UEC SOUTH</v>
          </cell>
        </row>
        <row r="262">
          <cell r="A262" t="str">
            <v>03H</v>
          </cell>
          <cell r="B262" t="str">
            <v>SUB MTCE &amp; CONST - UEC WEST</v>
          </cell>
        </row>
        <row r="263">
          <cell r="A263" t="str">
            <v>03M</v>
          </cell>
          <cell r="B263" t="str">
            <v>SUB MTCE &amp; CONST - ENG &amp; ADMIN</v>
          </cell>
        </row>
        <row r="264">
          <cell r="A264" t="str">
            <v>03T</v>
          </cell>
          <cell r="B264" t="str">
            <v>TRANSMISSION - AMS</v>
          </cell>
        </row>
        <row r="265">
          <cell r="A265" t="str">
            <v>03U</v>
          </cell>
          <cell r="B265" t="str">
            <v>METER SERVICES - CIP</v>
          </cell>
        </row>
        <row r="266">
          <cell r="A266" t="str">
            <v>03V</v>
          </cell>
          <cell r="B266" t="str">
            <v>DISTRIBUTION SVCS - AMS</v>
          </cell>
        </row>
        <row r="267">
          <cell r="A267" t="str">
            <v>03W</v>
          </cell>
          <cell r="B267" t="str">
            <v>CUSTOMER SERVICE AMS</v>
          </cell>
        </row>
        <row r="268">
          <cell r="A268" t="str">
            <v>03Z</v>
          </cell>
          <cell r="B268" t="str">
            <v>MISSOURI VAC FACTOR</v>
          </cell>
        </row>
        <row r="269">
          <cell r="A269" t="str">
            <v>04C</v>
          </cell>
          <cell r="B269" t="str">
            <v>FINANCIAL COMMUNICATIONS</v>
          </cell>
        </row>
        <row r="270">
          <cell r="A270" t="str">
            <v>04N</v>
          </cell>
          <cell r="B270" t="str">
            <v>INVALID BUDGET</v>
          </cell>
        </row>
        <row r="271">
          <cell r="A271" t="str">
            <v>04R</v>
          </cell>
          <cell r="B271" t="str">
            <v>REGULATORY ACCOUNTING</v>
          </cell>
        </row>
        <row r="272">
          <cell r="A272" t="str">
            <v>05A</v>
          </cell>
          <cell r="B272" t="str">
            <v>INTERNAL AUDIT</v>
          </cell>
        </row>
        <row r="273">
          <cell r="A273" t="str">
            <v>05B</v>
          </cell>
          <cell r="B273" t="str">
            <v>CORPORATE BUDGETING</v>
          </cell>
        </row>
        <row r="274">
          <cell r="A274" t="str">
            <v>05E</v>
          </cell>
          <cell r="B274" t="str">
            <v>PERFORMANCE MANAGEMENT</v>
          </cell>
        </row>
        <row r="275">
          <cell r="A275" t="str">
            <v>05F</v>
          </cell>
          <cell r="B275" t="str">
            <v>FINANCIAL FORECASTING</v>
          </cell>
        </row>
        <row r="276">
          <cell r="A276" t="str">
            <v>05H</v>
          </cell>
          <cell r="B276" t="str">
            <v>HR - BUSINESS SERVICES</v>
          </cell>
        </row>
        <row r="277">
          <cell r="A277" t="str">
            <v>05J</v>
          </cell>
          <cell r="B277" t="str">
            <v>GATEWAY SUPPORT STAFF</v>
          </cell>
        </row>
        <row r="278">
          <cell r="A278" t="str">
            <v>05M</v>
          </cell>
          <cell r="B278" t="str">
            <v>STOREROOMS-AMS</v>
          </cell>
        </row>
        <row r="279">
          <cell r="A279" t="str">
            <v>05N</v>
          </cell>
          <cell r="B279" t="str">
            <v>STOREROOMS-IL</v>
          </cell>
        </row>
        <row r="280">
          <cell r="A280" t="str">
            <v>05P</v>
          </cell>
          <cell r="B280" t="str">
            <v>INVALID BUDGET</v>
          </cell>
        </row>
        <row r="281">
          <cell r="A281" t="str">
            <v>05Q</v>
          </cell>
          <cell r="B281" t="str">
            <v>PIONEER PARK WRHSE-CIL-INVALID</v>
          </cell>
        </row>
        <row r="282">
          <cell r="A282" t="str">
            <v>05R</v>
          </cell>
          <cell r="B282" t="str">
            <v>AMEREN CILCO STORES</v>
          </cell>
        </row>
        <row r="283">
          <cell r="A283" t="str">
            <v>05T</v>
          </cell>
          <cell r="B283" t="str">
            <v>TAX</v>
          </cell>
        </row>
        <row r="284">
          <cell r="A284" t="str">
            <v>06A</v>
          </cell>
          <cell r="B284" t="str">
            <v>INF - INSERTING &amp; MAIL DELIVRY</v>
          </cell>
        </row>
        <row r="285">
          <cell r="A285" t="str">
            <v>06B</v>
          </cell>
          <cell r="B285" t="str">
            <v>INF - ENTERPRISE COMPUTING SVC</v>
          </cell>
        </row>
        <row r="286">
          <cell r="A286" t="str">
            <v>06C</v>
          </cell>
          <cell r="B286" t="str">
            <v>INF - STL CENTRAL SERVER OPS</v>
          </cell>
        </row>
        <row r="287">
          <cell r="A287" t="str">
            <v>06D</v>
          </cell>
          <cell r="B287" t="str">
            <v>SCP - SECURITY</v>
          </cell>
        </row>
        <row r="288">
          <cell r="A288" t="str">
            <v>06E</v>
          </cell>
          <cell r="B288" t="str">
            <v>SCP - DATA MANAGEMENT</v>
          </cell>
        </row>
        <row r="289">
          <cell r="A289" t="str">
            <v>06F</v>
          </cell>
          <cell r="B289" t="str">
            <v>INF - ENTERPRISE STORAGE</v>
          </cell>
        </row>
        <row r="290">
          <cell r="A290" t="str">
            <v>06G</v>
          </cell>
          <cell r="B290" t="str">
            <v>INF - MVS SYSTEMS</v>
          </cell>
        </row>
        <row r="291">
          <cell r="A291" t="str">
            <v>06H</v>
          </cell>
          <cell r="B291" t="str">
            <v>NEO - ENTERPRISE NETWORKING</v>
          </cell>
        </row>
        <row r="292">
          <cell r="A292" t="str">
            <v>06J</v>
          </cell>
          <cell r="B292" t="str">
            <v>CSF - ASC CUSTOMER SVCS</v>
          </cell>
        </row>
        <row r="293">
          <cell r="A293" t="str">
            <v>06K</v>
          </cell>
          <cell r="B293" t="str">
            <v>INVALID - ENTERPRISE ARCHITECT</v>
          </cell>
        </row>
        <row r="294">
          <cell r="A294" t="str">
            <v>06M</v>
          </cell>
          <cell r="B294" t="str">
            <v>CSF - TELECOM FIELD OPS</v>
          </cell>
        </row>
        <row r="295">
          <cell r="A295" t="str">
            <v>06P</v>
          </cell>
          <cell r="B295" t="str">
            <v>INVALID - BUSINESS CONTINUITY</v>
          </cell>
        </row>
        <row r="296">
          <cell r="A296" t="str">
            <v>06Q</v>
          </cell>
          <cell r="B296" t="str">
            <v>CSF - TRAINING SERVICES</v>
          </cell>
        </row>
        <row r="297">
          <cell r="A297" t="str">
            <v>06R</v>
          </cell>
          <cell r="B297" t="str">
            <v>CSF - SECURITY PROVISIONING</v>
          </cell>
        </row>
        <row r="298">
          <cell r="A298" t="str">
            <v>06T</v>
          </cell>
          <cell r="B298" t="str">
            <v>NEO - MOBILE &amp; SCADA COMM</v>
          </cell>
        </row>
        <row r="299">
          <cell r="A299" t="str">
            <v>06U</v>
          </cell>
          <cell r="B299" t="str">
            <v>NEO - NETWORK OPERATIONS</v>
          </cell>
        </row>
        <row r="300">
          <cell r="A300" t="str">
            <v>06Z</v>
          </cell>
          <cell r="B300" t="str">
            <v>EDTS VACANCY FACTOR</v>
          </cell>
        </row>
        <row r="301">
          <cell r="A301" t="str">
            <v>07C</v>
          </cell>
          <cell r="B301" t="str">
            <v>FLEET SVCS - CIL</v>
          </cell>
        </row>
        <row r="302">
          <cell r="A302" t="str">
            <v>07G</v>
          </cell>
          <cell r="B302" t="str">
            <v>FLEET SERVICES - GEN - INVALID</v>
          </cell>
        </row>
        <row r="303">
          <cell r="A303" t="str">
            <v>07M</v>
          </cell>
          <cell r="B303" t="str">
            <v>STRATEGIC SOURCING</v>
          </cell>
        </row>
        <row r="304">
          <cell r="A304" t="str">
            <v>07N</v>
          </cell>
          <cell r="B304" t="str">
            <v>BUILDING SERVICES-IL</v>
          </cell>
        </row>
        <row r="305">
          <cell r="A305" t="str">
            <v>07P</v>
          </cell>
          <cell r="B305" t="str">
            <v>FLEET SVCS -  CIP</v>
          </cell>
        </row>
        <row r="306">
          <cell r="A306" t="str">
            <v>07Q</v>
          </cell>
          <cell r="B306" t="str">
            <v>RISK MANAGEMENT</v>
          </cell>
        </row>
        <row r="307">
          <cell r="A307" t="str">
            <v>07R</v>
          </cell>
          <cell r="B307" t="str">
            <v>FINANCIAL PLANNING &amp; INSURANCE</v>
          </cell>
        </row>
        <row r="308">
          <cell r="A308" t="str">
            <v>07T</v>
          </cell>
          <cell r="B308" t="str">
            <v>FLEET SVCS - AMS</v>
          </cell>
        </row>
        <row r="309">
          <cell r="A309" t="str">
            <v>07V</v>
          </cell>
          <cell r="B309" t="str">
            <v>BUILDING SERVICES-AMS</v>
          </cell>
        </row>
        <row r="310">
          <cell r="A310" t="str">
            <v>07W</v>
          </cell>
          <cell r="B310" t="str">
            <v>BLDG SVCS-CIL</v>
          </cell>
        </row>
        <row r="311">
          <cell r="A311" t="str">
            <v>07X</v>
          </cell>
          <cell r="B311" t="str">
            <v>PERSIMMON BUILDINGS-CIL</v>
          </cell>
        </row>
        <row r="312">
          <cell r="A312" t="str">
            <v>08C</v>
          </cell>
          <cell r="B312" t="str">
            <v>CUSTOMER SERVICE SYSTEM</v>
          </cell>
        </row>
        <row r="313">
          <cell r="A313" t="str">
            <v>08M</v>
          </cell>
          <cell r="B313" t="str">
            <v>Invalid RMC</v>
          </cell>
        </row>
        <row r="314">
          <cell r="A314" t="str">
            <v>08N</v>
          </cell>
          <cell r="B314" t="str">
            <v>CUSTOMER SVC CTR - CIP INVALID</v>
          </cell>
        </row>
        <row r="315">
          <cell r="A315" t="str">
            <v>08P</v>
          </cell>
          <cell r="B315" t="str">
            <v>SUPPLY CHAIN PROCESS &amp; PERFORM</v>
          </cell>
        </row>
        <row r="316">
          <cell r="A316" t="str">
            <v>09C</v>
          </cell>
          <cell r="B316" t="str">
            <v>EDTS DRAFTING</v>
          </cell>
        </row>
        <row r="317">
          <cell r="A317" t="str">
            <v>09D</v>
          </cell>
          <cell r="B317" t="str">
            <v>TRANSMISSION POLICY</v>
          </cell>
        </row>
        <row r="318">
          <cell r="A318" t="str">
            <v>09E</v>
          </cell>
          <cell r="B318" t="str">
            <v>ELECTRICAL ENGINEERING</v>
          </cell>
        </row>
        <row r="319">
          <cell r="A319" t="str">
            <v>09F</v>
          </cell>
          <cell r="B319" t="str">
            <v>OPERATIONS ANALYSIS - INVALID</v>
          </cell>
        </row>
        <row r="320">
          <cell r="A320" t="str">
            <v>09G</v>
          </cell>
          <cell r="B320" t="str">
            <v>GENERATION PROJECTS - GEN</v>
          </cell>
        </row>
        <row r="321">
          <cell r="A321" t="str">
            <v>09H</v>
          </cell>
          <cell r="B321" t="str">
            <v>DAM SAFETY &amp; HYDRO ENGINEERING</v>
          </cell>
        </row>
        <row r="322">
          <cell r="A322" t="str">
            <v>09M</v>
          </cell>
          <cell r="B322" t="str">
            <v>GENERATION PROJECT ENGINEERING</v>
          </cell>
        </row>
        <row r="323">
          <cell r="A323" t="str">
            <v>09P</v>
          </cell>
          <cell r="B323" t="str">
            <v>ELECTRIC PLANNING</v>
          </cell>
        </row>
        <row r="324">
          <cell r="A324" t="str">
            <v>09Q</v>
          </cell>
          <cell r="B324" t="str">
            <v>GENERATION PROJECT SVCS &amp; BUD</v>
          </cell>
        </row>
        <row r="325">
          <cell r="A325" t="str">
            <v>09R</v>
          </cell>
          <cell r="B325" t="str">
            <v>INVALID BUDGET</v>
          </cell>
        </row>
        <row r="326">
          <cell r="A326" t="str">
            <v>09T</v>
          </cell>
          <cell r="B326" t="str">
            <v>COMMERCIAL OPERATIONS SUPPORT</v>
          </cell>
        </row>
        <row r="327">
          <cell r="A327" t="str">
            <v>09V</v>
          </cell>
          <cell r="B327" t="str">
            <v>NEW GEN &amp; ENV PRJTS &amp; BUD</v>
          </cell>
        </row>
        <row r="328">
          <cell r="A328" t="str">
            <v>09W</v>
          </cell>
          <cell r="B328" t="str">
            <v>GENERATION PROJECT MANAGEMENT</v>
          </cell>
        </row>
        <row r="329">
          <cell r="A329" t="str">
            <v>0CG</v>
          </cell>
          <cell r="B329" t="str">
            <v>CAPE GIRARDEAU</v>
          </cell>
        </row>
        <row r="330">
          <cell r="A330" t="str">
            <v>0CS</v>
          </cell>
          <cell r="B330" t="str">
            <v>SEMO SUPPORT STAFF</v>
          </cell>
        </row>
        <row r="331">
          <cell r="A331" t="str">
            <v>0DX</v>
          </cell>
          <cell r="B331" t="str">
            <v>DEXTER</v>
          </cell>
        </row>
        <row r="332">
          <cell r="A332" t="str">
            <v>0G1</v>
          </cell>
          <cell r="B332" t="str">
            <v>GAS TECH SERVICES CIP</v>
          </cell>
        </row>
        <row r="333">
          <cell r="A333" t="str">
            <v>0G2</v>
          </cell>
          <cell r="B333" t="str">
            <v>GAS TECH SERVICES AMS</v>
          </cell>
        </row>
        <row r="334">
          <cell r="A334" t="str">
            <v>0G3</v>
          </cell>
          <cell r="B334" t="str">
            <v>GAS TECH SERVICES UEC</v>
          </cell>
        </row>
        <row r="335">
          <cell r="A335" t="str">
            <v>0G4</v>
          </cell>
          <cell r="B335" t="str">
            <v>GAS TECH SERVICES CIL</v>
          </cell>
        </row>
        <row r="336">
          <cell r="A336" t="str">
            <v>0G5</v>
          </cell>
          <cell r="B336" t="str">
            <v>GAS TECH SERVICES IPC</v>
          </cell>
        </row>
        <row r="337">
          <cell r="A337" t="str">
            <v>0G6</v>
          </cell>
          <cell r="B337" t="str">
            <v>GAS STORAGE</v>
          </cell>
        </row>
        <row r="338">
          <cell r="A338" t="str">
            <v>0G7</v>
          </cell>
          <cell r="B338" t="str">
            <v>GAS TRAINING &amp; COMPLIANCE</v>
          </cell>
        </row>
        <row r="339">
          <cell r="A339" t="str">
            <v>0HA</v>
          </cell>
          <cell r="B339" t="str">
            <v>HAYTI</v>
          </cell>
        </row>
        <row r="340">
          <cell r="A340" t="str">
            <v>0PM</v>
          </cell>
          <cell r="B340" t="str">
            <v>EDTS ENGINEERING SVCS</v>
          </cell>
        </row>
        <row r="341">
          <cell r="A341" t="str">
            <v>0PT</v>
          </cell>
          <cell r="B341" t="str">
            <v>POTOSI</v>
          </cell>
        </row>
        <row r="342">
          <cell r="A342" t="str">
            <v>12E</v>
          </cell>
          <cell r="B342" t="str">
            <v>INVALID BUDGET</v>
          </cell>
        </row>
        <row r="343">
          <cell r="A343" t="str">
            <v>12R</v>
          </cell>
          <cell r="B343" t="str">
            <v>INVALID BUDGET</v>
          </cell>
        </row>
        <row r="344">
          <cell r="A344" t="str">
            <v>1EB</v>
          </cell>
          <cell r="B344" t="str">
            <v>INVALID - EBUSINESS DEVELOPMT</v>
          </cell>
        </row>
        <row r="345">
          <cell r="A345" t="str">
            <v>1GL</v>
          </cell>
          <cell r="B345" t="str">
            <v>GILMAN</v>
          </cell>
        </row>
        <row r="346">
          <cell r="A346" t="str">
            <v>1PA</v>
          </cell>
          <cell r="B346" t="str">
            <v>PAXTON</v>
          </cell>
        </row>
        <row r="347">
          <cell r="A347" t="str">
            <v>1PS</v>
          </cell>
          <cell r="B347" t="str">
            <v>PAXTON SUPPORT STAFF-INVALID</v>
          </cell>
        </row>
        <row r="348">
          <cell r="A348" t="str">
            <v>24Z</v>
          </cell>
          <cell r="B348" t="str">
            <v>VAC FACTOR IL DIV IV V VI VII</v>
          </cell>
        </row>
        <row r="349">
          <cell r="A349" t="str">
            <v>29C</v>
          </cell>
          <cell r="B349" t="str">
            <v>COMMUNITY RELATIONS MO</v>
          </cell>
        </row>
        <row r="350">
          <cell r="A350" t="str">
            <v>29D</v>
          </cell>
          <cell r="B350" t="str">
            <v>IL COMMTY REL - PBLC AFFAIRS</v>
          </cell>
        </row>
        <row r="351">
          <cell r="A351" t="str">
            <v>29R</v>
          </cell>
          <cell r="B351" t="str">
            <v>REGULATORY POLICY</v>
          </cell>
        </row>
        <row r="352">
          <cell r="A352" t="str">
            <v>2MA</v>
          </cell>
          <cell r="B352" t="str">
            <v>MATTOON</v>
          </cell>
        </row>
        <row r="353">
          <cell r="A353" t="str">
            <v>2MS</v>
          </cell>
          <cell r="B353" t="str">
            <v>DIVISION IV SUPPORT STAFF</v>
          </cell>
        </row>
        <row r="354">
          <cell r="A354" t="str">
            <v>2NP</v>
          </cell>
          <cell r="B354" t="str">
            <v>NORTH PANA</v>
          </cell>
        </row>
        <row r="355">
          <cell r="A355" t="str">
            <v>2PR</v>
          </cell>
          <cell r="B355" t="str">
            <v>PARIS - INVALID</v>
          </cell>
        </row>
        <row r="356">
          <cell r="A356" t="str">
            <v>2TU</v>
          </cell>
          <cell r="B356" t="str">
            <v>TUSCOLA</v>
          </cell>
        </row>
        <row r="357">
          <cell r="A357" t="str">
            <v>3EF</v>
          </cell>
          <cell r="B357" t="str">
            <v>EFFINGHAM</v>
          </cell>
        </row>
        <row r="358">
          <cell r="A358" t="str">
            <v>3MS</v>
          </cell>
          <cell r="B358" t="str">
            <v>DIVISION V SUPPORT STAFF</v>
          </cell>
        </row>
        <row r="359">
          <cell r="A359" t="str">
            <v>3OL</v>
          </cell>
          <cell r="B359" t="str">
            <v>OLNEY</v>
          </cell>
        </row>
        <row r="360">
          <cell r="A360" t="str">
            <v>3OS</v>
          </cell>
          <cell r="B360" t="str">
            <v>OLNEY SUPPORT STAFF-INVALID</v>
          </cell>
        </row>
        <row r="361">
          <cell r="A361" t="str">
            <v>3RB</v>
          </cell>
          <cell r="B361" t="str">
            <v>ROBINSON</v>
          </cell>
        </row>
        <row r="362">
          <cell r="A362" t="str">
            <v>40A</v>
          </cell>
          <cell r="B362" t="str">
            <v>GENERATN CONST MGMT SVCS &amp; BUD</v>
          </cell>
        </row>
        <row r="363">
          <cell r="A363" t="str">
            <v>40B</v>
          </cell>
          <cell r="B363" t="str">
            <v>GENERATION OUTAGE MGMT SVCS</v>
          </cell>
        </row>
        <row r="364">
          <cell r="A364" t="str">
            <v>40C</v>
          </cell>
          <cell r="B364" t="str">
            <v>GENERATION PWR PLT MAINTENANCE</v>
          </cell>
        </row>
        <row r="365">
          <cell r="A365" t="str">
            <v>40D</v>
          </cell>
          <cell r="B365" t="str">
            <v>GENERATION MAINT ENG</v>
          </cell>
        </row>
        <row r="366">
          <cell r="A366" t="str">
            <v>40E</v>
          </cell>
          <cell r="B366" t="str">
            <v>GENERATION TRAIN &amp; DEV SRVCS</v>
          </cell>
        </row>
        <row r="367">
          <cell r="A367" t="str">
            <v>40G</v>
          </cell>
          <cell r="B367" t="str">
            <v>GENERATION CORRECTIVE ACTION</v>
          </cell>
        </row>
        <row r="368">
          <cell r="A368" t="str">
            <v>44A</v>
          </cell>
          <cell r="B368" t="str">
            <v>OSAGE PLANT GENERAL &amp; BUD</v>
          </cell>
        </row>
        <row r="369">
          <cell r="A369" t="str">
            <v>44B</v>
          </cell>
          <cell r="B369" t="str">
            <v>OSAGE PLANT OPERATIONS&amp;ENGINEERING</v>
          </cell>
        </row>
        <row r="370">
          <cell r="A370" t="str">
            <v>44C</v>
          </cell>
          <cell r="B370" t="str">
            <v>OSAGE PLANT MAINTENANCE</v>
          </cell>
        </row>
        <row r="371">
          <cell r="A371" t="str">
            <v>45C</v>
          </cell>
          <cell r="B371" t="str">
            <v>ED FINANCIAL SUPPRT &amp; ANALYSIS</v>
          </cell>
        </row>
        <row r="372">
          <cell r="A372" t="str">
            <v>45P</v>
          </cell>
          <cell r="B372" t="str">
            <v>ED ORDER PROCESSING-UE-INVALID</v>
          </cell>
        </row>
        <row r="373">
          <cell r="A373" t="str">
            <v>45Z</v>
          </cell>
          <cell r="B373" t="str">
            <v>BUSINESS SERVICES - VAC FACTOR</v>
          </cell>
        </row>
        <row r="374">
          <cell r="A374" t="str">
            <v>46A</v>
          </cell>
          <cell r="B374" t="str">
            <v>TAUM SAUK PLANT GENERAL &amp; BUD</v>
          </cell>
        </row>
        <row r="375">
          <cell r="A375" t="str">
            <v>46B</v>
          </cell>
          <cell r="B375" t="str">
            <v>TAUM SAUK OPERATIONS&amp;ENGINEERING</v>
          </cell>
        </row>
        <row r="376">
          <cell r="A376" t="str">
            <v>46C</v>
          </cell>
          <cell r="B376" t="str">
            <v>TAUM SAUK PLANT MAINTENANCE</v>
          </cell>
        </row>
        <row r="377">
          <cell r="A377" t="str">
            <v>48Z</v>
          </cell>
          <cell r="B377" t="str">
            <v>VAC FACTOR IL DIV I II III</v>
          </cell>
        </row>
        <row r="378">
          <cell r="A378" t="str">
            <v>49A</v>
          </cell>
          <cell r="B378" t="str">
            <v>ESH - AIR</v>
          </cell>
        </row>
        <row r="379">
          <cell r="A379" t="str">
            <v>49B</v>
          </cell>
          <cell r="B379" t="str">
            <v>ESH - WASTE</v>
          </cell>
        </row>
        <row r="380">
          <cell r="A380" t="str">
            <v>49C</v>
          </cell>
          <cell r="B380" t="str">
            <v>ESH - WATER</v>
          </cell>
        </row>
        <row r="381">
          <cell r="A381" t="str">
            <v>49D</v>
          </cell>
          <cell r="B381" t="str">
            <v>ESH - SAFETY &amp; HEALTH</v>
          </cell>
        </row>
        <row r="382">
          <cell r="A382" t="str">
            <v>4AN</v>
          </cell>
          <cell r="B382" t="str">
            <v>ANNA</v>
          </cell>
        </row>
        <row r="383">
          <cell r="A383" t="str">
            <v>4AP</v>
          </cell>
          <cell r="B383" t="str">
            <v>ACCOUNTS PAYABLE</v>
          </cell>
        </row>
        <row r="384">
          <cell r="A384" t="str">
            <v>4BE</v>
          </cell>
          <cell r="B384" t="str">
            <v>BENTON</v>
          </cell>
        </row>
        <row r="385">
          <cell r="A385" t="str">
            <v>4BV</v>
          </cell>
          <cell r="B385" t="str">
            <v>BOONVILLE</v>
          </cell>
        </row>
        <row r="386">
          <cell r="A386" t="str">
            <v>4CA</v>
          </cell>
          <cell r="B386" t="str">
            <v>CARBONDALE</v>
          </cell>
        </row>
        <row r="387">
          <cell r="A387" t="str">
            <v>4CL</v>
          </cell>
          <cell r="B387" t="str">
            <v>COLUMBIA</v>
          </cell>
        </row>
        <row r="388">
          <cell r="A388" t="str">
            <v>4GL</v>
          </cell>
          <cell r="B388" t="str">
            <v>GENERAL &amp; ASSET ACCOUNTING</v>
          </cell>
        </row>
        <row r="389">
          <cell r="A389" t="str">
            <v>4GV</v>
          </cell>
          <cell r="B389" t="str">
            <v>GRAVOIS VALLEY SUPPORT STAFF</v>
          </cell>
        </row>
        <row r="390">
          <cell r="A390" t="str">
            <v>4HA</v>
          </cell>
          <cell r="B390" t="str">
            <v>HARRISBURG</v>
          </cell>
        </row>
        <row r="391">
          <cell r="A391" t="str">
            <v>4MA</v>
          </cell>
          <cell r="B391" t="str">
            <v>MARION</v>
          </cell>
        </row>
        <row r="392">
          <cell r="A392" t="str">
            <v>4MB</v>
          </cell>
          <cell r="B392" t="str">
            <v>MOBERLY</v>
          </cell>
        </row>
        <row r="393">
          <cell r="A393" t="str">
            <v>4ME</v>
          </cell>
          <cell r="B393" t="str">
            <v>MEXICO</v>
          </cell>
        </row>
        <row r="394">
          <cell r="A394" t="str">
            <v>4MS</v>
          </cell>
          <cell r="B394" t="str">
            <v>DIVISION VII SUPPORT STAFF</v>
          </cell>
        </row>
        <row r="395">
          <cell r="A395" t="str">
            <v>4MX</v>
          </cell>
          <cell r="B395" t="str">
            <v>LITTLE DIXIE SUPPORT STAFF</v>
          </cell>
        </row>
        <row r="396">
          <cell r="A396" t="str">
            <v>4PL</v>
          </cell>
          <cell r="B396" t="str">
            <v>PLANT ACCOUNTING</v>
          </cell>
        </row>
        <row r="397">
          <cell r="A397" t="str">
            <v>4TR</v>
          </cell>
          <cell r="B397" t="str">
            <v>TWIN RIVERS SUPPORT STAFF</v>
          </cell>
        </row>
        <row r="398">
          <cell r="A398" t="str">
            <v>4TX</v>
          </cell>
          <cell r="B398" t="str">
            <v>TAX COMPLIANCE</v>
          </cell>
        </row>
        <row r="399">
          <cell r="A399" t="str">
            <v>53Z</v>
          </cell>
          <cell r="B399" t="str">
            <v>IL OPS VACANCY FACTOR</v>
          </cell>
        </row>
        <row r="400">
          <cell r="A400" t="str">
            <v>5GE</v>
          </cell>
          <cell r="B400" t="str">
            <v>GERALD - INVALID</v>
          </cell>
        </row>
        <row r="401">
          <cell r="A401" t="str">
            <v>5JE</v>
          </cell>
          <cell r="B401" t="str">
            <v>JEFFERSON CITY - INVALID</v>
          </cell>
        </row>
        <row r="402">
          <cell r="A402" t="str">
            <v>5JS</v>
          </cell>
          <cell r="B402" t="str">
            <v>CAPITAL</v>
          </cell>
        </row>
        <row r="403">
          <cell r="A403" t="str">
            <v>5VE</v>
          </cell>
          <cell r="B403" t="str">
            <v>VERSAILLES - INVALID</v>
          </cell>
        </row>
        <row r="404">
          <cell r="A404" t="str">
            <v>61A</v>
          </cell>
          <cell r="B404" t="str">
            <v>DUCK CREEK PLANT GENERAL &amp; BUD</v>
          </cell>
        </row>
        <row r="405">
          <cell r="A405" t="str">
            <v>61B</v>
          </cell>
          <cell r="B405" t="str">
            <v>DUCK CREEK PLANT OPERATIONS</v>
          </cell>
        </row>
        <row r="406">
          <cell r="A406" t="str">
            <v>61C</v>
          </cell>
          <cell r="B406" t="str">
            <v>DUCK CREEK PLANT MAINTENANCE</v>
          </cell>
        </row>
        <row r="407">
          <cell r="A407" t="str">
            <v>61D</v>
          </cell>
          <cell r="B407" t="str">
            <v>DUCK CREEK PLANT TECH SUPPORT</v>
          </cell>
        </row>
        <row r="408">
          <cell r="A408" t="str">
            <v>61E</v>
          </cell>
          <cell r="B408" t="str">
            <v>DUCK CREEK PLANT ADMIN</v>
          </cell>
        </row>
        <row r="409">
          <cell r="A409" t="str">
            <v>61F</v>
          </cell>
          <cell r="B409" t="str">
            <v>DC CTRL ROOM &amp; TURBINE-INVALID</v>
          </cell>
        </row>
        <row r="410">
          <cell r="A410" t="str">
            <v>61G</v>
          </cell>
          <cell r="B410" t="str">
            <v>DC PLANT SUPPT &amp; WHSE-INVALID</v>
          </cell>
        </row>
        <row r="411">
          <cell r="A411" t="str">
            <v>61J</v>
          </cell>
          <cell r="B411" t="str">
            <v>DC FINANCIAL &amp; ACCTG-INVALID</v>
          </cell>
        </row>
        <row r="412">
          <cell r="A412" t="str">
            <v>61K</v>
          </cell>
          <cell r="B412" t="str">
            <v>DC INTEGRATION COSTS-INVALID</v>
          </cell>
        </row>
        <row r="413">
          <cell r="A413" t="str">
            <v>61P</v>
          </cell>
          <cell r="B413" t="str">
            <v>DUCK CREEK-PLAN &amp;SCHED-INVALID</v>
          </cell>
        </row>
        <row r="414">
          <cell r="A414" t="str">
            <v>62A</v>
          </cell>
          <cell r="B414" t="str">
            <v>EDWARDS PLANT GENERAL &amp; BUD</v>
          </cell>
        </row>
        <row r="415">
          <cell r="A415" t="str">
            <v>62B</v>
          </cell>
          <cell r="B415" t="str">
            <v>EDWARDS PLANT OPERATIONS</v>
          </cell>
        </row>
        <row r="416">
          <cell r="A416" t="str">
            <v>62C</v>
          </cell>
          <cell r="B416" t="str">
            <v>EDWARDS PLANT MAINTENANCE</v>
          </cell>
        </row>
        <row r="417">
          <cell r="A417" t="str">
            <v>62D</v>
          </cell>
          <cell r="B417" t="str">
            <v>EDWARDS PLANT TECH SUPPORT</v>
          </cell>
        </row>
        <row r="418">
          <cell r="A418" t="str">
            <v>62E</v>
          </cell>
          <cell r="B418" t="str">
            <v>EDWARDS PLANT ADMINISTRATION</v>
          </cell>
        </row>
        <row r="419">
          <cell r="A419" t="str">
            <v>62F</v>
          </cell>
          <cell r="B419" t="str">
            <v>EDWARDS CTRL RM &amp; TURB-INVALID</v>
          </cell>
        </row>
        <row r="420">
          <cell r="A420" t="str">
            <v>62G</v>
          </cell>
          <cell r="B420" t="str">
            <v>EDWARDS PLANT SUPPORT-INVALID</v>
          </cell>
        </row>
        <row r="421">
          <cell r="A421" t="str">
            <v>62H</v>
          </cell>
          <cell r="B421" t="str">
            <v>EDWARDS UNIT #1-INVALID</v>
          </cell>
        </row>
        <row r="422">
          <cell r="A422" t="str">
            <v>62J</v>
          </cell>
          <cell r="B422" t="str">
            <v>EDWARDS UNIT #2-INVALID</v>
          </cell>
        </row>
        <row r="423">
          <cell r="A423" t="str">
            <v>62K</v>
          </cell>
          <cell r="B423" t="str">
            <v>EDWARDS UNIT #3-INVALID</v>
          </cell>
        </row>
        <row r="424">
          <cell r="A424" t="str">
            <v>62P</v>
          </cell>
          <cell r="B424" t="str">
            <v>E.D.EDWARD- PLN &amp; SCHD-INVALID</v>
          </cell>
        </row>
        <row r="425">
          <cell r="A425" t="str">
            <v>63A</v>
          </cell>
          <cell r="B425" t="str">
            <v>INDIAN TRAILS COGEN</v>
          </cell>
        </row>
        <row r="426">
          <cell r="A426" t="str">
            <v>64A</v>
          </cell>
          <cell r="B426" t="str">
            <v>MEDINA VALLEY COGEN</v>
          </cell>
        </row>
        <row r="427">
          <cell r="A427" t="str">
            <v>6BT</v>
          </cell>
          <cell r="B427" t="str">
            <v>BEARDSTOWN - INVALID</v>
          </cell>
        </row>
        <row r="428">
          <cell r="A428" t="str">
            <v>6MR</v>
          </cell>
          <cell r="B428" t="str">
            <v>MARION - INVALID</v>
          </cell>
        </row>
        <row r="429">
          <cell r="A429" t="str">
            <v>6MS</v>
          </cell>
          <cell r="B429" t="str">
            <v>CIPS OPS SUPPORT ADMIN - INVAL</v>
          </cell>
        </row>
        <row r="430">
          <cell r="A430" t="str">
            <v>6MT</v>
          </cell>
          <cell r="B430" t="str">
            <v>MATTOON - INVALID</v>
          </cell>
        </row>
        <row r="431">
          <cell r="A431" t="str">
            <v>78A</v>
          </cell>
          <cell r="B431" t="str">
            <v>RUSH ISLAND PLT GENERAL &amp; BUD</v>
          </cell>
        </row>
        <row r="432">
          <cell r="A432" t="str">
            <v>78B</v>
          </cell>
          <cell r="B432" t="str">
            <v>RUSH ISLAND PLANT OPERATIONS</v>
          </cell>
        </row>
        <row r="433">
          <cell r="A433" t="str">
            <v>78C</v>
          </cell>
          <cell r="B433" t="str">
            <v>RUSH ISLAND PLANT MAINTENANCE</v>
          </cell>
        </row>
        <row r="434">
          <cell r="A434" t="str">
            <v>78D</v>
          </cell>
          <cell r="B434" t="str">
            <v>RUSH ISLAND PLANT TECHNICAL SUPPORT</v>
          </cell>
        </row>
        <row r="435">
          <cell r="A435" t="str">
            <v>78E</v>
          </cell>
          <cell r="B435" t="str">
            <v>RUSH ISLAND PLANT ADMINISTRATION</v>
          </cell>
        </row>
        <row r="436">
          <cell r="A436" t="str">
            <v>79A</v>
          </cell>
          <cell r="B436" t="str">
            <v>MERAMEC PLANT GENERAL &amp; BUD</v>
          </cell>
        </row>
        <row r="437">
          <cell r="A437" t="str">
            <v>79B</v>
          </cell>
          <cell r="B437" t="str">
            <v>MERAMEC PLANT OPERATIONS</v>
          </cell>
        </row>
        <row r="438">
          <cell r="A438" t="str">
            <v>79C</v>
          </cell>
          <cell r="B438" t="str">
            <v>MERAMEC PLANT MAINTENANCE</v>
          </cell>
        </row>
        <row r="439">
          <cell r="A439" t="str">
            <v>79D</v>
          </cell>
          <cell r="B439" t="str">
            <v>MERAMEC PLANT TECHNICAL SUPPORT</v>
          </cell>
        </row>
        <row r="440">
          <cell r="A440" t="str">
            <v>79E</v>
          </cell>
          <cell r="B440" t="str">
            <v>MERAMEC PLANT ADMINISTRATION</v>
          </cell>
        </row>
        <row r="441">
          <cell r="A441" t="str">
            <v>7EX</v>
          </cell>
          <cell r="B441" t="str">
            <v>EXCELSIOR SPRINGS</v>
          </cell>
        </row>
        <row r="442">
          <cell r="A442" t="str">
            <v>7JE</v>
          </cell>
          <cell r="B442" t="str">
            <v>JERSEYVILLE</v>
          </cell>
        </row>
        <row r="443">
          <cell r="A443" t="str">
            <v>7KS</v>
          </cell>
          <cell r="B443" t="str">
            <v>GREEN HILLS SUPPORT STAFF</v>
          </cell>
        </row>
        <row r="444">
          <cell r="A444" t="str">
            <v>7KV</v>
          </cell>
          <cell r="B444" t="str">
            <v>KIRKSVILLE</v>
          </cell>
        </row>
        <row r="445">
          <cell r="A445" t="str">
            <v>7PT</v>
          </cell>
          <cell r="B445" t="str">
            <v>PITTSFIELD</v>
          </cell>
        </row>
        <row r="446">
          <cell r="A446" t="str">
            <v>7QS</v>
          </cell>
          <cell r="B446" t="str">
            <v>QUINCY SUPPORT STAFF- INVALID</v>
          </cell>
        </row>
        <row r="447">
          <cell r="A447" t="str">
            <v>7QU</v>
          </cell>
          <cell r="B447" t="str">
            <v>QUINCY</v>
          </cell>
        </row>
        <row r="448">
          <cell r="A448" t="str">
            <v>7VN</v>
          </cell>
          <cell r="B448" t="str">
            <v>VIRDEN</v>
          </cell>
        </row>
        <row r="449">
          <cell r="A449" t="str">
            <v>80A</v>
          </cell>
          <cell r="B449" t="str">
            <v>NUCL - ADMINISTRATION</v>
          </cell>
        </row>
        <row r="450">
          <cell r="A450" t="str">
            <v>80B</v>
          </cell>
          <cell r="B450" t="str">
            <v>NUCL - OPERATIONS</v>
          </cell>
        </row>
        <row r="451">
          <cell r="A451" t="str">
            <v>80C</v>
          </cell>
          <cell r="B451" t="str">
            <v>CA - QUALITY ASSURANCE INVALID</v>
          </cell>
        </row>
        <row r="452">
          <cell r="A452" t="str">
            <v>80D</v>
          </cell>
          <cell r="B452" t="str">
            <v>NUCL - MAINTENANCE I&amp;C</v>
          </cell>
        </row>
        <row r="453">
          <cell r="A453" t="str">
            <v>80E</v>
          </cell>
          <cell r="B453" t="str">
            <v>NUCL - TRAINING - OPERATIONS</v>
          </cell>
        </row>
        <row r="454">
          <cell r="A454" t="str">
            <v>80F</v>
          </cell>
          <cell r="B454" t="str">
            <v>CA - RADIATION PROTECTION RU</v>
          </cell>
        </row>
        <row r="455">
          <cell r="A455" t="str">
            <v>80G</v>
          </cell>
          <cell r="B455" t="str">
            <v>NUCL - MAINTENANCE FACILITIES</v>
          </cell>
        </row>
        <row r="456">
          <cell r="A456" t="str">
            <v>80H</v>
          </cell>
          <cell r="B456" t="str">
            <v>CA - RADIATION &amp; CHEMISTRY</v>
          </cell>
        </row>
        <row r="457">
          <cell r="A457" t="str">
            <v>80I</v>
          </cell>
          <cell r="B457" t="str">
            <v>CSF - CALLAWAY</v>
          </cell>
        </row>
        <row r="458">
          <cell r="A458" t="str">
            <v>80J</v>
          </cell>
          <cell r="B458" t="str">
            <v>CA - MAINTENANCE  RU</v>
          </cell>
        </row>
        <row r="459">
          <cell r="A459" t="str">
            <v>80K</v>
          </cell>
          <cell r="B459" t="str">
            <v>NUCL - LICENSING</v>
          </cell>
        </row>
        <row r="460">
          <cell r="A460" t="str">
            <v>80M</v>
          </cell>
          <cell r="B460" t="str">
            <v>NUCL - MATERIALS MANAGEMENT</v>
          </cell>
        </row>
        <row r="461">
          <cell r="A461" t="str">
            <v>80N</v>
          </cell>
          <cell r="B461" t="str">
            <v>NUCL - SECURITY</v>
          </cell>
        </row>
        <row r="462">
          <cell r="A462" t="str">
            <v>80P</v>
          </cell>
          <cell r="B462" t="str">
            <v>CA - GENERAL PLANT MANAGER RU</v>
          </cell>
        </row>
        <row r="463">
          <cell r="A463" t="str">
            <v>80Q</v>
          </cell>
          <cell r="B463" t="str">
            <v>NUCL- BUSINESS PLAN &amp; COMM</v>
          </cell>
        </row>
        <row r="464">
          <cell r="A464" t="str">
            <v>80R</v>
          </cell>
          <cell r="B464" t="str">
            <v>NUCL - TRAINING-RP-CHEM-ENG</v>
          </cell>
        </row>
        <row r="465">
          <cell r="A465" t="str">
            <v>80S</v>
          </cell>
          <cell r="B465" t="str">
            <v>NUCL - SAFETY</v>
          </cell>
        </row>
        <row r="466">
          <cell r="A466" t="str">
            <v>80T</v>
          </cell>
          <cell r="B466" t="str">
            <v>NUCL - TRAINING - MAINT-I&amp;C</v>
          </cell>
        </row>
        <row r="467">
          <cell r="A467" t="str">
            <v>80U</v>
          </cell>
          <cell r="B467" t="str">
            <v>CA - LICENSING RU</v>
          </cell>
        </row>
        <row r="468">
          <cell r="A468" t="str">
            <v>80V</v>
          </cell>
          <cell r="B468" t="str">
            <v>NUCL - STARS</v>
          </cell>
        </row>
        <row r="469">
          <cell r="A469" t="str">
            <v>80W</v>
          </cell>
          <cell r="B469" t="str">
            <v>NUCL - PERSONNEL DEPT</v>
          </cell>
        </row>
        <row r="470">
          <cell r="A470" t="str">
            <v>80X</v>
          </cell>
          <cell r="B470" t="str">
            <v>NUCL - NUCLEAR STAFF</v>
          </cell>
        </row>
        <row r="471">
          <cell r="A471" t="str">
            <v>80Y</v>
          </cell>
          <cell r="B471" t="str">
            <v>NUCL - TRAINING - GENERAL</v>
          </cell>
        </row>
        <row r="472">
          <cell r="A472" t="str">
            <v>80Z</v>
          </cell>
          <cell r="B472" t="str">
            <v>NUCL - VACNY FACTOR UN-IDFD</v>
          </cell>
        </row>
        <row r="473">
          <cell r="A473" t="str">
            <v>81A</v>
          </cell>
          <cell r="B473" t="str">
            <v>GENERATION QUALITY ENGINEERING</v>
          </cell>
        </row>
        <row r="474">
          <cell r="A474" t="str">
            <v>81B</v>
          </cell>
          <cell r="B474" t="str">
            <v>GENERATION CHEM ENG &amp; LAB SVCS</v>
          </cell>
        </row>
        <row r="475">
          <cell r="A475" t="str">
            <v>81C</v>
          </cell>
          <cell r="B475" t="str">
            <v>GENERATION CHEMICAL TESTING</v>
          </cell>
        </row>
        <row r="476">
          <cell r="A476" t="str">
            <v>81D</v>
          </cell>
          <cell r="B476" t="str">
            <v>GEN PERF MONITOR &amp; ASSESS</v>
          </cell>
        </row>
        <row r="477">
          <cell r="A477" t="str">
            <v>81E</v>
          </cell>
          <cell r="B477" t="str">
            <v>GENERATION PERFORMANCE ENGRNG</v>
          </cell>
        </row>
        <row r="478">
          <cell r="A478" t="str">
            <v>81F</v>
          </cell>
          <cell r="B478" t="str">
            <v>CA - QUALITY ASSURANCE</v>
          </cell>
        </row>
        <row r="479">
          <cell r="A479" t="str">
            <v>81H</v>
          </cell>
          <cell r="B479" t="str">
            <v>GENERATION TECHNOLOGY MGMT</v>
          </cell>
        </row>
        <row r="480">
          <cell r="A480" t="str">
            <v>82A</v>
          </cell>
          <cell r="B480" t="str">
            <v>VENICE PLANT GENERAL-INVALID</v>
          </cell>
        </row>
        <row r="481">
          <cell r="A481" t="str">
            <v>82B</v>
          </cell>
          <cell r="B481" t="str">
            <v>VENICE PLANT OPERATION-INVALID</v>
          </cell>
        </row>
        <row r="482">
          <cell r="A482" t="str">
            <v>82C</v>
          </cell>
          <cell r="B482" t="str">
            <v>VENICE PLANT MAINTENAN-INVALID</v>
          </cell>
        </row>
        <row r="483">
          <cell r="A483" t="str">
            <v>82D</v>
          </cell>
          <cell r="B483" t="str">
            <v>VENICE PLANT TECH TRAI-INVALID</v>
          </cell>
        </row>
        <row r="484">
          <cell r="A484" t="str">
            <v>82E</v>
          </cell>
          <cell r="B484" t="str">
            <v>VENICE PLANT ADMIN-INVALID</v>
          </cell>
        </row>
        <row r="485">
          <cell r="A485" t="str">
            <v>83A</v>
          </cell>
          <cell r="B485" t="str">
            <v>LABADIE PLANT GENERAL &amp; BUD</v>
          </cell>
        </row>
        <row r="486">
          <cell r="A486" t="str">
            <v>83B</v>
          </cell>
          <cell r="B486" t="str">
            <v>LABADIE PLANT OPERATIONS</v>
          </cell>
        </row>
        <row r="487">
          <cell r="A487" t="str">
            <v>83C</v>
          </cell>
          <cell r="B487" t="str">
            <v>LABADIE PLANT MAINTENANCE</v>
          </cell>
        </row>
        <row r="488">
          <cell r="A488" t="str">
            <v>83D</v>
          </cell>
          <cell r="B488" t="str">
            <v>LABADIE PLANT TECHNICAL SUPPORT</v>
          </cell>
        </row>
        <row r="489">
          <cell r="A489" t="str">
            <v>83E</v>
          </cell>
          <cell r="B489" t="str">
            <v>LABADIE PLANT ADMINISTRATION</v>
          </cell>
        </row>
        <row r="490">
          <cell r="A490" t="str">
            <v>84A</v>
          </cell>
          <cell r="B490" t="str">
            <v>KEOKUK PLANT GENERAL &amp; BUD</v>
          </cell>
        </row>
        <row r="491">
          <cell r="A491" t="str">
            <v>84B</v>
          </cell>
          <cell r="B491" t="str">
            <v>KEOKUK PLANT OPERATIONS&amp;ENGINEERING</v>
          </cell>
        </row>
        <row r="492">
          <cell r="A492" t="str">
            <v>84C</v>
          </cell>
          <cell r="B492" t="str">
            <v>KEOKUK PLANT MAINTENANCE</v>
          </cell>
        </row>
        <row r="493">
          <cell r="A493" t="str">
            <v>85A</v>
          </cell>
          <cell r="B493" t="str">
            <v>SIOUX PLANT GENERAL &amp; BUD</v>
          </cell>
        </row>
        <row r="494">
          <cell r="A494" t="str">
            <v>85B</v>
          </cell>
          <cell r="B494" t="str">
            <v>SIOUX PLANT OPERATIONS</v>
          </cell>
        </row>
        <row r="495">
          <cell r="A495" t="str">
            <v>85C</v>
          </cell>
          <cell r="B495" t="str">
            <v>SIOUX PLANT MAINTENANCE</v>
          </cell>
        </row>
        <row r="496">
          <cell r="A496" t="str">
            <v>85D</v>
          </cell>
          <cell r="B496" t="str">
            <v>SIOUX PLANT TECHNICAL SUPPORT</v>
          </cell>
        </row>
        <row r="497">
          <cell r="A497" t="str">
            <v>85E</v>
          </cell>
          <cell r="B497" t="str">
            <v>SIOUX PLANT ADMINISTRATION</v>
          </cell>
        </row>
        <row r="498">
          <cell r="A498" t="str">
            <v>87A</v>
          </cell>
          <cell r="B498" t="str">
            <v>CA - SECURITY-EP RU</v>
          </cell>
        </row>
        <row r="499">
          <cell r="A499" t="str">
            <v>87B</v>
          </cell>
          <cell r="B499" t="str">
            <v>NUCL - PROCEDURE GROUP</v>
          </cell>
        </row>
        <row r="500">
          <cell r="A500" t="str">
            <v>87C</v>
          </cell>
          <cell r="B500" t="str">
            <v>NUCL - EMERGENCY RESPONSE</v>
          </cell>
        </row>
        <row r="501">
          <cell r="A501" t="str">
            <v>88A</v>
          </cell>
          <cell r="B501" t="str">
            <v>NUCL - ENG SYS - BOP</v>
          </cell>
        </row>
        <row r="502">
          <cell r="A502" t="str">
            <v>88B</v>
          </cell>
          <cell r="B502" t="str">
            <v>NUCL - ENG SYS - ELECT - I&amp;C</v>
          </cell>
        </row>
        <row r="503">
          <cell r="A503" t="str">
            <v>88C</v>
          </cell>
          <cell r="B503" t="str">
            <v>NUCL - ENG SYS - NSSS</v>
          </cell>
        </row>
        <row r="504">
          <cell r="A504" t="str">
            <v>88D</v>
          </cell>
          <cell r="B504" t="str">
            <v>NUCL - ENG SYS - REACTOR</v>
          </cell>
        </row>
        <row r="505">
          <cell r="A505" t="str">
            <v>88E</v>
          </cell>
          <cell r="B505" t="str">
            <v>NUCL - ENG SYS - FIX IT NOW</v>
          </cell>
        </row>
        <row r="506">
          <cell r="A506" t="str">
            <v>8AA</v>
          </cell>
          <cell r="B506" t="str">
            <v>NUCL - ENG PROJ - PROJECTS</v>
          </cell>
        </row>
        <row r="507">
          <cell r="A507" t="str">
            <v>8AB</v>
          </cell>
          <cell r="B507" t="str">
            <v>NUCL -  ENG PROJ - MECHANICAL</v>
          </cell>
        </row>
        <row r="508">
          <cell r="A508" t="str">
            <v>8AC</v>
          </cell>
          <cell r="B508" t="str">
            <v>NUCL - SAFETY ANALYSIS</v>
          </cell>
        </row>
        <row r="509">
          <cell r="A509" t="str">
            <v>8AD</v>
          </cell>
          <cell r="B509" t="str">
            <v>NUCL - ENJ PROJ - RECORDS</v>
          </cell>
        </row>
        <row r="510">
          <cell r="A510" t="str">
            <v>8BA</v>
          </cell>
          <cell r="B510" t="str">
            <v>NUCL - AAFFD</v>
          </cell>
        </row>
        <row r="511">
          <cell r="A511" t="str">
            <v>8BE</v>
          </cell>
          <cell r="B511" t="str">
            <v>BEARDSTOWN</v>
          </cell>
        </row>
        <row r="512">
          <cell r="A512" t="str">
            <v>8CA</v>
          </cell>
          <cell r="B512" t="str">
            <v>NUCL - QA QUALITY CONTROL</v>
          </cell>
        </row>
        <row r="513">
          <cell r="A513" t="str">
            <v>8CB</v>
          </cell>
          <cell r="B513" t="str">
            <v>NUCL - QA AUDIT GROUP AND ITR</v>
          </cell>
        </row>
        <row r="514">
          <cell r="A514" t="str">
            <v>8CC</v>
          </cell>
          <cell r="B514" t="str">
            <v>NUCL - INVALID BUDGET</v>
          </cell>
        </row>
        <row r="515">
          <cell r="A515" t="str">
            <v>8CD</v>
          </cell>
          <cell r="B515" t="str">
            <v>NUCL - INVALID BUDGET</v>
          </cell>
        </row>
        <row r="516">
          <cell r="A516" t="str">
            <v>8CE</v>
          </cell>
          <cell r="B516" t="str">
            <v>NUCL - REGIONAL REG AFFAIRS</v>
          </cell>
        </row>
        <row r="517">
          <cell r="A517" t="str">
            <v>8CF</v>
          </cell>
          <cell r="B517" t="str">
            <v>NUCL - QA SUPPLIER QUALITY</v>
          </cell>
        </row>
        <row r="518">
          <cell r="A518" t="str">
            <v>8CG</v>
          </cell>
          <cell r="B518" t="str">
            <v>NUCL - EMPLOYEE CONCERNS</v>
          </cell>
        </row>
        <row r="519">
          <cell r="A519" t="str">
            <v>8CN</v>
          </cell>
          <cell r="B519" t="str">
            <v>CANTON</v>
          </cell>
        </row>
        <row r="520">
          <cell r="A520" t="str">
            <v>8CR</v>
          </cell>
          <cell r="B520" t="str">
            <v>CARTHAGE</v>
          </cell>
        </row>
        <row r="521">
          <cell r="A521" t="str">
            <v>8EA</v>
          </cell>
          <cell r="B521" t="str">
            <v>NUCL - ENJ PROJ - MAJOR MODS</v>
          </cell>
        </row>
        <row r="522">
          <cell r="A522" t="str">
            <v>8EB</v>
          </cell>
          <cell r="B522" t="str">
            <v>NUCL - ENG DES - ELECTRICAL</v>
          </cell>
        </row>
        <row r="523">
          <cell r="A523" t="str">
            <v>8EC</v>
          </cell>
          <cell r="B523" t="str">
            <v>NUCL - ENG DES - CIVIL</v>
          </cell>
        </row>
        <row r="524">
          <cell r="A524" t="str">
            <v>8ED</v>
          </cell>
          <cell r="B524" t="str">
            <v>NUCL - ENG DES - MECHANICAL</v>
          </cell>
        </row>
        <row r="525">
          <cell r="A525" t="str">
            <v>8EE</v>
          </cell>
          <cell r="B525" t="str">
            <v>NUCL - ENG DES - I&amp;C</v>
          </cell>
        </row>
        <row r="526">
          <cell r="A526" t="str">
            <v>8FA</v>
          </cell>
          <cell r="B526" t="str">
            <v>NUCL - HEALTH PHYS-GEN-INVALID</v>
          </cell>
        </row>
        <row r="527">
          <cell r="A527" t="str">
            <v>8FB</v>
          </cell>
          <cell r="B527" t="str">
            <v>NUCL - RAD PROTECTION - OPS</v>
          </cell>
        </row>
        <row r="528">
          <cell r="A528" t="str">
            <v>8FC</v>
          </cell>
          <cell r="B528" t="str">
            <v>NUCL - RAD PROTECTION TECH SUP</v>
          </cell>
        </row>
        <row r="529">
          <cell r="A529" t="str">
            <v>8GA</v>
          </cell>
          <cell r="B529" t="str">
            <v>NUCL - ENG TS - MATERIALS</v>
          </cell>
        </row>
        <row r="530">
          <cell r="A530" t="str">
            <v>8GB</v>
          </cell>
          <cell r="B530" t="str">
            <v>CA - MAJOR PROJ ENG RU INVALID</v>
          </cell>
        </row>
        <row r="531">
          <cell r="A531" t="str">
            <v>8GC</v>
          </cell>
          <cell r="B531" t="str">
            <v>NUCL - ENG PI - CONFIG MGMT</v>
          </cell>
        </row>
        <row r="532">
          <cell r="A532" t="str">
            <v>8GD</v>
          </cell>
          <cell r="B532" t="str">
            <v>NUCL - ENG TS - PERFORMANCE</v>
          </cell>
        </row>
        <row r="533">
          <cell r="A533" t="str">
            <v>8GE</v>
          </cell>
          <cell r="B533" t="str">
            <v>NUCL - ENG TS - PROGRAMS</v>
          </cell>
        </row>
        <row r="534">
          <cell r="A534" t="str">
            <v>8GF</v>
          </cell>
          <cell r="B534" t="str">
            <v>NUCL - ENG TS - RELIABILITY</v>
          </cell>
        </row>
        <row r="535">
          <cell r="A535" t="str">
            <v>8GH</v>
          </cell>
          <cell r="B535" t="str">
            <v>CA - MAJOR PROJECTS ENG RU</v>
          </cell>
        </row>
        <row r="536">
          <cell r="A536" t="str">
            <v>8HA</v>
          </cell>
          <cell r="B536" t="str">
            <v>NUCL - RADWASTE CHEM-INVALID</v>
          </cell>
        </row>
        <row r="537">
          <cell r="A537" t="str">
            <v>8HB</v>
          </cell>
          <cell r="B537" t="str">
            <v>NUCL - RADWASTE</v>
          </cell>
        </row>
        <row r="538">
          <cell r="A538" t="str">
            <v>8HC</v>
          </cell>
          <cell r="B538" t="str">
            <v>NUCL - CHEMISTRY</v>
          </cell>
        </row>
        <row r="539">
          <cell r="A539" t="str">
            <v>8HD</v>
          </cell>
          <cell r="B539" t="str">
            <v>NUCL - RC-C GENERAL-INVALID</v>
          </cell>
        </row>
        <row r="540">
          <cell r="A540" t="str">
            <v>8LA</v>
          </cell>
          <cell r="B540" t="str">
            <v>NUCL - MAINTENANCE ELECTRICAL</v>
          </cell>
        </row>
        <row r="541">
          <cell r="A541" t="str">
            <v>8LB</v>
          </cell>
          <cell r="B541" t="str">
            <v>NUCL - MAINTENANCE MECHANICAL</v>
          </cell>
        </row>
        <row r="542">
          <cell r="A542" t="str">
            <v>8LC</v>
          </cell>
          <cell r="B542" t="str">
            <v>NUCL - OUTAGE SCHEDULING</v>
          </cell>
        </row>
        <row r="543">
          <cell r="A543" t="str">
            <v>8LD</v>
          </cell>
          <cell r="B543" t="str">
            <v>NUCL - MAINTENANCE SUPPORT</v>
          </cell>
        </row>
        <row r="544">
          <cell r="A544" t="str">
            <v>8LE</v>
          </cell>
          <cell r="B544" t="str">
            <v>NUCL - MAINTENANCE GENERAL</v>
          </cell>
        </row>
        <row r="545">
          <cell r="A545" t="str">
            <v>8MA</v>
          </cell>
          <cell r="B545" t="str">
            <v>MACOMB</v>
          </cell>
        </row>
        <row r="546">
          <cell r="A546" t="str">
            <v>8MS</v>
          </cell>
          <cell r="B546" t="str">
            <v>DIVISION II SUPPORT STAFF</v>
          </cell>
        </row>
        <row r="547">
          <cell r="A547" t="str">
            <v>8P2</v>
          </cell>
          <cell r="B547" t="str">
            <v>NUCL - PERSONNEL-INVALID</v>
          </cell>
        </row>
        <row r="548">
          <cell r="A548" t="str">
            <v>8PA</v>
          </cell>
          <cell r="B548" t="str">
            <v>NUCL - INVALID BUDGET</v>
          </cell>
        </row>
        <row r="549">
          <cell r="A549" t="str">
            <v>8PB</v>
          </cell>
          <cell r="B549" t="str">
            <v>NUCL - INVALID BUDGET</v>
          </cell>
        </row>
        <row r="550">
          <cell r="A550" t="str">
            <v>8PC</v>
          </cell>
          <cell r="B550" t="str">
            <v>NUCL - PERFORMANCE IMPROVE DPT</v>
          </cell>
        </row>
        <row r="551">
          <cell r="A551" t="str">
            <v>8PE</v>
          </cell>
          <cell r="B551" t="str">
            <v>PETERSBURG</v>
          </cell>
        </row>
        <row r="552">
          <cell r="A552" t="str">
            <v>8R0</v>
          </cell>
          <cell r="B552" t="str">
            <v>CA - BUSINESS OPERATIONS RU</v>
          </cell>
        </row>
        <row r="553">
          <cell r="A553" t="str">
            <v>8R1</v>
          </cell>
          <cell r="B553" t="str">
            <v>CA - NUCLEAR PERSONNEL</v>
          </cell>
        </row>
        <row r="554">
          <cell r="A554" t="str">
            <v>8R2</v>
          </cell>
          <cell r="B554" t="str">
            <v>CA - OPERATIONS RU</v>
          </cell>
        </row>
        <row r="555">
          <cell r="A555" t="str">
            <v>8R4</v>
          </cell>
          <cell r="B555" t="str">
            <v>CA - PLANT ENGINEERING RU</v>
          </cell>
        </row>
        <row r="556">
          <cell r="A556" t="str">
            <v>8R5</v>
          </cell>
          <cell r="B556" t="str">
            <v>CA - DESIGN ENG RU</v>
          </cell>
        </row>
        <row r="557">
          <cell r="A557" t="str">
            <v>8R6</v>
          </cell>
          <cell r="B557" t="str">
            <v>CA - TECH SUPT ENG</v>
          </cell>
        </row>
        <row r="558">
          <cell r="A558" t="str">
            <v>8R7</v>
          </cell>
          <cell r="B558" t="str">
            <v>NUCL - PROTECTIVE SERVICES</v>
          </cell>
        </row>
        <row r="559">
          <cell r="A559" t="str">
            <v>8R8</v>
          </cell>
          <cell r="B559" t="str">
            <v>CA - TRAINING RU</v>
          </cell>
        </row>
        <row r="560">
          <cell r="A560" t="str">
            <v>8R9</v>
          </cell>
          <cell r="B560" t="str">
            <v>CA - OUTAGE RU</v>
          </cell>
        </row>
        <row r="561">
          <cell r="A561" t="str">
            <v>8RA</v>
          </cell>
          <cell r="B561" t="str">
            <v>CA- ENGINEERING SERVICES RU</v>
          </cell>
        </row>
        <row r="562">
          <cell r="A562" t="str">
            <v>8RB</v>
          </cell>
          <cell r="B562" t="str">
            <v>CA- ENG PERFORMANCE IMPROVE</v>
          </cell>
        </row>
        <row r="563">
          <cell r="A563" t="str">
            <v>8RK</v>
          </cell>
          <cell r="B563" t="str">
            <v>CA - REGULATORY AFFAIRS</v>
          </cell>
        </row>
        <row r="564">
          <cell r="A564" t="str">
            <v>8RV</v>
          </cell>
          <cell r="B564" t="str">
            <v>CA - BUDGET - COST MGMT RU</v>
          </cell>
        </row>
        <row r="565">
          <cell r="A565" t="str">
            <v>8TU</v>
          </cell>
          <cell r="B565" t="str">
            <v>NUCL ADDITIONAL LICENSING UNIT</v>
          </cell>
        </row>
        <row r="566">
          <cell r="A566" t="str">
            <v>8WA</v>
          </cell>
          <cell r="B566" t="str">
            <v>NUCL - WORK MANAGEMENT</v>
          </cell>
        </row>
        <row r="567">
          <cell r="A567" t="str">
            <v>90B</v>
          </cell>
          <cell r="B567" t="str">
            <v>LEGAL &amp; CORP SERVICES-IPC</v>
          </cell>
        </row>
        <row r="568">
          <cell r="A568" t="str">
            <v>90C</v>
          </cell>
          <cell r="B568" t="str">
            <v>ACCOUNTING-IPC</v>
          </cell>
        </row>
        <row r="569">
          <cell r="A569" t="str">
            <v>90D</v>
          </cell>
          <cell r="B569" t="str">
            <v>CONTROLLERS STAFF-IPC</v>
          </cell>
        </row>
        <row r="570">
          <cell r="A570" t="str">
            <v>90E</v>
          </cell>
          <cell r="B570" t="str">
            <v>PERFORMANCE MANAGEMENT-IPC</v>
          </cell>
        </row>
        <row r="571">
          <cell r="A571" t="str">
            <v>90F</v>
          </cell>
          <cell r="B571" t="str">
            <v>HR - OPERATIONS- IPC</v>
          </cell>
        </row>
        <row r="572">
          <cell r="A572" t="str">
            <v>90G</v>
          </cell>
          <cell r="B572" t="str">
            <v>INFO TECH SERVICES-IPC-INVALID</v>
          </cell>
        </row>
        <row r="573">
          <cell r="A573" t="str">
            <v>90J</v>
          </cell>
          <cell r="B573" t="str">
            <v>ED ELE TRAIN - IPC - INVALID</v>
          </cell>
        </row>
        <row r="574">
          <cell r="A574" t="str">
            <v>90K</v>
          </cell>
          <cell r="B574" t="str">
            <v>ALT - IPC</v>
          </cell>
        </row>
        <row r="575">
          <cell r="A575" t="str">
            <v>90L</v>
          </cell>
          <cell r="B575" t="str">
            <v>BUILDING SERVICES-IPC</v>
          </cell>
        </row>
        <row r="576">
          <cell r="A576" t="str">
            <v>90M</v>
          </cell>
          <cell r="B576" t="str">
            <v>CUST FORECASTING &amp; PRICING-IPC</v>
          </cell>
        </row>
        <row r="577">
          <cell r="A577" t="str">
            <v>90N</v>
          </cell>
          <cell r="B577" t="str">
            <v>INVESTMENT RECOVERY-IPC</v>
          </cell>
        </row>
        <row r="578">
          <cell r="A578" t="str">
            <v>90P</v>
          </cell>
          <cell r="B578" t="str">
            <v>IPC CUSTOMER MNGMT INVALID</v>
          </cell>
        </row>
        <row r="579">
          <cell r="A579" t="str">
            <v>90Q</v>
          </cell>
          <cell r="B579" t="str">
            <v>REAL ESTATE-IPC</v>
          </cell>
        </row>
        <row r="580">
          <cell r="A580" t="str">
            <v>90S</v>
          </cell>
          <cell r="B580" t="str">
            <v>RECORDS MANAGEMENT-IPC</v>
          </cell>
        </row>
        <row r="581">
          <cell r="A581" t="str">
            <v>90T</v>
          </cell>
          <cell r="B581" t="str">
            <v>MICROFILM-IPC</v>
          </cell>
        </row>
        <row r="582">
          <cell r="A582" t="str">
            <v>90U</v>
          </cell>
          <cell r="B582" t="str">
            <v>MAIL CENTER-IPC</v>
          </cell>
        </row>
        <row r="583">
          <cell r="A583" t="str">
            <v>90V</v>
          </cell>
          <cell r="B583" t="str">
            <v>GAS SUPPLY IPC - INVALID</v>
          </cell>
        </row>
        <row r="584">
          <cell r="A584" t="str">
            <v>90W</v>
          </cell>
          <cell r="B584" t="str">
            <v>SUBSTATIONS - IPC - INVALID</v>
          </cell>
        </row>
        <row r="585">
          <cell r="A585" t="str">
            <v>90X</v>
          </cell>
          <cell r="B585" t="str">
            <v>SECURITY-IPC</v>
          </cell>
        </row>
        <row r="586">
          <cell r="A586" t="str">
            <v>90Y</v>
          </cell>
          <cell r="B586" t="str">
            <v>PRINTING SERVICES-IPC-INVALID</v>
          </cell>
        </row>
        <row r="587">
          <cell r="A587" t="str">
            <v>91A</v>
          </cell>
          <cell r="B587" t="str">
            <v>IL OPS ADMN</v>
          </cell>
        </row>
        <row r="588">
          <cell r="A588" t="str">
            <v>91B</v>
          </cell>
          <cell r="B588" t="str">
            <v>EMPLOYEE BENEFITS-IPC</v>
          </cell>
        </row>
        <row r="589">
          <cell r="A589" t="str">
            <v>91C</v>
          </cell>
          <cell r="B589" t="str">
            <v>METER SERVICES - IPC</v>
          </cell>
        </row>
        <row r="590">
          <cell r="A590" t="str">
            <v>91D</v>
          </cell>
          <cell r="B590" t="str">
            <v>IPC ELE OPS SUPPORT - INVALID</v>
          </cell>
        </row>
        <row r="591">
          <cell r="A591" t="str">
            <v>91E</v>
          </cell>
          <cell r="B591" t="str">
            <v>IPC MGR FLD ENG RES - INVALID</v>
          </cell>
        </row>
        <row r="592">
          <cell r="A592" t="str">
            <v>91F</v>
          </cell>
          <cell r="B592" t="str">
            <v>GAS SUPPORT IPC - INVALID</v>
          </cell>
        </row>
        <row r="593">
          <cell r="A593" t="str">
            <v>91G</v>
          </cell>
          <cell r="B593" t="str">
            <v>IPC ENRGY DLVRY OPS - INVALID</v>
          </cell>
        </row>
        <row r="594">
          <cell r="A594" t="str">
            <v>91H</v>
          </cell>
          <cell r="B594" t="str">
            <v>TRANSMISSION - IPC</v>
          </cell>
        </row>
        <row r="595">
          <cell r="A595" t="str">
            <v>91J</v>
          </cell>
          <cell r="B595" t="str">
            <v>SUB CTRL &amp; INST IPC - INVALID</v>
          </cell>
        </row>
        <row r="596">
          <cell r="A596" t="str">
            <v>91K</v>
          </cell>
          <cell r="B596" t="str">
            <v>VEGETATION MGT - IPC INVALID</v>
          </cell>
        </row>
        <row r="597">
          <cell r="A597" t="str">
            <v>91L</v>
          </cell>
          <cell r="B597" t="str">
            <v>CHAMPAIGN - URBANA</v>
          </cell>
        </row>
        <row r="598">
          <cell r="A598" t="str">
            <v>91N</v>
          </cell>
          <cell r="B598" t="str">
            <v>JACKSONVILLE</v>
          </cell>
        </row>
        <row r="599">
          <cell r="A599" t="str">
            <v>91P</v>
          </cell>
          <cell r="B599" t="str">
            <v>DISTRIBUTION OPERATING-Decatur</v>
          </cell>
        </row>
        <row r="600">
          <cell r="A600" t="str">
            <v>91Q</v>
          </cell>
          <cell r="B600" t="str">
            <v>IPC OPER SUPPORT - INVALID</v>
          </cell>
        </row>
        <row r="601">
          <cell r="A601" t="str">
            <v>91R</v>
          </cell>
          <cell r="B601" t="str">
            <v>DIVISION I SUPT  - IPC INVALID</v>
          </cell>
        </row>
        <row r="602">
          <cell r="A602" t="str">
            <v>91S</v>
          </cell>
          <cell r="B602" t="str">
            <v>DIVISION III SPT -IPC INVALID</v>
          </cell>
        </row>
        <row r="603">
          <cell r="A603" t="str">
            <v>91T</v>
          </cell>
          <cell r="B603" t="str">
            <v>DIVISION V SPT - IPC INVALID</v>
          </cell>
        </row>
        <row r="604">
          <cell r="A604" t="str">
            <v>91U</v>
          </cell>
          <cell r="B604" t="str">
            <v>DIVISION VI SUPPORT STAFF</v>
          </cell>
        </row>
        <row r="605">
          <cell r="A605" t="str">
            <v>91V</v>
          </cell>
          <cell r="B605" t="str">
            <v>GALESBURG</v>
          </cell>
        </row>
        <row r="606">
          <cell r="A606" t="str">
            <v>91W</v>
          </cell>
          <cell r="B606" t="str">
            <v>ENG SVCS IPC - INVALID</v>
          </cell>
        </row>
        <row r="607">
          <cell r="A607" t="str">
            <v>91X</v>
          </cell>
          <cell r="B607" t="str">
            <v>STOREROOMS - IPC</v>
          </cell>
        </row>
        <row r="608">
          <cell r="A608" t="str">
            <v>91Y</v>
          </cell>
          <cell r="B608" t="str">
            <v>CUST ACCTNG DEPT - IPC INVALID</v>
          </cell>
        </row>
        <row r="609">
          <cell r="A609" t="str">
            <v>92A</v>
          </cell>
          <cell r="B609" t="str">
            <v>MT. VERNON</v>
          </cell>
        </row>
        <row r="610">
          <cell r="A610" t="str">
            <v>92B</v>
          </cell>
          <cell r="B610" t="str">
            <v>SUB MTCE &amp; CONST - IL SOUTH</v>
          </cell>
        </row>
        <row r="611">
          <cell r="A611" t="str">
            <v>92D</v>
          </cell>
          <cell r="B611" t="str">
            <v>LASALLE</v>
          </cell>
        </row>
        <row r="612">
          <cell r="A612" t="str">
            <v>92E</v>
          </cell>
          <cell r="B612" t="str">
            <v>BLOOMINGTON - NORMAL</v>
          </cell>
        </row>
        <row r="613">
          <cell r="A613" t="str">
            <v>92F</v>
          </cell>
          <cell r="B613" t="str">
            <v>ECONOMIC DEVELOP -FIN STMT-IPC</v>
          </cell>
        </row>
        <row r="614">
          <cell r="A614" t="str">
            <v>92G</v>
          </cell>
          <cell r="B614" t="str">
            <v>ASSET MGT - IPC - INVALID</v>
          </cell>
        </row>
        <row r="615">
          <cell r="A615" t="str">
            <v>92H</v>
          </cell>
          <cell r="B615" t="str">
            <v>CORROSION CNTRL IPC - INVALID</v>
          </cell>
        </row>
        <row r="616">
          <cell r="A616" t="str">
            <v>92J</v>
          </cell>
          <cell r="B616" t="str">
            <v>MARYVILLE</v>
          </cell>
        </row>
        <row r="617">
          <cell r="A617" t="str">
            <v>92K</v>
          </cell>
          <cell r="B617" t="str">
            <v>ELEC ENERGY SUPPLY-IPC-INVALID</v>
          </cell>
        </row>
        <row r="618">
          <cell r="A618" t="str">
            <v>92L</v>
          </cell>
          <cell r="B618" t="str">
            <v>FLEET SVCS - IPC</v>
          </cell>
        </row>
        <row r="619">
          <cell r="A619" t="str">
            <v>92M</v>
          </cell>
          <cell r="B619" t="str">
            <v>PURCHASING - IPC</v>
          </cell>
        </row>
        <row r="620">
          <cell r="A620" t="str">
            <v>92P</v>
          </cell>
          <cell r="B620" t="str">
            <v>KEY ACCOUNTS - IPC INVALID</v>
          </cell>
        </row>
        <row r="621">
          <cell r="A621" t="str">
            <v>92Q</v>
          </cell>
          <cell r="B621" t="str">
            <v>DECATUR</v>
          </cell>
        </row>
        <row r="622">
          <cell r="A622" t="str">
            <v>92R</v>
          </cell>
          <cell r="B622" t="str">
            <v>REGULATORY &amp; PUBLIC POLICY-IPC</v>
          </cell>
        </row>
        <row r="623">
          <cell r="A623" t="str">
            <v>92S</v>
          </cell>
          <cell r="B623" t="str">
            <v>ESH - GENERAL-IPC</v>
          </cell>
        </row>
        <row r="624">
          <cell r="A624" t="str">
            <v>92T</v>
          </cell>
          <cell r="B624" t="str">
            <v>HILLSBORO</v>
          </cell>
        </row>
        <row r="625">
          <cell r="A625" t="str">
            <v>92W</v>
          </cell>
          <cell r="B625" t="str">
            <v>CREDIT &amp; COLLECT - IPC INVALID</v>
          </cell>
        </row>
        <row r="626">
          <cell r="A626" t="str">
            <v>92X</v>
          </cell>
          <cell r="B626" t="str">
            <v>CUSTOMER BUSINESS MGMT-IPC</v>
          </cell>
        </row>
        <row r="627">
          <cell r="A627" t="str">
            <v>93A</v>
          </cell>
          <cell r="B627" t="str">
            <v>CNTRACTR ALLY - IPC - INVALID</v>
          </cell>
        </row>
        <row r="628">
          <cell r="A628" t="str">
            <v>93B</v>
          </cell>
          <cell r="B628" t="str">
            <v>BELLEVILLE</v>
          </cell>
        </row>
        <row r="629">
          <cell r="A629" t="str">
            <v>93C</v>
          </cell>
          <cell r="B629" t="str">
            <v>KEWANEE</v>
          </cell>
        </row>
        <row r="630">
          <cell r="A630" t="str">
            <v>93J</v>
          </cell>
          <cell r="B630" t="str">
            <v>PSC-SOUTH PLANT SUPPRT-INVALID</v>
          </cell>
        </row>
        <row r="631">
          <cell r="A631" t="str">
            <v>93L</v>
          </cell>
          <cell r="B631" t="str">
            <v>ACCTS PAYABLE ADMIN-IPC</v>
          </cell>
        </row>
        <row r="632">
          <cell r="A632" t="str">
            <v>93N</v>
          </cell>
          <cell r="B632" t="str">
            <v>FOSSIL PLANT SUPPT-IPC-INVALID</v>
          </cell>
        </row>
        <row r="633">
          <cell r="A633" t="str">
            <v>93R</v>
          </cell>
          <cell r="B633" t="str">
            <v>DDC</v>
          </cell>
        </row>
        <row r="634">
          <cell r="A634" t="str">
            <v>93T</v>
          </cell>
          <cell r="B634" t="str">
            <v>INTEGRAT IMPLEM - IPC INVALID</v>
          </cell>
        </row>
        <row r="635">
          <cell r="A635" t="str">
            <v>93W</v>
          </cell>
          <cell r="B635" t="str">
            <v>SPARTA</v>
          </cell>
        </row>
        <row r="636">
          <cell r="A636" t="str">
            <v>ACCTG OPS</v>
          </cell>
          <cell r="B636" t="str">
            <v>ACCOUNTING OPERATIONS</v>
          </cell>
        </row>
        <row r="637">
          <cell r="A637" t="str">
            <v>ADC</v>
          </cell>
          <cell r="B637" t="str">
            <v>AMEREN DEVELOPMENT CORP</v>
          </cell>
        </row>
        <row r="638">
          <cell r="A638" t="str">
            <v>AED</v>
          </cell>
          <cell r="B638" t="str">
            <v>AED MANAGEMENT</v>
          </cell>
        </row>
        <row r="639">
          <cell r="A639" t="str">
            <v>AEG</v>
          </cell>
          <cell r="B639" t="str">
            <v>AEG SERVICES ROLLUP</v>
          </cell>
        </row>
        <row r="640">
          <cell r="A640" t="str">
            <v>AEGBS</v>
          </cell>
          <cell r="B640" t="str">
            <v>AEG BUSINESS SERVICES</v>
          </cell>
        </row>
        <row r="641">
          <cell r="A641" t="str">
            <v>AEGBSR</v>
          </cell>
          <cell r="B641" t="str">
            <v>AEG BUSINESS SERVICES ROLLUP</v>
          </cell>
        </row>
        <row r="642">
          <cell r="A642" t="str">
            <v>AEGPDS</v>
          </cell>
          <cell r="B642" t="str">
            <v>AEG GENERATION SERVICES</v>
          </cell>
        </row>
        <row r="643">
          <cell r="A643" t="str">
            <v>AEGPDSR</v>
          </cell>
          <cell r="B643" t="str">
            <v>AEG GENERATION SERVICES ROLLUP</v>
          </cell>
        </row>
        <row r="644">
          <cell r="A644" t="str">
            <v>AEGSTM</v>
          </cell>
          <cell r="B644" t="str">
            <v>AEG STEAM PLANT ROLLUP</v>
          </cell>
        </row>
        <row r="645">
          <cell r="A645" t="str">
            <v>AFC</v>
          </cell>
          <cell r="B645" t="str">
            <v>ALLOWANCE FOR FUNDS</v>
          </cell>
        </row>
        <row r="646">
          <cell r="A646" t="str">
            <v>AGBSG</v>
          </cell>
          <cell r="B646" t="str">
            <v>AMEREN GEN BUSINESS SVCS GROUP</v>
          </cell>
        </row>
        <row r="647">
          <cell r="A647" t="str">
            <v>AME</v>
          </cell>
          <cell r="B647" t="str">
            <v>AMEREN ENERGY</v>
          </cell>
        </row>
        <row r="648">
          <cell r="A648" t="str">
            <v>APP</v>
          </cell>
          <cell r="B648" t="str">
            <v>APPORTIONMENTS</v>
          </cell>
        </row>
        <row r="649">
          <cell r="A649" t="str">
            <v>ASM</v>
          </cell>
          <cell r="B649" t="str">
            <v>SAFETY AND RESOURCE MGMT</v>
          </cell>
        </row>
        <row r="650">
          <cell r="A650" t="str">
            <v>BEN</v>
          </cell>
          <cell r="B650" t="str">
            <v>BENEFITS</v>
          </cell>
        </row>
        <row r="651">
          <cell r="A651" t="str">
            <v>BLDSVC</v>
          </cell>
          <cell r="B651" t="str">
            <v>BUILDING SVCS ROLLUP</v>
          </cell>
        </row>
        <row r="652">
          <cell r="A652" t="str">
            <v>BSA</v>
          </cell>
          <cell r="B652" t="str">
            <v>ENERGY DELIVERY BUSINESS SVCS</v>
          </cell>
        </row>
        <row r="653">
          <cell r="A653" t="str">
            <v>BSO</v>
          </cell>
          <cell r="B653" t="str">
            <v>BUSINESS SERVICES OPERATIONS</v>
          </cell>
        </row>
        <row r="654">
          <cell r="A654" t="str">
            <v>BTR</v>
          </cell>
          <cell r="B654" t="str">
            <v>BOONE TRAILS DIVISION</v>
          </cell>
        </row>
        <row r="655">
          <cell r="A655" t="str">
            <v>CAL</v>
          </cell>
          <cell r="B655" t="str">
            <v>CUSTOMER ACCOUNTING IL</v>
          </cell>
        </row>
        <row r="656">
          <cell r="A656" t="str">
            <v>CDC</v>
          </cell>
          <cell r="B656" t="str">
            <v>CREDIT &amp; COLLECTIONS IL</v>
          </cell>
        </row>
        <row r="657">
          <cell r="A657" t="str">
            <v>CFA</v>
          </cell>
          <cell r="B657" t="str">
            <v>COFFEEN - ADMINISTRATION</v>
          </cell>
        </row>
        <row r="658">
          <cell r="A658" t="str">
            <v>CFG</v>
          </cell>
          <cell r="B658" t="str">
            <v>COFFEEN - GENERAL &amp; BUD</v>
          </cell>
        </row>
        <row r="659">
          <cell r="A659" t="str">
            <v>CFM</v>
          </cell>
          <cell r="B659" t="str">
            <v>COFFEEN - MAINTENANCE</v>
          </cell>
        </row>
        <row r="660">
          <cell r="A660" t="str">
            <v>CFO</v>
          </cell>
          <cell r="B660" t="str">
            <v>COFFEEN - OPERATIONS</v>
          </cell>
        </row>
        <row r="661">
          <cell r="A661" t="str">
            <v>CIC</v>
          </cell>
          <cell r="B661" t="str">
            <v>CIC</v>
          </cell>
        </row>
        <row r="662">
          <cell r="A662" t="str">
            <v>CIC01</v>
          </cell>
          <cell r="B662" t="str">
            <v>CIPSCO INVESTMENT CO</v>
          </cell>
        </row>
        <row r="663">
          <cell r="A663" t="str">
            <v>CIL</v>
          </cell>
          <cell r="B663" t="str">
            <v>INVALID BUDGET</v>
          </cell>
        </row>
        <row r="664">
          <cell r="A664" t="str">
            <v>CILGEN</v>
          </cell>
          <cell r="B664" t="str">
            <v>CIL GENERATION ROLLUP</v>
          </cell>
        </row>
        <row r="665">
          <cell r="A665" t="str">
            <v>CIM</v>
          </cell>
          <cell r="B665" t="str">
            <v>CILCORP INVESTMENT MANAGEMENT</v>
          </cell>
        </row>
        <row r="666">
          <cell r="A666" t="str">
            <v>CMC</v>
          </cell>
          <cell r="B666" t="str">
            <v>CUSTOMER CONTACT CENTERS IL</v>
          </cell>
        </row>
        <row r="667">
          <cell r="A667" t="str">
            <v>CNTRL-OTH</v>
          </cell>
          <cell r="B667" t="str">
            <v>CONTROLLER - OTHER</v>
          </cell>
        </row>
        <row r="668">
          <cell r="A668" t="str">
            <v>COF</v>
          </cell>
          <cell r="B668" t="str">
            <v>COFFEEN</v>
          </cell>
        </row>
        <row r="669">
          <cell r="A669" t="str">
            <v>COFR</v>
          </cell>
          <cell r="B669" t="str">
            <v>COFFEEN ROLLUP</v>
          </cell>
        </row>
        <row r="670">
          <cell r="A670" t="str">
            <v>CORP_COMM</v>
          </cell>
          <cell r="B670" t="str">
            <v>CORP COMMUNICATIONS</v>
          </cell>
        </row>
        <row r="671">
          <cell r="A671" t="str">
            <v>CORP_PLANNING</v>
          </cell>
          <cell r="B671" t="str">
            <v>CORP PLANNING</v>
          </cell>
        </row>
        <row r="672">
          <cell r="A672" t="str">
            <v>CORPORATE</v>
          </cell>
          <cell r="B672" t="str">
            <v>CORPORATE</v>
          </cell>
        </row>
        <row r="673">
          <cell r="A673" t="str">
            <v>COZ</v>
          </cell>
          <cell r="B673" t="str">
            <v>CENTRAL OZARKS DIVISION</v>
          </cell>
        </row>
        <row r="674">
          <cell r="A674" t="str">
            <v>CSF</v>
          </cell>
          <cell r="B674" t="str">
            <v>IT CUSTOMER SRVC &amp; FIELD OPS</v>
          </cell>
        </row>
        <row r="675">
          <cell r="A675" t="str">
            <v>D10</v>
          </cell>
          <cell r="B675" t="str">
            <v>CEO DIV</v>
          </cell>
        </row>
        <row r="676">
          <cell r="A676" t="str">
            <v>D12</v>
          </cell>
          <cell r="B676" t="str">
            <v>SVP GEN CONSL LEG &amp; REG POLICY</v>
          </cell>
        </row>
        <row r="677">
          <cell r="A677" t="str">
            <v>D17</v>
          </cell>
          <cell r="B677" t="str">
            <v>AMEREN DEVELOPMENT CORP</v>
          </cell>
        </row>
        <row r="678">
          <cell r="A678" t="str">
            <v>D20</v>
          </cell>
          <cell r="B678" t="str">
            <v>ENERGY DELIVERY</v>
          </cell>
        </row>
        <row r="679">
          <cell r="A679" t="str">
            <v>D30</v>
          </cell>
          <cell r="B679" t="str">
            <v>FINANCE &amp; CORP SVCS</v>
          </cell>
        </row>
        <row r="680">
          <cell r="A680" t="str">
            <v>D40</v>
          </cell>
          <cell r="B680" t="str">
            <v>NUCLEAR GENERATION</v>
          </cell>
        </row>
        <row r="681">
          <cell r="A681" t="str">
            <v>D50</v>
          </cell>
          <cell r="B681" t="str">
            <v>NON-NUCLEAR GENERATION</v>
          </cell>
        </row>
        <row r="682">
          <cell r="A682" t="str">
            <v>D60</v>
          </cell>
          <cell r="B682" t="str">
            <v>SVP - ADMINISTRATION</v>
          </cell>
        </row>
        <row r="683">
          <cell r="A683" t="str">
            <v>D70</v>
          </cell>
          <cell r="B683" t="str">
            <v>EXECUTIVE</v>
          </cell>
        </row>
        <row r="684">
          <cell r="A684" t="str">
            <v>D80</v>
          </cell>
          <cell r="B684" t="str">
            <v>MISC ITEMS</v>
          </cell>
        </row>
        <row r="685">
          <cell r="A685" t="str">
            <v>DCD</v>
          </cell>
          <cell r="B685" t="str">
            <v>DISTRIBUTION OPERATING - MO</v>
          </cell>
        </row>
        <row r="686">
          <cell r="A686" t="str">
            <v>DCI</v>
          </cell>
          <cell r="B686" t="str">
            <v>DISTRIBUTION CONTROL ILLINOIS</v>
          </cell>
        </row>
        <row r="687">
          <cell r="A687" t="str">
            <v>DEP</v>
          </cell>
          <cell r="B687" t="str">
            <v>DEPRECIATION</v>
          </cell>
        </row>
        <row r="688">
          <cell r="A688" t="str">
            <v>DEV</v>
          </cell>
          <cell r="B688" t="str">
            <v>DEVELOPMENT</v>
          </cell>
        </row>
        <row r="689">
          <cell r="A689" t="str">
            <v>DMS</v>
          </cell>
          <cell r="B689" t="str">
            <v>INVALID BUDGET</v>
          </cell>
        </row>
        <row r="690">
          <cell r="A690" t="str">
            <v>DOS</v>
          </cell>
          <cell r="B690" t="str">
            <v>MEREDOSIA</v>
          </cell>
        </row>
        <row r="691">
          <cell r="A691" t="str">
            <v>DOSIA</v>
          </cell>
          <cell r="B691" t="str">
            <v>MEREDOSIA ROLLUP</v>
          </cell>
        </row>
        <row r="692">
          <cell r="A692" t="str">
            <v>DRCE</v>
          </cell>
          <cell r="B692" t="str">
            <v>DEREGULATED CTG COMMON EXP</v>
          </cell>
        </row>
        <row r="693">
          <cell r="A693" t="str">
            <v>DTC</v>
          </cell>
          <cell r="B693" t="str">
            <v>DISTRIBUTION DESIGN CENTER</v>
          </cell>
        </row>
        <row r="694">
          <cell r="A694" t="str">
            <v>DUCK</v>
          </cell>
          <cell r="B694" t="str">
            <v>DUCK CREEK</v>
          </cell>
        </row>
        <row r="695">
          <cell r="A695" t="str">
            <v>DUCKR</v>
          </cell>
          <cell r="B695" t="str">
            <v>DUCK CREEK ROLLUP</v>
          </cell>
        </row>
        <row r="696">
          <cell r="A696" t="str">
            <v>DVM</v>
          </cell>
          <cell r="B696" t="str">
            <v>IL DIV I II III  DISTRIB RU</v>
          </cell>
        </row>
        <row r="697">
          <cell r="A697" t="str">
            <v>DVP</v>
          </cell>
          <cell r="B697" t="str">
            <v>DIVISION I</v>
          </cell>
        </row>
        <row r="698">
          <cell r="A698" t="str">
            <v>DVQ</v>
          </cell>
          <cell r="B698" t="str">
            <v>DIVISION II</v>
          </cell>
        </row>
        <row r="699">
          <cell r="A699" t="str">
            <v>DVR</v>
          </cell>
          <cell r="B699" t="str">
            <v>DIVISION III</v>
          </cell>
        </row>
        <row r="700">
          <cell r="A700" t="str">
            <v>DVS</v>
          </cell>
          <cell r="B700" t="str">
            <v>IL DIV IV V VI VII  DISTRIB RU</v>
          </cell>
        </row>
        <row r="701">
          <cell r="A701" t="str">
            <v>DVU</v>
          </cell>
          <cell r="B701" t="str">
            <v>DIVISION IV</v>
          </cell>
        </row>
        <row r="702">
          <cell r="A702" t="str">
            <v>DVV</v>
          </cell>
          <cell r="B702" t="str">
            <v>DIVISION V</v>
          </cell>
        </row>
        <row r="703">
          <cell r="A703" t="str">
            <v>DVW</v>
          </cell>
          <cell r="B703" t="str">
            <v>DIVISION VI</v>
          </cell>
        </row>
        <row r="704">
          <cell r="A704" t="str">
            <v>DVX</v>
          </cell>
          <cell r="B704" t="str">
            <v>DIVISION VII</v>
          </cell>
        </row>
        <row r="705">
          <cell r="A705" t="str">
            <v>EAIL</v>
          </cell>
          <cell r="B705" t="str">
            <v>EASTERN IL CTG ROLL-UP</v>
          </cell>
        </row>
        <row r="706">
          <cell r="A706" t="str">
            <v>EAS</v>
          </cell>
          <cell r="B706" t="str">
            <v>EMPLOYEE ADMINISTRATIVE SVCS</v>
          </cell>
        </row>
        <row r="707">
          <cell r="A707" t="str">
            <v>EBI</v>
          </cell>
          <cell r="B707" t="str">
            <v>ENERGY DELIVERY BUSINESS IMPRV</v>
          </cell>
        </row>
        <row r="708">
          <cell r="A708" t="str">
            <v>EBX</v>
          </cell>
          <cell r="B708" t="str">
            <v>ENERGY DELIVERY BUSINESS IMPRV</v>
          </cell>
        </row>
        <row r="709">
          <cell r="A709" t="str">
            <v>EDA</v>
          </cell>
          <cell r="B709" t="str">
            <v>EDTS ADMINISTRATION</v>
          </cell>
        </row>
        <row r="710">
          <cell r="A710" t="str">
            <v>EDC</v>
          </cell>
          <cell r="B710" t="str">
            <v>ENERGY DELIVERY BUSINESS SVCS</v>
          </cell>
        </row>
        <row r="711">
          <cell r="A711" t="str">
            <v>EEI</v>
          </cell>
          <cell r="B711" t="str">
            <v>ELECTRIC ENERGY, INC.</v>
          </cell>
        </row>
        <row r="712">
          <cell r="A712" t="str">
            <v>EGJC</v>
          </cell>
          <cell r="B712" t="str">
            <v>ELG, CG, JOPPA, COL ROLL-UP</v>
          </cell>
        </row>
        <row r="713">
          <cell r="A713" t="str">
            <v>ERC</v>
          </cell>
          <cell r="B713" t="str">
            <v>ERC MANAGEMENT</v>
          </cell>
        </row>
        <row r="714">
          <cell r="A714" t="str">
            <v>ES&amp;H</v>
          </cell>
          <cell r="B714" t="str">
            <v>ENVIRONMENTAL SAFETY  HLTH</v>
          </cell>
        </row>
        <row r="715">
          <cell r="A715" t="str">
            <v>ESH</v>
          </cell>
          <cell r="B715" t="str">
            <v>ENVIRONMENTAL, SAFETY &amp; HEALTH</v>
          </cell>
        </row>
        <row r="716">
          <cell r="A716" t="str">
            <v>ETS</v>
          </cell>
          <cell r="B716" t="str">
            <v>ENERGY DELIVERY TECHNICAL SVCS</v>
          </cell>
        </row>
        <row r="717">
          <cell r="A717" t="str">
            <v>ETX</v>
          </cell>
          <cell r="B717" t="str">
            <v>ENERGY DELIVERY TECHNICAL APPS</v>
          </cell>
        </row>
        <row r="718">
          <cell r="A718" t="str">
            <v>EWRD</v>
          </cell>
          <cell r="B718" t="str">
            <v>EDWARDS</v>
          </cell>
        </row>
        <row r="719">
          <cell r="A719" t="str">
            <v>EWRDR</v>
          </cell>
          <cell r="B719" t="str">
            <v>EDWARDS ROLLUP</v>
          </cell>
        </row>
        <row r="720">
          <cell r="A720" t="str">
            <v>EXEC</v>
          </cell>
          <cell r="B720" t="str">
            <v>EXECUTIVE</v>
          </cell>
        </row>
        <row r="721">
          <cell r="A721" t="str">
            <v>F01</v>
          </cell>
          <cell r="B721" t="str">
            <v>UE GENERATION - NON NUCLEAR</v>
          </cell>
        </row>
        <row r="722">
          <cell r="A722" t="str">
            <v>F03</v>
          </cell>
          <cell r="B722" t="str">
            <v>MISSOURI OPERATIONS</v>
          </cell>
        </row>
        <row r="723">
          <cell r="A723" t="str">
            <v>F04</v>
          </cell>
          <cell r="B723" t="str">
            <v>CONTROLLER</v>
          </cell>
        </row>
        <row r="724">
          <cell r="A724" t="str">
            <v>F05</v>
          </cell>
          <cell r="B724" t="str">
            <v>SUPPLY SERVICES</v>
          </cell>
        </row>
        <row r="725">
          <cell r="A725" t="str">
            <v>F06</v>
          </cell>
          <cell r="B725" t="str">
            <v>ENERGY DELIVERY SERVICES</v>
          </cell>
        </row>
        <row r="726">
          <cell r="A726" t="str">
            <v>F08</v>
          </cell>
          <cell r="B726" t="str">
            <v>CORPORATE COMMUNICATIONS</v>
          </cell>
        </row>
        <row r="727">
          <cell r="A727" t="str">
            <v>F09</v>
          </cell>
          <cell r="B727" t="str">
            <v>TREASURER</v>
          </cell>
        </row>
        <row r="728">
          <cell r="A728" t="str">
            <v>F10</v>
          </cell>
          <cell r="B728" t="str">
            <v>OTHER</v>
          </cell>
        </row>
        <row r="729">
          <cell r="A729" t="str">
            <v>F11</v>
          </cell>
          <cell r="B729" t="str">
            <v>FUEL</v>
          </cell>
        </row>
        <row r="730">
          <cell r="A730" t="str">
            <v>F12</v>
          </cell>
          <cell r="B730" t="str">
            <v>UE GENERATION - NUCLEAR</v>
          </cell>
        </row>
        <row r="731">
          <cell r="A731" t="str">
            <v>F13</v>
          </cell>
          <cell r="B731" t="str">
            <v>CORPORATE PLANNING</v>
          </cell>
        </row>
        <row r="732">
          <cell r="A732" t="str">
            <v>F14</v>
          </cell>
          <cell r="B732" t="str">
            <v>FINANCE AND ACCOUNTING - OTHER</v>
          </cell>
        </row>
        <row r="733">
          <cell r="A733" t="str">
            <v>F15</v>
          </cell>
          <cell r="B733" t="str">
            <v>HUMAN RESOURCES</v>
          </cell>
        </row>
        <row r="734">
          <cell r="A734" t="str">
            <v>F17</v>
          </cell>
          <cell r="B734" t="str">
            <v>EXECUTIVE</v>
          </cell>
        </row>
        <row r="735">
          <cell r="A735" t="str">
            <v>F18</v>
          </cell>
          <cell r="B735" t="str">
            <v>AMEREN SERVICES CENTER</v>
          </cell>
        </row>
        <row r="736">
          <cell r="A736" t="str">
            <v>F20</v>
          </cell>
          <cell r="B736" t="str">
            <v>ENVIRONMENTAL SAFETY HEALTH</v>
          </cell>
        </row>
        <row r="737">
          <cell r="A737" t="str">
            <v>F21</v>
          </cell>
          <cell r="B737" t="str">
            <v>GENERAL COUNSEL</v>
          </cell>
        </row>
        <row r="738">
          <cell r="A738" t="str">
            <v>F33</v>
          </cell>
          <cell r="B738" t="str">
            <v>POWER PLANTS - GEN</v>
          </cell>
        </row>
        <row r="739">
          <cell r="A739" t="str">
            <v>F35</v>
          </cell>
          <cell r="B739" t="str">
            <v>AMEREN ENGY RESOURCES - IHC</v>
          </cell>
        </row>
        <row r="740">
          <cell r="A740" t="str">
            <v>F36</v>
          </cell>
          <cell r="B740" t="str">
            <v>AMEREN ENERGY MKTG CO- GMC</v>
          </cell>
        </row>
        <row r="741">
          <cell r="A741" t="str">
            <v>F37</v>
          </cell>
          <cell r="B741" t="str">
            <v>AMEREN ENERGY DEVELOPMENT CO</v>
          </cell>
        </row>
        <row r="742">
          <cell r="A742" t="str">
            <v>F38</v>
          </cell>
          <cell r="B742" t="str">
            <v>AMEREN ENGY FUELS AND SVCS</v>
          </cell>
        </row>
        <row r="743">
          <cell r="A743" t="str">
            <v>F40</v>
          </cell>
          <cell r="B743" t="str">
            <v>AMEREN ENERGY</v>
          </cell>
        </row>
        <row r="744">
          <cell r="A744" t="str">
            <v>F42</v>
          </cell>
          <cell r="B744" t="str">
            <v>AMEREN DEVELOPMENT CORP</v>
          </cell>
        </row>
        <row r="745">
          <cell r="A745" t="str">
            <v>F49</v>
          </cell>
          <cell r="B745" t="str">
            <v>GOVT RELATIONS  &amp; ECONOMIC DEV</v>
          </cell>
        </row>
        <row r="746">
          <cell r="A746" t="str">
            <v>F51</v>
          </cell>
          <cell r="B746" t="str">
            <v>REGULATORY POLICY &amp; PLANNING</v>
          </cell>
        </row>
        <row r="747">
          <cell r="A747" t="str">
            <v>F52</v>
          </cell>
          <cell r="B747" t="str">
            <v>GENERATION TECHNICAL SERVICES</v>
          </cell>
        </row>
        <row r="748">
          <cell r="A748" t="str">
            <v>F53</v>
          </cell>
          <cell r="B748" t="str">
            <v>ILLINOIS OPERATIONS</v>
          </cell>
        </row>
        <row r="749">
          <cell r="A749" t="str">
            <v>F55</v>
          </cell>
          <cell r="B749" t="str">
            <v>STRATEGIC INITIATIVES</v>
          </cell>
        </row>
        <row r="750">
          <cell r="A750" t="str">
            <v>F56</v>
          </cell>
          <cell r="B750" t="str">
            <v>AMEREN CTG OPERATIONS</v>
          </cell>
        </row>
        <row r="751">
          <cell r="A751" t="str">
            <v>F58</v>
          </cell>
          <cell r="B751" t="str">
            <v>GENERATION PRECISION QLTY MGMT</v>
          </cell>
        </row>
        <row r="752">
          <cell r="A752" t="str">
            <v>FIN COM</v>
          </cell>
          <cell r="B752" t="str">
            <v>FINANCIAL COMMUNICATIONS</v>
          </cell>
        </row>
        <row r="753">
          <cell r="A753" t="str">
            <v>FLT</v>
          </cell>
          <cell r="B753" t="str">
            <v>FLEET</v>
          </cell>
        </row>
        <row r="754">
          <cell r="A754" t="str">
            <v>FOSSIL_FUEL</v>
          </cell>
          <cell r="B754" t="str">
            <v>FOSSIL FUEL</v>
          </cell>
        </row>
        <row r="755">
          <cell r="A755" t="str">
            <v>GAS</v>
          </cell>
          <cell r="B755" t="str">
            <v>GAS OPERATIONS SUPPORT</v>
          </cell>
        </row>
        <row r="756">
          <cell r="A756" t="str">
            <v>GAS_SUPPLY</v>
          </cell>
          <cell r="B756" t="str">
            <v>PPLY - GAS SUPPLY</v>
          </cell>
        </row>
        <row r="757">
          <cell r="A757" t="str">
            <v>GCMS</v>
          </cell>
          <cell r="B757" t="str">
            <v>GENERATION CONST &amp; MTCE SVCS</v>
          </cell>
        </row>
        <row r="758">
          <cell r="A758" t="str">
            <v>GEN_COUNSEL</v>
          </cell>
          <cell r="B758" t="str">
            <v>UNSEL - GENERAL COUNSEL</v>
          </cell>
        </row>
        <row r="759">
          <cell r="A759" t="str">
            <v>GEST</v>
          </cell>
          <cell r="B759" t="str">
            <v>GENERATION ENGINEERING SUPPORT</v>
          </cell>
        </row>
        <row r="760">
          <cell r="A760" t="str">
            <v>GM1</v>
          </cell>
          <cell r="B760" t="str">
            <v>AEM TRADING</v>
          </cell>
        </row>
        <row r="761">
          <cell r="A761" t="str">
            <v>GM2</v>
          </cell>
          <cell r="B761" t="str">
            <v>AEM SALES</v>
          </cell>
        </row>
        <row r="762">
          <cell r="A762" t="str">
            <v>GM3</v>
          </cell>
          <cell r="B762" t="str">
            <v>PHYS NATL GAS MKTG-INVALID</v>
          </cell>
        </row>
        <row r="763">
          <cell r="A763" t="str">
            <v>GM4</v>
          </cell>
          <cell r="B763" t="str">
            <v>AEM BUSINESS OPERATIONS</v>
          </cell>
        </row>
        <row r="764">
          <cell r="A764" t="str">
            <v>GM5</v>
          </cell>
          <cell r="B764" t="str">
            <v>ENRGY SLS- MID MKT-CIL INVALID</v>
          </cell>
        </row>
        <row r="765">
          <cell r="A765" t="str">
            <v>GM6</v>
          </cell>
          <cell r="B765" t="str">
            <v>CILCO TRADING-INVALID</v>
          </cell>
        </row>
        <row r="766">
          <cell r="A766" t="str">
            <v>GM7</v>
          </cell>
          <cell r="B766" t="str">
            <v>ENERGY SUPPLY - CSI-INVALID</v>
          </cell>
        </row>
        <row r="767">
          <cell r="A767" t="str">
            <v>GM8</v>
          </cell>
          <cell r="B767" t="str">
            <v>ELECTRIC SUPPLY-CIL-INVALID</v>
          </cell>
        </row>
        <row r="768">
          <cell r="A768" t="str">
            <v>GM9</v>
          </cell>
          <cell r="B768" t="str">
            <v>UNREG MARKETING-CIL-INVALID</v>
          </cell>
        </row>
        <row r="769">
          <cell r="A769" t="str">
            <v>GMC</v>
          </cell>
          <cell r="B769" t="str">
            <v>VP MARKETING-INVALID</v>
          </cell>
        </row>
        <row r="770">
          <cell r="A770" t="str">
            <v>GNS</v>
          </cell>
          <cell r="B770" t="str">
            <v>GAS ENGINEERING &amp; SUPPORT</v>
          </cell>
        </row>
        <row r="771">
          <cell r="A771" t="str">
            <v>GPRE</v>
          </cell>
          <cell r="B771" t="str">
            <v>GENERATION PROJECT MGMT SVCS</v>
          </cell>
        </row>
        <row r="772">
          <cell r="A772" t="str">
            <v>GRV</v>
          </cell>
          <cell r="B772" t="str">
            <v>GRAVOIS VALLEY DIVISION</v>
          </cell>
        </row>
        <row r="773">
          <cell r="A773" t="str">
            <v>GSA</v>
          </cell>
          <cell r="B773" t="str">
            <v>GAS ADMINISTRATION</v>
          </cell>
        </row>
        <row r="774">
          <cell r="A774" t="str">
            <v>GSS</v>
          </cell>
          <cell r="B774" t="str">
            <v>GAS TECH SERVICES MO</v>
          </cell>
        </row>
        <row r="775">
          <cell r="A775" t="str">
            <v>GST</v>
          </cell>
          <cell r="B775" t="str">
            <v>GAS STORAGE</v>
          </cell>
        </row>
        <row r="776">
          <cell r="A776" t="str">
            <v>GTC</v>
          </cell>
          <cell r="B776" t="str">
            <v>GAS TRAINING &amp; COMPLIANCE</v>
          </cell>
        </row>
        <row r="777">
          <cell r="A777" t="str">
            <v>GTPA</v>
          </cell>
          <cell r="B777" t="str">
            <v>GEN TRNG &amp; PERFMCE ASSESSMENT</v>
          </cell>
        </row>
        <row r="778">
          <cell r="A778" t="str">
            <v>GTS</v>
          </cell>
          <cell r="B778" t="str">
            <v>GAS TECH SERVICES</v>
          </cell>
        </row>
        <row r="779">
          <cell r="A779" t="str">
            <v>GTWR</v>
          </cell>
          <cell r="B779" t="str">
            <v>GRAND TOWER ROLLUP</v>
          </cell>
        </row>
        <row r="780">
          <cell r="A780" t="str">
            <v>GTZ</v>
          </cell>
          <cell r="B780" t="str">
            <v>GAS VACANCY FACTOR</v>
          </cell>
        </row>
        <row r="781">
          <cell r="A781" t="str">
            <v>GWY</v>
          </cell>
          <cell r="B781" t="str">
            <v>GATEWAY DIVISION</v>
          </cell>
        </row>
        <row r="782">
          <cell r="A782" t="str">
            <v>HROTH</v>
          </cell>
          <cell r="B782" t="str">
            <v>HUMAN RESOURCES - OTHER</v>
          </cell>
        </row>
        <row r="783">
          <cell r="A783" t="str">
            <v>HUMAN_RES</v>
          </cell>
          <cell r="B783" t="str">
            <v>HUMAN RESOURCES</v>
          </cell>
        </row>
        <row r="784">
          <cell r="A784" t="str">
            <v>HUT</v>
          </cell>
          <cell r="B784" t="str">
            <v>HUTSONVILLE</v>
          </cell>
        </row>
        <row r="785">
          <cell r="A785" t="str">
            <v>HUTR</v>
          </cell>
          <cell r="B785" t="str">
            <v>HUTSONVILLE ROLLUP</v>
          </cell>
        </row>
        <row r="786">
          <cell r="A786" t="str">
            <v>HYD_CTG</v>
          </cell>
          <cell r="B786" t="str">
            <v>HYDRO  PLNTS_CTG ROLLUP</v>
          </cell>
        </row>
        <row r="787">
          <cell r="A787" t="str">
            <v>IAD</v>
          </cell>
          <cell r="B787" t="str">
            <v>ILLINOIS ADMINISTRATION</v>
          </cell>
        </row>
        <row r="788">
          <cell r="A788" t="str">
            <v>IAM</v>
          </cell>
          <cell r="B788" t="str">
            <v>ILLINOIS ADMINISTRATION</v>
          </cell>
        </row>
        <row r="789">
          <cell r="A789" t="str">
            <v>IBA</v>
          </cell>
          <cell r="B789" t="str">
            <v>INTERCOMPANY BILLINGS ADDERS</v>
          </cell>
        </row>
        <row r="790">
          <cell r="A790" t="str">
            <v>ICC</v>
          </cell>
          <cell r="B790" t="str">
            <v>IL CUST CARE CTRS - CUST SVCS</v>
          </cell>
        </row>
        <row r="791">
          <cell r="A791" t="str">
            <v>ICR</v>
          </cell>
          <cell r="B791" t="str">
            <v>ILLINOIS COMMUNITY RELATIONS</v>
          </cell>
        </row>
        <row r="792">
          <cell r="A792" t="str">
            <v>ICX</v>
          </cell>
          <cell r="B792" t="str">
            <v>COMMUNITY RELATIONS IL</v>
          </cell>
        </row>
        <row r="793">
          <cell r="A793" t="str">
            <v>IHC</v>
          </cell>
          <cell r="B793" t="str">
            <v>IHC MANAGEMENT</v>
          </cell>
        </row>
        <row r="794">
          <cell r="A794" t="str">
            <v>IMS</v>
          </cell>
          <cell r="B794" t="str">
            <v>ILLINOIS MATERIAL SUPPLY COMPANY</v>
          </cell>
        </row>
        <row r="795">
          <cell r="A795" t="str">
            <v>INC</v>
          </cell>
          <cell r="B795" t="str">
            <v>INCOME ITEMS</v>
          </cell>
        </row>
        <row r="796">
          <cell r="A796" t="str">
            <v>INF</v>
          </cell>
          <cell r="B796" t="str">
            <v>INFRASTRUCTURE OPERATIONS</v>
          </cell>
        </row>
        <row r="797">
          <cell r="A797" t="str">
            <v>INTERNAL_AUDIT</v>
          </cell>
          <cell r="B797" t="str">
            <v>INTERNAL AUDIT</v>
          </cell>
        </row>
        <row r="798">
          <cell r="A798" t="str">
            <v>IT</v>
          </cell>
          <cell r="B798" t="str">
            <v>NFORMATION TECHNOLOGY</v>
          </cell>
        </row>
        <row r="799">
          <cell r="A799" t="str">
            <v>ITST</v>
          </cell>
          <cell r="B799" t="str">
            <v>INDIAN TRAILS &amp; STERLING RU</v>
          </cell>
        </row>
        <row r="800">
          <cell r="A800" t="str">
            <v>KAL</v>
          </cell>
          <cell r="B800" t="str">
            <v>KEY ACCOUNTS IL</v>
          </cell>
        </row>
        <row r="801">
          <cell r="A801" t="str">
            <v>KEO</v>
          </cell>
          <cell r="B801" t="str">
            <v>KEOKUK PLANT</v>
          </cell>
        </row>
        <row r="802">
          <cell r="A802" t="str">
            <v>LAB</v>
          </cell>
          <cell r="B802" t="str">
            <v>LABADIE PLANT</v>
          </cell>
        </row>
        <row r="803">
          <cell r="A803" t="str">
            <v>LABOR</v>
          </cell>
          <cell r="B803" t="str">
            <v>LABOR &amp; BUSINESS SERVICES</v>
          </cell>
        </row>
        <row r="804">
          <cell r="A804" t="str">
            <v>MAD</v>
          </cell>
          <cell r="B804" t="str">
            <v>MISSOURI ADMIN</v>
          </cell>
        </row>
        <row r="805">
          <cell r="A805" t="str">
            <v>MAJ</v>
          </cell>
          <cell r="B805" t="str">
            <v>MAJOR PWR PLANTS-UEC</v>
          </cell>
        </row>
        <row r="806">
          <cell r="A806" t="str">
            <v>MCC</v>
          </cell>
          <cell r="B806" t="str">
            <v>MISSOURI CUSTOMER CARE</v>
          </cell>
        </row>
        <row r="807">
          <cell r="A807" t="str">
            <v>MCM</v>
          </cell>
          <cell r="B807" t="str">
            <v>COMMUNITY RELATIONS MO</v>
          </cell>
        </row>
        <row r="808">
          <cell r="A808" t="str">
            <v>MCP</v>
          </cell>
          <cell r="B808" t="str">
            <v>MISSOURI COMMUNITY RELATIONS</v>
          </cell>
        </row>
        <row r="809">
          <cell r="A809" t="str">
            <v>MCR</v>
          </cell>
          <cell r="B809" t="str">
            <v>MISSOURI CENTRAL RAILROAD CO</v>
          </cell>
        </row>
        <row r="810">
          <cell r="A810" t="str">
            <v>MCS</v>
          </cell>
          <cell r="B810" t="str">
            <v>CUSTOMER SERVICES MO</v>
          </cell>
        </row>
        <row r="811">
          <cell r="A811" t="str">
            <v>MDI</v>
          </cell>
          <cell r="B811" t="str">
            <v>MISSOURI DISTRIBUTION</v>
          </cell>
        </row>
        <row r="812">
          <cell r="A812" t="str">
            <v>MER</v>
          </cell>
          <cell r="B812" t="str">
            <v>MERAMEC PLANT</v>
          </cell>
        </row>
        <row r="813">
          <cell r="A813" t="str">
            <v>MOC</v>
          </cell>
          <cell r="B813" t="str">
            <v>CREDIT &amp; COLLECTIONS MO</v>
          </cell>
        </row>
        <row r="814">
          <cell r="A814" t="str">
            <v>MOV</v>
          </cell>
          <cell r="B814" t="str">
            <v>MISSOURI VALLEY DIVISION</v>
          </cell>
        </row>
        <row r="815">
          <cell r="A815" t="str">
            <v>MTR</v>
          </cell>
          <cell r="B815" t="str">
            <v>METER SVCS ROLLUP</v>
          </cell>
        </row>
        <row r="816">
          <cell r="A816" t="str">
            <v>MVPM</v>
          </cell>
          <cell r="B816" t="str">
            <v>MEDINA &amp; POWER MODULE ROLL-UP</v>
          </cell>
        </row>
        <row r="817">
          <cell r="A817" t="str">
            <v>NAD</v>
          </cell>
          <cell r="B817" t="str">
            <v>NEWTON - TRNG &amp; BEN ADMN &amp; BUD</v>
          </cell>
        </row>
        <row r="818">
          <cell r="A818" t="str">
            <v>NAR</v>
          </cell>
          <cell r="B818" t="str">
            <v>NEWTON - ADMIN ROLLUP</v>
          </cell>
        </row>
        <row r="819">
          <cell r="A819" t="str">
            <v>NCP</v>
          </cell>
          <cell r="B819" t="str">
            <v>NON-CAPITALIZED PAYROLL EXP APPORT</v>
          </cell>
        </row>
        <row r="820">
          <cell r="A820" t="str">
            <v>NCTG</v>
          </cell>
          <cell r="B820" t="str">
            <v>DEREGULATED CTG UNITS</v>
          </cell>
        </row>
        <row r="821">
          <cell r="A821" t="str">
            <v>NCY</v>
          </cell>
          <cell r="B821" t="str">
            <v>NEWTON - COAL YARD</v>
          </cell>
        </row>
        <row r="822">
          <cell r="A822" t="str">
            <v>NEM</v>
          </cell>
          <cell r="B822" t="str">
            <v>NEWTON - ELECTRICAL MAINTENANCE</v>
          </cell>
        </row>
        <row r="823">
          <cell r="A823" t="str">
            <v>NEO</v>
          </cell>
          <cell r="B823" t="str">
            <v>NETWORK ENGINEERING &amp; OPS</v>
          </cell>
        </row>
        <row r="824">
          <cell r="A824" t="str">
            <v>NEW</v>
          </cell>
          <cell r="B824" t="str">
            <v>NEWTON</v>
          </cell>
        </row>
        <row r="825">
          <cell r="A825" t="str">
            <v>NEWR</v>
          </cell>
          <cell r="B825" t="str">
            <v>NEWTON ROLLUP</v>
          </cell>
        </row>
        <row r="826">
          <cell r="A826" t="str">
            <v>NGEP</v>
          </cell>
          <cell r="B826" t="str">
            <v>NEW GEN &amp; ENV PROJECTS</v>
          </cell>
        </row>
        <row r="827">
          <cell r="A827" t="str">
            <v>NIM</v>
          </cell>
          <cell r="B827" t="str">
            <v>NEWTON - INSTRUMENT MAINTENANCE</v>
          </cell>
        </row>
        <row r="828">
          <cell r="A828" t="str">
            <v>NMM</v>
          </cell>
          <cell r="B828" t="str">
            <v>NEWTON - MECHANICAL MAINTENANCE</v>
          </cell>
        </row>
        <row r="829">
          <cell r="A829" t="str">
            <v>NMR</v>
          </cell>
          <cell r="B829" t="str">
            <v>NEWTON - MTCE ROLLUP</v>
          </cell>
        </row>
        <row r="830">
          <cell r="A830" t="str">
            <v>NOP</v>
          </cell>
          <cell r="B830" t="str">
            <v>NEWTON - OPERATIONS</v>
          </cell>
        </row>
        <row r="831">
          <cell r="A831" t="str">
            <v>NOR</v>
          </cell>
          <cell r="B831" t="str">
            <v>NEWTON - OPS ROLLUP</v>
          </cell>
        </row>
        <row r="832">
          <cell r="A832" t="str">
            <v>NSS</v>
          </cell>
          <cell r="B832" t="str">
            <v>NEWTON - STATION SUPPORT</v>
          </cell>
        </row>
        <row r="833">
          <cell r="A833" t="str">
            <v>NST</v>
          </cell>
          <cell r="B833" t="str">
            <v>NEWTON - STORES</v>
          </cell>
        </row>
        <row r="834">
          <cell r="A834" t="str">
            <v>NTS</v>
          </cell>
          <cell r="B834" t="str">
            <v>NEWTON - TECHNICAL SUPPORT</v>
          </cell>
        </row>
        <row r="835">
          <cell r="A835" t="str">
            <v>NUC</v>
          </cell>
          <cell r="B835" t="str">
            <v>NUCLEAR</v>
          </cell>
        </row>
        <row r="836">
          <cell r="A836" t="str">
            <v>NUC2</v>
          </cell>
          <cell r="B836" t="str">
            <v>NUCL ADDITIONAL LICENSING UNIT</v>
          </cell>
        </row>
        <row r="837">
          <cell r="A837" t="str">
            <v>NXX</v>
          </cell>
          <cell r="B837" t="str">
            <v>NEWTON - ROUTINE (EMPRV)</v>
          </cell>
        </row>
        <row r="838">
          <cell r="A838" t="str">
            <v>OPS</v>
          </cell>
          <cell r="B838" t="str">
            <v>IT - OPERATIONS</v>
          </cell>
        </row>
        <row r="839">
          <cell r="A839" t="str">
            <v>OSAGE</v>
          </cell>
          <cell r="B839" t="str">
            <v>OSAGE PLANT</v>
          </cell>
        </row>
        <row r="840">
          <cell r="A840" t="str">
            <v>OTHER</v>
          </cell>
          <cell r="B840" t="str">
            <v>OTHER</v>
          </cell>
        </row>
        <row r="841">
          <cell r="A841" t="str">
            <v>PNAU</v>
          </cell>
          <cell r="B841" t="str">
            <v>PENO, AUDRAIN CTG ROLL-UP</v>
          </cell>
        </row>
        <row r="842">
          <cell r="A842" t="str">
            <v>PT2</v>
          </cell>
          <cell r="B842" t="str">
            <v>Invalid RMC</v>
          </cell>
        </row>
        <row r="843">
          <cell r="A843" t="str">
            <v>RCTG</v>
          </cell>
          <cell r="B843" t="str">
            <v>REGULATED CTG UNITS</v>
          </cell>
        </row>
        <row r="844">
          <cell r="A844" t="str">
            <v>RDV</v>
          </cell>
          <cell r="B844" t="str">
            <v>RESEARCH &amp; DEVELOPMENT</v>
          </cell>
        </row>
        <row r="845">
          <cell r="A845" t="str">
            <v>REALEST</v>
          </cell>
          <cell r="B845" t="str">
            <v>REAL ESTATE ROLLUP</v>
          </cell>
        </row>
        <row r="846">
          <cell r="A846" t="str">
            <v>REV</v>
          </cell>
          <cell r="B846" t="str">
            <v>REVENUES</v>
          </cell>
        </row>
        <row r="847">
          <cell r="A847" t="str">
            <v>RGCE</v>
          </cell>
          <cell r="B847" t="str">
            <v>REGULATED CTG COMMON EXP</v>
          </cell>
        </row>
        <row r="848">
          <cell r="A848" t="str">
            <v>RLY</v>
          </cell>
          <cell r="B848" t="str">
            <v>RELAY SERVICES</v>
          </cell>
        </row>
        <row r="849">
          <cell r="A849" t="str">
            <v>RUSH</v>
          </cell>
          <cell r="B849" t="str">
            <v>RUSH ISLAND PLANT</v>
          </cell>
        </row>
        <row r="850">
          <cell r="A850" t="str">
            <v>SCP</v>
          </cell>
          <cell r="B850" t="str">
            <v>SECURITY &amp; PLANNING</v>
          </cell>
        </row>
        <row r="851">
          <cell r="A851" t="str">
            <v>SIOUX</v>
          </cell>
          <cell r="B851" t="str">
            <v>SIOUX PLANT</v>
          </cell>
        </row>
        <row r="852">
          <cell r="A852" t="str">
            <v>SMO</v>
          </cell>
          <cell r="B852" t="str">
            <v>SEMO DIVISION</v>
          </cell>
        </row>
        <row r="853">
          <cell r="A853" t="str">
            <v>SRR</v>
          </cell>
          <cell r="B853" t="str">
            <v>SERVICE REQUEST RECLASS</v>
          </cell>
        </row>
        <row r="854">
          <cell r="A854" t="str">
            <v>STORES</v>
          </cell>
          <cell r="B854" t="str">
            <v>STORES ROLLUP</v>
          </cell>
        </row>
        <row r="855">
          <cell r="A855" t="str">
            <v>STORES-CIL</v>
          </cell>
          <cell r="B855" t="str">
            <v>STORES-CIL-ROLLUP</v>
          </cell>
        </row>
        <row r="856">
          <cell r="A856" t="str">
            <v>STORES-IPC</v>
          </cell>
          <cell r="B856" t="str">
            <v>STORES-IPC-ROLLUP</v>
          </cell>
        </row>
        <row r="857">
          <cell r="A857" t="str">
            <v>SUB</v>
          </cell>
          <cell r="B857" t="str">
            <v>SUB MTCE &amp; CONST</v>
          </cell>
        </row>
        <row r="858">
          <cell r="A858" t="str">
            <v>SUPPLY CHAIN MGMT</v>
          </cell>
          <cell r="B858" t="str">
            <v>SUPPLY CHAIN ROLLUP</v>
          </cell>
        </row>
        <row r="859">
          <cell r="A859" t="str">
            <v>TAX</v>
          </cell>
          <cell r="B859" t="str">
            <v>TAXES</v>
          </cell>
        </row>
        <row r="860">
          <cell r="A860" t="str">
            <v>TAX02</v>
          </cell>
          <cell r="B860" t="str">
            <v>TAXES</v>
          </cell>
        </row>
        <row r="861">
          <cell r="A861" t="str">
            <v>TDN</v>
          </cell>
          <cell r="B861" t="str">
            <v>TRANS &amp; DIST DESIGN</v>
          </cell>
        </row>
        <row r="862">
          <cell r="A862" t="str">
            <v>TMSK</v>
          </cell>
          <cell r="B862" t="str">
            <v>TAUM SAUK PLANT</v>
          </cell>
        </row>
        <row r="863">
          <cell r="A863" t="str">
            <v>TREASURY</v>
          </cell>
          <cell r="B863" t="str">
            <v>TREASURY</v>
          </cell>
        </row>
        <row r="864">
          <cell r="A864" t="str">
            <v>TRN</v>
          </cell>
          <cell r="B864" t="str">
            <v>TRANSMISSION - MAINTENANCE</v>
          </cell>
        </row>
        <row r="865">
          <cell r="A865" t="str">
            <v>TRP</v>
          </cell>
          <cell r="B865" t="str">
            <v>TRANS OPS PLNG POLICY &amp;REG</v>
          </cell>
        </row>
        <row r="866">
          <cell r="A866" t="str">
            <v>TRV</v>
          </cell>
          <cell r="B866" t="str">
            <v>TWIN RIVERS DIVISION</v>
          </cell>
        </row>
        <row r="867">
          <cell r="A867" t="str">
            <v>TRX</v>
          </cell>
          <cell r="B867" t="str">
            <v>TRANSMISSION</v>
          </cell>
        </row>
        <row r="868">
          <cell r="A868" t="str">
            <v>UEPP</v>
          </cell>
          <cell r="B868" t="str">
            <v>UE POWER OPS PERSONNEL</v>
          </cell>
        </row>
        <row r="869">
          <cell r="A869" t="str">
            <v>VEN</v>
          </cell>
          <cell r="B869" t="str">
            <v>VENICE PLANT</v>
          </cell>
        </row>
        <row r="870">
          <cell r="A870" t="str">
            <v>VHBM</v>
          </cell>
          <cell r="B870" t="str">
            <v>VEN, HB, MER CTG ROLL-UP</v>
          </cell>
        </row>
        <row r="871">
          <cell r="A871" t="str">
            <v>WEMO</v>
          </cell>
          <cell r="B871" t="str">
            <v>WESTERN MO CTG ROLL-UP</v>
          </cell>
        </row>
        <row r="872">
          <cell r="A872" t="str">
            <v>Z03</v>
          </cell>
          <cell r="B872" t="str">
            <v>F03 INVALID RMCs</v>
          </cell>
        </row>
        <row r="873">
          <cell r="A873" t="str">
            <v>Z06</v>
          </cell>
          <cell r="B873" t="str">
            <v>INVALID RMCs</v>
          </cell>
        </row>
        <row r="874">
          <cell r="A874" t="str">
            <v>Z48</v>
          </cell>
          <cell r="B874" t="str">
            <v>INVALID BUDGETS</v>
          </cell>
        </row>
        <row r="875">
          <cell r="A875" t="str">
            <v>Z49</v>
          </cell>
          <cell r="B875" t="str">
            <v>INVALID BUDGETS</v>
          </cell>
        </row>
      </sheetData>
      <sheetData sheetId="26">
        <row r="2">
          <cell r="A2" t="str">
            <v>31</v>
          </cell>
          <cell r="B2" t="str">
            <v>INDIRECT OVERHEAD LOADING</v>
          </cell>
        </row>
        <row r="3">
          <cell r="A3" t="str">
            <v>32</v>
          </cell>
          <cell r="B3" t="str">
            <v>AFUDC LOADING</v>
          </cell>
        </row>
        <row r="4">
          <cell r="A4" t="str">
            <v>34</v>
          </cell>
          <cell r="B4" t="str">
            <v>PURCHASING RATE-AP LOADING</v>
          </cell>
        </row>
        <row r="5">
          <cell r="A5" t="str">
            <v>35</v>
          </cell>
          <cell r="B5" t="str">
            <v>STORES HDLG &amp; PURCH RATE LDG</v>
          </cell>
        </row>
        <row r="6">
          <cell r="A6" t="str">
            <v>36</v>
          </cell>
          <cell r="B6" t="str">
            <v>T&amp;D MINOR MATERIALS LOADING</v>
          </cell>
        </row>
        <row r="7">
          <cell r="A7" t="str">
            <v>37</v>
          </cell>
          <cell r="B7" t="str">
            <v>T&amp;D TOOLS APPORTIONMENTS</v>
          </cell>
        </row>
        <row r="8">
          <cell r="A8" t="str">
            <v>39</v>
          </cell>
          <cell r="B8" t="str">
            <v>TRANSPORTATION LOADING</v>
          </cell>
        </row>
        <row r="9">
          <cell r="A9" t="str">
            <v>40</v>
          </cell>
          <cell r="B9" t="str">
            <v>MATERIALS-STOCK</v>
          </cell>
        </row>
        <row r="10">
          <cell r="A10" t="str">
            <v>41</v>
          </cell>
          <cell r="B10" t="str">
            <v>MATERIALS-ADJUSTMENTS</v>
          </cell>
        </row>
        <row r="11">
          <cell r="A11" t="str">
            <v>80</v>
          </cell>
          <cell r="B11" t="str">
            <v>INDIVIDUAL EXPENSES</v>
          </cell>
        </row>
        <row r="12">
          <cell r="A12" t="str">
            <v>81</v>
          </cell>
          <cell r="B12" t="str">
            <v>RELOCATION EXPENSES</v>
          </cell>
        </row>
        <row r="13">
          <cell r="A13" t="str">
            <v>90</v>
          </cell>
          <cell r="B13" t="str">
            <v>REVENUE-SYSTEM RETAIL</v>
          </cell>
        </row>
        <row r="14">
          <cell r="A14" t="str">
            <v>91</v>
          </cell>
          <cell r="B14" t="str">
            <v>REVENUE-INTERCHANGE SALES</v>
          </cell>
        </row>
        <row r="15">
          <cell r="A15" t="str">
            <v>92</v>
          </cell>
          <cell r="B15" t="str">
            <v>REVENUE-WHOLESALE</v>
          </cell>
        </row>
        <row r="16">
          <cell r="A16" t="str">
            <v>93</v>
          </cell>
          <cell r="B16" t="str">
            <v>REVENUE-OFF-SYSTEM RETAIL</v>
          </cell>
        </row>
        <row r="17">
          <cell r="A17" t="str">
            <v>98</v>
          </cell>
          <cell r="B17" t="str">
            <v>REVENUE-OTHER &amp; MISC BILLINGS</v>
          </cell>
        </row>
        <row r="18">
          <cell r="A18" t="str">
            <v>99</v>
          </cell>
          <cell r="B18" t="str">
            <v>PROVISION FOR RATE REFUNDS</v>
          </cell>
        </row>
        <row r="19">
          <cell r="A19" t="str">
            <v>3B</v>
          </cell>
          <cell r="B19" t="str">
            <v>PEN BEN I&amp;D SOCSEC LOADING-CAP</v>
          </cell>
        </row>
        <row r="20">
          <cell r="A20" t="str">
            <v>3E</v>
          </cell>
          <cell r="B20" t="str">
            <v>PENSIONS LOADING-NON-CAP</v>
          </cell>
        </row>
        <row r="21">
          <cell r="A21" t="str">
            <v>3F</v>
          </cell>
          <cell r="B21" t="str">
            <v>BENEFITS LOADING-NON-CAP</v>
          </cell>
        </row>
        <row r="22">
          <cell r="A22" t="str">
            <v>3G</v>
          </cell>
          <cell r="B22" t="str">
            <v>SOCSEC INJDAM LOADING-NON-CAP</v>
          </cell>
        </row>
        <row r="23">
          <cell r="A23" t="str">
            <v>3X</v>
          </cell>
          <cell r="B23" t="str">
            <v>UTILITY SHOP LOADING</v>
          </cell>
        </row>
        <row r="24">
          <cell r="A24" t="str">
            <v>3Z</v>
          </cell>
          <cell r="B24" t="str">
            <v>TELECOM LOADING</v>
          </cell>
        </row>
        <row r="25">
          <cell r="A25" t="str">
            <v>AB</v>
          </cell>
          <cell r="B25" t="str">
            <v>BENEFITS TRSF TO NON-CAP</v>
          </cell>
        </row>
        <row r="26">
          <cell r="A26" t="str">
            <v>AC</v>
          </cell>
          <cell r="B26" t="str">
            <v>PEN BEN INJ DAM TRSF TO CAP</v>
          </cell>
        </row>
        <row r="27">
          <cell r="A27" t="str">
            <v>AD</v>
          </cell>
          <cell r="B27" t="str">
            <v>IND OVERHEADS TRSF TO PROJECTS</v>
          </cell>
        </row>
        <row r="28">
          <cell r="A28" t="str">
            <v>AF</v>
          </cell>
          <cell r="B28" t="str">
            <v>AFUDC OFFSET</v>
          </cell>
        </row>
        <row r="29">
          <cell r="A29" t="str">
            <v>AH</v>
          </cell>
          <cell r="B29" t="str">
            <v>SOC SEC TRSF TO CAP</v>
          </cell>
        </row>
        <row r="30">
          <cell r="A30" t="str">
            <v>AI</v>
          </cell>
          <cell r="B30" t="str">
            <v>SOC SEC INJDAM TRSF TO NON-CAP</v>
          </cell>
        </row>
        <row r="31">
          <cell r="A31" t="str">
            <v>AK</v>
          </cell>
          <cell r="B31" t="str">
            <v>PENSIONS TRSF TO NON-CAP</v>
          </cell>
        </row>
        <row r="32">
          <cell r="A32" t="str">
            <v>AM</v>
          </cell>
          <cell r="B32" t="str">
            <v>T&amp;D MINOR MATERIALS OFFSET</v>
          </cell>
        </row>
        <row r="33">
          <cell r="A33" t="str">
            <v>AN</v>
          </cell>
          <cell r="B33" t="str">
            <v>STORES HANDLING OFFSET</v>
          </cell>
        </row>
        <row r="34">
          <cell r="A34" t="str">
            <v>AP</v>
          </cell>
          <cell r="B34" t="str">
            <v>PURCHASING RATE OFFSET</v>
          </cell>
        </row>
        <row r="35">
          <cell r="A35" t="str">
            <v>AR</v>
          </cell>
          <cell r="B35" t="str">
            <v>TELECOM OFFSET</v>
          </cell>
        </row>
        <row r="36">
          <cell r="A36" t="str">
            <v>AS</v>
          </cell>
          <cell r="B36" t="str">
            <v>TOOLS OFFSET</v>
          </cell>
        </row>
        <row r="37">
          <cell r="A37" t="str">
            <v>AT</v>
          </cell>
          <cell r="B37" t="str">
            <v>TRANSPORTATION OFFSET</v>
          </cell>
        </row>
        <row r="38">
          <cell r="A38" t="str">
            <v>AU</v>
          </cell>
          <cell r="B38" t="str">
            <v>UTILITY SHOP OFFSET</v>
          </cell>
        </row>
        <row r="39">
          <cell r="A39" t="str">
            <v>BC</v>
          </cell>
          <cell r="B39" t="str">
            <v>FREIGHT ON DIRECT PURCHASES</v>
          </cell>
        </row>
        <row r="40">
          <cell r="A40" t="str">
            <v>BF</v>
          </cell>
          <cell r="B40" t="str">
            <v>NUCLEAR FUEL PURCHASES</v>
          </cell>
        </row>
        <row r="41">
          <cell r="A41" t="str">
            <v>BH</v>
          </cell>
          <cell r="B41" t="str">
            <v>POSTAGE-CUSTOMER RELATED</v>
          </cell>
        </row>
        <row r="42">
          <cell r="A42" t="str">
            <v>BI</v>
          </cell>
          <cell r="B42" t="str">
            <v>PURCHASES - INSURANCE</v>
          </cell>
        </row>
        <row r="43">
          <cell r="A43" t="str">
            <v>BK</v>
          </cell>
          <cell r="B43" t="str">
            <v>PURCHASES-COMPUTER EQUIP</v>
          </cell>
        </row>
        <row r="44">
          <cell r="A44" t="str">
            <v>BL</v>
          </cell>
          <cell r="B44" t="str">
            <v>PURCHASES-CREDIT CARD</v>
          </cell>
        </row>
        <row r="45">
          <cell r="A45" t="str">
            <v>BM</v>
          </cell>
          <cell r="B45" t="str">
            <v>PURCHASES-EQUIPMENT/PARTS</v>
          </cell>
        </row>
        <row r="46">
          <cell r="A46" t="str">
            <v>BN</v>
          </cell>
          <cell r="B46" t="str">
            <v>PURCHASES-METERS</v>
          </cell>
        </row>
        <row r="47">
          <cell r="A47" t="str">
            <v>BP</v>
          </cell>
          <cell r="B47" t="str">
            <v>PURCHASES-REAL ESTATE</v>
          </cell>
        </row>
        <row r="48">
          <cell r="A48" t="str">
            <v>BQ</v>
          </cell>
          <cell r="B48" t="str">
            <v>PURCHASES-SOFTWARE</v>
          </cell>
        </row>
        <row r="49">
          <cell r="A49" t="str">
            <v>BR</v>
          </cell>
          <cell r="B49" t="str">
            <v>PURCHASES-TELECOM EQUIPMENT</v>
          </cell>
        </row>
        <row r="50">
          <cell r="A50" t="str">
            <v>BT</v>
          </cell>
          <cell r="B50" t="str">
            <v>PURCHASES-TOOLS</v>
          </cell>
        </row>
        <row r="51">
          <cell r="A51" t="str">
            <v>BU</v>
          </cell>
          <cell r="B51" t="str">
            <v>PURCHASES-TRANSFORMERS</v>
          </cell>
        </row>
        <row r="52">
          <cell r="A52" t="str">
            <v>BV</v>
          </cell>
          <cell r="B52" t="str">
            <v>UTILITY SERVICES</v>
          </cell>
        </row>
        <row r="53">
          <cell r="A53" t="str">
            <v>BX</v>
          </cell>
          <cell r="B53" t="str">
            <v>PURCHASES-OTHER</v>
          </cell>
        </row>
        <row r="54">
          <cell r="A54" t="str">
            <v>C1</v>
          </cell>
          <cell r="B54" t="str">
            <v>CONTRIBUTIONS-CHARITABLE TRUST</v>
          </cell>
        </row>
        <row r="55">
          <cell r="A55" t="str">
            <v>C2</v>
          </cell>
          <cell r="B55" t="str">
            <v>CONTRIBUTIONS-OTHER</v>
          </cell>
        </row>
        <row r="56">
          <cell r="A56" t="str">
            <v>CM</v>
          </cell>
          <cell r="B56" t="str">
            <v>CONTRACTOR PROVIDED MATERIALS</v>
          </cell>
        </row>
        <row r="57">
          <cell r="A57" t="str">
            <v>DA</v>
          </cell>
          <cell r="B57" t="str">
            <v>DEPRECIATION &amp; AMORTIZATION</v>
          </cell>
        </row>
        <row r="58">
          <cell r="A58" t="str">
            <v>DC</v>
          </cell>
          <cell r="B58" t="str">
            <v>DEPRECIATION-CAPITAL</v>
          </cell>
        </row>
        <row r="59">
          <cell r="A59" t="str">
            <v>EC</v>
          </cell>
          <cell r="B59" t="str">
            <v>CONTRACT SERVICES</v>
          </cell>
        </row>
        <row r="60">
          <cell r="A60" t="str">
            <v>ED</v>
          </cell>
          <cell r="B60" t="str">
            <v>T&amp;D CONSTRUCTION CONTRACTORS</v>
          </cell>
        </row>
        <row r="61">
          <cell r="A61" t="str">
            <v>EH</v>
          </cell>
          <cell r="B61" t="str">
            <v>COMPUTER HARDWARE MTCE AGREEMENTS</v>
          </cell>
        </row>
        <row r="62">
          <cell r="A62" t="str">
            <v>EI</v>
          </cell>
          <cell r="B62" t="str">
            <v>ACCOUNTING ENTRIES-OTHER</v>
          </cell>
        </row>
        <row r="63">
          <cell r="A63" t="str">
            <v>EL</v>
          </cell>
          <cell r="B63" t="str">
            <v>PROFESSIONAL SERVICES-LEGAL</v>
          </cell>
        </row>
        <row r="64">
          <cell r="A64" t="str">
            <v>ES</v>
          </cell>
          <cell r="B64" t="str">
            <v>SOFTWARE LICENSE AGREEMENTS</v>
          </cell>
        </row>
        <row r="65">
          <cell r="A65" t="str">
            <v>ET</v>
          </cell>
          <cell r="B65" t="str">
            <v>PROFESSIONAL SERVICES-IT</v>
          </cell>
        </row>
        <row r="66">
          <cell r="A66" t="str">
            <v>EX</v>
          </cell>
          <cell r="B66" t="str">
            <v>PROFESSIONAL SERVICES-OTHER</v>
          </cell>
        </row>
        <row r="67">
          <cell r="A67" t="str">
            <v>FA</v>
          </cell>
          <cell r="B67" t="str">
            <v>FAS-106</v>
          </cell>
        </row>
        <row r="68">
          <cell r="A68" t="str">
            <v>FB</v>
          </cell>
          <cell r="B68" t="str">
            <v>FUEL BURNED-BASE LOAD</v>
          </cell>
        </row>
        <row r="69">
          <cell r="A69" t="str">
            <v>FI</v>
          </cell>
          <cell r="B69" t="str">
            <v>FUEL BURNED INTERCHANGE</v>
          </cell>
        </row>
        <row r="70">
          <cell r="A70" t="str">
            <v>GA</v>
          </cell>
          <cell r="B70" t="str">
            <v>GOVERNMENTAL AGENCY FEES</v>
          </cell>
        </row>
        <row r="71">
          <cell r="A71" t="str">
            <v>GL</v>
          </cell>
          <cell r="B71" t="str">
            <v>PROVISION FOR LEGAL FEES</v>
          </cell>
        </row>
        <row r="72">
          <cell r="A72" t="str">
            <v>IB</v>
          </cell>
          <cell r="B72" t="str">
            <v>INTERCOMPANY BILLINGS</v>
          </cell>
        </row>
        <row r="73">
          <cell r="A73" t="str">
            <v>ID</v>
          </cell>
          <cell r="B73" t="str">
            <v>PROVISION FOR INJURIES &amp; DAMAGES</v>
          </cell>
        </row>
        <row r="74">
          <cell r="A74" t="str">
            <v>IE</v>
          </cell>
          <cell r="B74" t="str">
            <v>INTEREST EXPENSE</v>
          </cell>
        </row>
        <row r="75">
          <cell r="A75" t="str">
            <v>L1</v>
          </cell>
          <cell r="B75" t="str">
            <v>LABOR-MGMT-ST (STAT ONLY)</v>
          </cell>
        </row>
        <row r="76">
          <cell r="A76" t="str">
            <v>L2</v>
          </cell>
          <cell r="B76" t="str">
            <v>LABOR-MGMT-OT (STAT ONLY)</v>
          </cell>
        </row>
        <row r="77">
          <cell r="A77" t="str">
            <v>L3</v>
          </cell>
          <cell r="B77" t="str">
            <v>LABOR-UNION-ST (STAT ONLY)</v>
          </cell>
        </row>
        <row r="78">
          <cell r="A78" t="str">
            <v>L4</v>
          </cell>
          <cell r="B78" t="str">
            <v>LABOR-UNION-OT (STAT ONLY)</v>
          </cell>
        </row>
        <row r="79">
          <cell r="A79" t="str">
            <v>LM</v>
          </cell>
          <cell r="B79" t="str">
            <v>LABOR-MGMT</v>
          </cell>
        </row>
        <row r="80">
          <cell r="A80" t="str">
            <v>LO</v>
          </cell>
          <cell r="B80" t="str">
            <v>LABOR-OTHER COMPENSATION</v>
          </cell>
        </row>
        <row r="81">
          <cell r="A81" t="str">
            <v>LS</v>
          </cell>
          <cell r="B81" t="str">
            <v>OTHER LABOR STATISTICS</v>
          </cell>
        </row>
        <row r="82">
          <cell r="A82" t="str">
            <v>LU</v>
          </cell>
          <cell r="B82" t="str">
            <v>LABOR-UNION</v>
          </cell>
        </row>
        <row r="83">
          <cell r="A83" t="str">
            <v>MC</v>
          </cell>
          <cell r="B83" t="str">
            <v>MEMBERSHIPS-CIVIC</v>
          </cell>
        </row>
        <row r="84">
          <cell r="A84" t="str">
            <v>MD</v>
          </cell>
          <cell r="B84" t="str">
            <v>DUES &amp; MEMBERSHIPS-OTHER</v>
          </cell>
        </row>
        <row r="85">
          <cell r="A85" t="str">
            <v>MS</v>
          </cell>
          <cell r="B85" t="str">
            <v>MEMBERSHIPS-SOCIAL</v>
          </cell>
        </row>
        <row r="86">
          <cell r="A86" t="str">
            <v>MT</v>
          </cell>
          <cell r="B86" t="str">
            <v>MEMBERSHIPS-TRADE</v>
          </cell>
        </row>
        <row r="87">
          <cell r="A87" t="str">
            <v>NA</v>
          </cell>
          <cell r="B87" t="str">
            <v>RENTALS-AFFILIATED COMPANIES</v>
          </cell>
        </row>
        <row r="88">
          <cell r="A88" t="str">
            <v>NC</v>
          </cell>
          <cell r="B88" t="str">
            <v>RENTALS-COMMUNICATION RELATED</v>
          </cell>
        </row>
        <row r="89">
          <cell r="A89" t="str">
            <v>NF</v>
          </cell>
          <cell r="B89" t="str">
            <v>NUCLEAR FUEL LEASE</v>
          </cell>
        </row>
        <row r="90">
          <cell r="A90" t="str">
            <v>NP</v>
          </cell>
          <cell r="B90" t="str">
            <v>RENTALS-COMPUTER RELATED</v>
          </cell>
        </row>
        <row r="91">
          <cell r="A91" t="str">
            <v>NS</v>
          </cell>
          <cell r="B91" t="str">
            <v>SOFTWARE-LEASES / RENTALS</v>
          </cell>
        </row>
        <row r="92">
          <cell r="A92" t="str">
            <v>NX</v>
          </cell>
          <cell r="B92" t="str">
            <v>RENTALS/LEASES-OTHER</v>
          </cell>
        </row>
        <row r="93">
          <cell r="A93" t="str">
            <v>PB</v>
          </cell>
          <cell r="B93" t="str">
            <v>PURCHASED POWER-BASE LOAD</v>
          </cell>
        </row>
        <row r="94">
          <cell r="A94" t="str">
            <v>PG</v>
          </cell>
          <cell r="B94" t="str">
            <v>GAS PURCHASED FOR RESALE</v>
          </cell>
        </row>
        <row r="95">
          <cell r="A95" t="str">
            <v>PI</v>
          </cell>
          <cell r="B95" t="str">
            <v>PURCHASED POWER-INTERCHANGE</v>
          </cell>
        </row>
        <row r="96">
          <cell r="A96" t="str">
            <v>PT</v>
          </cell>
          <cell r="B96" t="str">
            <v>PURCHASED POWER-TRANSMISSION</v>
          </cell>
        </row>
        <row r="97">
          <cell r="A97" t="str">
            <v>TA</v>
          </cell>
          <cell r="B97" t="str">
            <v>TAXES-ABOVE THE LINE</v>
          </cell>
        </row>
        <row r="98">
          <cell r="A98" t="str">
            <v>TB</v>
          </cell>
          <cell r="B98" t="str">
            <v>TAXES-BELOW THE LINE</v>
          </cell>
        </row>
        <row r="99">
          <cell r="A99" t="str">
            <v>TE</v>
          </cell>
          <cell r="B99" t="str">
            <v>TRANSMISSION EXPENSE</v>
          </cell>
        </row>
        <row r="100">
          <cell r="A100" t="str">
            <v>TR</v>
          </cell>
          <cell r="B100" t="str">
            <v>TRADERS BILL - A&amp;G</v>
          </cell>
        </row>
        <row r="101">
          <cell r="A101" t="str">
            <v>TT</v>
          </cell>
          <cell r="B101" t="str">
            <v>TRADERS BILL - TRANSMISSION</v>
          </cell>
        </row>
        <row r="102">
          <cell r="A102" t="str">
            <v>UC</v>
          </cell>
          <cell r="B102" t="str">
            <v>PROVISION FOR UNCOLLECTIBLES</v>
          </cell>
        </row>
        <row r="103">
          <cell r="A103" t="str">
            <v>V0</v>
          </cell>
          <cell r="B103" t="str">
            <v>NON-VOLTAGE SPECIFIC CHARGE</v>
          </cell>
        </row>
        <row r="104">
          <cell r="A104" t="str">
            <v>V1</v>
          </cell>
          <cell r="B104" t="str">
            <v>SECONDARY VOLTAGE</v>
          </cell>
        </row>
        <row r="105">
          <cell r="A105" t="str">
            <v>V2</v>
          </cell>
          <cell r="B105" t="str">
            <v>PRIMARY VOLTAGE</v>
          </cell>
        </row>
        <row r="106">
          <cell r="A106" t="str">
            <v>V3</v>
          </cell>
          <cell r="B106" t="str">
            <v>HIGH VOLTAGE</v>
          </cell>
        </row>
        <row r="107">
          <cell r="A107" t="str">
            <v>V4</v>
          </cell>
          <cell r="B107" t="str">
            <v>&gt;=100KV VOLTAGE</v>
          </cell>
        </row>
        <row r="108">
          <cell r="A108" t="str">
            <v>V5</v>
          </cell>
          <cell r="B108" t="str">
            <v>0-800 KWH VOLTAGE</v>
          </cell>
        </row>
        <row r="109">
          <cell r="A109" t="str">
            <v>V6</v>
          </cell>
          <cell r="B109" t="str">
            <v>&gt;800 KWH VOLTAGE</v>
          </cell>
        </row>
        <row r="110">
          <cell r="A110" t="str">
            <v>VF</v>
          </cell>
          <cell r="B110" t="str">
            <v>VEHICLES-FUEL</v>
          </cell>
        </row>
        <row r="111">
          <cell r="A111" t="str">
            <v>VP</v>
          </cell>
          <cell r="B111" t="str">
            <v>VEHICLES-PURCHASES</v>
          </cell>
        </row>
        <row r="112">
          <cell r="A112" t="str">
            <v>VX</v>
          </cell>
          <cell r="B112" t="str">
            <v>VEHICLES-OTHER</v>
          </cell>
        </row>
        <row r="113">
          <cell r="A113" t="str">
            <v>WB</v>
          </cell>
          <cell r="B113" t="str">
            <v>BENEFITS EXPENSE</v>
          </cell>
        </row>
        <row r="114">
          <cell r="A114" t="str">
            <v>WC</v>
          </cell>
          <cell r="B114" t="str">
            <v>WORKER'S COMPENSATION</v>
          </cell>
        </row>
        <row r="115">
          <cell r="A115" t="str">
            <v>WE</v>
          </cell>
          <cell r="B115" t="str">
            <v>WESTINGHOUSE CREDITS</v>
          </cell>
        </row>
        <row r="116">
          <cell r="A116" t="str">
            <v>WP</v>
          </cell>
          <cell r="B116" t="str">
            <v>PENSION EXPENSE</v>
          </cell>
        </row>
        <row r="117">
          <cell r="A117" t="str">
            <v>XA</v>
          </cell>
          <cell r="B117" t="str">
            <v>OTHER</v>
          </cell>
        </row>
        <row r="118">
          <cell r="A118" t="str">
            <v>XD</v>
          </cell>
          <cell r="B118" t="str">
            <v>RES ENERGY EFFICIENCY FUND</v>
          </cell>
        </row>
      </sheetData>
      <sheetData sheetId="27">
        <row r="2">
          <cell r="A2" t="str">
            <v>001</v>
          </cell>
          <cell r="B2" t="str">
            <v>CORPORATE COMMUNICATIONS</v>
          </cell>
          <cell r="C2" t="str">
            <v>CORPORATE COMMUNICATIONS</v>
          </cell>
        </row>
        <row r="3">
          <cell r="A3" t="str">
            <v>002</v>
          </cell>
          <cell r="B3" t="str">
            <v>EAS - PAYROLL &amp; EMPLOYEE SVCS</v>
          </cell>
          <cell r="C3" t="str">
            <v>AMEREN SERVICES CENTER</v>
          </cell>
        </row>
        <row r="4">
          <cell r="A4" t="str">
            <v>003</v>
          </cell>
          <cell r="B4" t="str">
            <v>CUSTOMER ACCOUNTING</v>
          </cell>
          <cell r="C4" t="str">
            <v>ENERGY DELIVERY SERVICES</v>
          </cell>
        </row>
        <row r="5">
          <cell r="A5" t="str">
            <v>004</v>
          </cell>
          <cell r="B5" t="str">
            <v>ACCOUNTING</v>
          </cell>
          <cell r="C5" t="str">
            <v>CONTROLLER</v>
          </cell>
        </row>
        <row r="6">
          <cell r="A6" t="str">
            <v>005</v>
          </cell>
          <cell r="B6" t="str">
            <v>CONTROLLERS STAFF</v>
          </cell>
          <cell r="C6" t="str">
            <v>CONTROLLER</v>
          </cell>
        </row>
        <row r="7">
          <cell r="A7" t="str">
            <v>006</v>
          </cell>
          <cell r="B7" t="str">
            <v>INF - DATA CENTER OPERATIONS</v>
          </cell>
          <cell r="C7" t="str">
            <v>AMEREN SERVICES CENTER</v>
          </cell>
        </row>
        <row r="8">
          <cell r="A8" t="str">
            <v>007</v>
          </cell>
          <cell r="B8" t="str">
            <v>INVALID BUDGET</v>
          </cell>
          <cell r="C8" t="str">
            <v>MISSOURI OPERATIONS</v>
          </cell>
        </row>
        <row r="9">
          <cell r="A9" t="str">
            <v>008</v>
          </cell>
          <cell r="B9" t="str">
            <v>CUSTOMER SERVICE CTR MO</v>
          </cell>
          <cell r="C9" t="str">
            <v>MISSOURI OPERATIONS</v>
          </cell>
        </row>
        <row r="10">
          <cell r="A10" t="str">
            <v>009</v>
          </cell>
          <cell r="B10" t="str">
            <v>INVALID BUDGET</v>
          </cell>
          <cell r="C10" t="str">
            <v>ENERGY DELIVERY SERVICES</v>
          </cell>
        </row>
        <row r="11">
          <cell r="A11" t="str">
            <v>010</v>
          </cell>
          <cell r="B11" t="str">
            <v>INVALID BUDGET</v>
          </cell>
          <cell r="C11" t="str">
            <v>MISSOURI OPERATIONS</v>
          </cell>
        </row>
        <row r="12">
          <cell r="A12" t="str">
            <v>011</v>
          </cell>
          <cell r="B12" t="str">
            <v>ALT - UEC</v>
          </cell>
          <cell r="C12" t="str">
            <v>EXECUTIVE</v>
          </cell>
        </row>
        <row r="13">
          <cell r="A13" t="str">
            <v>012</v>
          </cell>
          <cell r="B13" t="str">
            <v>CORPORATE PLANNING</v>
          </cell>
          <cell r="C13" t="str">
            <v>CORPORATE PLANNING</v>
          </cell>
        </row>
        <row r="14">
          <cell r="A14" t="str">
            <v>013</v>
          </cell>
          <cell r="B14" t="str">
            <v>C&amp;C  FIELD COLLECTION OFFICE</v>
          </cell>
          <cell r="C14" t="str">
            <v>MISSOURI OPERATIONS</v>
          </cell>
        </row>
        <row r="15">
          <cell r="A15" t="str">
            <v>014</v>
          </cell>
          <cell r="B15" t="str">
            <v>ALTON DISTRICT</v>
          </cell>
          <cell r="C15" t="str">
            <v>ILLINOIS OPERATIONS</v>
          </cell>
        </row>
        <row r="16">
          <cell r="A16" t="str">
            <v>015</v>
          </cell>
          <cell r="B16" t="str">
            <v>E. ST. LOUIS DISTRICT</v>
          </cell>
          <cell r="C16" t="str">
            <v>ILLINOIS OPERATIONS</v>
          </cell>
        </row>
        <row r="17">
          <cell r="A17" t="str">
            <v>016</v>
          </cell>
          <cell r="B17" t="str">
            <v>ECONOMIC DEVELOPMENT</v>
          </cell>
          <cell r="C17" t="str">
            <v>GOVT RELATIONS  &amp; ECONOMIC DEV</v>
          </cell>
        </row>
        <row r="18">
          <cell r="A18" t="str">
            <v>017</v>
          </cell>
          <cell r="B18" t="str">
            <v>EMPLOYEE BENEFITS</v>
          </cell>
          <cell r="C18" t="str">
            <v>HUMAN RESOURCES</v>
          </cell>
        </row>
        <row r="19">
          <cell r="A19" t="str">
            <v>019</v>
          </cell>
          <cell r="B19" t="str">
            <v>BENEFIT PLANS</v>
          </cell>
          <cell r="C19" t="str">
            <v>HUMAN RESOURCES</v>
          </cell>
        </row>
        <row r="20">
          <cell r="A20" t="str">
            <v>020</v>
          </cell>
          <cell r="B20" t="str">
            <v>ED PRODUCTS &amp; SERVICES</v>
          </cell>
          <cell r="C20" t="str">
            <v>ENERGY DELIVERY SERVICES</v>
          </cell>
        </row>
        <row r="21">
          <cell r="A21" t="str">
            <v>021</v>
          </cell>
          <cell r="B21" t="str">
            <v>VEGETATION MGT - UEC</v>
          </cell>
          <cell r="C21" t="str">
            <v>ENERGY DELIVERY SERVICES</v>
          </cell>
        </row>
        <row r="22">
          <cell r="A22" t="str">
            <v>022</v>
          </cell>
          <cell r="B22" t="str">
            <v>ALT - AMS</v>
          </cell>
          <cell r="C22" t="str">
            <v>EXECUTIVE</v>
          </cell>
        </row>
        <row r="23">
          <cell r="A23" t="str">
            <v>023</v>
          </cell>
          <cell r="B23" t="str">
            <v>CREDIT &amp; COLLECTION MO</v>
          </cell>
          <cell r="C23" t="str">
            <v>MISSOURI OPERATIONS</v>
          </cell>
        </row>
        <row r="24">
          <cell r="A24" t="str">
            <v>024</v>
          </cell>
          <cell r="B24" t="str">
            <v>LEGAL</v>
          </cell>
          <cell r="C24" t="str">
            <v>GENERAL COUNSEL</v>
          </cell>
        </row>
        <row r="25">
          <cell r="A25" t="str">
            <v>025</v>
          </cell>
          <cell r="B25" t="str">
            <v>ED - CUSTOMER TRAINING</v>
          </cell>
          <cell r="C25" t="str">
            <v>ENERGY DELIVERY SERVICES</v>
          </cell>
        </row>
        <row r="26">
          <cell r="A26" t="str">
            <v>026</v>
          </cell>
          <cell r="B26" t="str">
            <v>ED - SAFETY</v>
          </cell>
          <cell r="C26" t="str">
            <v>ENERGY DELIVERY SERVICES</v>
          </cell>
        </row>
        <row r="27">
          <cell r="A27" t="str">
            <v>027</v>
          </cell>
          <cell r="B27" t="str">
            <v>DORSETT</v>
          </cell>
          <cell r="C27" t="str">
            <v>MISSOURI OPERATIONS</v>
          </cell>
        </row>
        <row r="28">
          <cell r="A28" t="str">
            <v>028</v>
          </cell>
          <cell r="B28" t="str">
            <v>ED DISTRIB ENGINEERING</v>
          </cell>
          <cell r="C28" t="str">
            <v>ENERGY DELIVERY SERVICES</v>
          </cell>
        </row>
        <row r="29">
          <cell r="A29" t="str">
            <v>029</v>
          </cell>
          <cell r="B29" t="str">
            <v>ED DRAFTING</v>
          </cell>
          <cell r="C29" t="str">
            <v>ENERGY DELIVERY SERVICES</v>
          </cell>
        </row>
        <row r="30">
          <cell r="A30" t="str">
            <v>030</v>
          </cell>
          <cell r="B30" t="str">
            <v>DISTRIBUTION OPERATING - MO</v>
          </cell>
          <cell r="C30" t="str">
            <v>MISSOURI OPERATIONS</v>
          </cell>
        </row>
        <row r="31">
          <cell r="A31" t="str">
            <v>031</v>
          </cell>
          <cell r="B31" t="str">
            <v>METER SERVICES - UEC</v>
          </cell>
          <cell r="C31" t="str">
            <v>ENERGY DELIVERY SERVICES</v>
          </cell>
        </row>
        <row r="32">
          <cell r="A32" t="str">
            <v>033</v>
          </cell>
          <cell r="B32" t="str">
            <v>SUB MTCE &amp; CONST - UEC NORTH</v>
          </cell>
          <cell r="C32" t="str">
            <v>ENERGY DELIVERY SERVICES</v>
          </cell>
        </row>
        <row r="33">
          <cell r="A33" t="str">
            <v>034</v>
          </cell>
          <cell r="B33" t="str">
            <v>NUCLEAR FUEL</v>
          </cell>
          <cell r="C33" t="str">
            <v>FUEL</v>
          </cell>
        </row>
        <row r="34">
          <cell r="A34" t="str">
            <v>035</v>
          </cell>
          <cell r="B34" t="str">
            <v>METRO CONTRACTORS - INVALID</v>
          </cell>
          <cell r="C34" t="str">
            <v>ENERGY DELIVERY SERVICES</v>
          </cell>
        </row>
        <row r="35">
          <cell r="A35" t="str">
            <v>036</v>
          </cell>
          <cell r="B35" t="str">
            <v>UNDERGROUND</v>
          </cell>
          <cell r="C35" t="str">
            <v>MISSOURI OPERATIONS</v>
          </cell>
        </row>
        <row r="36">
          <cell r="A36" t="str">
            <v>037</v>
          </cell>
          <cell r="B36" t="str">
            <v>TRANSMISSION - UEC</v>
          </cell>
          <cell r="C36" t="str">
            <v>ENERGY DELIVERY SERVICES</v>
          </cell>
        </row>
        <row r="37">
          <cell r="A37" t="str">
            <v>038</v>
          </cell>
          <cell r="B37" t="str">
            <v>CLAIMS</v>
          </cell>
          <cell r="C37" t="str">
            <v>GENERAL COUNSEL</v>
          </cell>
        </row>
        <row r="38">
          <cell r="A38" t="str">
            <v>039</v>
          </cell>
          <cell r="B38" t="str">
            <v>SECURITY</v>
          </cell>
          <cell r="C38" t="str">
            <v>GENERAL COUNSEL</v>
          </cell>
        </row>
        <row r="39">
          <cell r="A39" t="str">
            <v>040</v>
          </cell>
          <cell r="B39" t="str">
            <v>INVALID BUDGET - PPM</v>
          </cell>
          <cell r="C39" t="str">
            <v>GENERATION TECHNICAL SERVICES</v>
          </cell>
        </row>
        <row r="40">
          <cell r="A40" t="str">
            <v>042</v>
          </cell>
          <cell r="B40" t="str">
            <v>TRANSMISSION OPERATIONS</v>
          </cell>
          <cell r="C40" t="str">
            <v>ENERGY DELIVERY SERVICES</v>
          </cell>
        </row>
        <row r="41">
          <cell r="A41" t="str">
            <v>043</v>
          </cell>
          <cell r="B41" t="str">
            <v>NATL GAS SUP, TRANSP &amp; CNTRL</v>
          </cell>
          <cell r="C41" t="str">
            <v>AMEREN ENGY FUELS AND SVCS</v>
          </cell>
        </row>
        <row r="42">
          <cell r="A42" t="str">
            <v>044</v>
          </cell>
          <cell r="B42" t="str">
            <v>INVALID BUDGET - OSAGE</v>
          </cell>
          <cell r="C42" t="str">
            <v>UE GENERATION - NON NUCLEAR</v>
          </cell>
        </row>
        <row r="43">
          <cell r="A43" t="str">
            <v>046</v>
          </cell>
          <cell r="B43" t="str">
            <v>INVALID BUDGET - TAUM SAUK</v>
          </cell>
          <cell r="C43" t="str">
            <v>UE GENERATION - NON NUCLEAR</v>
          </cell>
        </row>
        <row r="44">
          <cell r="A44" t="str">
            <v>047</v>
          </cell>
          <cell r="B44" t="str">
            <v>RESEARCH AND DEVELOPMENT</v>
          </cell>
          <cell r="C44" t="str">
            <v>ENERGY DELIVERY SERVICES</v>
          </cell>
        </row>
        <row r="45">
          <cell r="A45" t="str">
            <v>048</v>
          </cell>
          <cell r="B45" t="str">
            <v>TRANSMISSION SVCS BUSINESS CTR</v>
          </cell>
          <cell r="C45" t="str">
            <v>ENERGY DELIVERY SERVICES</v>
          </cell>
        </row>
        <row r="46">
          <cell r="A46" t="str">
            <v>049</v>
          </cell>
          <cell r="B46" t="str">
            <v>ESH - GENERAL</v>
          </cell>
          <cell r="C46" t="str">
            <v>ENVIRONMENTAL SAFETY HEALTH</v>
          </cell>
        </row>
        <row r="47">
          <cell r="A47" t="str">
            <v>050</v>
          </cell>
          <cell r="B47" t="str">
            <v>STOREROOMS - MO</v>
          </cell>
          <cell r="C47" t="str">
            <v>SUPPLY SERVICES</v>
          </cell>
        </row>
        <row r="48">
          <cell r="A48" t="str">
            <v>052</v>
          </cell>
          <cell r="B48" t="str">
            <v>MACKENZIE</v>
          </cell>
          <cell r="C48" t="str">
            <v>MISSOURI OPERATIONS</v>
          </cell>
        </row>
        <row r="49">
          <cell r="A49" t="str">
            <v>053</v>
          </cell>
          <cell r="B49" t="str">
            <v>ELLISVILLE DISTRICT</v>
          </cell>
          <cell r="C49" t="str">
            <v>MISSOURI OPERATIONS</v>
          </cell>
        </row>
        <row r="50">
          <cell r="A50" t="str">
            <v>055</v>
          </cell>
          <cell r="B50" t="str">
            <v>BERKELEY</v>
          </cell>
          <cell r="C50" t="str">
            <v>MISSOURI OPERATIONS</v>
          </cell>
        </row>
        <row r="51">
          <cell r="A51" t="str">
            <v>056</v>
          </cell>
          <cell r="B51" t="str">
            <v>GERALDINE</v>
          </cell>
          <cell r="C51" t="str">
            <v>MISSOURI OPERATIONS</v>
          </cell>
        </row>
        <row r="52">
          <cell r="A52" t="str">
            <v>057</v>
          </cell>
          <cell r="B52" t="str">
            <v>LABOR STRATEGY</v>
          </cell>
          <cell r="C52" t="str">
            <v>HUMAN RESOURCES</v>
          </cell>
        </row>
        <row r="53">
          <cell r="A53" t="str">
            <v>058</v>
          </cell>
          <cell r="B53" t="str">
            <v>SECRETARY'S</v>
          </cell>
          <cell r="C53" t="str">
            <v>GENERAL COUNSEL</v>
          </cell>
        </row>
        <row r="54">
          <cell r="A54" t="str">
            <v>059</v>
          </cell>
          <cell r="B54" t="str">
            <v>INVALID BUDGET</v>
          </cell>
          <cell r="C54" t="str">
            <v>ENERGY DELIVERY SERVICES</v>
          </cell>
        </row>
        <row r="55">
          <cell r="A55" t="str">
            <v>060</v>
          </cell>
          <cell r="B55" t="str">
            <v>SCP - PLANNING</v>
          </cell>
          <cell r="C55" t="str">
            <v>AMEREN SERVICES CENTER</v>
          </cell>
        </row>
        <row r="56">
          <cell r="A56" t="str">
            <v>061</v>
          </cell>
          <cell r="B56" t="str">
            <v>REAL ESTATE</v>
          </cell>
          <cell r="C56" t="str">
            <v>SUPPLY SERVICES</v>
          </cell>
        </row>
        <row r="57">
          <cell r="A57" t="str">
            <v>062</v>
          </cell>
          <cell r="B57" t="str">
            <v>INVALID BUDGET</v>
          </cell>
          <cell r="C57" t="str">
            <v>ENERGY DELIVERY SERVICES</v>
          </cell>
        </row>
        <row r="58">
          <cell r="A58" t="str">
            <v>063</v>
          </cell>
          <cell r="B58" t="str">
            <v>LAKESIDE</v>
          </cell>
          <cell r="C58" t="str">
            <v>MISSOURI OPERATIONS</v>
          </cell>
        </row>
        <row r="59">
          <cell r="A59" t="str">
            <v>064</v>
          </cell>
          <cell r="B59" t="str">
            <v>EAS - PERSONNEL ADMINISTRATION</v>
          </cell>
          <cell r="C59" t="str">
            <v>AMEREN SERVICES CENTER</v>
          </cell>
        </row>
        <row r="60">
          <cell r="A60" t="str">
            <v>065</v>
          </cell>
          <cell r="B60" t="str">
            <v>NEO - TELEPHONE SERVICES</v>
          </cell>
          <cell r="C60" t="str">
            <v>AMEREN SERVICES CENTER</v>
          </cell>
        </row>
        <row r="61">
          <cell r="A61" t="str">
            <v>066</v>
          </cell>
          <cell r="B61" t="str">
            <v>MoOPS ADMIN</v>
          </cell>
          <cell r="C61" t="str">
            <v>MISSOURI OPERATIONS</v>
          </cell>
        </row>
        <row r="62">
          <cell r="A62" t="str">
            <v>068</v>
          </cell>
          <cell r="B62" t="str">
            <v>FRANKLIN DISTRICT</v>
          </cell>
          <cell r="C62" t="str">
            <v>MISSOURI OPERATIONS</v>
          </cell>
        </row>
        <row r="63">
          <cell r="A63" t="str">
            <v>069</v>
          </cell>
          <cell r="B63" t="str">
            <v>ST CHARLES</v>
          </cell>
          <cell r="C63" t="str">
            <v>MISSOURI OPERATIONS</v>
          </cell>
        </row>
        <row r="64">
          <cell r="A64" t="str">
            <v>070</v>
          </cell>
          <cell r="B64" t="str">
            <v>JEFFERSON</v>
          </cell>
          <cell r="C64" t="str">
            <v>MISSOURI OPERATIONS</v>
          </cell>
        </row>
        <row r="65">
          <cell r="A65" t="str">
            <v>071</v>
          </cell>
          <cell r="B65" t="str">
            <v>ST FRANCOIS</v>
          </cell>
          <cell r="C65" t="str">
            <v>MISSOURI OPERATIONS</v>
          </cell>
        </row>
        <row r="66">
          <cell r="A66" t="str">
            <v>072</v>
          </cell>
          <cell r="B66" t="str">
            <v>BUILDING SERVICES-MO</v>
          </cell>
          <cell r="C66" t="str">
            <v>SUPPLY SERVICES</v>
          </cell>
        </row>
        <row r="67">
          <cell r="A67" t="str">
            <v>073</v>
          </cell>
          <cell r="B67" t="str">
            <v>FLEET SVCS - UEC</v>
          </cell>
          <cell r="C67" t="str">
            <v>ENERGY DELIVERY SERVICES</v>
          </cell>
        </row>
        <row r="68">
          <cell r="A68" t="str">
            <v>074</v>
          </cell>
          <cell r="B68" t="str">
            <v>PURCHASING</v>
          </cell>
          <cell r="C68" t="str">
            <v>SUPPLY SERVICES</v>
          </cell>
        </row>
        <row r="69">
          <cell r="A69" t="str">
            <v>075</v>
          </cell>
          <cell r="B69" t="str">
            <v>BANKING AND INVESTOR SERVICES</v>
          </cell>
          <cell r="C69" t="str">
            <v>TREASURER</v>
          </cell>
        </row>
        <row r="70">
          <cell r="A70" t="str">
            <v>076</v>
          </cell>
          <cell r="B70" t="str">
            <v>TREASURY TECHNOLOGY SERVICES</v>
          </cell>
          <cell r="C70" t="str">
            <v>AMEREN SERVICES CENTER</v>
          </cell>
        </row>
        <row r="71">
          <cell r="A71" t="str">
            <v>077</v>
          </cell>
          <cell r="B71" t="str">
            <v>INVALID BUDGET</v>
          </cell>
          <cell r="C71" t="str">
            <v>ENERGY DELIVERY SERVICES</v>
          </cell>
        </row>
        <row r="72">
          <cell r="A72" t="str">
            <v>078</v>
          </cell>
          <cell r="B72" t="str">
            <v>INVALID BUDGET - RUSH ISLAND</v>
          </cell>
          <cell r="C72" t="str">
            <v>UE GENERATION - NON NUCLEAR</v>
          </cell>
        </row>
        <row r="73">
          <cell r="A73" t="str">
            <v>079</v>
          </cell>
          <cell r="B73" t="str">
            <v>INVALID BUDGET - MERAMEC</v>
          </cell>
          <cell r="C73" t="str">
            <v>UE GENERATION - NON NUCLEAR</v>
          </cell>
        </row>
        <row r="74">
          <cell r="A74" t="str">
            <v>081</v>
          </cell>
          <cell r="B74" t="str">
            <v>INVALID BUDGET - LAB SERVICES</v>
          </cell>
          <cell r="C74" t="str">
            <v>GENERATION TECHNICAL SERVICES</v>
          </cell>
        </row>
        <row r="75">
          <cell r="A75" t="str">
            <v>082</v>
          </cell>
          <cell r="B75" t="str">
            <v>INVALID BUDGET - VENICE</v>
          </cell>
          <cell r="C75" t="str">
            <v>AMEREN CTG OPERATIONS</v>
          </cell>
        </row>
        <row r="76">
          <cell r="A76" t="str">
            <v>083</v>
          </cell>
          <cell r="B76" t="str">
            <v>INVALID BUDGET - LABADIE</v>
          </cell>
          <cell r="C76" t="str">
            <v>UE GENERATION - NON NUCLEAR</v>
          </cell>
        </row>
        <row r="77">
          <cell r="A77" t="str">
            <v>084</v>
          </cell>
          <cell r="B77" t="str">
            <v>INVALID BUDGET - KEOKUK</v>
          </cell>
          <cell r="C77" t="str">
            <v>UE GENERATION - NON NUCLEAR</v>
          </cell>
        </row>
        <row r="78">
          <cell r="A78" t="str">
            <v>085</v>
          </cell>
          <cell r="B78" t="str">
            <v>INVALID BUDGET - SIOUX</v>
          </cell>
          <cell r="C78" t="str">
            <v>UE GENERATION - NON NUCLEAR</v>
          </cell>
        </row>
        <row r="79">
          <cell r="A79" t="str">
            <v>086</v>
          </cell>
          <cell r="B79" t="str">
            <v>FOSSIL FUEL BURNED</v>
          </cell>
          <cell r="C79" t="str">
            <v>FUEL</v>
          </cell>
        </row>
        <row r="80">
          <cell r="A80" t="str">
            <v>087</v>
          </cell>
          <cell r="B80" t="str">
            <v>FOSSIL FUELS</v>
          </cell>
          <cell r="C80" t="str">
            <v>AMEREN ENGY FUELS AND SVCS</v>
          </cell>
        </row>
        <row r="81">
          <cell r="A81" t="str">
            <v>088</v>
          </cell>
          <cell r="B81" t="str">
            <v>PERSONNEL TRNG &amp; OFFICE &amp; BUD</v>
          </cell>
          <cell r="C81" t="str">
            <v>UE GENERATION - NON NUCLEAR</v>
          </cell>
        </row>
        <row r="82">
          <cell r="A82" t="str">
            <v>089</v>
          </cell>
          <cell r="B82" t="str">
            <v>APPORTIONMENTS - UEC</v>
          </cell>
          <cell r="C82" t="str">
            <v>OTHER</v>
          </cell>
        </row>
        <row r="83">
          <cell r="A83" t="str">
            <v>090</v>
          </cell>
          <cell r="B83" t="str">
            <v>SYSTEM RELAY SERVICES</v>
          </cell>
          <cell r="C83" t="str">
            <v>ENERGY DELIVERY SERVICES</v>
          </cell>
        </row>
        <row r="84">
          <cell r="A84" t="str">
            <v>091</v>
          </cell>
          <cell r="B84" t="str">
            <v>SYS RELAY SERVICES-AMS INVALID</v>
          </cell>
          <cell r="C84" t="str">
            <v>ENERGY DELIVERY SERVICES</v>
          </cell>
        </row>
        <row r="85">
          <cell r="A85" t="str">
            <v>092</v>
          </cell>
          <cell r="B85" t="str">
            <v>SPECIAL ITEMS-ACCOUNTING DEPT</v>
          </cell>
          <cell r="C85" t="str">
            <v>OTHER</v>
          </cell>
        </row>
        <row r="86">
          <cell r="A86" t="str">
            <v>093</v>
          </cell>
          <cell r="B86" t="str">
            <v>WENTZVILLE</v>
          </cell>
          <cell r="C86" t="str">
            <v>MISSOURI OPERATIONS</v>
          </cell>
        </row>
        <row r="87">
          <cell r="A87" t="str">
            <v>094</v>
          </cell>
          <cell r="B87" t="str">
            <v>INVALID BUDGET</v>
          </cell>
          <cell r="C87" t="str">
            <v>MISSOURI OPERATIONS</v>
          </cell>
        </row>
        <row r="88">
          <cell r="A88" t="str">
            <v>095</v>
          </cell>
          <cell r="B88" t="str">
            <v>INVALID BUDGET</v>
          </cell>
          <cell r="C88" t="str">
            <v>MISSOURI OPERATIONS</v>
          </cell>
        </row>
        <row r="89">
          <cell r="A89" t="str">
            <v>096</v>
          </cell>
          <cell r="B89" t="str">
            <v>MEMBERSHIPS</v>
          </cell>
          <cell r="C89" t="str">
            <v>GOVT RELATIONS  &amp; ECONOMIC DEV</v>
          </cell>
        </row>
        <row r="90">
          <cell r="A90" t="str">
            <v>097</v>
          </cell>
          <cell r="B90" t="str">
            <v>INVALID BUDGET</v>
          </cell>
          <cell r="C90" t="str">
            <v>MISSOURI OPERATIONS</v>
          </cell>
        </row>
        <row r="91">
          <cell r="A91" t="str">
            <v>098</v>
          </cell>
          <cell r="B91" t="str">
            <v>OVERHEADS CAPITALIZED - UEC</v>
          </cell>
          <cell r="C91" t="str">
            <v>OTHER</v>
          </cell>
        </row>
        <row r="92">
          <cell r="A92" t="str">
            <v>099</v>
          </cell>
          <cell r="B92" t="str">
            <v>CORPORATE SPECIAL ITEMS - UEC</v>
          </cell>
          <cell r="C92" t="str">
            <v>OTHER</v>
          </cell>
        </row>
        <row r="93">
          <cell r="A93">
            <v>106</v>
          </cell>
          <cell r="B93" t="str">
            <v>INVALID BUDGET</v>
          </cell>
          <cell r="C93" t="str">
            <v>ENERGY DELIVERY SERVICES</v>
          </cell>
        </row>
        <row r="94">
          <cell r="A94">
            <v>107</v>
          </cell>
          <cell r="B94" t="str">
            <v>DISTRIBUTION OPERATING-Mattoon</v>
          </cell>
          <cell r="C94" t="str">
            <v>ILLINOIS OPERATIONS</v>
          </cell>
        </row>
        <row r="95">
          <cell r="A95">
            <v>111</v>
          </cell>
          <cell r="B95" t="str">
            <v>INVALID BUDGET</v>
          </cell>
          <cell r="C95" t="str">
            <v>ILLINOIS OPERATIONS</v>
          </cell>
        </row>
        <row r="96">
          <cell r="A96">
            <v>112</v>
          </cell>
          <cell r="B96" t="str">
            <v>INVALID BUDGET</v>
          </cell>
          <cell r="C96" t="str">
            <v>ILLINOIS OPERATIONS</v>
          </cell>
        </row>
        <row r="97">
          <cell r="A97">
            <v>113</v>
          </cell>
          <cell r="B97" t="str">
            <v>INVALID BUDGET</v>
          </cell>
          <cell r="C97" t="str">
            <v>ILLINOIS OPERATIONS</v>
          </cell>
        </row>
        <row r="98">
          <cell r="A98">
            <v>114</v>
          </cell>
          <cell r="B98" t="str">
            <v>INVALID BUDGET</v>
          </cell>
          <cell r="C98" t="str">
            <v>ILLINOIS OPERATIONS</v>
          </cell>
        </row>
        <row r="99">
          <cell r="A99">
            <v>115</v>
          </cell>
          <cell r="B99" t="str">
            <v>INVALID BUDGET</v>
          </cell>
          <cell r="C99" t="str">
            <v>ILLINOIS OPERATIONS</v>
          </cell>
        </row>
        <row r="100">
          <cell r="A100">
            <v>116</v>
          </cell>
          <cell r="B100" t="str">
            <v>INVALID BUDGET</v>
          </cell>
          <cell r="C100" t="str">
            <v>ILLINOIS OPERATIONS</v>
          </cell>
        </row>
        <row r="101">
          <cell r="A101">
            <v>117</v>
          </cell>
          <cell r="B101" t="str">
            <v>INVALID BUDGET</v>
          </cell>
          <cell r="C101" t="str">
            <v>ILLINOIS OPERATIONS</v>
          </cell>
        </row>
        <row r="102">
          <cell r="A102">
            <v>118</v>
          </cell>
          <cell r="B102" t="str">
            <v>INVALID BUDGET</v>
          </cell>
          <cell r="C102" t="str">
            <v>ILLINOIS OPERATIONS</v>
          </cell>
        </row>
        <row r="103">
          <cell r="A103">
            <v>130</v>
          </cell>
          <cell r="B103" t="str">
            <v>BUSINESS SERVICES - AEG &amp; BUD</v>
          </cell>
          <cell r="C103" t="str">
            <v>POWER PLANTS - GEN</v>
          </cell>
        </row>
        <row r="104">
          <cell r="A104">
            <v>131</v>
          </cell>
          <cell r="B104" t="str">
            <v>EFFINGHAM RESOURCE CENTER</v>
          </cell>
          <cell r="C104" t="str">
            <v>GENERATION TECHNICAL SERVICES</v>
          </cell>
        </row>
        <row r="105">
          <cell r="A105">
            <v>132</v>
          </cell>
          <cell r="B105" t="str">
            <v>PRODUCTION SVCS - AEG-INVALID</v>
          </cell>
          <cell r="C105" t="str">
            <v>POWER PLANTS - GEN</v>
          </cell>
        </row>
        <row r="106">
          <cell r="A106">
            <v>133</v>
          </cell>
          <cell r="B106" t="str">
            <v>PEORIA RESOURCE CENTER</v>
          </cell>
          <cell r="C106" t="str">
            <v>GENERATION TECHNICAL SERVICES</v>
          </cell>
        </row>
        <row r="107">
          <cell r="A107">
            <v>134</v>
          </cell>
          <cell r="B107" t="str">
            <v>AEG RESOURCE CENTER-INVALID</v>
          </cell>
          <cell r="C107" t="str">
            <v>POWER PLANTS - GEN</v>
          </cell>
        </row>
        <row r="108">
          <cell r="A108">
            <v>136</v>
          </cell>
          <cell r="B108" t="str">
            <v>INVALID BUDGET - NEWTON</v>
          </cell>
          <cell r="C108" t="str">
            <v>POWER PLANTS - GEN</v>
          </cell>
        </row>
        <row r="109">
          <cell r="A109">
            <v>140</v>
          </cell>
          <cell r="B109" t="str">
            <v>MEREDOSIA</v>
          </cell>
          <cell r="C109" t="str">
            <v>POWER PLANTS - GEN</v>
          </cell>
        </row>
        <row r="110">
          <cell r="A110">
            <v>143</v>
          </cell>
          <cell r="B110" t="str">
            <v>INVALID BUDGET - GRAND TOWER</v>
          </cell>
          <cell r="C110" t="str">
            <v>AMEREN CTG OPERATIONS</v>
          </cell>
        </row>
        <row r="111">
          <cell r="A111">
            <v>145</v>
          </cell>
          <cell r="B111" t="str">
            <v>HUTSONVILLE</v>
          </cell>
          <cell r="C111" t="str">
            <v>POWER PLANTS - GEN</v>
          </cell>
        </row>
        <row r="112">
          <cell r="A112">
            <v>148</v>
          </cell>
          <cell r="B112" t="str">
            <v>INVALID BUDGET - COFFEEN</v>
          </cell>
          <cell r="C112" t="str">
            <v>POWER PLANTS - GEN</v>
          </cell>
        </row>
        <row r="113">
          <cell r="A113">
            <v>151</v>
          </cell>
          <cell r="B113" t="str">
            <v>ALT- CIPS</v>
          </cell>
          <cell r="C113" t="str">
            <v>EXECUTIVE</v>
          </cell>
        </row>
        <row r="114">
          <cell r="A114">
            <v>152</v>
          </cell>
          <cell r="B114" t="str">
            <v>ALT- GEN</v>
          </cell>
          <cell r="C114" t="str">
            <v>EXECUTIVE</v>
          </cell>
        </row>
        <row r="115">
          <cell r="A115">
            <v>153</v>
          </cell>
          <cell r="B115" t="str">
            <v>ALT- IHC</v>
          </cell>
          <cell r="C115" t="str">
            <v>EXECUTIVE</v>
          </cell>
        </row>
        <row r="116">
          <cell r="A116">
            <v>154</v>
          </cell>
          <cell r="B116" t="str">
            <v>ALT- AFS</v>
          </cell>
          <cell r="C116" t="str">
            <v>EXECUTIVE</v>
          </cell>
        </row>
        <row r="117">
          <cell r="A117">
            <v>155</v>
          </cell>
          <cell r="B117" t="str">
            <v>INVALID BUDGET</v>
          </cell>
          <cell r="C117" t="str">
            <v>CORPORATE PLANNING</v>
          </cell>
        </row>
        <row r="118">
          <cell r="A118">
            <v>157</v>
          </cell>
          <cell r="B118" t="str">
            <v>GOVERNMENT RELATIONS</v>
          </cell>
          <cell r="C118" t="str">
            <v>GOVT RELATIONS  &amp; ECONOMIC DEV</v>
          </cell>
        </row>
        <row r="119">
          <cell r="A119">
            <v>158</v>
          </cell>
          <cell r="B119" t="str">
            <v>ALT- GMC</v>
          </cell>
          <cell r="C119" t="str">
            <v>EXECUTIVE</v>
          </cell>
        </row>
        <row r="120">
          <cell r="A120">
            <v>159</v>
          </cell>
          <cell r="B120" t="str">
            <v>ALT- AME</v>
          </cell>
          <cell r="C120" t="str">
            <v>EXECUTIVE</v>
          </cell>
        </row>
        <row r="121">
          <cell r="A121">
            <v>186</v>
          </cell>
          <cell r="B121" t="str">
            <v>FOSSIL FUEL-GENCO</v>
          </cell>
          <cell r="C121" t="str">
            <v>FUEL</v>
          </cell>
        </row>
        <row r="122">
          <cell r="A122">
            <v>189</v>
          </cell>
          <cell r="B122" t="str">
            <v>APPORTIONMENTS - CIPS</v>
          </cell>
          <cell r="C122" t="str">
            <v>OTHER</v>
          </cell>
        </row>
        <row r="123">
          <cell r="A123">
            <v>190</v>
          </cell>
          <cell r="B123" t="str">
            <v>APPMNTS - SPECIAL ITEMS - AMS</v>
          </cell>
          <cell r="C123" t="str">
            <v>OTHER</v>
          </cell>
        </row>
        <row r="124">
          <cell r="A124">
            <v>192</v>
          </cell>
          <cell r="B124" t="str">
            <v>PLT &amp; REG AUTOMATED JOURNALS</v>
          </cell>
          <cell r="C124" t="str">
            <v>OTHER</v>
          </cell>
        </row>
        <row r="125">
          <cell r="A125">
            <v>193</v>
          </cell>
          <cell r="B125" t="str">
            <v>PLANT &amp; REGULATORY ITEMS - CIPS</v>
          </cell>
          <cell r="C125" t="str">
            <v>OTHER</v>
          </cell>
        </row>
        <row r="126">
          <cell r="A126">
            <v>194</v>
          </cell>
          <cell r="B126" t="str">
            <v>PLANT &amp; REGULATORY ITEMS - AMS</v>
          </cell>
          <cell r="C126" t="str">
            <v>OTHER</v>
          </cell>
        </row>
        <row r="127">
          <cell r="A127">
            <v>199</v>
          </cell>
          <cell r="B127" t="str">
            <v>CORPORATE SPECIAL ITEMS</v>
          </cell>
          <cell r="C127" t="str">
            <v>OTHER</v>
          </cell>
        </row>
        <row r="128">
          <cell r="A128">
            <v>201</v>
          </cell>
          <cell r="B128" t="str">
            <v>DEV - BUS &amp; CORP SVCS</v>
          </cell>
          <cell r="C128" t="str">
            <v>AMEREN SERVICES CENTER</v>
          </cell>
        </row>
        <row r="129">
          <cell r="A129">
            <v>202</v>
          </cell>
          <cell r="B129" t="str">
            <v>DEV - OPERATIONS</v>
          </cell>
          <cell r="C129" t="str">
            <v>AMEREN SERVICES CENTER</v>
          </cell>
        </row>
        <row r="130">
          <cell r="A130">
            <v>203</v>
          </cell>
          <cell r="B130" t="str">
            <v>INVALID - DEV HUMAN RESOURCES</v>
          </cell>
          <cell r="C130" t="str">
            <v>AMEREN SERVICES CENTER</v>
          </cell>
        </row>
        <row r="131">
          <cell r="A131">
            <v>204</v>
          </cell>
          <cell r="B131" t="str">
            <v>DEV - ENERGY DELIVERY</v>
          </cell>
          <cell r="C131" t="str">
            <v>AMEREN SERVICES CENTER</v>
          </cell>
        </row>
        <row r="132">
          <cell r="A132">
            <v>230</v>
          </cell>
          <cell r="B132" t="str">
            <v>ED - ELECTRIC TRAINING</v>
          </cell>
          <cell r="C132" t="str">
            <v>ENERGY DELIVERY SERVICES</v>
          </cell>
        </row>
        <row r="133">
          <cell r="A133">
            <v>231</v>
          </cell>
          <cell r="B133" t="str">
            <v>IL OPS ADMN DIV IV V VI VII</v>
          </cell>
          <cell r="C133" t="str">
            <v>ILLINOIS OPERATIONS</v>
          </cell>
        </row>
        <row r="134">
          <cell r="A134">
            <v>232</v>
          </cell>
          <cell r="B134" t="str">
            <v>GAS ENGINEERING &amp; SUPPORT</v>
          </cell>
          <cell r="C134" t="str">
            <v>ILLINOIS OPERATIONS</v>
          </cell>
        </row>
        <row r="135">
          <cell r="A135">
            <v>233</v>
          </cell>
          <cell r="B135" t="str">
            <v>ED ELECTRIC STANDARDS</v>
          </cell>
          <cell r="C135" t="str">
            <v>ENERGY DELIVERY SERVICES</v>
          </cell>
        </row>
        <row r="136">
          <cell r="A136">
            <v>234</v>
          </cell>
          <cell r="B136" t="str">
            <v>ED PERFORMANCE IMPROVEMENT</v>
          </cell>
          <cell r="C136" t="str">
            <v>ENERGY DELIVERY SERVICES</v>
          </cell>
        </row>
        <row r="137">
          <cell r="A137">
            <v>235</v>
          </cell>
          <cell r="B137" t="str">
            <v>ED STRATEGIC PLANNING INVALID</v>
          </cell>
          <cell r="C137" t="str">
            <v>ENERGY DELIVERY SERVICES</v>
          </cell>
        </row>
        <row r="138">
          <cell r="A138">
            <v>286</v>
          </cell>
          <cell r="B138" t="str">
            <v>FOSSIL FUEL-CIL</v>
          </cell>
          <cell r="C138" t="str">
            <v>FUEL</v>
          </cell>
        </row>
        <row r="139">
          <cell r="A139">
            <v>299</v>
          </cell>
          <cell r="B139" t="str">
            <v>ACCOUNTING ENTRIES-CIL</v>
          </cell>
          <cell r="C139" t="str">
            <v>OTHER</v>
          </cell>
        </row>
        <row r="140">
          <cell r="A140">
            <v>300</v>
          </cell>
          <cell r="B140" t="str">
            <v>AME - EXECUTIVE</v>
          </cell>
          <cell r="C140" t="str">
            <v>AMEREN ENERGY</v>
          </cell>
        </row>
        <row r="141">
          <cell r="A141">
            <v>301</v>
          </cell>
          <cell r="B141" t="str">
            <v>AME - TRADING-ELECTRICITY</v>
          </cell>
          <cell r="C141" t="str">
            <v>AMEREN ENERGY</v>
          </cell>
        </row>
        <row r="142">
          <cell r="A142">
            <v>302</v>
          </cell>
          <cell r="B142" t="str">
            <v>AME - MKTG-NATURAL GAS</v>
          </cell>
          <cell r="C142" t="str">
            <v>AMEREN ENERGY</v>
          </cell>
        </row>
        <row r="143">
          <cell r="A143">
            <v>303</v>
          </cell>
          <cell r="B143" t="str">
            <v>AER SVCS - OPERATION - INVALID</v>
          </cell>
          <cell r="C143" t="str">
            <v>CONTROLLER</v>
          </cell>
        </row>
        <row r="144">
          <cell r="A144">
            <v>304</v>
          </cell>
          <cell r="B144" t="str">
            <v>AER SVCS - INFO SYST - INVALID</v>
          </cell>
          <cell r="C144" t="str">
            <v>CONTROLLER</v>
          </cell>
        </row>
        <row r="145">
          <cell r="A145">
            <v>305</v>
          </cell>
          <cell r="B145" t="str">
            <v>AME - HUMAN RESOURCES-INVALID</v>
          </cell>
          <cell r="C145" t="str">
            <v>AMEREN ENERGY</v>
          </cell>
        </row>
        <row r="146">
          <cell r="A146">
            <v>306</v>
          </cell>
          <cell r="B146" t="str">
            <v>AME - RISK MANAGEMENT-INVALID</v>
          </cell>
          <cell r="C146" t="str">
            <v>AMEREN ENERGY</v>
          </cell>
        </row>
        <row r="147">
          <cell r="A147">
            <v>307</v>
          </cell>
          <cell r="B147" t="str">
            <v>AME - MRKT - STRUCTURE-INVALID</v>
          </cell>
          <cell r="C147" t="str">
            <v>AMEREN ENERGY</v>
          </cell>
        </row>
        <row r="148">
          <cell r="A148">
            <v>308</v>
          </cell>
          <cell r="B148" t="str">
            <v>AME - TRAD-NATURAL GAS-INVALID</v>
          </cell>
          <cell r="C148" t="str">
            <v>AMEREN ENERGY</v>
          </cell>
        </row>
        <row r="149">
          <cell r="A149">
            <v>309</v>
          </cell>
          <cell r="B149" t="str">
            <v>AME - MKTG COMMUNICATIONS</v>
          </cell>
          <cell r="C149" t="str">
            <v>AMEREN ENERGY</v>
          </cell>
        </row>
        <row r="150">
          <cell r="A150">
            <v>310</v>
          </cell>
          <cell r="B150" t="str">
            <v>AER SVCS - FINANCIAL ANALYSIS</v>
          </cell>
          <cell r="C150" t="str">
            <v>CONTROLLER</v>
          </cell>
        </row>
        <row r="151">
          <cell r="A151">
            <v>311</v>
          </cell>
          <cell r="B151" t="str">
            <v>AME - GENERAL ITEMS</v>
          </cell>
          <cell r="C151" t="str">
            <v>AMEREN ENERGY</v>
          </cell>
        </row>
        <row r="152">
          <cell r="A152">
            <v>312</v>
          </cell>
          <cell r="B152" t="str">
            <v>PRICING &amp; ANALYSIS</v>
          </cell>
          <cell r="C152" t="str">
            <v>CORPORATE PLANNING</v>
          </cell>
        </row>
        <row r="153">
          <cell r="A153">
            <v>313</v>
          </cell>
          <cell r="B153" t="str">
            <v>AME - BILLINGS TO IHC-INVALID</v>
          </cell>
          <cell r="C153" t="str">
            <v>AMEREN ENERGY</v>
          </cell>
        </row>
        <row r="154">
          <cell r="A154">
            <v>340</v>
          </cell>
          <cell r="B154" t="str">
            <v>REGULATED CTG COMMON</v>
          </cell>
          <cell r="C154" t="str">
            <v>AMEREN CTG OPERATIONS</v>
          </cell>
        </row>
        <row r="155">
          <cell r="A155">
            <v>341</v>
          </cell>
          <cell r="B155" t="str">
            <v>VENICE CTGs</v>
          </cell>
          <cell r="C155" t="str">
            <v>AMEREN CTG OPERATIONS</v>
          </cell>
        </row>
        <row r="156">
          <cell r="A156">
            <v>342</v>
          </cell>
          <cell r="B156" t="str">
            <v>HOWARD BEND CTG</v>
          </cell>
          <cell r="C156" t="str">
            <v>AMEREN CTG OPERATIONS</v>
          </cell>
        </row>
        <row r="157">
          <cell r="A157">
            <v>343</v>
          </cell>
          <cell r="B157" t="str">
            <v>MERAMEC CTGs</v>
          </cell>
          <cell r="C157" t="str">
            <v>AMEREN CTG OPERATIONS</v>
          </cell>
        </row>
        <row r="158">
          <cell r="A158">
            <v>344</v>
          </cell>
          <cell r="B158" t="str">
            <v>FAIRGROUNDS CTG</v>
          </cell>
          <cell r="C158" t="str">
            <v>AMEREN CTG OPERATIONS</v>
          </cell>
        </row>
        <row r="159">
          <cell r="A159">
            <v>345</v>
          </cell>
          <cell r="B159" t="str">
            <v>KIRKSVILLE CTG</v>
          </cell>
          <cell r="C159" t="str">
            <v>AMEREN CTG OPERATIONS</v>
          </cell>
        </row>
        <row r="160">
          <cell r="A160">
            <v>346</v>
          </cell>
          <cell r="B160" t="str">
            <v>MOREAU CTG</v>
          </cell>
          <cell r="C160" t="str">
            <v>AMEREN CTG OPERATIONS</v>
          </cell>
        </row>
        <row r="161">
          <cell r="A161">
            <v>347</v>
          </cell>
          <cell r="B161" t="str">
            <v>MOBERLY CTG</v>
          </cell>
          <cell r="C161" t="str">
            <v>AMEREN CTG OPERATIONS</v>
          </cell>
        </row>
        <row r="162">
          <cell r="A162">
            <v>348</v>
          </cell>
          <cell r="B162" t="str">
            <v>MEXICO CTG</v>
          </cell>
          <cell r="C162" t="str">
            <v>AMEREN CTG OPERATIONS</v>
          </cell>
        </row>
        <row r="163">
          <cell r="A163">
            <v>349</v>
          </cell>
          <cell r="B163" t="str">
            <v>VIADUCT CTG</v>
          </cell>
          <cell r="C163" t="str">
            <v>AMEREN CTG OPERATIONS</v>
          </cell>
        </row>
        <row r="164">
          <cell r="A164">
            <v>350</v>
          </cell>
          <cell r="B164" t="str">
            <v>GIBSON CITY CTG</v>
          </cell>
          <cell r="C164" t="str">
            <v>AMEREN CTG OPERATIONS</v>
          </cell>
        </row>
        <row r="165">
          <cell r="A165">
            <v>351</v>
          </cell>
          <cell r="B165" t="str">
            <v>KINMUNDY CTG</v>
          </cell>
          <cell r="C165" t="str">
            <v>AMEREN CTG OPERATIONS</v>
          </cell>
        </row>
        <row r="166">
          <cell r="A166">
            <v>352</v>
          </cell>
          <cell r="B166" t="str">
            <v>PINCKNEYVILLE CTG</v>
          </cell>
          <cell r="C166" t="str">
            <v>AMEREN CTG OPERATIONS</v>
          </cell>
        </row>
        <row r="167">
          <cell r="A167">
            <v>353</v>
          </cell>
          <cell r="B167" t="str">
            <v>TUSCOLA CTG</v>
          </cell>
          <cell r="C167" t="str">
            <v>AMEREN CTG OPERATIONS</v>
          </cell>
        </row>
        <row r="168">
          <cell r="A168">
            <v>354</v>
          </cell>
          <cell r="B168" t="str">
            <v>GRAND TOWER PLANT</v>
          </cell>
          <cell r="C168" t="str">
            <v>AMEREN CTG OPERATIONS</v>
          </cell>
        </row>
        <row r="169">
          <cell r="A169">
            <v>355</v>
          </cell>
          <cell r="B169" t="str">
            <v>ELGIN CTG</v>
          </cell>
          <cell r="C169" t="str">
            <v>AMEREN CTG OPERATIONS</v>
          </cell>
        </row>
        <row r="170">
          <cell r="A170">
            <v>356</v>
          </cell>
          <cell r="B170" t="str">
            <v>COLUMBIA CTG</v>
          </cell>
          <cell r="C170" t="str">
            <v>AMEREN CTG OPERATIONS</v>
          </cell>
        </row>
        <row r="171">
          <cell r="A171">
            <v>358</v>
          </cell>
          <cell r="B171" t="str">
            <v>JOPPA 7B CTG</v>
          </cell>
          <cell r="C171" t="str">
            <v>AMEREN CTG OPERATIONS</v>
          </cell>
        </row>
        <row r="172">
          <cell r="A172">
            <v>359</v>
          </cell>
          <cell r="B172" t="str">
            <v>PENO CREEK CTG</v>
          </cell>
          <cell r="C172" t="str">
            <v>AMEREN CTG OPERATIONS</v>
          </cell>
        </row>
        <row r="173">
          <cell r="A173">
            <v>360</v>
          </cell>
          <cell r="B173" t="str">
            <v>DEREGULATED  CTG COMMON</v>
          </cell>
          <cell r="C173" t="str">
            <v>AMEREN CTG OPERATIONS</v>
          </cell>
        </row>
        <row r="174">
          <cell r="A174">
            <v>361</v>
          </cell>
          <cell r="B174" t="str">
            <v>AUDRAIN CTG</v>
          </cell>
          <cell r="C174" t="str">
            <v>AMEREN CTG OPERATIONS</v>
          </cell>
        </row>
        <row r="175">
          <cell r="A175">
            <v>362</v>
          </cell>
          <cell r="B175" t="str">
            <v>GOOSE CREEK CTG</v>
          </cell>
          <cell r="C175" t="str">
            <v>AMEREN CTG OPERATIONS</v>
          </cell>
        </row>
        <row r="176">
          <cell r="A176">
            <v>363</v>
          </cell>
          <cell r="B176" t="str">
            <v>RACCOON CREEK CTG</v>
          </cell>
          <cell r="C176" t="str">
            <v>AMEREN CTG OPERATIONS</v>
          </cell>
        </row>
        <row r="177">
          <cell r="A177">
            <v>399</v>
          </cell>
          <cell r="B177" t="str">
            <v>ACCOUNTING ENTRIES - IPC</v>
          </cell>
          <cell r="C177" t="str">
            <v>OTHER</v>
          </cell>
        </row>
        <row r="178">
          <cell r="A178">
            <v>601</v>
          </cell>
          <cell r="B178" t="str">
            <v>CORP - COMM &amp; ADV-CIL-INVALID</v>
          </cell>
          <cell r="C178" t="str">
            <v>CORPORATE COMMUNICATIONS</v>
          </cell>
        </row>
        <row r="179">
          <cell r="A179">
            <v>602</v>
          </cell>
          <cell r="B179" t="str">
            <v>SPFLD DIV SUPP SRV-CIL-INVALID</v>
          </cell>
          <cell r="C179" t="str">
            <v>ILLINOIS OPERATIONS</v>
          </cell>
        </row>
        <row r="180">
          <cell r="A180">
            <v>603</v>
          </cell>
          <cell r="B180" t="str">
            <v>TUSCOLA GAS OPERATIONS</v>
          </cell>
          <cell r="C180" t="str">
            <v>ILLINOIS OPERATIONS</v>
          </cell>
        </row>
        <row r="181">
          <cell r="A181">
            <v>604</v>
          </cell>
          <cell r="B181" t="str">
            <v>LINCOLN ELECTRIC OPS</v>
          </cell>
          <cell r="C181" t="str">
            <v>ILLINOIS OPERATIONS</v>
          </cell>
        </row>
        <row r="182">
          <cell r="A182">
            <v>605</v>
          </cell>
          <cell r="B182" t="str">
            <v>SPRINGFIELD ELECTRIC OPS</v>
          </cell>
          <cell r="C182" t="str">
            <v>ILLINOIS OPERATIONS</v>
          </cell>
        </row>
        <row r="183">
          <cell r="A183">
            <v>606</v>
          </cell>
          <cell r="B183" t="str">
            <v>HOMER ELECTRIC OPS</v>
          </cell>
          <cell r="C183" t="str">
            <v>ILLINOIS OPERATIONS</v>
          </cell>
        </row>
        <row r="184">
          <cell r="A184">
            <v>607</v>
          </cell>
          <cell r="B184" t="str">
            <v>LINCOLN GAS OPS</v>
          </cell>
          <cell r="C184" t="str">
            <v>ILLINOIS OPERATIONS</v>
          </cell>
        </row>
        <row r="185">
          <cell r="A185">
            <v>608</v>
          </cell>
          <cell r="B185" t="str">
            <v>SPFLD GAS CONSTRUCTION</v>
          </cell>
          <cell r="C185" t="str">
            <v>ILLINOIS OPERATIONS</v>
          </cell>
        </row>
        <row r="186">
          <cell r="A186">
            <v>609</v>
          </cell>
          <cell r="B186" t="str">
            <v>SPFLD GAS SERVICE</v>
          </cell>
          <cell r="C186" t="str">
            <v>ILLINOIS OPERATIONS</v>
          </cell>
        </row>
        <row r="187">
          <cell r="A187">
            <v>610</v>
          </cell>
          <cell r="B187" t="str">
            <v>SPFLD SUBST SERV-CIL - INVALID</v>
          </cell>
          <cell r="C187" t="str">
            <v>ENERGY DELIVERY SERVICES</v>
          </cell>
        </row>
        <row r="188">
          <cell r="A188">
            <v>611</v>
          </cell>
          <cell r="B188" t="str">
            <v>AM FM POWER ON-CIL - INVALID</v>
          </cell>
          <cell r="C188" t="str">
            <v>ENERGY DELIVERY SERVICES</v>
          </cell>
        </row>
        <row r="189">
          <cell r="A189">
            <v>612</v>
          </cell>
          <cell r="B189" t="str">
            <v>PEORIA EL OP ADMIN-CIL-INVALID</v>
          </cell>
          <cell r="C189" t="str">
            <v>ILLINOIS OPERATIONS</v>
          </cell>
        </row>
        <row r="190">
          <cell r="A190">
            <v>613</v>
          </cell>
          <cell r="B190" t="str">
            <v>PEO ELEC OPER SUPP-CIL-INVALID</v>
          </cell>
          <cell r="C190" t="str">
            <v>ILLINOIS OPERATIONS</v>
          </cell>
        </row>
        <row r="191">
          <cell r="A191">
            <v>614</v>
          </cell>
          <cell r="B191" t="str">
            <v>VEGETATION MGT - CIL INVALID</v>
          </cell>
          <cell r="C191" t="str">
            <v>ENERGY DELIVERY SERVICES</v>
          </cell>
        </row>
        <row r="192">
          <cell r="A192">
            <v>615</v>
          </cell>
          <cell r="B192" t="str">
            <v>METER SERVICES - CIL</v>
          </cell>
          <cell r="C192" t="str">
            <v>ENERGY DELIVERY SERVICES</v>
          </cell>
        </row>
        <row r="193">
          <cell r="A193">
            <v>616</v>
          </cell>
          <cell r="B193" t="str">
            <v>SUB MTCE &amp; CONST - IL WEST</v>
          </cell>
          <cell r="C193" t="str">
            <v>ENERGY DELIVERY SERVICES</v>
          </cell>
        </row>
        <row r="194">
          <cell r="A194">
            <v>617</v>
          </cell>
          <cell r="B194" t="str">
            <v>NORTHERN ELECTRIC</v>
          </cell>
          <cell r="C194" t="str">
            <v>ILLINOIS OPERATIONS</v>
          </cell>
        </row>
        <row r="195">
          <cell r="A195">
            <v>618</v>
          </cell>
          <cell r="B195" t="str">
            <v>CENTRAL ELECTRIC</v>
          </cell>
          <cell r="C195" t="str">
            <v>ILLINOIS OPERATIONS</v>
          </cell>
        </row>
        <row r="196">
          <cell r="A196">
            <v>619</v>
          </cell>
          <cell r="B196" t="str">
            <v>PEORIA ELEC UNDERGROUND</v>
          </cell>
          <cell r="C196" t="str">
            <v>ILLINOIS OPERATIONS</v>
          </cell>
        </row>
        <row r="197">
          <cell r="A197">
            <v>620</v>
          </cell>
          <cell r="B197" t="str">
            <v>REG &amp; PRESSURE SERV-CIL INVALD</v>
          </cell>
          <cell r="C197" t="str">
            <v>ENERGY DELIVERY SERVICES</v>
          </cell>
        </row>
        <row r="198">
          <cell r="A198">
            <v>621</v>
          </cell>
          <cell r="B198" t="str">
            <v>GAS STORAGE FIELDS-CIL INVALID</v>
          </cell>
          <cell r="C198" t="str">
            <v>ENERGY DELIVERY SERVICES</v>
          </cell>
        </row>
        <row r="199">
          <cell r="A199">
            <v>622</v>
          </cell>
          <cell r="B199" t="str">
            <v>GAS DIV - CNTL DISPT-CIL INVLD</v>
          </cell>
          <cell r="C199" t="str">
            <v>ENERGY DELIVERY SERVICES</v>
          </cell>
        </row>
        <row r="200">
          <cell r="A200">
            <v>623</v>
          </cell>
          <cell r="B200" t="str">
            <v>GAS CORP METER-CIL INVALID</v>
          </cell>
          <cell r="C200" t="str">
            <v>ENERGY DELIVERY SERVICES</v>
          </cell>
        </row>
        <row r="201">
          <cell r="A201">
            <v>624</v>
          </cell>
          <cell r="B201" t="str">
            <v>PEORIA GAS SERVICE</v>
          </cell>
          <cell r="C201" t="str">
            <v>ILLINOIS OPERATIONS</v>
          </cell>
        </row>
        <row r="202">
          <cell r="A202">
            <v>625</v>
          </cell>
          <cell r="B202" t="str">
            <v>GAS CORP SERV DISPAT-CIL INVAL</v>
          </cell>
          <cell r="C202" t="str">
            <v>ILLINOIS OPERATIONS</v>
          </cell>
        </row>
        <row r="203">
          <cell r="A203">
            <v>626</v>
          </cell>
          <cell r="B203" t="str">
            <v>LDU - COMPL &amp; RECD-CIL INVALID</v>
          </cell>
          <cell r="C203" t="str">
            <v>ILLINOIS OPERATIONS</v>
          </cell>
        </row>
        <row r="204">
          <cell r="A204">
            <v>627</v>
          </cell>
          <cell r="B204" t="str">
            <v>CORP MOBILE COMM-CIL-INVALID</v>
          </cell>
          <cell r="C204" t="str">
            <v>ENERGY DELIVERY SERVICES</v>
          </cell>
        </row>
        <row r="205">
          <cell r="A205">
            <v>628</v>
          </cell>
          <cell r="B205" t="str">
            <v>PEORIA GAS CONSTRUCTION</v>
          </cell>
          <cell r="C205" t="str">
            <v>ILLINOIS OPERATIONS</v>
          </cell>
        </row>
        <row r="206">
          <cell r="A206">
            <v>629</v>
          </cell>
          <cell r="B206" t="str">
            <v>DISTRIBUTION OPERATING-Peoria</v>
          </cell>
          <cell r="C206" t="str">
            <v>ILLINOIS OPERATIONS</v>
          </cell>
        </row>
        <row r="207">
          <cell r="A207">
            <v>630</v>
          </cell>
          <cell r="B207" t="str">
            <v>PEORIA MTR READING-CIL-INVALID</v>
          </cell>
          <cell r="C207" t="str">
            <v>ENERGY DELIVERY SERVICES</v>
          </cell>
        </row>
        <row r="208">
          <cell r="A208">
            <v>631</v>
          </cell>
          <cell r="B208" t="str">
            <v>EDU FINANCE &amp; ADMN-CIL-INVALID</v>
          </cell>
          <cell r="C208" t="str">
            <v>CONTROLLER</v>
          </cell>
        </row>
        <row r="209">
          <cell r="A209">
            <v>632</v>
          </cell>
          <cell r="B209" t="str">
            <v>CSF - IT FIELD OPERATIONS</v>
          </cell>
          <cell r="C209" t="str">
            <v>AMEREN SERVICES CENTER</v>
          </cell>
        </row>
        <row r="210">
          <cell r="A210">
            <v>633</v>
          </cell>
          <cell r="B210" t="str">
            <v>CRP RATES-REG AFFS-CIL-INVALID</v>
          </cell>
          <cell r="C210" t="str">
            <v>REGULATORY POLICY &amp; PLANNING</v>
          </cell>
        </row>
        <row r="211">
          <cell r="A211">
            <v>634</v>
          </cell>
          <cell r="B211" t="str">
            <v>CUST ACCTG &amp; REV PROT - IL</v>
          </cell>
          <cell r="C211" t="str">
            <v>ILLINOIS OPERATIONS</v>
          </cell>
        </row>
        <row r="212">
          <cell r="A212">
            <v>635</v>
          </cell>
          <cell r="B212" t="str">
            <v>ALT - CIL</v>
          </cell>
          <cell r="C212" t="str">
            <v>EXECUTIVE</v>
          </cell>
        </row>
        <row r="213">
          <cell r="A213">
            <v>636</v>
          </cell>
          <cell r="B213" t="str">
            <v>MKTG &amp; SALES ADMIN-CIL-INVALID</v>
          </cell>
          <cell r="C213" t="str">
            <v>EXECUTIVE</v>
          </cell>
        </row>
        <row r="214">
          <cell r="A214">
            <v>637</v>
          </cell>
          <cell r="B214" t="str">
            <v>KEY ACCOUNTS - IL</v>
          </cell>
          <cell r="C214" t="str">
            <v>ILLINOIS OPERATIONS</v>
          </cell>
        </row>
        <row r="215">
          <cell r="A215">
            <v>638</v>
          </cell>
          <cell r="B215" t="str">
            <v>CRP LEGI &amp; PUB AFF-CIL-INVALID</v>
          </cell>
          <cell r="C215" t="str">
            <v>CORPORATE COMMUNICATIONS</v>
          </cell>
        </row>
        <row r="216">
          <cell r="A216">
            <v>639</v>
          </cell>
          <cell r="B216" t="str">
            <v>CUSTOMER CONTACT CENTER - IL</v>
          </cell>
          <cell r="C216" t="str">
            <v>ILLINOIS OPERATIONS</v>
          </cell>
        </row>
        <row r="217">
          <cell r="A217">
            <v>641</v>
          </cell>
          <cell r="B217" t="str">
            <v>CORPORATE MARKETG-CIL-INVALID</v>
          </cell>
          <cell r="C217" t="str">
            <v>ENERGY DELIVERY SERVICES</v>
          </cell>
        </row>
        <row r="218">
          <cell r="A218">
            <v>642</v>
          </cell>
          <cell r="B218" t="str">
            <v>CILCO ENERGY TRADING-INVALID</v>
          </cell>
          <cell r="C218" t="str">
            <v>AMEREN ENGY FUELS AND SVCS</v>
          </cell>
        </row>
        <row r="219">
          <cell r="A219">
            <v>643</v>
          </cell>
          <cell r="B219" t="str">
            <v>HALLOCK POWER MODULES</v>
          </cell>
          <cell r="C219" t="str">
            <v>AMEREN CTG OPERATIONS</v>
          </cell>
        </row>
        <row r="220">
          <cell r="A220">
            <v>644</v>
          </cell>
          <cell r="B220" t="str">
            <v>KICKAPOO POWER MODULES</v>
          </cell>
          <cell r="C220" t="str">
            <v>AMEREN CTG OPERATIONS</v>
          </cell>
        </row>
        <row r="221">
          <cell r="A221">
            <v>646</v>
          </cell>
          <cell r="B221" t="str">
            <v>CAT-MOSSVILLE POWER MODULES</v>
          </cell>
          <cell r="C221" t="str">
            <v>AMEREN CTG OPERATIONS</v>
          </cell>
        </row>
        <row r="222">
          <cell r="A222">
            <v>647</v>
          </cell>
          <cell r="B222" t="str">
            <v>CAT-MAPLETON POWER MODULES</v>
          </cell>
          <cell r="C222" t="str">
            <v>AMEREN CTG OPERATIONS</v>
          </cell>
        </row>
        <row r="223">
          <cell r="A223">
            <v>648</v>
          </cell>
          <cell r="B223" t="str">
            <v>TAZEWELL ALTORFER POWER MODULE</v>
          </cell>
          <cell r="C223" t="str">
            <v>AMEREN CTG OPERATIONS</v>
          </cell>
        </row>
        <row r="224">
          <cell r="A224">
            <v>649</v>
          </cell>
          <cell r="B224" t="str">
            <v>HALLOCK ALT TMP PWR MD-INVALID</v>
          </cell>
          <cell r="C224" t="str">
            <v>AMEREN CTG OPERATIONS</v>
          </cell>
        </row>
        <row r="225">
          <cell r="A225">
            <v>650</v>
          </cell>
          <cell r="B225" t="str">
            <v>SPFLD DIV ADMIN-CIL - INVALID</v>
          </cell>
          <cell r="C225" t="str">
            <v>ILLINOIS OPERATIONS</v>
          </cell>
        </row>
        <row r="226">
          <cell r="A226">
            <v>654</v>
          </cell>
          <cell r="B226" t="str">
            <v>WORK STOPPAGE-CIL-INVALID</v>
          </cell>
          <cell r="C226" t="str">
            <v>OTHER</v>
          </cell>
        </row>
        <row r="227">
          <cell r="A227">
            <v>664</v>
          </cell>
          <cell r="B227" t="str">
            <v>GAS CENT DIST DSGN -CIL-INVALD</v>
          </cell>
          <cell r="C227" t="str">
            <v>ILLINOIS OPERATIONS</v>
          </cell>
        </row>
        <row r="228">
          <cell r="A228">
            <v>665</v>
          </cell>
          <cell r="B228" t="str">
            <v>INFRASERVICES - CIS - INVALID</v>
          </cell>
          <cell r="C228" t="str">
            <v>ENERGY DELIVERY SERVICES</v>
          </cell>
        </row>
        <row r="229">
          <cell r="A229">
            <v>667</v>
          </cell>
          <cell r="B229" t="str">
            <v>DIVISION III SUPT -CIL</v>
          </cell>
          <cell r="C229" t="str">
            <v>ILLINOIS OPERATIONS</v>
          </cell>
        </row>
        <row r="230">
          <cell r="A230">
            <v>668</v>
          </cell>
          <cell r="B230" t="str">
            <v>IL OPS ADMN DIV I II III</v>
          </cell>
          <cell r="C230" t="str">
            <v>ILLINOIS OPERATIONS</v>
          </cell>
        </row>
        <row r="231">
          <cell r="A231">
            <v>669</v>
          </cell>
          <cell r="B231" t="str">
            <v>DIVISION I SUPPORT STAFF</v>
          </cell>
          <cell r="C231" t="str">
            <v>ILLINOIS OPERATIONS</v>
          </cell>
        </row>
        <row r="232">
          <cell r="A232">
            <v>670</v>
          </cell>
          <cell r="B232" t="str">
            <v>STERLING AVENUE CTG</v>
          </cell>
          <cell r="C232" t="str">
            <v>AMEREN CTG OPERATIONS</v>
          </cell>
        </row>
        <row r="233">
          <cell r="A233">
            <v>671</v>
          </cell>
          <cell r="B233" t="str">
            <v>ALT - ARG</v>
          </cell>
          <cell r="C233" t="str">
            <v>EXECUTIVE</v>
          </cell>
        </row>
        <row r="234">
          <cell r="A234">
            <v>680</v>
          </cell>
          <cell r="B234" t="str">
            <v>GENERATION PRECISION QLTY MGMT</v>
          </cell>
          <cell r="C234" t="str">
            <v>GENERATION PRECISION QLTY MGMT</v>
          </cell>
        </row>
        <row r="235">
          <cell r="A235">
            <v>802</v>
          </cell>
          <cell r="B235" t="str">
            <v>NUCL - ENG PI - PERF IMPROVE</v>
          </cell>
          <cell r="C235" t="str">
            <v>UE GENERATION - NUCLEAR</v>
          </cell>
        </row>
        <row r="236">
          <cell r="A236">
            <v>803</v>
          </cell>
          <cell r="B236" t="str">
            <v>NUCL - PROBABILISTIC RISK ASMT</v>
          </cell>
          <cell r="C236" t="str">
            <v>UE GENERATION - NUCLEAR</v>
          </cell>
        </row>
        <row r="237">
          <cell r="A237">
            <v>805</v>
          </cell>
          <cell r="B237" t="str">
            <v>NUCL - BUDGET - COST MGMT</v>
          </cell>
          <cell r="C237" t="str">
            <v>UE GENERATION - NUCLEAR</v>
          </cell>
        </row>
        <row r="238">
          <cell r="A238">
            <v>806</v>
          </cell>
          <cell r="B238" t="str">
            <v>NUCL - FUELS</v>
          </cell>
          <cell r="C238" t="str">
            <v>UE GENERATION - NUCLEAR</v>
          </cell>
        </row>
        <row r="239">
          <cell r="A239">
            <v>808</v>
          </cell>
          <cell r="B239" t="str">
            <v>CA - SYSTEMS ENGINRING INVALID</v>
          </cell>
          <cell r="C239" t="str">
            <v>UE GENERATION - NUCLEAR</v>
          </cell>
        </row>
        <row r="240">
          <cell r="A240" t="str">
            <v>01C</v>
          </cell>
          <cell r="B240" t="str">
            <v>STRATEGIC INITIATIVES</v>
          </cell>
          <cell r="C240" t="str">
            <v>STRATEGIC INITIATIVES</v>
          </cell>
        </row>
        <row r="241">
          <cell r="A241" t="str">
            <v>02A</v>
          </cell>
          <cell r="B241" t="str">
            <v>RESOURCE POOL</v>
          </cell>
          <cell r="C241" t="str">
            <v>HUMAN RESOURCES</v>
          </cell>
        </row>
        <row r="242">
          <cell r="A242" t="str">
            <v>02B</v>
          </cell>
          <cell r="B242" t="str">
            <v>CONTRACT PERSONNEL</v>
          </cell>
          <cell r="C242" t="str">
            <v>HUMAN RESOURCES</v>
          </cell>
        </row>
        <row r="243">
          <cell r="A243" t="str">
            <v>02C</v>
          </cell>
          <cell r="B243" t="str">
            <v>EDTS CONSTRUCTION SVCS</v>
          </cell>
          <cell r="C243" t="str">
            <v>ENERGY DELIVERY SERVICES</v>
          </cell>
        </row>
        <row r="244">
          <cell r="A244" t="str">
            <v>02E</v>
          </cell>
          <cell r="B244" t="str">
            <v>HR - STAFFING</v>
          </cell>
          <cell r="C244" t="str">
            <v>HUMAN RESOURCES</v>
          </cell>
        </row>
        <row r="245">
          <cell r="A245" t="str">
            <v>02F</v>
          </cell>
          <cell r="B245" t="str">
            <v>VEGETATION MGT - IL</v>
          </cell>
          <cell r="C245" t="str">
            <v>ENERGY DELIVERY SERVICES</v>
          </cell>
        </row>
        <row r="246">
          <cell r="A246" t="str">
            <v>02H</v>
          </cell>
          <cell r="B246" t="str">
            <v>HR - OPERATIONS &amp; COMPLIANCE</v>
          </cell>
          <cell r="C246" t="str">
            <v>HUMAN RESOURCES</v>
          </cell>
        </row>
        <row r="247">
          <cell r="A247" t="str">
            <v>02N</v>
          </cell>
          <cell r="B247" t="str">
            <v>CREDIT &amp; COLLECTIONS - IL</v>
          </cell>
          <cell r="C247" t="str">
            <v>ILLINOIS OPERATIONS</v>
          </cell>
        </row>
        <row r="248">
          <cell r="A248" t="str">
            <v>02P</v>
          </cell>
          <cell r="B248" t="str">
            <v>HR - TOTAL REWARDS</v>
          </cell>
          <cell r="C248" t="str">
            <v>HUMAN RESOURCES</v>
          </cell>
        </row>
        <row r="249">
          <cell r="A249" t="str">
            <v>02Q</v>
          </cell>
          <cell r="B249" t="str">
            <v>INVALID BUDGET</v>
          </cell>
          <cell r="C249" t="str">
            <v>HUMAN RESOURCES</v>
          </cell>
        </row>
        <row r="250">
          <cell r="A250" t="str">
            <v>02R</v>
          </cell>
          <cell r="B250" t="str">
            <v>HR - DIVERSITY</v>
          </cell>
          <cell r="C250" t="str">
            <v>HUMAN RESOURCES</v>
          </cell>
        </row>
        <row r="251">
          <cell r="A251" t="str">
            <v>02T</v>
          </cell>
          <cell r="B251" t="str">
            <v>HR -ORGANIZATION EFFECTIVENESS</v>
          </cell>
          <cell r="C251" t="str">
            <v>HUMAN RESOURCES</v>
          </cell>
        </row>
        <row r="252">
          <cell r="A252" t="str">
            <v>02V</v>
          </cell>
          <cell r="B252" t="str">
            <v>EMPLOYEE COMMUNICATIONS</v>
          </cell>
          <cell r="C252" t="str">
            <v>CORPORATE COMMUNICATIONS</v>
          </cell>
        </row>
        <row r="253">
          <cell r="A253" t="str">
            <v>02Z</v>
          </cell>
          <cell r="B253" t="str">
            <v>CUSTOMER SVC VACANCY FACTOR</v>
          </cell>
          <cell r="C253" t="str">
            <v>MISSOURI OPERATIONS</v>
          </cell>
        </row>
        <row r="254">
          <cell r="A254" t="str">
            <v>03A</v>
          </cell>
          <cell r="B254" t="str">
            <v>METER READING - AMS</v>
          </cell>
          <cell r="C254" t="str">
            <v>ENERGY DELIVERY SERVICES</v>
          </cell>
        </row>
        <row r="255">
          <cell r="A255" t="str">
            <v>03B</v>
          </cell>
          <cell r="B255" t="str">
            <v>TRANSMISSION - CIL</v>
          </cell>
          <cell r="C255" t="str">
            <v>ENERGY DELIVERY SERVICES</v>
          </cell>
        </row>
        <row r="256">
          <cell r="A256" t="str">
            <v>03C</v>
          </cell>
          <cell r="B256" t="str">
            <v>TRANSMISSION - CIP</v>
          </cell>
          <cell r="C256" t="str">
            <v>ENERGY DELIVERY SERVICES</v>
          </cell>
        </row>
        <row r="257">
          <cell r="A257" t="str">
            <v>03D</v>
          </cell>
          <cell r="B257" t="str">
            <v>SUB MTCE &amp; CONST - IL EAST</v>
          </cell>
          <cell r="C257" t="str">
            <v>ENERGY DELIVERY SERVICES</v>
          </cell>
        </row>
        <row r="258">
          <cell r="A258" t="str">
            <v>03F</v>
          </cell>
          <cell r="B258" t="str">
            <v>SUB MTCE &amp; CONST - UEC SOUTH</v>
          </cell>
          <cell r="C258" t="str">
            <v>ENERGY DELIVERY SERVICES</v>
          </cell>
        </row>
        <row r="259">
          <cell r="A259" t="str">
            <v>03H</v>
          </cell>
          <cell r="B259" t="str">
            <v>SUB MTCE &amp; CONST - UEC WEST</v>
          </cell>
          <cell r="C259" t="str">
            <v>ENERGY DELIVERY SERVICES</v>
          </cell>
        </row>
        <row r="260">
          <cell r="A260" t="str">
            <v>03M</v>
          </cell>
          <cell r="B260" t="str">
            <v>SUB MTCE &amp; CONST - ENG &amp; ADMIN</v>
          </cell>
          <cell r="C260" t="str">
            <v>ENERGY DELIVERY SERVICES</v>
          </cell>
        </row>
        <row r="261">
          <cell r="A261" t="str">
            <v>03T</v>
          </cell>
          <cell r="B261" t="str">
            <v>TRANSMISSION - AMS</v>
          </cell>
          <cell r="C261" t="str">
            <v>ENERGY DELIVERY SERVICES</v>
          </cell>
        </row>
        <row r="262">
          <cell r="A262" t="str">
            <v>03U</v>
          </cell>
          <cell r="B262" t="str">
            <v>METER SERVICES - CIP</v>
          </cell>
          <cell r="C262" t="str">
            <v>ENERGY DELIVERY SERVICES</v>
          </cell>
        </row>
        <row r="263">
          <cell r="A263" t="str">
            <v>03V</v>
          </cell>
          <cell r="B263" t="str">
            <v>DISTRIBUTION SVCS - AMS</v>
          </cell>
          <cell r="C263" t="str">
            <v>ENERGY DELIVERY SERVICES</v>
          </cell>
        </row>
        <row r="264">
          <cell r="A264" t="str">
            <v>03W</v>
          </cell>
          <cell r="B264" t="str">
            <v>CUSTOMER SERVICE AMS</v>
          </cell>
          <cell r="C264" t="str">
            <v>MISSOURI OPERATIONS</v>
          </cell>
        </row>
        <row r="265">
          <cell r="A265" t="str">
            <v>03Z</v>
          </cell>
          <cell r="B265" t="str">
            <v>MISSOURI VAC FACTOR</v>
          </cell>
          <cell r="C265" t="str">
            <v>MISSOURI OPERATIONS</v>
          </cell>
        </row>
        <row r="266">
          <cell r="A266" t="str">
            <v>04C</v>
          </cell>
          <cell r="B266" t="str">
            <v>FINANCIAL COMMUNICATIONS</v>
          </cell>
          <cell r="C266" t="str">
            <v>CONTROLLER</v>
          </cell>
        </row>
        <row r="267">
          <cell r="A267" t="str">
            <v>04N</v>
          </cell>
          <cell r="B267" t="str">
            <v>INVALID BUDGET</v>
          </cell>
          <cell r="C267" t="str">
            <v>CONTROLLER</v>
          </cell>
        </row>
        <row r="268">
          <cell r="A268" t="str">
            <v>04R</v>
          </cell>
          <cell r="B268" t="str">
            <v>REGULATORY ACCOUNTING</v>
          </cell>
          <cell r="C268" t="str">
            <v>CONTROLLER</v>
          </cell>
        </row>
        <row r="269">
          <cell r="A269" t="str">
            <v>05A</v>
          </cell>
          <cell r="B269" t="str">
            <v>INTERNAL AUDIT</v>
          </cell>
          <cell r="C269" t="str">
            <v>FINANCE AND ACCOUNTING - OTHER</v>
          </cell>
        </row>
        <row r="270">
          <cell r="A270" t="str">
            <v>05B</v>
          </cell>
          <cell r="B270" t="str">
            <v>CORPORATE BUDGETING</v>
          </cell>
          <cell r="C270" t="str">
            <v>CONTROLLER</v>
          </cell>
        </row>
        <row r="271">
          <cell r="A271" t="str">
            <v>05E</v>
          </cell>
          <cell r="B271" t="str">
            <v>PERFORMANCE MANAGEMENT</v>
          </cell>
          <cell r="C271" t="str">
            <v>CONTROLLER</v>
          </cell>
        </row>
        <row r="272">
          <cell r="A272" t="str">
            <v>05F</v>
          </cell>
          <cell r="B272" t="str">
            <v>FINANCIAL FORECASTING</v>
          </cell>
          <cell r="C272" t="str">
            <v>CORPORATE PLANNING</v>
          </cell>
        </row>
        <row r="273">
          <cell r="A273" t="str">
            <v>05H</v>
          </cell>
          <cell r="B273" t="str">
            <v>HR - BUSINESS SERVICES</v>
          </cell>
          <cell r="C273" t="str">
            <v>HUMAN RESOURCES</v>
          </cell>
        </row>
        <row r="274">
          <cell r="A274" t="str">
            <v>05J</v>
          </cell>
          <cell r="B274" t="str">
            <v>GATEWAY SUPPORT STAFF</v>
          </cell>
          <cell r="C274" t="str">
            <v>MISSOURI OPERATIONS</v>
          </cell>
        </row>
        <row r="275">
          <cell r="A275" t="str">
            <v>05M</v>
          </cell>
          <cell r="B275" t="str">
            <v>STOREROOMS-AMS</v>
          </cell>
          <cell r="C275" t="str">
            <v>SUPPLY SERVICES</v>
          </cell>
        </row>
        <row r="276">
          <cell r="A276" t="str">
            <v>05N</v>
          </cell>
          <cell r="B276" t="str">
            <v>STOREROOMS-IL</v>
          </cell>
          <cell r="C276" t="str">
            <v>SUPPLY SERVICES</v>
          </cell>
        </row>
        <row r="277">
          <cell r="A277" t="str">
            <v>05P</v>
          </cell>
          <cell r="B277" t="str">
            <v>INVALID BUDGET</v>
          </cell>
          <cell r="C277" t="str">
            <v>CONTROLLER</v>
          </cell>
        </row>
        <row r="278">
          <cell r="A278" t="str">
            <v>05Q</v>
          </cell>
          <cell r="B278" t="str">
            <v>PIONEER PARK WRHSE-CIL-INVALID</v>
          </cell>
          <cell r="C278" t="str">
            <v>SUPPLY SERVICES</v>
          </cell>
        </row>
        <row r="279">
          <cell r="A279" t="str">
            <v>05R</v>
          </cell>
          <cell r="B279" t="str">
            <v>AMEREN CILCO STORES</v>
          </cell>
          <cell r="C279" t="str">
            <v>SUPPLY SERVICES</v>
          </cell>
        </row>
        <row r="280">
          <cell r="A280" t="str">
            <v>05T</v>
          </cell>
          <cell r="B280" t="str">
            <v>TAX</v>
          </cell>
          <cell r="C280" t="str">
            <v>FINANCE AND ACCOUNTING - OTHER</v>
          </cell>
        </row>
        <row r="281">
          <cell r="A281" t="str">
            <v>06A</v>
          </cell>
          <cell r="B281" t="str">
            <v>INF - INSERTING &amp; MAIL DELIVRY</v>
          </cell>
          <cell r="C281" t="str">
            <v>AMEREN SERVICES CENTER</v>
          </cell>
        </row>
        <row r="282">
          <cell r="A282" t="str">
            <v>06B</v>
          </cell>
          <cell r="B282" t="str">
            <v>INF - ENTERPRISE COMPUTING SVC</v>
          </cell>
          <cell r="C282" t="str">
            <v>AMEREN SERVICES CENTER</v>
          </cell>
        </row>
        <row r="283">
          <cell r="A283" t="str">
            <v>06C</v>
          </cell>
          <cell r="B283" t="str">
            <v>INF - STL CENTRAL SERVER OPS</v>
          </cell>
          <cell r="C283" t="str">
            <v>AMEREN SERVICES CENTER</v>
          </cell>
        </row>
        <row r="284">
          <cell r="A284" t="str">
            <v>06D</v>
          </cell>
          <cell r="B284" t="str">
            <v>SCP - SECURITY</v>
          </cell>
          <cell r="C284" t="str">
            <v>AMEREN SERVICES CENTER</v>
          </cell>
        </row>
        <row r="285">
          <cell r="A285" t="str">
            <v>06E</v>
          </cell>
          <cell r="B285" t="str">
            <v>SCP - DATA MANAGEMENT</v>
          </cell>
          <cell r="C285" t="str">
            <v>AMEREN SERVICES CENTER</v>
          </cell>
        </row>
        <row r="286">
          <cell r="A286" t="str">
            <v>06F</v>
          </cell>
          <cell r="B286" t="str">
            <v>INF - ENTERPRISE STORAGE</v>
          </cell>
          <cell r="C286" t="str">
            <v>AMEREN SERVICES CENTER</v>
          </cell>
        </row>
        <row r="287">
          <cell r="A287" t="str">
            <v>06G</v>
          </cell>
          <cell r="B287" t="str">
            <v>INF - MVS SYSTEMS</v>
          </cell>
          <cell r="C287" t="str">
            <v>AMEREN SERVICES CENTER</v>
          </cell>
        </row>
        <row r="288">
          <cell r="A288" t="str">
            <v>06H</v>
          </cell>
          <cell r="B288" t="str">
            <v>NEO - ENTERPRISE NETWORKING</v>
          </cell>
          <cell r="C288" t="str">
            <v>AMEREN SERVICES CENTER</v>
          </cell>
        </row>
        <row r="289">
          <cell r="A289" t="str">
            <v>06J</v>
          </cell>
          <cell r="B289" t="str">
            <v>CSF - ASC CUSTOMER SVCS</v>
          </cell>
          <cell r="C289" t="str">
            <v>AMEREN SERVICES CENTER</v>
          </cell>
        </row>
        <row r="290">
          <cell r="A290" t="str">
            <v>06K</v>
          </cell>
          <cell r="B290" t="str">
            <v>INVALID - ENTERPRISE ARCHITECT</v>
          </cell>
          <cell r="C290" t="str">
            <v>AMEREN SERVICES CENTER</v>
          </cell>
        </row>
        <row r="291">
          <cell r="A291" t="str">
            <v>06M</v>
          </cell>
          <cell r="B291" t="str">
            <v>CSF - TELECOM FIELD OPS</v>
          </cell>
          <cell r="C291" t="str">
            <v>AMEREN SERVICES CENTER</v>
          </cell>
        </row>
        <row r="292">
          <cell r="A292" t="str">
            <v>06P</v>
          </cell>
          <cell r="B292" t="str">
            <v>INVALID - BUSINESS CONTINUITY</v>
          </cell>
          <cell r="C292" t="str">
            <v>AMEREN SERVICES CENTER</v>
          </cell>
        </row>
        <row r="293">
          <cell r="A293" t="str">
            <v>06Q</v>
          </cell>
          <cell r="B293" t="str">
            <v>CSF - TRAINING SERVICES</v>
          </cell>
          <cell r="C293" t="str">
            <v>AMEREN SERVICES CENTER</v>
          </cell>
        </row>
        <row r="294">
          <cell r="A294" t="str">
            <v>06R</v>
          </cell>
          <cell r="B294" t="str">
            <v>CSF - SECURITY PROVISIONING</v>
          </cell>
          <cell r="C294" t="str">
            <v>AMEREN SERVICES CENTER</v>
          </cell>
        </row>
        <row r="295">
          <cell r="A295" t="str">
            <v>06T</v>
          </cell>
          <cell r="B295" t="str">
            <v>NEO - MOBILE &amp; SCADA COMM</v>
          </cell>
          <cell r="C295" t="str">
            <v>AMEREN SERVICES CENTER</v>
          </cell>
        </row>
        <row r="296">
          <cell r="A296" t="str">
            <v>06U</v>
          </cell>
          <cell r="B296" t="str">
            <v>NEO - NETWORK OPERATIONS</v>
          </cell>
          <cell r="C296" t="str">
            <v>AMEREN SERVICES CENTER</v>
          </cell>
        </row>
        <row r="297">
          <cell r="A297" t="str">
            <v>06Z</v>
          </cell>
          <cell r="B297" t="str">
            <v>EDTS VACANCY FACTOR</v>
          </cell>
          <cell r="C297" t="str">
            <v>ENERGY DELIVERY SERVICES</v>
          </cell>
        </row>
        <row r="298">
          <cell r="A298" t="str">
            <v>07C</v>
          </cell>
          <cell r="B298" t="str">
            <v>FLEET SVCS - CIL</v>
          </cell>
          <cell r="C298" t="str">
            <v>ENERGY DELIVERY SERVICES</v>
          </cell>
        </row>
        <row r="299">
          <cell r="A299" t="str">
            <v>07G</v>
          </cell>
          <cell r="B299" t="str">
            <v>FLEET SERVICES - GEN - INVALID</v>
          </cell>
          <cell r="C299" t="str">
            <v>ENERGY DELIVERY SERVICES</v>
          </cell>
        </row>
        <row r="300">
          <cell r="A300" t="str">
            <v>07M</v>
          </cell>
          <cell r="B300" t="str">
            <v>STRATEGIC SOURCING</v>
          </cell>
          <cell r="C300" t="str">
            <v>SUPPLY SERVICES</v>
          </cell>
        </row>
        <row r="301">
          <cell r="A301" t="str">
            <v>07N</v>
          </cell>
          <cell r="B301" t="str">
            <v>BUILDING SERVICES-IL</v>
          </cell>
          <cell r="C301" t="str">
            <v>SUPPLY SERVICES</v>
          </cell>
        </row>
        <row r="302">
          <cell r="A302" t="str">
            <v>07P</v>
          </cell>
          <cell r="B302" t="str">
            <v>FLEET SVCS -  CIP</v>
          </cell>
          <cell r="C302" t="str">
            <v>ENERGY DELIVERY SERVICES</v>
          </cell>
        </row>
        <row r="303">
          <cell r="A303" t="str">
            <v>07Q</v>
          </cell>
          <cell r="B303" t="str">
            <v>RISK MANAGEMENT</v>
          </cell>
          <cell r="C303" t="str">
            <v>TREASURER</v>
          </cell>
        </row>
        <row r="304">
          <cell r="A304" t="str">
            <v>07R</v>
          </cell>
          <cell r="B304" t="str">
            <v>FINANCIAL PLANNING &amp; INSURANCE</v>
          </cell>
          <cell r="C304" t="str">
            <v>TREASURER</v>
          </cell>
        </row>
        <row r="305">
          <cell r="A305" t="str">
            <v>07T</v>
          </cell>
          <cell r="B305" t="str">
            <v>FLEET SVCS - AMS</v>
          </cell>
          <cell r="C305" t="str">
            <v>ENERGY DELIVERY SERVICES</v>
          </cell>
        </row>
        <row r="306">
          <cell r="A306" t="str">
            <v>07V</v>
          </cell>
          <cell r="B306" t="str">
            <v>BUILDING SERVICES-AMS</v>
          </cell>
          <cell r="C306" t="str">
            <v>SUPPLY SERVICES</v>
          </cell>
        </row>
        <row r="307">
          <cell r="A307" t="str">
            <v>07W</v>
          </cell>
          <cell r="B307" t="str">
            <v>BLDG SVCS-CIL</v>
          </cell>
          <cell r="C307" t="str">
            <v>SUPPLY SERVICES</v>
          </cell>
        </row>
        <row r="308">
          <cell r="A308" t="str">
            <v>07X</v>
          </cell>
          <cell r="B308" t="str">
            <v>PERSIMMON BUILDINGS-CIL</v>
          </cell>
          <cell r="C308" t="str">
            <v>SUPPLY SERVICES</v>
          </cell>
        </row>
        <row r="309">
          <cell r="A309" t="str">
            <v>08C</v>
          </cell>
          <cell r="B309" t="str">
            <v>CUSTOMER SERVICE SYSTEM</v>
          </cell>
          <cell r="C309" t="str">
            <v>ENERGY DELIVERY SERVICES</v>
          </cell>
        </row>
        <row r="310">
          <cell r="A310" t="str">
            <v>08M</v>
          </cell>
          <cell r="B310" t="str">
            <v>Invalid RMC</v>
          </cell>
          <cell r="C310" t="str">
            <v>OTHER</v>
          </cell>
        </row>
        <row r="311">
          <cell r="A311" t="str">
            <v>08N</v>
          </cell>
          <cell r="B311" t="str">
            <v>CUSTOMER SVC CTR - CIP INVALID</v>
          </cell>
          <cell r="C311" t="str">
            <v>ILLINOIS OPERATIONS</v>
          </cell>
        </row>
        <row r="312">
          <cell r="A312" t="str">
            <v>08P</v>
          </cell>
          <cell r="B312" t="str">
            <v>SUPPLY CHAIN PROCESS &amp; PERFORM</v>
          </cell>
          <cell r="C312" t="str">
            <v>SUPPLY SERVICES</v>
          </cell>
        </row>
        <row r="313">
          <cell r="A313" t="str">
            <v>09C</v>
          </cell>
          <cell r="B313" t="str">
            <v>EDTS DRAFTING</v>
          </cell>
          <cell r="C313" t="str">
            <v>ENERGY DELIVERY SERVICES</v>
          </cell>
        </row>
        <row r="314">
          <cell r="A314" t="str">
            <v>09D</v>
          </cell>
          <cell r="B314" t="str">
            <v>TRANSMISSION POLICY</v>
          </cell>
          <cell r="C314" t="str">
            <v>ENERGY DELIVERY SERVICES</v>
          </cell>
        </row>
        <row r="315">
          <cell r="A315" t="str">
            <v>09E</v>
          </cell>
          <cell r="B315" t="str">
            <v>ELECTRICAL ENGINEERING</v>
          </cell>
          <cell r="C315" t="str">
            <v>ENERGY DELIVERY SERVICES</v>
          </cell>
        </row>
        <row r="316">
          <cell r="A316" t="str">
            <v>09F</v>
          </cell>
          <cell r="B316" t="str">
            <v>OPERATIONS ANALYSIS - INVALID</v>
          </cell>
          <cell r="C316" t="str">
            <v>CONTROLLER</v>
          </cell>
        </row>
        <row r="317">
          <cell r="A317" t="str">
            <v>09G</v>
          </cell>
          <cell r="B317" t="str">
            <v>GENERATION PROJECTS - GEN</v>
          </cell>
          <cell r="C317" t="str">
            <v>POWER PLANTS - GEN</v>
          </cell>
        </row>
        <row r="318">
          <cell r="A318" t="str">
            <v>09H</v>
          </cell>
          <cell r="B318" t="str">
            <v>DAM SAFETY &amp; HYDRO ENGINEERING</v>
          </cell>
          <cell r="C318" t="str">
            <v>GENERATION TECHNICAL SERVICES</v>
          </cell>
        </row>
        <row r="319">
          <cell r="A319" t="str">
            <v>09M</v>
          </cell>
          <cell r="B319" t="str">
            <v>GENERATION PROJECT ENGINEERING</v>
          </cell>
          <cell r="C319" t="str">
            <v>GENERATION TECHNICAL SERVICES</v>
          </cell>
        </row>
        <row r="320">
          <cell r="A320" t="str">
            <v>09P</v>
          </cell>
          <cell r="B320" t="str">
            <v>ELECTRIC PLANNING</v>
          </cell>
          <cell r="C320" t="str">
            <v>ENERGY DELIVERY SERVICES</v>
          </cell>
        </row>
        <row r="321">
          <cell r="A321" t="str">
            <v>09Q</v>
          </cell>
          <cell r="B321" t="str">
            <v>GENERATION PROJECT SVCS &amp; BUD</v>
          </cell>
          <cell r="C321" t="str">
            <v>GENERATION TECHNICAL SERVICES</v>
          </cell>
        </row>
        <row r="322">
          <cell r="A322" t="str">
            <v>09T</v>
          </cell>
          <cell r="B322" t="str">
            <v>COMMERCIAL OPERATIONS SUPPORT</v>
          </cell>
          <cell r="C322" t="str">
            <v>CORPORATE PLANNING</v>
          </cell>
        </row>
        <row r="323">
          <cell r="A323" t="str">
            <v>09V</v>
          </cell>
          <cell r="B323" t="str">
            <v>NEW GEN &amp; ENV PRJTS &amp; BUD</v>
          </cell>
          <cell r="C323" t="str">
            <v>GENERATION TECHNICAL SERVICES</v>
          </cell>
        </row>
        <row r="324">
          <cell r="A324" t="str">
            <v>09W</v>
          </cell>
          <cell r="B324" t="str">
            <v>GENERATION PROJECT MANAGEMENT</v>
          </cell>
          <cell r="C324" t="str">
            <v>GENERATION TECHNICAL SERVICES</v>
          </cell>
        </row>
        <row r="325">
          <cell r="A325" t="str">
            <v>0CG</v>
          </cell>
          <cell r="B325" t="str">
            <v>CAPE GIRARDEAU</v>
          </cell>
          <cell r="C325" t="str">
            <v>MISSOURI OPERATIONS</v>
          </cell>
        </row>
        <row r="326">
          <cell r="A326" t="str">
            <v>0CS</v>
          </cell>
          <cell r="B326" t="str">
            <v>SEMO SUPPORT STAFF</v>
          </cell>
          <cell r="C326" t="str">
            <v>MISSOURI OPERATIONS</v>
          </cell>
        </row>
        <row r="327">
          <cell r="A327" t="str">
            <v>0DX</v>
          </cell>
          <cell r="B327" t="str">
            <v>DEXTER</v>
          </cell>
          <cell r="C327" t="str">
            <v>MISSOURI OPERATIONS</v>
          </cell>
        </row>
        <row r="328">
          <cell r="A328" t="str">
            <v>0G1</v>
          </cell>
          <cell r="B328" t="str">
            <v>GAS TECH SERVICES CIP</v>
          </cell>
          <cell r="C328" t="str">
            <v>ILLINOIS OPERATIONS</v>
          </cell>
        </row>
        <row r="329">
          <cell r="A329" t="str">
            <v>0G2</v>
          </cell>
          <cell r="B329" t="str">
            <v>GAS TECH SERVICES AMS</v>
          </cell>
          <cell r="C329" t="str">
            <v>ILLINOIS OPERATIONS</v>
          </cell>
        </row>
        <row r="330">
          <cell r="A330" t="str">
            <v>0G3</v>
          </cell>
          <cell r="B330" t="str">
            <v>GAS TECH SERVICES UEC</v>
          </cell>
          <cell r="C330" t="str">
            <v>MISSOURI OPERATIONS</v>
          </cell>
        </row>
        <row r="331">
          <cell r="A331" t="str">
            <v>0G4</v>
          </cell>
          <cell r="B331" t="str">
            <v>GAS TECH SERVICES CIL</v>
          </cell>
          <cell r="C331" t="str">
            <v>ILLINOIS OPERATIONS</v>
          </cell>
        </row>
        <row r="332">
          <cell r="A332" t="str">
            <v>0G5</v>
          </cell>
          <cell r="B332" t="str">
            <v>GAS TECH SERVICES IPC</v>
          </cell>
          <cell r="C332" t="str">
            <v>ILLINOIS OPERATIONS</v>
          </cell>
        </row>
        <row r="333">
          <cell r="A333" t="str">
            <v>0G6</v>
          </cell>
          <cell r="B333" t="str">
            <v>GAS STORAGE</v>
          </cell>
          <cell r="C333" t="str">
            <v>ILLINOIS OPERATIONS</v>
          </cell>
        </row>
        <row r="334">
          <cell r="A334" t="str">
            <v>0G7</v>
          </cell>
          <cell r="B334" t="str">
            <v>GAS TRAINING &amp; COMPLIANCE</v>
          </cell>
          <cell r="C334" t="str">
            <v>ILLINOIS OPERATIONS</v>
          </cell>
        </row>
        <row r="335">
          <cell r="A335" t="str">
            <v>0HA</v>
          </cell>
          <cell r="B335" t="str">
            <v>HAYTI</v>
          </cell>
          <cell r="C335" t="str">
            <v>MISSOURI OPERATIONS</v>
          </cell>
        </row>
        <row r="336">
          <cell r="A336" t="str">
            <v>0PM</v>
          </cell>
          <cell r="B336" t="str">
            <v>EDTS ENGINEERING SVCS</v>
          </cell>
          <cell r="C336" t="str">
            <v>ENERGY DELIVERY SERVICES</v>
          </cell>
        </row>
        <row r="337">
          <cell r="A337" t="str">
            <v>0PT</v>
          </cell>
          <cell r="B337" t="str">
            <v>POTOSI</v>
          </cell>
          <cell r="C337" t="str">
            <v>MISSOURI OPERATIONS</v>
          </cell>
        </row>
        <row r="338">
          <cell r="A338" t="str">
            <v>12E</v>
          </cell>
          <cell r="B338" t="str">
            <v>INVALID BUDGET</v>
          </cell>
          <cell r="C338" t="str">
            <v>CORPORATE PLANNING</v>
          </cell>
        </row>
        <row r="339">
          <cell r="A339" t="str">
            <v>12R</v>
          </cell>
          <cell r="B339" t="str">
            <v>INVALID BUDGET</v>
          </cell>
          <cell r="C339" t="str">
            <v>OTHER</v>
          </cell>
        </row>
        <row r="340">
          <cell r="A340" t="str">
            <v>1EB</v>
          </cell>
          <cell r="B340" t="str">
            <v>INVALID - EBUSINESS DEVELOPMT</v>
          </cell>
          <cell r="C340" t="str">
            <v>AMEREN SERVICES CENTER</v>
          </cell>
        </row>
        <row r="341">
          <cell r="A341" t="str">
            <v>1GL</v>
          </cell>
          <cell r="B341" t="str">
            <v>GILMAN</v>
          </cell>
          <cell r="C341" t="str">
            <v>ILLINOIS OPERATIONS</v>
          </cell>
        </row>
        <row r="342">
          <cell r="A342" t="str">
            <v>1PA</v>
          </cell>
          <cell r="B342" t="str">
            <v>PAXTON</v>
          </cell>
          <cell r="C342" t="str">
            <v>ILLINOIS OPERATIONS</v>
          </cell>
        </row>
        <row r="343">
          <cell r="A343" t="str">
            <v>1PS</v>
          </cell>
          <cell r="B343" t="str">
            <v>PAXTON SUPPORT STAFF-INVALID</v>
          </cell>
          <cell r="C343" t="str">
            <v>ILLINOIS OPERATIONS</v>
          </cell>
        </row>
        <row r="344">
          <cell r="A344" t="str">
            <v>24Z</v>
          </cell>
          <cell r="B344" t="str">
            <v>VAC FACTOR IL DIV IV V VI VII</v>
          </cell>
          <cell r="C344" t="str">
            <v>ILLINOIS OPERATIONS</v>
          </cell>
        </row>
        <row r="345">
          <cell r="A345" t="str">
            <v>29C</v>
          </cell>
          <cell r="B345" t="str">
            <v>COMMUNITY RELATIONS MO</v>
          </cell>
          <cell r="C345" t="str">
            <v>MISSOURI OPERATIONS</v>
          </cell>
        </row>
        <row r="346">
          <cell r="A346" t="str">
            <v>29D</v>
          </cell>
          <cell r="B346" t="str">
            <v>IL COMMTY REL - PBLC AFFAIRS</v>
          </cell>
          <cell r="C346" t="str">
            <v>ILLINOIS OPERATIONS</v>
          </cell>
        </row>
        <row r="347">
          <cell r="A347" t="str">
            <v>29R</v>
          </cell>
          <cell r="B347" t="str">
            <v>REGULATORY POLICY</v>
          </cell>
          <cell r="C347" t="str">
            <v>REGULATORY POLICY &amp; PLANNING</v>
          </cell>
        </row>
        <row r="348">
          <cell r="A348" t="str">
            <v>2MA</v>
          </cell>
          <cell r="B348" t="str">
            <v>MATTOON</v>
          </cell>
          <cell r="C348" t="str">
            <v>ILLINOIS OPERATIONS</v>
          </cell>
        </row>
        <row r="349">
          <cell r="A349" t="str">
            <v>2MS</v>
          </cell>
          <cell r="B349" t="str">
            <v>DIVISION IV SUPPORT STAFF</v>
          </cell>
          <cell r="C349" t="str">
            <v>ILLINOIS OPERATIONS</v>
          </cell>
        </row>
        <row r="350">
          <cell r="A350" t="str">
            <v>2NP</v>
          </cell>
          <cell r="B350" t="str">
            <v>NORTH PANA</v>
          </cell>
          <cell r="C350" t="str">
            <v>ILLINOIS OPERATIONS</v>
          </cell>
        </row>
        <row r="351">
          <cell r="A351" t="str">
            <v>2PR</v>
          </cell>
          <cell r="B351" t="str">
            <v>PARIS - INVALID</v>
          </cell>
          <cell r="C351" t="str">
            <v>ILLINOIS OPERATIONS</v>
          </cell>
        </row>
        <row r="352">
          <cell r="A352" t="str">
            <v>2TU</v>
          </cell>
          <cell r="B352" t="str">
            <v>TUSCOLA</v>
          </cell>
          <cell r="C352" t="str">
            <v>ILLINOIS OPERATIONS</v>
          </cell>
        </row>
        <row r="353">
          <cell r="A353" t="str">
            <v>3EF</v>
          </cell>
          <cell r="B353" t="str">
            <v>EFFINGHAM</v>
          </cell>
          <cell r="C353" t="str">
            <v>ILLINOIS OPERATIONS</v>
          </cell>
        </row>
        <row r="354">
          <cell r="A354" t="str">
            <v>3MS</v>
          </cell>
          <cell r="B354" t="str">
            <v>DIVISION V SUPPORT STAFF</v>
          </cell>
          <cell r="C354" t="str">
            <v>ILLINOIS OPERATIONS</v>
          </cell>
        </row>
        <row r="355">
          <cell r="A355" t="str">
            <v>3OL</v>
          </cell>
          <cell r="B355" t="str">
            <v>OLNEY</v>
          </cell>
          <cell r="C355" t="str">
            <v>ILLINOIS OPERATIONS</v>
          </cell>
        </row>
        <row r="356">
          <cell r="A356" t="str">
            <v>3OS</v>
          </cell>
          <cell r="B356" t="str">
            <v>OLNEY SUPPORT STAFF-INVALID</v>
          </cell>
          <cell r="C356" t="str">
            <v>ILLINOIS OPERATIONS</v>
          </cell>
        </row>
        <row r="357">
          <cell r="A357" t="str">
            <v>3RB</v>
          </cell>
          <cell r="B357" t="str">
            <v>ROBINSON</v>
          </cell>
          <cell r="C357" t="str">
            <v>ILLINOIS OPERATIONS</v>
          </cell>
        </row>
        <row r="358">
          <cell r="A358" t="str">
            <v>40A</v>
          </cell>
          <cell r="B358" t="str">
            <v>GENERATN CONST MGMT SVCS &amp; BUD</v>
          </cell>
          <cell r="C358" t="str">
            <v>GENERATION TECHNICAL SERVICES</v>
          </cell>
        </row>
        <row r="359">
          <cell r="A359" t="str">
            <v>40B</v>
          </cell>
          <cell r="B359" t="str">
            <v>GENERATION OUTAGE MGMT SVCS</v>
          </cell>
          <cell r="C359" t="str">
            <v>GENERATION TECHNICAL SERVICES</v>
          </cell>
        </row>
        <row r="360">
          <cell r="A360" t="str">
            <v>40C</v>
          </cell>
          <cell r="B360" t="str">
            <v>GENERATION PWR PLT MAINTENANCE</v>
          </cell>
          <cell r="C360" t="str">
            <v>GENERATION TECHNICAL SERVICES</v>
          </cell>
        </row>
        <row r="361">
          <cell r="A361" t="str">
            <v>40D</v>
          </cell>
          <cell r="B361" t="str">
            <v>GENERATION MAINT ENG</v>
          </cell>
          <cell r="C361" t="str">
            <v>GENERATION TECHNICAL SERVICES</v>
          </cell>
        </row>
        <row r="362">
          <cell r="A362" t="str">
            <v>40E</v>
          </cell>
          <cell r="B362" t="str">
            <v>GENERATION TRAIN &amp; DEV SRVCS</v>
          </cell>
          <cell r="C362" t="str">
            <v>GENERATION TECHNICAL SERVICES</v>
          </cell>
        </row>
        <row r="363">
          <cell r="A363" t="str">
            <v>40G</v>
          </cell>
          <cell r="B363" t="str">
            <v>GENERATION CORRECTIVE ACTION</v>
          </cell>
          <cell r="C363" t="str">
            <v>GENERATION PRECISION QLTY MGMT</v>
          </cell>
        </row>
        <row r="364">
          <cell r="A364" t="str">
            <v>44A</v>
          </cell>
          <cell r="B364" t="str">
            <v>OSAGE PLANT GENERAL &amp; BUD</v>
          </cell>
          <cell r="C364" t="str">
            <v>UE GENERATION - NON NUCLEAR</v>
          </cell>
        </row>
        <row r="365">
          <cell r="A365" t="str">
            <v>44B</v>
          </cell>
          <cell r="B365" t="str">
            <v>OSAGE PLANT OPERATIONS&amp;ENGINEERING</v>
          </cell>
          <cell r="C365" t="str">
            <v>UE GENERATION - NON NUCLEAR</v>
          </cell>
        </row>
        <row r="366">
          <cell r="A366" t="str">
            <v>44C</v>
          </cell>
          <cell r="B366" t="str">
            <v>OSAGE PLANT MAINTENANCE</v>
          </cell>
          <cell r="C366" t="str">
            <v>UE GENERATION - NON NUCLEAR</v>
          </cell>
        </row>
        <row r="367">
          <cell r="A367" t="str">
            <v>45C</v>
          </cell>
          <cell r="B367" t="str">
            <v>ED FINANCIAL SUPPRT &amp; ANALYSIS</v>
          </cell>
          <cell r="C367" t="str">
            <v>ENERGY DELIVERY SERVICES</v>
          </cell>
        </row>
        <row r="368">
          <cell r="A368" t="str">
            <v>45P</v>
          </cell>
          <cell r="B368" t="str">
            <v>ED ORDER PROCESSING-UE-INVALID</v>
          </cell>
          <cell r="C368" t="str">
            <v>MISSOURI OPERATIONS</v>
          </cell>
        </row>
        <row r="369">
          <cell r="A369" t="str">
            <v>45Z</v>
          </cell>
          <cell r="B369" t="str">
            <v>BUSINESS SERVICES - VAC FACTOR</v>
          </cell>
          <cell r="C369" t="str">
            <v>ENERGY DELIVERY SERVICES</v>
          </cell>
        </row>
        <row r="370">
          <cell r="A370" t="str">
            <v>46A</v>
          </cell>
          <cell r="B370" t="str">
            <v>TAUM SAUK PLANT GENERAL &amp; BUD</v>
          </cell>
          <cell r="C370" t="str">
            <v>UE GENERATION - NON NUCLEAR</v>
          </cell>
        </row>
        <row r="371">
          <cell r="A371" t="str">
            <v>46B</v>
          </cell>
          <cell r="B371" t="str">
            <v>TAUM SAUK OPERATIONS&amp;ENGINEERING</v>
          </cell>
          <cell r="C371" t="str">
            <v>UE GENERATION - NON NUCLEAR</v>
          </cell>
        </row>
        <row r="372">
          <cell r="A372" t="str">
            <v>46C</v>
          </cell>
          <cell r="B372" t="str">
            <v>TAUM SAUK PLANT MAINTENANCE</v>
          </cell>
          <cell r="C372" t="str">
            <v>UE GENERATION - NON NUCLEAR</v>
          </cell>
        </row>
        <row r="373">
          <cell r="A373" t="str">
            <v>48Z</v>
          </cell>
          <cell r="B373" t="str">
            <v>VAC FACTOR IL DIV I II III</v>
          </cell>
          <cell r="C373" t="str">
            <v>ILLINOIS OPERATIONS</v>
          </cell>
        </row>
        <row r="374">
          <cell r="A374" t="str">
            <v>49A</v>
          </cell>
          <cell r="B374" t="str">
            <v>ESH - AIR</v>
          </cell>
          <cell r="C374" t="str">
            <v>ENVIRONMENTAL SAFETY HEALTH</v>
          </cell>
        </row>
        <row r="375">
          <cell r="A375" t="str">
            <v>49B</v>
          </cell>
          <cell r="B375" t="str">
            <v>ESH - WASTE</v>
          </cell>
          <cell r="C375" t="str">
            <v>ENVIRONMENTAL SAFETY HEALTH</v>
          </cell>
        </row>
        <row r="376">
          <cell r="A376" t="str">
            <v>49C</v>
          </cell>
          <cell r="B376" t="str">
            <v>ESH - WATER</v>
          </cell>
          <cell r="C376" t="str">
            <v>ENVIRONMENTAL SAFETY HEALTH</v>
          </cell>
        </row>
        <row r="377">
          <cell r="A377" t="str">
            <v>49D</v>
          </cell>
          <cell r="B377" t="str">
            <v>ESH - SAFETY &amp; HEALTH</v>
          </cell>
          <cell r="C377" t="str">
            <v>ENVIRONMENTAL SAFETY HEALTH</v>
          </cell>
        </row>
        <row r="378">
          <cell r="A378" t="str">
            <v>4AN</v>
          </cell>
          <cell r="B378" t="str">
            <v>ANNA</v>
          </cell>
          <cell r="C378" t="str">
            <v>ILLINOIS OPERATIONS</v>
          </cell>
        </row>
        <row r="379">
          <cell r="A379" t="str">
            <v>4AP</v>
          </cell>
          <cell r="B379" t="str">
            <v>ACCOUNTS PAYABLE</v>
          </cell>
          <cell r="C379" t="str">
            <v>AMEREN SERVICES CENTER</v>
          </cell>
        </row>
        <row r="380">
          <cell r="A380" t="str">
            <v>4BE</v>
          </cell>
          <cell r="B380" t="str">
            <v>BENTON</v>
          </cell>
          <cell r="C380" t="str">
            <v>ILLINOIS OPERATIONS</v>
          </cell>
        </row>
        <row r="381">
          <cell r="A381" t="str">
            <v>4BV</v>
          </cell>
          <cell r="B381" t="str">
            <v>BOONVILLE</v>
          </cell>
          <cell r="C381" t="str">
            <v>MISSOURI OPERATIONS</v>
          </cell>
        </row>
        <row r="382">
          <cell r="A382" t="str">
            <v>4CA</v>
          </cell>
          <cell r="B382" t="str">
            <v>CARBONDALE</v>
          </cell>
          <cell r="C382" t="str">
            <v>ILLINOIS OPERATIONS</v>
          </cell>
        </row>
        <row r="383">
          <cell r="A383" t="str">
            <v>4CL</v>
          </cell>
          <cell r="B383" t="str">
            <v>COLUMBIA</v>
          </cell>
          <cell r="C383" t="str">
            <v>MISSOURI OPERATIONS</v>
          </cell>
        </row>
        <row r="384">
          <cell r="A384" t="str">
            <v>4GL</v>
          </cell>
          <cell r="B384" t="str">
            <v>GENERAL &amp; ASSET ACCOUNTING</v>
          </cell>
          <cell r="C384" t="str">
            <v>CONTROLLER</v>
          </cell>
        </row>
        <row r="385">
          <cell r="A385" t="str">
            <v>4GV</v>
          </cell>
          <cell r="B385" t="str">
            <v>GRAVOIS VALLEY SUPPORT STAFF</v>
          </cell>
          <cell r="C385" t="str">
            <v>MISSOURI OPERATIONS</v>
          </cell>
        </row>
        <row r="386">
          <cell r="A386" t="str">
            <v>4HA</v>
          </cell>
          <cell r="B386" t="str">
            <v>HARRISBURG</v>
          </cell>
          <cell r="C386" t="str">
            <v>ILLINOIS OPERATIONS</v>
          </cell>
        </row>
        <row r="387">
          <cell r="A387" t="str">
            <v>4MA</v>
          </cell>
          <cell r="B387" t="str">
            <v>MARION</v>
          </cell>
          <cell r="C387" t="str">
            <v>ILLINOIS OPERATIONS</v>
          </cell>
        </row>
        <row r="388">
          <cell r="A388" t="str">
            <v>4MB</v>
          </cell>
          <cell r="B388" t="str">
            <v>MOBERLY</v>
          </cell>
          <cell r="C388" t="str">
            <v>MISSOURI OPERATIONS</v>
          </cell>
        </row>
        <row r="389">
          <cell r="A389" t="str">
            <v>4ME</v>
          </cell>
          <cell r="B389" t="str">
            <v>MEXICO</v>
          </cell>
          <cell r="C389" t="str">
            <v>MISSOURI OPERATIONS</v>
          </cell>
        </row>
        <row r="390">
          <cell r="A390" t="str">
            <v>4MS</v>
          </cell>
          <cell r="B390" t="str">
            <v>DIVISION VII SUPPORT STAFF</v>
          </cell>
          <cell r="C390" t="str">
            <v>ILLINOIS OPERATIONS</v>
          </cell>
        </row>
        <row r="391">
          <cell r="A391" t="str">
            <v>4MX</v>
          </cell>
          <cell r="B391" t="str">
            <v>LITTLE DIXIE SUPPORT STAFF</v>
          </cell>
          <cell r="C391" t="str">
            <v>MISSOURI OPERATIONS</v>
          </cell>
        </row>
        <row r="392">
          <cell r="A392" t="str">
            <v>4PL</v>
          </cell>
          <cell r="B392" t="str">
            <v>PLANT ACCOUNTING</v>
          </cell>
          <cell r="C392" t="str">
            <v>AMEREN SERVICES CENTER</v>
          </cell>
        </row>
        <row r="393">
          <cell r="A393" t="str">
            <v>4TR</v>
          </cell>
          <cell r="B393" t="str">
            <v>TWIN RIVERS SUPPORT STAFF</v>
          </cell>
          <cell r="C393" t="str">
            <v>MISSOURI OPERATIONS</v>
          </cell>
        </row>
        <row r="394">
          <cell r="A394" t="str">
            <v>4TX</v>
          </cell>
          <cell r="B394" t="str">
            <v>TAX COMPLIANCE</v>
          </cell>
          <cell r="C394" t="str">
            <v>AMEREN SERVICES CENTER</v>
          </cell>
        </row>
        <row r="395">
          <cell r="A395" t="str">
            <v>53Z</v>
          </cell>
          <cell r="B395" t="str">
            <v>IL OPS VACANCY FACTOR</v>
          </cell>
          <cell r="C395" t="str">
            <v>ILLINOIS OPERATIONS</v>
          </cell>
        </row>
        <row r="396">
          <cell r="A396" t="str">
            <v>5GE</v>
          </cell>
          <cell r="B396" t="str">
            <v>GERALD - INVALID</v>
          </cell>
          <cell r="C396" t="str">
            <v>MISSOURI OPERATIONS</v>
          </cell>
        </row>
        <row r="397">
          <cell r="A397" t="str">
            <v>5JE</v>
          </cell>
          <cell r="B397" t="str">
            <v>JEFFERSON CITY - INVALID</v>
          </cell>
          <cell r="C397" t="str">
            <v>MISSOURI OPERATIONS</v>
          </cell>
        </row>
        <row r="398">
          <cell r="A398" t="str">
            <v>5JS</v>
          </cell>
          <cell r="B398" t="str">
            <v>CAPITAL</v>
          </cell>
          <cell r="C398" t="str">
            <v>MISSOURI OPERATIONS</v>
          </cell>
        </row>
        <row r="399">
          <cell r="A399" t="str">
            <v>5VE</v>
          </cell>
          <cell r="B399" t="str">
            <v>VERSAILLES - INVALID</v>
          </cell>
          <cell r="C399" t="str">
            <v>MISSOURI OPERATIONS</v>
          </cell>
        </row>
        <row r="400">
          <cell r="A400" t="str">
            <v>61A</v>
          </cell>
          <cell r="B400" t="str">
            <v>DUCK CREEK PLANT GENERAL &amp; BUD</v>
          </cell>
          <cell r="C400" t="str">
            <v>POWER PLANTS - GEN</v>
          </cell>
        </row>
        <row r="401">
          <cell r="A401" t="str">
            <v>61B</v>
          </cell>
          <cell r="B401" t="str">
            <v>DUCK CREEK PLANT OPERATIONS</v>
          </cell>
          <cell r="C401" t="str">
            <v>POWER PLANTS - GEN</v>
          </cell>
        </row>
        <row r="402">
          <cell r="A402" t="str">
            <v>61C</v>
          </cell>
          <cell r="B402" t="str">
            <v>DUCK CREEK PLANT MAINTENANCE</v>
          </cell>
          <cell r="C402" t="str">
            <v>POWER PLANTS - GEN</v>
          </cell>
        </row>
        <row r="403">
          <cell r="A403" t="str">
            <v>61D</v>
          </cell>
          <cell r="B403" t="str">
            <v>DUCK CREEK PLANT TECH SUPPORT</v>
          </cell>
          <cell r="C403" t="str">
            <v>POWER PLANTS - GEN</v>
          </cell>
        </row>
        <row r="404">
          <cell r="A404" t="str">
            <v>61E</v>
          </cell>
          <cell r="B404" t="str">
            <v>DUCK CREEK PLANT ADMIN</v>
          </cell>
          <cell r="C404" t="str">
            <v>POWER PLANTS - GEN</v>
          </cell>
        </row>
        <row r="405">
          <cell r="A405" t="str">
            <v>61F</v>
          </cell>
          <cell r="B405" t="str">
            <v>DC CTRL ROOM &amp; TURBINE-INVALID</v>
          </cell>
          <cell r="C405" t="str">
            <v>POWER PLANTS - GEN</v>
          </cell>
        </row>
        <row r="406">
          <cell r="A406" t="str">
            <v>61G</v>
          </cell>
          <cell r="B406" t="str">
            <v>DC PLANT SUPPT &amp; WHSE-INVALID</v>
          </cell>
          <cell r="C406" t="str">
            <v>POWER PLANTS - GEN</v>
          </cell>
        </row>
        <row r="407">
          <cell r="A407" t="str">
            <v>61J</v>
          </cell>
          <cell r="B407" t="str">
            <v>DC FINANCIAL &amp; ACCTG-INVALID</v>
          </cell>
          <cell r="C407" t="str">
            <v>POWER PLANTS - GEN</v>
          </cell>
        </row>
        <row r="408">
          <cell r="A408" t="str">
            <v>61K</v>
          </cell>
          <cell r="B408" t="str">
            <v>DC INTEGRATION COSTS-INVALID</v>
          </cell>
          <cell r="C408" t="str">
            <v>POWER PLANTS - GEN</v>
          </cell>
        </row>
        <row r="409">
          <cell r="A409" t="str">
            <v>61P</v>
          </cell>
          <cell r="B409" t="str">
            <v>DUCK CREEK-PLAN &amp;SCHED-INVALID</v>
          </cell>
          <cell r="C409" t="str">
            <v>POWER PLANTS - GEN</v>
          </cell>
        </row>
        <row r="410">
          <cell r="A410" t="str">
            <v>62A</v>
          </cell>
          <cell r="B410" t="str">
            <v>EDWARDS PLANT GENERAL &amp; BUD</v>
          </cell>
          <cell r="C410" t="str">
            <v>POWER PLANTS - GEN</v>
          </cell>
        </row>
        <row r="411">
          <cell r="A411" t="str">
            <v>62B</v>
          </cell>
          <cell r="B411" t="str">
            <v>EDWARDS PLANT OPERATIONS</v>
          </cell>
          <cell r="C411" t="str">
            <v>POWER PLANTS - GEN</v>
          </cell>
        </row>
        <row r="412">
          <cell r="A412" t="str">
            <v>62C</v>
          </cell>
          <cell r="B412" t="str">
            <v>EDWARDS PLANT MAINTENANCE</v>
          </cell>
          <cell r="C412" t="str">
            <v>POWER PLANTS - GEN</v>
          </cell>
        </row>
        <row r="413">
          <cell r="A413" t="str">
            <v>62D</v>
          </cell>
          <cell r="B413" t="str">
            <v>EDWARDS PLANT TECH SUPPORT</v>
          </cell>
          <cell r="C413" t="str">
            <v>POWER PLANTS - GEN</v>
          </cell>
        </row>
        <row r="414">
          <cell r="A414" t="str">
            <v>62E</v>
          </cell>
          <cell r="B414" t="str">
            <v>EDWARDS PLANT ADMINISTRATION</v>
          </cell>
          <cell r="C414" t="str">
            <v>POWER PLANTS - GEN</v>
          </cell>
        </row>
        <row r="415">
          <cell r="A415" t="str">
            <v>62F</v>
          </cell>
          <cell r="B415" t="str">
            <v>EDWARDS CTRL RM &amp; TURB-INVALID</v>
          </cell>
          <cell r="C415" t="str">
            <v>POWER PLANTS - GEN</v>
          </cell>
        </row>
        <row r="416">
          <cell r="A416" t="str">
            <v>62G</v>
          </cell>
          <cell r="B416" t="str">
            <v>EDWARDS PLANT SUPPORT-INVALID</v>
          </cell>
          <cell r="C416" t="str">
            <v>POWER PLANTS - GEN</v>
          </cell>
        </row>
        <row r="417">
          <cell r="A417" t="str">
            <v>62H</v>
          </cell>
          <cell r="B417" t="str">
            <v>EDWARDS UNIT #1-INVALID</v>
          </cell>
          <cell r="C417" t="str">
            <v>POWER PLANTS - GEN</v>
          </cell>
        </row>
        <row r="418">
          <cell r="A418" t="str">
            <v>62J</v>
          </cell>
          <cell r="B418" t="str">
            <v>EDWARDS UNIT #2-INVALID</v>
          </cell>
          <cell r="C418" t="str">
            <v>POWER PLANTS - GEN</v>
          </cell>
        </row>
        <row r="419">
          <cell r="A419" t="str">
            <v>62K</v>
          </cell>
          <cell r="B419" t="str">
            <v>EDWARDS UNIT #3-INVALID</v>
          </cell>
          <cell r="C419" t="str">
            <v>POWER PLANTS - GEN</v>
          </cell>
        </row>
        <row r="420">
          <cell r="A420" t="str">
            <v>62P</v>
          </cell>
          <cell r="B420" t="str">
            <v>E.D.EDWARD- PLN &amp; SCHD-INVALID</v>
          </cell>
          <cell r="C420" t="str">
            <v>POWER PLANTS - GEN</v>
          </cell>
        </row>
        <row r="421">
          <cell r="A421" t="str">
            <v>63A</v>
          </cell>
          <cell r="B421" t="str">
            <v>INDIAN TRAILS COGEN</v>
          </cell>
          <cell r="C421" t="str">
            <v>AMEREN CTG OPERATIONS</v>
          </cell>
        </row>
        <row r="422">
          <cell r="A422" t="str">
            <v>64A</v>
          </cell>
          <cell r="B422" t="str">
            <v>MEDINA VALLEY COGEN</v>
          </cell>
          <cell r="C422" t="str">
            <v>AMEREN CTG OPERATIONS</v>
          </cell>
        </row>
        <row r="423">
          <cell r="A423" t="str">
            <v>6BT</v>
          </cell>
          <cell r="B423" t="str">
            <v>BEARDSTOWN - INVALID</v>
          </cell>
          <cell r="C423" t="str">
            <v>ENERGY DELIVERY SERVICES</v>
          </cell>
        </row>
        <row r="424">
          <cell r="A424" t="str">
            <v>6MR</v>
          </cell>
          <cell r="B424" t="str">
            <v>MARION - INVALID</v>
          </cell>
          <cell r="C424" t="str">
            <v>ENERGY DELIVERY SERVICES</v>
          </cell>
        </row>
        <row r="425">
          <cell r="A425" t="str">
            <v>6MS</v>
          </cell>
          <cell r="B425" t="str">
            <v>CIPS OPS SUPPORT ADMIN - INVAL</v>
          </cell>
          <cell r="C425" t="str">
            <v>ENERGY DELIVERY SERVICES</v>
          </cell>
        </row>
        <row r="426">
          <cell r="A426" t="str">
            <v>6MT</v>
          </cell>
          <cell r="B426" t="str">
            <v>MATTOON - INVALID</v>
          </cell>
          <cell r="C426" t="str">
            <v>ENERGY DELIVERY SERVICES</v>
          </cell>
        </row>
        <row r="427">
          <cell r="A427" t="str">
            <v>78A</v>
          </cell>
          <cell r="B427" t="str">
            <v>RUSH ISLAND PLT GENERAL &amp; BUD</v>
          </cell>
          <cell r="C427" t="str">
            <v>UE GENERATION - NON NUCLEAR</v>
          </cell>
        </row>
        <row r="428">
          <cell r="A428" t="str">
            <v>78B</v>
          </cell>
          <cell r="B428" t="str">
            <v>RUSH ISLAND PLANT OPERATIONS</v>
          </cell>
          <cell r="C428" t="str">
            <v>UE GENERATION - NON NUCLEAR</v>
          </cell>
        </row>
        <row r="429">
          <cell r="A429" t="str">
            <v>78C</v>
          </cell>
          <cell r="B429" t="str">
            <v>RUSH ISLAND PLANT MAINTENANCE</v>
          </cell>
          <cell r="C429" t="str">
            <v>UE GENERATION - NON NUCLEAR</v>
          </cell>
        </row>
        <row r="430">
          <cell r="A430" t="str">
            <v>78D</v>
          </cell>
          <cell r="B430" t="str">
            <v>RUSH ISLAND PLANT TECHNICAL SUPPORT</v>
          </cell>
          <cell r="C430" t="str">
            <v>UE GENERATION - NON NUCLEAR</v>
          </cell>
        </row>
        <row r="431">
          <cell r="A431" t="str">
            <v>78E</v>
          </cell>
          <cell r="B431" t="str">
            <v>RUSH ISLAND PLANT ADMINISTRATION</v>
          </cell>
          <cell r="C431" t="str">
            <v>UE GENERATION - NON NUCLEAR</v>
          </cell>
        </row>
        <row r="432">
          <cell r="A432" t="str">
            <v>79A</v>
          </cell>
          <cell r="B432" t="str">
            <v>MERAMEC PLANT GENERAL &amp; BUD</v>
          </cell>
          <cell r="C432" t="str">
            <v>UE GENERATION - NON NUCLEAR</v>
          </cell>
        </row>
        <row r="433">
          <cell r="A433" t="str">
            <v>79B</v>
          </cell>
          <cell r="B433" t="str">
            <v>MERAMEC PLANT OPERATIONS</v>
          </cell>
          <cell r="C433" t="str">
            <v>UE GENERATION - NON NUCLEAR</v>
          </cell>
        </row>
        <row r="434">
          <cell r="A434" t="str">
            <v>79C</v>
          </cell>
          <cell r="B434" t="str">
            <v>MERAMEC PLANT MAINTENANCE</v>
          </cell>
          <cell r="C434" t="str">
            <v>UE GENERATION - NON NUCLEAR</v>
          </cell>
        </row>
        <row r="435">
          <cell r="A435" t="str">
            <v>79D</v>
          </cell>
          <cell r="B435" t="str">
            <v>MERAMEC PLANT TECHNICAL SUPPORT</v>
          </cell>
          <cell r="C435" t="str">
            <v>UE GENERATION - NON NUCLEAR</v>
          </cell>
        </row>
        <row r="436">
          <cell r="A436" t="str">
            <v>79E</v>
          </cell>
          <cell r="B436" t="str">
            <v>MERAMEC PLANT ADMINISTRATION</v>
          </cell>
          <cell r="C436" t="str">
            <v>UE GENERATION - NON NUCLEAR</v>
          </cell>
        </row>
        <row r="437">
          <cell r="A437" t="str">
            <v>7EX</v>
          </cell>
          <cell r="B437" t="str">
            <v>EXCELSIOR SPRINGS</v>
          </cell>
          <cell r="C437" t="str">
            <v>MISSOURI OPERATIONS</v>
          </cell>
        </row>
        <row r="438">
          <cell r="A438" t="str">
            <v>7JE</v>
          </cell>
          <cell r="B438" t="str">
            <v>JERSEYVILLE</v>
          </cell>
          <cell r="C438" t="str">
            <v>ILLINOIS OPERATIONS</v>
          </cell>
        </row>
        <row r="439">
          <cell r="A439" t="str">
            <v>7KS</v>
          </cell>
          <cell r="B439" t="str">
            <v>GREEN HILLS SUPPORT STAFF</v>
          </cell>
          <cell r="C439" t="str">
            <v>MISSOURI OPERATIONS</v>
          </cell>
        </row>
        <row r="440">
          <cell r="A440" t="str">
            <v>7KV</v>
          </cell>
          <cell r="B440" t="str">
            <v>KIRKSVILLE</v>
          </cell>
          <cell r="C440" t="str">
            <v>MISSOURI OPERATIONS</v>
          </cell>
        </row>
        <row r="441">
          <cell r="A441" t="str">
            <v>7PT</v>
          </cell>
          <cell r="B441" t="str">
            <v>PITTSFIELD</v>
          </cell>
          <cell r="C441" t="str">
            <v>ILLINOIS OPERATIONS</v>
          </cell>
        </row>
        <row r="442">
          <cell r="A442" t="str">
            <v>7QS</v>
          </cell>
          <cell r="B442" t="str">
            <v>QUINCY SUPPORT STAFF- INVALID</v>
          </cell>
          <cell r="C442" t="str">
            <v>ILLINOIS OPERATIONS</v>
          </cell>
        </row>
        <row r="443">
          <cell r="A443" t="str">
            <v>7QU</v>
          </cell>
          <cell r="B443" t="str">
            <v>QUINCY</v>
          </cell>
          <cell r="C443" t="str">
            <v>ILLINOIS OPERATIONS</v>
          </cell>
        </row>
        <row r="444">
          <cell r="A444" t="str">
            <v>7VN</v>
          </cell>
          <cell r="B444" t="str">
            <v>VIRDEN</v>
          </cell>
          <cell r="C444" t="str">
            <v>ILLINOIS OPERATIONS</v>
          </cell>
        </row>
        <row r="445">
          <cell r="A445" t="str">
            <v>80A</v>
          </cell>
          <cell r="B445" t="str">
            <v>NUCL - ADMINISTRATION</v>
          </cell>
          <cell r="C445" t="str">
            <v>UE GENERATION - NUCLEAR</v>
          </cell>
        </row>
        <row r="446">
          <cell r="A446" t="str">
            <v>80B</v>
          </cell>
          <cell r="B446" t="str">
            <v>NUCL - OPERATIONS</v>
          </cell>
          <cell r="C446" t="str">
            <v>UE GENERATION - NUCLEAR</v>
          </cell>
        </row>
        <row r="447">
          <cell r="A447" t="str">
            <v>80C</v>
          </cell>
          <cell r="B447" t="str">
            <v>CA - QUALITY ASSURANCE INVALID</v>
          </cell>
          <cell r="C447" t="str">
            <v>UE GENERATION - NUCLEAR</v>
          </cell>
        </row>
        <row r="448">
          <cell r="A448" t="str">
            <v>80D</v>
          </cell>
          <cell r="B448" t="str">
            <v>NUCL - MAINTENANCE I&amp;C</v>
          </cell>
          <cell r="C448" t="str">
            <v>UE GENERATION - NUCLEAR</v>
          </cell>
        </row>
        <row r="449">
          <cell r="A449" t="str">
            <v>80E</v>
          </cell>
          <cell r="B449" t="str">
            <v>NUCL - TRAINING - OPERATIONS</v>
          </cell>
          <cell r="C449" t="str">
            <v>UE GENERATION - NUCLEAR</v>
          </cell>
        </row>
        <row r="450">
          <cell r="A450" t="str">
            <v>80G</v>
          </cell>
          <cell r="B450" t="str">
            <v>NUCL - MAINTENANCE FACILITIES</v>
          </cell>
          <cell r="C450" t="str">
            <v>UE GENERATION - NUCLEAR</v>
          </cell>
        </row>
        <row r="451">
          <cell r="A451" t="str">
            <v>80I</v>
          </cell>
          <cell r="B451" t="str">
            <v>CSF - CALLAWAY</v>
          </cell>
          <cell r="C451" t="str">
            <v>AMEREN SERVICES CENTER</v>
          </cell>
        </row>
        <row r="452">
          <cell r="A452" t="str">
            <v>80K</v>
          </cell>
          <cell r="B452" t="str">
            <v>NUCL - LICENSING</v>
          </cell>
          <cell r="C452" t="str">
            <v>UE GENERATION - NUCLEAR</v>
          </cell>
        </row>
        <row r="453">
          <cell r="A453" t="str">
            <v>80M</v>
          </cell>
          <cell r="B453" t="str">
            <v>NUCL - MATERIALS MANAGEMENT</v>
          </cell>
          <cell r="C453" t="str">
            <v>UE GENERATION - NUCLEAR</v>
          </cell>
        </row>
        <row r="454">
          <cell r="A454" t="str">
            <v>80N</v>
          </cell>
          <cell r="B454" t="str">
            <v>NUCL - SECURITY</v>
          </cell>
          <cell r="C454" t="str">
            <v>UE GENERATION - NUCLEAR</v>
          </cell>
        </row>
        <row r="455">
          <cell r="A455" t="str">
            <v>80Q</v>
          </cell>
          <cell r="B455" t="str">
            <v>NUCL- BUSINESS PLAN &amp; COMM</v>
          </cell>
          <cell r="C455" t="str">
            <v>UE GENERATION - NUCLEAR</v>
          </cell>
        </row>
        <row r="456">
          <cell r="A456" t="str">
            <v>80R</v>
          </cell>
          <cell r="B456" t="str">
            <v>NUCL - TRAINING-RP-CHEM-ENG</v>
          </cell>
          <cell r="C456" t="str">
            <v>UE GENERATION - NUCLEAR</v>
          </cell>
        </row>
        <row r="457">
          <cell r="A457" t="str">
            <v>80S</v>
          </cell>
          <cell r="B457" t="str">
            <v>NUCL - SAFETY</v>
          </cell>
          <cell r="C457" t="str">
            <v>UE GENERATION - NUCLEAR</v>
          </cell>
        </row>
        <row r="458">
          <cell r="A458" t="str">
            <v>80T</v>
          </cell>
          <cell r="B458" t="str">
            <v>NUCL - TRAINING - MAINT-I&amp;C</v>
          </cell>
          <cell r="C458" t="str">
            <v>UE GENERATION - NUCLEAR</v>
          </cell>
        </row>
        <row r="459">
          <cell r="A459" t="str">
            <v>80V</v>
          </cell>
          <cell r="B459" t="str">
            <v>NUCL - STARS</v>
          </cell>
          <cell r="C459" t="str">
            <v>UE GENERATION - NUCLEAR</v>
          </cell>
        </row>
        <row r="460">
          <cell r="A460" t="str">
            <v>80W</v>
          </cell>
          <cell r="B460" t="str">
            <v>NUCL - PERSONNEL DEPT</v>
          </cell>
          <cell r="C460" t="str">
            <v>UE GENERATION - NUCLEAR</v>
          </cell>
        </row>
        <row r="461">
          <cell r="A461" t="str">
            <v>80X</v>
          </cell>
          <cell r="B461" t="str">
            <v>NUCL - NUCLEAR STAFF</v>
          </cell>
          <cell r="C461" t="str">
            <v>UE GENERATION - NUCLEAR</v>
          </cell>
        </row>
        <row r="462">
          <cell r="A462" t="str">
            <v>80Y</v>
          </cell>
          <cell r="B462" t="str">
            <v>NUCL - TRAINING - GENERAL</v>
          </cell>
          <cell r="C462" t="str">
            <v>UE GENERATION - NUCLEAR</v>
          </cell>
        </row>
        <row r="463">
          <cell r="A463" t="str">
            <v>80Z</v>
          </cell>
          <cell r="B463" t="str">
            <v>NUCL - VACNY FACTOR UN-IDFD</v>
          </cell>
          <cell r="C463" t="str">
            <v>UE GENERATION - NUCLEAR</v>
          </cell>
        </row>
        <row r="464">
          <cell r="A464" t="str">
            <v>81A</v>
          </cell>
          <cell r="B464" t="str">
            <v>GENERATION QUALITY ENGINEERING</v>
          </cell>
          <cell r="C464" t="str">
            <v>GENERATION TECHNICAL SERVICES</v>
          </cell>
        </row>
        <row r="465">
          <cell r="A465" t="str">
            <v>81B</v>
          </cell>
          <cell r="B465" t="str">
            <v>GENERATION CHEM ENG &amp; LAB SVCS</v>
          </cell>
          <cell r="C465" t="str">
            <v>GENERATION TECHNICAL SERVICES</v>
          </cell>
        </row>
        <row r="466">
          <cell r="A466" t="str">
            <v>81C</v>
          </cell>
          <cell r="B466" t="str">
            <v>GENERATION CHEMICAL TESTING</v>
          </cell>
          <cell r="C466" t="str">
            <v>GENERATION TECHNICAL SERVICES</v>
          </cell>
        </row>
        <row r="467">
          <cell r="A467" t="str">
            <v>81D</v>
          </cell>
          <cell r="B467" t="str">
            <v>GEN PERF MONITOR &amp; ASSESS</v>
          </cell>
          <cell r="C467" t="str">
            <v>GENERATION TECHNICAL SERVICES</v>
          </cell>
        </row>
        <row r="468">
          <cell r="A468" t="str">
            <v>81E</v>
          </cell>
          <cell r="B468" t="str">
            <v>GENERATION PERFORMANCE ENGRNG</v>
          </cell>
          <cell r="C468" t="str">
            <v>GENERATION TECHNICAL SERVICES</v>
          </cell>
        </row>
        <row r="469">
          <cell r="A469" t="str">
            <v>81H</v>
          </cell>
          <cell r="B469" t="str">
            <v>GENERATION TECHNOLOGY MGMT</v>
          </cell>
          <cell r="C469" t="str">
            <v>GENERATION TECHNICAL SERVICES</v>
          </cell>
        </row>
        <row r="470">
          <cell r="A470" t="str">
            <v>82A</v>
          </cell>
          <cell r="B470" t="str">
            <v>VENICE PLANT GENERAL-INVALID</v>
          </cell>
          <cell r="C470" t="str">
            <v>AMEREN CTG OPERATIONS</v>
          </cell>
        </row>
        <row r="471">
          <cell r="A471" t="str">
            <v>82B</v>
          </cell>
          <cell r="B471" t="str">
            <v>VENICE PLANT OPERATION-INVALID</v>
          </cell>
          <cell r="C471" t="str">
            <v>AMEREN CTG OPERATIONS</v>
          </cell>
        </row>
        <row r="472">
          <cell r="A472" t="str">
            <v>82C</v>
          </cell>
          <cell r="B472" t="str">
            <v>VENICE PLANT MAINTENAN-INVALID</v>
          </cell>
          <cell r="C472" t="str">
            <v>AMEREN CTG OPERATIONS</v>
          </cell>
        </row>
        <row r="473">
          <cell r="A473" t="str">
            <v>82D</v>
          </cell>
          <cell r="B473" t="str">
            <v>VENICE PLANT TECH TRAI-INVALID</v>
          </cell>
          <cell r="C473" t="str">
            <v>AMEREN CTG OPERATIONS</v>
          </cell>
        </row>
        <row r="474">
          <cell r="A474" t="str">
            <v>82E</v>
          </cell>
          <cell r="B474" t="str">
            <v>VENICE PLANT ADMIN-INVALID</v>
          </cell>
          <cell r="C474" t="str">
            <v>AMEREN CTG OPERATIONS</v>
          </cell>
        </row>
        <row r="475">
          <cell r="A475" t="str">
            <v>83A</v>
          </cell>
          <cell r="B475" t="str">
            <v>LABADIE PLANT GENERAL &amp; BUD</v>
          </cell>
          <cell r="C475" t="str">
            <v>UE GENERATION - NON NUCLEAR</v>
          </cell>
        </row>
        <row r="476">
          <cell r="A476" t="str">
            <v>83B</v>
          </cell>
          <cell r="B476" t="str">
            <v>LABADIE PLANT OPERATIONS</v>
          </cell>
          <cell r="C476" t="str">
            <v>UE GENERATION - NON NUCLEAR</v>
          </cell>
        </row>
        <row r="477">
          <cell r="A477" t="str">
            <v>83C</v>
          </cell>
          <cell r="B477" t="str">
            <v>LABADIE PLANT MAINTENANCE</v>
          </cell>
          <cell r="C477" t="str">
            <v>UE GENERATION - NON NUCLEAR</v>
          </cell>
        </row>
        <row r="478">
          <cell r="A478" t="str">
            <v>83D</v>
          </cell>
          <cell r="B478" t="str">
            <v>LABADIE PLANT TECHNICAL SUPPORT</v>
          </cell>
          <cell r="C478" t="str">
            <v>UE GENERATION - NON NUCLEAR</v>
          </cell>
        </row>
        <row r="479">
          <cell r="A479" t="str">
            <v>83E</v>
          </cell>
          <cell r="B479" t="str">
            <v>LABADIE PLANT ADMINISTRATION</v>
          </cell>
          <cell r="C479" t="str">
            <v>UE GENERATION - NON NUCLEAR</v>
          </cell>
        </row>
        <row r="480">
          <cell r="A480" t="str">
            <v>84A</v>
          </cell>
          <cell r="B480" t="str">
            <v>KEOKUK PLANT GENERAL &amp; BUD</v>
          </cell>
          <cell r="C480" t="str">
            <v>UE GENERATION - NON NUCLEAR</v>
          </cell>
        </row>
        <row r="481">
          <cell r="A481" t="str">
            <v>84B</v>
          </cell>
          <cell r="B481" t="str">
            <v>KEOKUK PLANT OPERATIONS&amp;ENGINEERING</v>
          </cell>
          <cell r="C481" t="str">
            <v>UE GENERATION - NON NUCLEAR</v>
          </cell>
        </row>
        <row r="482">
          <cell r="A482" t="str">
            <v>84C</v>
          </cell>
          <cell r="B482" t="str">
            <v>KEOKUK PLANT MAINTENANCE</v>
          </cell>
          <cell r="C482" t="str">
            <v>UE GENERATION - NON NUCLEAR</v>
          </cell>
        </row>
        <row r="483">
          <cell r="A483" t="str">
            <v>85A</v>
          </cell>
          <cell r="B483" t="str">
            <v>SIOUX PLANT GENERAL &amp; BUD</v>
          </cell>
          <cell r="C483" t="str">
            <v>UE GENERATION - NON NUCLEAR</v>
          </cell>
        </row>
        <row r="484">
          <cell r="A484" t="str">
            <v>85B</v>
          </cell>
          <cell r="B484" t="str">
            <v>SIOUX PLANT OPERATIONS</v>
          </cell>
          <cell r="C484" t="str">
            <v>UE GENERATION - NON NUCLEAR</v>
          </cell>
        </row>
        <row r="485">
          <cell r="A485" t="str">
            <v>85C</v>
          </cell>
          <cell r="B485" t="str">
            <v>SIOUX PLANT MAINTENANCE</v>
          </cell>
          <cell r="C485" t="str">
            <v>UE GENERATION - NON NUCLEAR</v>
          </cell>
        </row>
        <row r="486">
          <cell r="A486" t="str">
            <v>85D</v>
          </cell>
          <cell r="B486" t="str">
            <v>SIOUX PLANT TECHNICAL SUPPORT</v>
          </cell>
          <cell r="C486" t="str">
            <v>UE GENERATION - NON NUCLEAR</v>
          </cell>
        </row>
        <row r="487">
          <cell r="A487" t="str">
            <v>85E</v>
          </cell>
          <cell r="B487" t="str">
            <v>SIOUX PLANT ADMINISTRATION</v>
          </cell>
          <cell r="C487" t="str">
            <v>UE GENERATION - NON NUCLEAR</v>
          </cell>
        </row>
        <row r="488">
          <cell r="A488" t="str">
            <v>87C</v>
          </cell>
          <cell r="B488" t="str">
            <v>NUCL - EMERGENCY RESPONSE</v>
          </cell>
          <cell r="C488" t="str">
            <v>UE GENERATION - NUCLEAR</v>
          </cell>
        </row>
        <row r="489">
          <cell r="A489" t="str">
            <v>88A</v>
          </cell>
          <cell r="B489" t="str">
            <v>NUCL - ENG SYS - BOP</v>
          </cell>
          <cell r="C489" t="str">
            <v>UE GENERATION - NUCLEAR</v>
          </cell>
        </row>
        <row r="490">
          <cell r="A490" t="str">
            <v>88B</v>
          </cell>
          <cell r="B490" t="str">
            <v>NUCL - ENG SYS - ELECT - I&amp;C</v>
          </cell>
          <cell r="C490" t="str">
            <v>UE GENERATION - NUCLEAR</v>
          </cell>
        </row>
        <row r="491">
          <cell r="A491" t="str">
            <v>88C</v>
          </cell>
          <cell r="B491" t="str">
            <v>NUCL - ENG SYS - NSSS</v>
          </cell>
          <cell r="C491" t="str">
            <v>UE GENERATION - NUCLEAR</v>
          </cell>
        </row>
        <row r="492">
          <cell r="A492" t="str">
            <v>88D</v>
          </cell>
          <cell r="B492" t="str">
            <v>NUCL - ENG SYS - REACTOR</v>
          </cell>
          <cell r="C492" t="str">
            <v>UE GENERATION - NUCLEAR</v>
          </cell>
        </row>
        <row r="493">
          <cell r="A493" t="str">
            <v>88E</v>
          </cell>
          <cell r="B493" t="str">
            <v>NUCL - ENG SYS - FIX IT NOW</v>
          </cell>
          <cell r="C493" t="str">
            <v>UE GENERATION - NUCLEAR</v>
          </cell>
        </row>
        <row r="494">
          <cell r="A494" t="str">
            <v>8AA</v>
          </cell>
          <cell r="B494" t="str">
            <v>NUCL - ENG PROJ - PROJECTS</v>
          </cell>
          <cell r="C494" t="str">
            <v>UE GENERATION - NUCLEAR</v>
          </cell>
        </row>
        <row r="495">
          <cell r="A495" t="str">
            <v>8AB</v>
          </cell>
          <cell r="B495" t="str">
            <v>NUCL -  ENG PROJ - MECHANICAL</v>
          </cell>
          <cell r="C495" t="str">
            <v>UE GENERATION - NUCLEAR</v>
          </cell>
        </row>
        <row r="496">
          <cell r="A496" t="str">
            <v>8AC</v>
          </cell>
          <cell r="B496" t="str">
            <v>NUCL - SAFETY ANALYSIS</v>
          </cell>
          <cell r="C496" t="str">
            <v>UE GENERATION - NUCLEAR</v>
          </cell>
        </row>
        <row r="497">
          <cell r="A497" t="str">
            <v>8AD</v>
          </cell>
          <cell r="B497" t="str">
            <v>NUCL - ENJ PROJ - RECORDS</v>
          </cell>
          <cell r="C497" t="str">
            <v>UE GENERATION - NUCLEAR</v>
          </cell>
        </row>
        <row r="498">
          <cell r="A498" t="str">
            <v>8BA</v>
          </cell>
          <cell r="B498" t="str">
            <v>NUCL - AAFFD</v>
          </cell>
          <cell r="C498" t="str">
            <v>UE GENERATION - NUCLEAR</v>
          </cell>
        </row>
        <row r="499">
          <cell r="A499" t="str">
            <v>8BE</v>
          </cell>
          <cell r="B499" t="str">
            <v>BEARDSTOWN</v>
          </cell>
          <cell r="C499" t="str">
            <v>ILLINOIS OPERATIONS</v>
          </cell>
        </row>
        <row r="500">
          <cell r="A500" t="str">
            <v>8CA</v>
          </cell>
          <cell r="B500" t="str">
            <v>NUCL - QA QUALITY CONTROL</v>
          </cell>
          <cell r="C500" t="str">
            <v>UE GENERATION - NUCLEAR</v>
          </cell>
        </row>
        <row r="501">
          <cell r="A501" t="str">
            <v>8CB</v>
          </cell>
          <cell r="B501" t="str">
            <v>NUCL - QA AUDIT GROUP AND ITR</v>
          </cell>
          <cell r="C501" t="str">
            <v>UE GENERATION - NUCLEAR</v>
          </cell>
        </row>
        <row r="502">
          <cell r="A502" t="str">
            <v>8CC</v>
          </cell>
          <cell r="B502" t="str">
            <v>NUCL - INVALID BUDGET</v>
          </cell>
          <cell r="C502" t="str">
            <v>UE GENERATION - NUCLEAR</v>
          </cell>
        </row>
        <row r="503">
          <cell r="A503" t="str">
            <v>8CD</v>
          </cell>
          <cell r="B503" t="str">
            <v>NUCL - INVALID BUDGET</v>
          </cell>
          <cell r="C503" t="str">
            <v>UE GENERATION - NUCLEAR</v>
          </cell>
        </row>
        <row r="504">
          <cell r="A504" t="str">
            <v>8CE</v>
          </cell>
          <cell r="B504" t="str">
            <v>NUCL - REGIONAL REG AFFAIRS</v>
          </cell>
          <cell r="C504" t="str">
            <v>UE GENERATION - NUCLEAR</v>
          </cell>
        </row>
        <row r="505">
          <cell r="A505" t="str">
            <v>8CF</v>
          </cell>
          <cell r="B505" t="str">
            <v>NUCL - QA SUPPLIER QUALITY</v>
          </cell>
          <cell r="C505" t="str">
            <v>UE GENERATION - NUCLEAR</v>
          </cell>
        </row>
        <row r="506">
          <cell r="A506" t="str">
            <v>8CG</v>
          </cell>
          <cell r="B506" t="str">
            <v>NUCL - EMPLOYEE CONCERNS</v>
          </cell>
          <cell r="C506" t="str">
            <v>UE GENERATION - NUCLEAR</v>
          </cell>
        </row>
        <row r="507">
          <cell r="A507" t="str">
            <v>8CN</v>
          </cell>
          <cell r="B507" t="str">
            <v>CANTON</v>
          </cell>
          <cell r="C507" t="str">
            <v>ILLINOIS OPERATIONS</v>
          </cell>
        </row>
        <row r="508">
          <cell r="A508" t="str">
            <v>8CR</v>
          </cell>
          <cell r="B508" t="str">
            <v>CARTHAGE</v>
          </cell>
          <cell r="C508" t="str">
            <v>ILLINOIS OPERATIONS</v>
          </cell>
        </row>
        <row r="509">
          <cell r="A509" t="str">
            <v>8EA</v>
          </cell>
          <cell r="B509" t="str">
            <v>NUCL - ENJ PROJ - MAJOR MODS</v>
          </cell>
          <cell r="C509" t="str">
            <v>UE GENERATION - NUCLEAR</v>
          </cell>
        </row>
        <row r="510">
          <cell r="A510" t="str">
            <v>8EB</v>
          </cell>
          <cell r="B510" t="str">
            <v>NUCL - ENG DES - ELECTRICAL</v>
          </cell>
          <cell r="C510" t="str">
            <v>UE GENERATION - NUCLEAR</v>
          </cell>
        </row>
        <row r="511">
          <cell r="A511" t="str">
            <v>8EC</v>
          </cell>
          <cell r="B511" t="str">
            <v>NUCL - ENG DES - CIVIL</v>
          </cell>
          <cell r="C511" t="str">
            <v>UE GENERATION - NUCLEAR</v>
          </cell>
        </row>
        <row r="512">
          <cell r="A512" t="str">
            <v>8ED</v>
          </cell>
          <cell r="B512" t="str">
            <v>NUCL - ENG DES - MECHANICAL</v>
          </cell>
          <cell r="C512" t="str">
            <v>UE GENERATION - NUCLEAR</v>
          </cell>
        </row>
        <row r="513">
          <cell r="A513" t="str">
            <v>8EE</v>
          </cell>
          <cell r="B513" t="str">
            <v>NUCL - ENG DES - I&amp;C</v>
          </cell>
          <cell r="C513" t="str">
            <v>UE GENERATION - NUCLEAR</v>
          </cell>
        </row>
        <row r="514">
          <cell r="A514" t="str">
            <v>8FA</v>
          </cell>
          <cell r="B514" t="str">
            <v>NUCL - HEALTH PHYS-GEN-INVALID</v>
          </cell>
          <cell r="C514" t="str">
            <v>UE GENERATION - NUCLEAR</v>
          </cell>
        </row>
        <row r="515">
          <cell r="A515" t="str">
            <v>8FB</v>
          </cell>
          <cell r="B515" t="str">
            <v>NUCL - RAD PROTECTION - OPS</v>
          </cell>
          <cell r="C515" t="str">
            <v>UE GENERATION - NUCLEAR</v>
          </cell>
        </row>
        <row r="516">
          <cell r="A516" t="str">
            <v>8FC</v>
          </cell>
          <cell r="B516" t="str">
            <v>NUCL - RAD PROTECTION TECH SUP</v>
          </cell>
          <cell r="C516" t="str">
            <v>UE GENERATION - NUCLEAR</v>
          </cell>
        </row>
        <row r="517">
          <cell r="A517" t="str">
            <v>8GA</v>
          </cell>
          <cell r="B517" t="str">
            <v>NUCL - ENG TS - MATERIALS</v>
          </cell>
          <cell r="C517" t="str">
            <v>UE GENERATION - NUCLEAR</v>
          </cell>
        </row>
        <row r="518">
          <cell r="A518" t="str">
            <v>8GB</v>
          </cell>
          <cell r="B518" t="str">
            <v>CA - MAJOR PROJ ENG RU INVALID</v>
          </cell>
          <cell r="C518" t="str">
            <v>UE GENERATION - NUCLEAR</v>
          </cell>
        </row>
        <row r="519">
          <cell r="A519" t="str">
            <v>8GC</v>
          </cell>
          <cell r="B519" t="str">
            <v>NUCL - ENG PI - CONFIG MGMT</v>
          </cell>
          <cell r="C519" t="str">
            <v>UE GENERATION - NUCLEAR</v>
          </cell>
        </row>
        <row r="520">
          <cell r="A520" t="str">
            <v>8GD</v>
          </cell>
          <cell r="B520" t="str">
            <v>NUCL - ENG TS - PERFORMANCE</v>
          </cell>
          <cell r="C520" t="str">
            <v>UE GENERATION - NUCLEAR</v>
          </cell>
        </row>
        <row r="521">
          <cell r="A521" t="str">
            <v>8GE</v>
          </cell>
          <cell r="B521" t="str">
            <v>NUCL - ENG TS - PROGRAMS</v>
          </cell>
          <cell r="C521" t="str">
            <v>UE GENERATION - NUCLEAR</v>
          </cell>
        </row>
        <row r="522">
          <cell r="A522" t="str">
            <v>8GF</v>
          </cell>
          <cell r="B522" t="str">
            <v>NUCL - ENG TS - RELIABILITY</v>
          </cell>
          <cell r="C522" t="str">
            <v>UE GENERATION - NUCLEAR</v>
          </cell>
        </row>
        <row r="523">
          <cell r="A523" t="str">
            <v>8HA</v>
          </cell>
          <cell r="B523" t="str">
            <v>NUCL - RADWASTE CHEM-INVALID</v>
          </cell>
          <cell r="C523" t="str">
            <v>UE GENERATION - NUCLEAR</v>
          </cell>
        </row>
        <row r="524">
          <cell r="A524" t="str">
            <v>8HB</v>
          </cell>
          <cell r="B524" t="str">
            <v>NUCL - RADWASTE</v>
          </cell>
          <cell r="C524" t="str">
            <v>UE GENERATION - NUCLEAR</v>
          </cell>
        </row>
        <row r="525">
          <cell r="A525" t="str">
            <v>8HC</v>
          </cell>
          <cell r="B525" t="str">
            <v>NUCL - CHEMISTRY</v>
          </cell>
          <cell r="C525" t="str">
            <v>UE GENERATION - NUCLEAR</v>
          </cell>
        </row>
        <row r="526">
          <cell r="A526" t="str">
            <v>8HD</v>
          </cell>
          <cell r="B526" t="str">
            <v>NUCL - RC-C GENERAL-INVALID</v>
          </cell>
          <cell r="C526" t="str">
            <v>UE GENERATION - NUCLEAR</v>
          </cell>
        </row>
        <row r="527">
          <cell r="A527" t="str">
            <v>8LA</v>
          </cell>
          <cell r="B527" t="str">
            <v>NUCL - MAINTENANCE ELECTRICAL</v>
          </cell>
          <cell r="C527" t="str">
            <v>UE GENERATION - NUCLEAR</v>
          </cell>
        </row>
        <row r="528">
          <cell r="A528" t="str">
            <v>8LB</v>
          </cell>
          <cell r="B528" t="str">
            <v>NUCL - MAINTENANCE MECHANICAL</v>
          </cell>
          <cell r="C528" t="str">
            <v>UE GENERATION - NUCLEAR</v>
          </cell>
        </row>
        <row r="529">
          <cell r="A529" t="str">
            <v>8LC</v>
          </cell>
          <cell r="B529" t="str">
            <v>NUCL - OUTAGE SCHEDULING</v>
          </cell>
          <cell r="C529" t="str">
            <v>UE GENERATION - NUCLEAR</v>
          </cell>
        </row>
        <row r="530">
          <cell r="A530" t="str">
            <v>8LD</v>
          </cell>
          <cell r="B530" t="str">
            <v>NUCL - MAINTENANCE SUPPORT</v>
          </cell>
          <cell r="C530" t="str">
            <v>UE GENERATION - NUCLEAR</v>
          </cell>
        </row>
        <row r="531">
          <cell r="A531" t="str">
            <v>8LE</v>
          </cell>
          <cell r="B531" t="str">
            <v>NUCL - MAINTENANCE GENERAL</v>
          </cell>
          <cell r="C531" t="str">
            <v>UE GENERATION - NUCLEAR</v>
          </cell>
        </row>
        <row r="532">
          <cell r="A532" t="str">
            <v>8MA</v>
          </cell>
          <cell r="B532" t="str">
            <v>MACOMB</v>
          </cell>
          <cell r="C532" t="str">
            <v>ILLINOIS OPERATIONS</v>
          </cell>
        </row>
        <row r="533">
          <cell r="A533" t="str">
            <v>8MS</v>
          </cell>
          <cell r="B533" t="str">
            <v>DIVISION II SUPPORT STAFF</v>
          </cell>
          <cell r="C533" t="str">
            <v>ILLINOIS OPERATIONS</v>
          </cell>
        </row>
        <row r="534">
          <cell r="A534" t="str">
            <v>8P2</v>
          </cell>
          <cell r="B534" t="str">
            <v>NUCL - PERSONNEL-INVALID</v>
          </cell>
          <cell r="C534" t="str">
            <v>UE GENERATION - NUCLEAR</v>
          </cell>
        </row>
        <row r="535">
          <cell r="A535" t="str">
            <v>8PA</v>
          </cell>
          <cell r="B535" t="str">
            <v>NUCL - INVALID BUDGET</v>
          </cell>
          <cell r="C535" t="str">
            <v>UE GENERATION - NUCLEAR</v>
          </cell>
        </row>
        <row r="536">
          <cell r="A536" t="str">
            <v>8PB</v>
          </cell>
          <cell r="B536" t="str">
            <v>NUCL - INVALID BUDGET</v>
          </cell>
          <cell r="C536" t="str">
            <v>UE GENERATION - NUCLEAR</v>
          </cell>
        </row>
        <row r="537">
          <cell r="A537" t="str">
            <v>8PC</v>
          </cell>
          <cell r="B537" t="str">
            <v>NUCL - PERFORMANCE IMPROVE DPT</v>
          </cell>
          <cell r="C537" t="str">
            <v>UE GENERATION - NUCLEAR</v>
          </cell>
        </row>
        <row r="538">
          <cell r="A538" t="str">
            <v>8PE</v>
          </cell>
          <cell r="B538" t="str">
            <v>PETERSBURG</v>
          </cell>
          <cell r="C538" t="str">
            <v>ILLINOIS OPERATIONS</v>
          </cell>
        </row>
        <row r="539">
          <cell r="A539" t="str">
            <v>8R7</v>
          </cell>
          <cell r="B539" t="str">
            <v>NUCL - PROTECTIVE SERVICES</v>
          </cell>
          <cell r="C539" t="str">
            <v>UE GENERATION - NUCLEAR</v>
          </cell>
        </row>
        <row r="540">
          <cell r="A540" t="str">
            <v>8WA</v>
          </cell>
          <cell r="B540" t="str">
            <v>NUCL - WORK MANAGEMENT</v>
          </cell>
          <cell r="C540" t="str">
            <v>UE GENERATION - NUCLEAR</v>
          </cell>
        </row>
        <row r="541">
          <cell r="A541" t="str">
            <v>90B</v>
          </cell>
          <cell r="B541" t="str">
            <v>LEGAL &amp; CORP SERVICES-IPC</v>
          </cell>
          <cell r="C541" t="str">
            <v>GENERAL COUNSEL</v>
          </cell>
        </row>
        <row r="542">
          <cell r="A542" t="str">
            <v>90C</v>
          </cell>
          <cell r="B542" t="str">
            <v>ACCOUNTING-IPC</v>
          </cell>
          <cell r="C542" t="str">
            <v>CONTROLLER</v>
          </cell>
        </row>
        <row r="543">
          <cell r="A543" t="str">
            <v>90D</v>
          </cell>
          <cell r="B543" t="str">
            <v>CONTROLLERS STAFF-IPC</v>
          </cell>
          <cell r="C543" t="str">
            <v>CONTROLLER</v>
          </cell>
        </row>
        <row r="544">
          <cell r="A544" t="str">
            <v>90E</v>
          </cell>
          <cell r="B544" t="str">
            <v>PERFORMANCE MANAGEMENT-IPC</v>
          </cell>
          <cell r="C544" t="str">
            <v>CONTROLLER</v>
          </cell>
        </row>
        <row r="545">
          <cell r="A545" t="str">
            <v>90F</v>
          </cell>
          <cell r="B545" t="str">
            <v>HR - OPERATIONS- IPC</v>
          </cell>
          <cell r="C545" t="str">
            <v>HUMAN RESOURCES</v>
          </cell>
        </row>
        <row r="546">
          <cell r="A546" t="str">
            <v>90G</v>
          </cell>
          <cell r="B546" t="str">
            <v>INFO TECH SERVICES-IPC-INVALID</v>
          </cell>
          <cell r="C546" t="str">
            <v>AMEREN SERVICES CENTER</v>
          </cell>
        </row>
        <row r="547">
          <cell r="A547" t="str">
            <v>90J</v>
          </cell>
          <cell r="B547" t="str">
            <v>ED ELE TRAIN - IPC - INVALID</v>
          </cell>
          <cell r="C547" t="str">
            <v>ENERGY DELIVERY SERVICES</v>
          </cell>
        </row>
        <row r="548">
          <cell r="A548" t="str">
            <v>90K</v>
          </cell>
          <cell r="B548" t="str">
            <v>ALT - IPC</v>
          </cell>
          <cell r="C548" t="str">
            <v>EXECUTIVE</v>
          </cell>
        </row>
        <row r="549">
          <cell r="A549" t="str">
            <v>90L</v>
          </cell>
          <cell r="B549" t="str">
            <v>BUILDING SERVICES-IPC</v>
          </cell>
          <cell r="C549" t="str">
            <v>SUPPLY SERVICES</v>
          </cell>
        </row>
        <row r="550">
          <cell r="A550" t="str">
            <v>90M</v>
          </cell>
          <cell r="B550" t="str">
            <v>CUST FORECASTING &amp; PRICING-IPC</v>
          </cell>
          <cell r="C550" t="str">
            <v>GOVT RELATIONS  &amp; ECONOMIC DEV</v>
          </cell>
        </row>
        <row r="551">
          <cell r="A551" t="str">
            <v>90N</v>
          </cell>
          <cell r="B551" t="str">
            <v>INVESTMENT RECOVERY-IPC</v>
          </cell>
          <cell r="C551" t="str">
            <v>SUPPLY SERVICES</v>
          </cell>
        </row>
        <row r="552">
          <cell r="A552" t="str">
            <v>90P</v>
          </cell>
          <cell r="B552" t="str">
            <v>IPC CUSTOMER MNGMT INVALID</v>
          </cell>
          <cell r="C552" t="str">
            <v>ILLINOIS OPERATIONS</v>
          </cell>
        </row>
        <row r="553">
          <cell r="A553" t="str">
            <v>90Q</v>
          </cell>
          <cell r="B553" t="str">
            <v>REAL ESTATE-IPC</v>
          </cell>
          <cell r="C553" t="str">
            <v>SUPPLY SERVICES</v>
          </cell>
        </row>
        <row r="554">
          <cell r="A554" t="str">
            <v>90S</v>
          </cell>
          <cell r="B554" t="str">
            <v>RECORDS MANAGEMENT-IPC</v>
          </cell>
          <cell r="C554" t="str">
            <v>TREASURER</v>
          </cell>
        </row>
        <row r="555">
          <cell r="A555" t="str">
            <v>90T</v>
          </cell>
          <cell r="B555" t="str">
            <v>MICROFILM-IPC</v>
          </cell>
          <cell r="C555" t="str">
            <v>TREASURER</v>
          </cell>
        </row>
        <row r="556">
          <cell r="A556" t="str">
            <v>90U</v>
          </cell>
          <cell r="B556" t="str">
            <v>MAIL CENTER-IPC</v>
          </cell>
          <cell r="C556" t="str">
            <v>TREASURER</v>
          </cell>
        </row>
        <row r="557">
          <cell r="A557" t="str">
            <v>90V</v>
          </cell>
          <cell r="B557" t="str">
            <v>GAS SUPPLY IPC - INVALID</v>
          </cell>
          <cell r="C557" t="str">
            <v>ILLINOIS OPERATIONS</v>
          </cell>
        </row>
        <row r="558">
          <cell r="A558" t="str">
            <v>90W</v>
          </cell>
          <cell r="B558" t="str">
            <v>SUBSTATIONS - IPC - INVALID</v>
          </cell>
          <cell r="C558" t="str">
            <v>ENERGY DELIVERY SERVICES</v>
          </cell>
        </row>
        <row r="559">
          <cell r="A559" t="str">
            <v>90X</v>
          </cell>
          <cell r="B559" t="str">
            <v>SECURITY-IPC</v>
          </cell>
          <cell r="C559" t="str">
            <v>GENERAL COUNSEL</v>
          </cell>
        </row>
        <row r="560">
          <cell r="A560" t="str">
            <v>90Y</v>
          </cell>
          <cell r="B560" t="str">
            <v>PRINTING SERVICES-IPC-INVALID</v>
          </cell>
          <cell r="C560" t="str">
            <v>AMEREN SERVICES CENTER</v>
          </cell>
        </row>
        <row r="561">
          <cell r="A561" t="str">
            <v>91A</v>
          </cell>
          <cell r="B561" t="str">
            <v>IL OPS ADMN</v>
          </cell>
          <cell r="C561" t="str">
            <v>ILLINOIS OPERATIONS</v>
          </cell>
        </row>
        <row r="562">
          <cell r="A562" t="str">
            <v>91B</v>
          </cell>
          <cell r="B562" t="str">
            <v>EMPLOYEE BENEFITS-IPC</v>
          </cell>
          <cell r="C562" t="str">
            <v>HUMAN RESOURCES</v>
          </cell>
        </row>
        <row r="563">
          <cell r="A563" t="str">
            <v>91C</v>
          </cell>
          <cell r="B563" t="str">
            <v>METER SERVICES - IPC</v>
          </cell>
          <cell r="C563" t="str">
            <v>ENERGY DELIVERY SERVICES</v>
          </cell>
        </row>
        <row r="564">
          <cell r="A564" t="str">
            <v>91D</v>
          </cell>
          <cell r="B564" t="str">
            <v>IPC ELE OPS SUPPORT - INVALID</v>
          </cell>
          <cell r="C564" t="str">
            <v>ILLINOIS OPERATIONS</v>
          </cell>
        </row>
        <row r="565">
          <cell r="A565" t="str">
            <v>91E</v>
          </cell>
          <cell r="B565" t="str">
            <v>IPC MGR FLD ENG RES - INVALID</v>
          </cell>
          <cell r="C565" t="str">
            <v>ILLINOIS OPERATIONS</v>
          </cell>
        </row>
        <row r="566">
          <cell r="A566" t="str">
            <v>91F</v>
          </cell>
          <cell r="B566" t="str">
            <v>GAS SUPPORT IPC - INVALID</v>
          </cell>
          <cell r="C566" t="str">
            <v>ILLINOIS OPERATIONS</v>
          </cell>
        </row>
        <row r="567">
          <cell r="A567" t="str">
            <v>91G</v>
          </cell>
          <cell r="B567" t="str">
            <v>IPC ENRGY DLVRY OPS - INVALID</v>
          </cell>
          <cell r="C567" t="str">
            <v>ILLINOIS OPERATIONS</v>
          </cell>
        </row>
        <row r="568">
          <cell r="A568" t="str">
            <v>91H</v>
          </cell>
          <cell r="B568" t="str">
            <v>TRANSMISSION - IPC</v>
          </cell>
          <cell r="C568" t="str">
            <v>ENERGY DELIVERY SERVICES</v>
          </cell>
        </row>
        <row r="569">
          <cell r="A569" t="str">
            <v>91J</v>
          </cell>
          <cell r="B569" t="str">
            <v>SUB CTRL &amp; INST IPC - INVALID</v>
          </cell>
          <cell r="C569" t="str">
            <v>ENERGY DELIVERY SERVICES</v>
          </cell>
        </row>
        <row r="570">
          <cell r="A570" t="str">
            <v>91K</v>
          </cell>
          <cell r="B570" t="str">
            <v>VEGETATION MGT - IPC INVALID</v>
          </cell>
          <cell r="C570" t="str">
            <v>ENERGY DELIVERY SERVICES</v>
          </cell>
        </row>
        <row r="571">
          <cell r="A571" t="str">
            <v>91L</v>
          </cell>
          <cell r="B571" t="str">
            <v>CHAMPAIGN - URBANA</v>
          </cell>
          <cell r="C571" t="str">
            <v>ILLINOIS OPERATIONS</v>
          </cell>
        </row>
        <row r="572">
          <cell r="A572" t="str">
            <v>91N</v>
          </cell>
          <cell r="B572" t="str">
            <v>JACKSONVILLE</v>
          </cell>
          <cell r="C572" t="str">
            <v>ILLINOIS OPERATIONS</v>
          </cell>
        </row>
        <row r="573">
          <cell r="A573" t="str">
            <v>91P</v>
          </cell>
          <cell r="B573" t="str">
            <v>DISTRIBUTION OPERATING-Decatur</v>
          </cell>
          <cell r="C573" t="str">
            <v>ILLINOIS OPERATIONS</v>
          </cell>
        </row>
        <row r="574">
          <cell r="A574" t="str">
            <v>91Q</v>
          </cell>
          <cell r="B574" t="str">
            <v>IPC OPER SUPPORT - INVALID</v>
          </cell>
          <cell r="C574" t="str">
            <v>ILLINOIS OPERATIONS</v>
          </cell>
        </row>
        <row r="575">
          <cell r="A575" t="str">
            <v>91R</v>
          </cell>
          <cell r="B575" t="str">
            <v>DIVISION I SUPT  - IPC INVALID</v>
          </cell>
          <cell r="C575" t="str">
            <v>ILLINOIS OPERATIONS</v>
          </cell>
        </row>
        <row r="576">
          <cell r="A576" t="str">
            <v>91S</v>
          </cell>
          <cell r="B576" t="str">
            <v>DIVISION III SPT -IPC INVALID</v>
          </cell>
          <cell r="C576" t="str">
            <v>ILLINOIS OPERATIONS</v>
          </cell>
        </row>
        <row r="577">
          <cell r="A577" t="str">
            <v>91T</v>
          </cell>
          <cell r="B577" t="str">
            <v>DIVISION V SPT - IPC INVALID</v>
          </cell>
          <cell r="C577" t="str">
            <v>ILLINOIS OPERATIONS</v>
          </cell>
        </row>
        <row r="578">
          <cell r="A578" t="str">
            <v>91U</v>
          </cell>
          <cell r="B578" t="str">
            <v>DIVISION VI SUPPORT STAFF</v>
          </cell>
          <cell r="C578" t="str">
            <v>ILLINOIS OPERATIONS</v>
          </cell>
        </row>
        <row r="579">
          <cell r="A579" t="str">
            <v>91V</v>
          </cell>
          <cell r="B579" t="str">
            <v>GALESBURG</v>
          </cell>
          <cell r="C579" t="str">
            <v>ILLINOIS OPERATIONS</v>
          </cell>
        </row>
        <row r="580">
          <cell r="A580" t="str">
            <v>91W</v>
          </cell>
          <cell r="B580" t="str">
            <v>ENG SVCS IPC - INVALID</v>
          </cell>
          <cell r="C580" t="str">
            <v>ENERGY DELIVERY SERVICES</v>
          </cell>
        </row>
        <row r="581">
          <cell r="A581" t="str">
            <v>91X</v>
          </cell>
          <cell r="B581" t="str">
            <v>STOREROOMS - IPC</v>
          </cell>
          <cell r="C581" t="str">
            <v>SUPPLY SERVICES</v>
          </cell>
        </row>
        <row r="582">
          <cell r="A582" t="str">
            <v>91Y</v>
          </cell>
          <cell r="B582" t="str">
            <v>CUST ACCTNG DEPT - IPC INVALID</v>
          </cell>
          <cell r="C582" t="str">
            <v>ILLINOIS OPERATIONS</v>
          </cell>
        </row>
        <row r="583">
          <cell r="A583" t="str">
            <v>92A</v>
          </cell>
          <cell r="B583" t="str">
            <v>MT. VERNON</v>
          </cell>
          <cell r="C583" t="str">
            <v>ILLINOIS OPERATIONS</v>
          </cell>
        </row>
        <row r="584">
          <cell r="A584" t="str">
            <v>92B</v>
          </cell>
          <cell r="B584" t="str">
            <v>SUB MTCE &amp; CONST - IL SOUTH</v>
          </cell>
          <cell r="C584" t="str">
            <v>ENERGY DELIVERY SERVICES</v>
          </cell>
        </row>
        <row r="585">
          <cell r="A585" t="str">
            <v>92D</v>
          </cell>
          <cell r="B585" t="str">
            <v>LASALLE</v>
          </cell>
          <cell r="C585" t="str">
            <v>ILLINOIS OPERATIONS</v>
          </cell>
        </row>
        <row r="586">
          <cell r="A586" t="str">
            <v>92E</v>
          </cell>
          <cell r="B586" t="str">
            <v>BLOOMINGTON - NORMAL</v>
          </cell>
          <cell r="C586" t="str">
            <v>ILLINOIS OPERATIONS</v>
          </cell>
        </row>
        <row r="587">
          <cell r="A587" t="str">
            <v>92F</v>
          </cell>
          <cell r="B587" t="str">
            <v>ECONOMIC DEVELOP -FIN STMT-IPC</v>
          </cell>
          <cell r="C587" t="str">
            <v>GOVT RELATIONS  &amp; ECONOMIC DEV</v>
          </cell>
        </row>
        <row r="588">
          <cell r="A588" t="str">
            <v>92G</v>
          </cell>
          <cell r="B588" t="str">
            <v>ASSET MGT - IPC - INVALID</v>
          </cell>
          <cell r="C588" t="str">
            <v>ENERGY DELIVERY SERVICES</v>
          </cell>
        </row>
        <row r="589">
          <cell r="A589" t="str">
            <v>92H</v>
          </cell>
          <cell r="B589" t="str">
            <v>CORROSION CNTRL IPC - INVALID</v>
          </cell>
          <cell r="C589" t="str">
            <v>ILLINOIS OPERATIONS</v>
          </cell>
        </row>
        <row r="590">
          <cell r="A590" t="str">
            <v>92J</v>
          </cell>
          <cell r="B590" t="str">
            <v>MARYVILLE</v>
          </cell>
          <cell r="C590" t="str">
            <v>ILLINOIS OPERATIONS</v>
          </cell>
        </row>
        <row r="591">
          <cell r="A591" t="str">
            <v>92K</v>
          </cell>
          <cell r="B591" t="str">
            <v>ELEC ENERGY SUPPLY-IPC-INVALID</v>
          </cell>
          <cell r="C591" t="str">
            <v>ENERGY DELIVERY SERVICES</v>
          </cell>
        </row>
        <row r="592">
          <cell r="A592" t="str">
            <v>92L</v>
          </cell>
          <cell r="B592" t="str">
            <v>FLEET SVCS - IPC</v>
          </cell>
          <cell r="C592" t="str">
            <v>ENERGY DELIVERY SERVICES</v>
          </cell>
        </row>
        <row r="593">
          <cell r="A593" t="str">
            <v>92M</v>
          </cell>
          <cell r="B593" t="str">
            <v>PURCHASING - IPC</v>
          </cell>
          <cell r="C593" t="str">
            <v>SUPPLY SERVICES</v>
          </cell>
        </row>
        <row r="594">
          <cell r="A594" t="str">
            <v>92P</v>
          </cell>
          <cell r="B594" t="str">
            <v>KEY ACCOUNTS - IPC INVALID</v>
          </cell>
          <cell r="C594" t="str">
            <v>ILLINOIS OPERATIONS</v>
          </cell>
        </row>
        <row r="595">
          <cell r="A595" t="str">
            <v>92Q</v>
          </cell>
          <cell r="B595" t="str">
            <v>DECATUR</v>
          </cell>
          <cell r="C595" t="str">
            <v>ILLINOIS OPERATIONS</v>
          </cell>
        </row>
        <row r="596">
          <cell r="A596" t="str">
            <v>92R</v>
          </cell>
          <cell r="B596" t="str">
            <v>REGULATORY &amp; PUBLIC POLICY-IPC</v>
          </cell>
          <cell r="C596" t="str">
            <v>GOVT RELATIONS  &amp; ECONOMIC DEV</v>
          </cell>
        </row>
        <row r="597">
          <cell r="A597" t="str">
            <v>92S</v>
          </cell>
          <cell r="B597" t="str">
            <v>ESH - GENERAL-IPC</v>
          </cell>
          <cell r="C597" t="str">
            <v>ENVIRONMENTAL SAFETY HEALTH</v>
          </cell>
        </row>
        <row r="598">
          <cell r="A598" t="str">
            <v>92T</v>
          </cell>
          <cell r="B598" t="str">
            <v>HILLSBORO</v>
          </cell>
          <cell r="C598" t="str">
            <v>ILLINOIS OPERATIONS</v>
          </cell>
        </row>
        <row r="599">
          <cell r="A599" t="str">
            <v>92W</v>
          </cell>
          <cell r="B599" t="str">
            <v>CREDIT &amp; COLLECT - IPC INVALID</v>
          </cell>
          <cell r="C599" t="str">
            <v>ILLINOIS OPERATIONS</v>
          </cell>
        </row>
        <row r="600">
          <cell r="A600" t="str">
            <v>92X</v>
          </cell>
          <cell r="B600" t="str">
            <v>CUSTOMER BUSINESS MGMT-IPC</v>
          </cell>
          <cell r="C600" t="str">
            <v>GOVT RELATIONS  &amp; ECONOMIC DEV</v>
          </cell>
        </row>
        <row r="601">
          <cell r="A601" t="str">
            <v>93A</v>
          </cell>
          <cell r="B601" t="str">
            <v>CNTRACTR ALLY - IPC - INVALID</v>
          </cell>
          <cell r="C601" t="str">
            <v>ENERGY DELIVERY SERVICES</v>
          </cell>
        </row>
        <row r="602">
          <cell r="A602" t="str">
            <v>93B</v>
          </cell>
          <cell r="B602" t="str">
            <v>BELLEVILLE</v>
          </cell>
          <cell r="C602" t="str">
            <v>ILLINOIS OPERATIONS</v>
          </cell>
        </row>
        <row r="603">
          <cell r="A603" t="str">
            <v>93C</v>
          </cell>
          <cell r="B603" t="str">
            <v>KEWANEE</v>
          </cell>
          <cell r="C603" t="str">
            <v>ILLINOIS OPERATIONS</v>
          </cell>
        </row>
        <row r="604">
          <cell r="A604" t="str">
            <v>93J</v>
          </cell>
          <cell r="B604" t="str">
            <v>PSC-SOUTH PLANT SUPPRT-INVALID</v>
          </cell>
          <cell r="C604" t="str">
            <v>GENERATION TECHNICAL SERVICES</v>
          </cell>
        </row>
        <row r="605">
          <cell r="A605" t="str">
            <v>93L</v>
          </cell>
          <cell r="B605" t="str">
            <v>ACCTS PAYABLE ADMIN-IPC</v>
          </cell>
          <cell r="C605" t="str">
            <v>CONTROLLER</v>
          </cell>
        </row>
        <row r="606">
          <cell r="A606" t="str">
            <v>93N</v>
          </cell>
          <cell r="B606" t="str">
            <v>FOSSIL PLANT SUPPT-IPC-INVALID</v>
          </cell>
          <cell r="C606" t="str">
            <v>GENERATION TECHNICAL SERVICES</v>
          </cell>
        </row>
        <row r="607">
          <cell r="A607" t="str">
            <v>93R</v>
          </cell>
          <cell r="B607" t="str">
            <v>DDC</v>
          </cell>
          <cell r="C607" t="str">
            <v>ILLINOIS OPERATIONS</v>
          </cell>
        </row>
        <row r="608">
          <cell r="A608" t="str">
            <v>93T</v>
          </cell>
          <cell r="B608" t="str">
            <v>INTEGRAT IMPLEM - IPC INVALID</v>
          </cell>
          <cell r="C608" t="str">
            <v>ENERGY DELIVERY SERVICES</v>
          </cell>
        </row>
        <row r="609">
          <cell r="A609" t="str">
            <v>93W</v>
          </cell>
          <cell r="B609" t="str">
            <v>SPARTA</v>
          </cell>
          <cell r="C609" t="str">
            <v>ILLINOIS OPERATIONS</v>
          </cell>
        </row>
        <row r="610">
          <cell r="A610" t="str">
            <v>AED</v>
          </cell>
          <cell r="B610" t="str">
            <v>AED MANAGEMENT</v>
          </cell>
          <cell r="C610" t="str">
            <v>AMEREN ENERGY DEVELOPMENT CO</v>
          </cell>
        </row>
        <row r="611">
          <cell r="A611" t="str">
            <v>AFC</v>
          </cell>
          <cell r="B611" t="str">
            <v>ALLOWANCE FOR FUNDS</v>
          </cell>
          <cell r="C611" t="str">
            <v>OTHER</v>
          </cell>
        </row>
        <row r="612">
          <cell r="A612" t="str">
            <v>APP</v>
          </cell>
          <cell r="B612" t="str">
            <v>APPORTIONMENTS</v>
          </cell>
          <cell r="C612" t="str">
            <v>OTHER</v>
          </cell>
        </row>
        <row r="613">
          <cell r="A613" t="str">
            <v>CFA</v>
          </cell>
          <cell r="B613" t="str">
            <v>COFFEEN - ADMINISTRATION</v>
          </cell>
          <cell r="C613" t="str">
            <v>POWER PLANTS - GEN</v>
          </cell>
        </row>
        <row r="614">
          <cell r="A614" t="str">
            <v>CFG</v>
          </cell>
          <cell r="B614" t="str">
            <v>COFFEEN - GENERAL &amp; BUD</v>
          </cell>
          <cell r="C614" t="str">
            <v>POWER PLANTS - GEN</v>
          </cell>
        </row>
        <row r="615">
          <cell r="A615" t="str">
            <v>CFM</v>
          </cell>
          <cell r="B615" t="str">
            <v>COFFEEN - MAINTENANCE</v>
          </cell>
          <cell r="C615" t="str">
            <v>POWER PLANTS - GEN</v>
          </cell>
        </row>
        <row r="616">
          <cell r="A616" t="str">
            <v>CFO</v>
          </cell>
          <cell r="B616" t="str">
            <v>COFFEEN - OPERATIONS</v>
          </cell>
          <cell r="C616" t="str">
            <v>POWER PLANTS - GEN</v>
          </cell>
        </row>
        <row r="617">
          <cell r="A617" t="str">
            <v>CIC</v>
          </cell>
          <cell r="B617" t="str">
            <v>CIC</v>
          </cell>
          <cell r="C617" t="str">
            <v>OTHER</v>
          </cell>
        </row>
        <row r="618">
          <cell r="A618" t="str">
            <v>CIL</v>
          </cell>
          <cell r="B618" t="str">
            <v>INVALID BUDGET</v>
          </cell>
          <cell r="C618" t="str">
            <v>OTHER</v>
          </cell>
        </row>
        <row r="619">
          <cell r="A619" t="str">
            <v>CIM</v>
          </cell>
          <cell r="B619" t="str">
            <v>CILCORP INVESTMENT MANAGEMENT</v>
          </cell>
          <cell r="C619" t="str">
            <v>OTHER</v>
          </cell>
        </row>
        <row r="620">
          <cell r="A620" t="str">
            <v>DEP</v>
          </cell>
          <cell r="B620" t="str">
            <v>DEPRECIATION</v>
          </cell>
          <cell r="C620" t="str">
            <v>OTHER</v>
          </cell>
        </row>
        <row r="621">
          <cell r="A621" t="str">
            <v>DMS</v>
          </cell>
          <cell r="B621" t="str">
            <v>INVALID BUDGET</v>
          </cell>
          <cell r="C621" t="str">
            <v>ENERGY DELIVERY SERVICES</v>
          </cell>
        </row>
        <row r="622">
          <cell r="A622" t="str">
            <v>EEI</v>
          </cell>
          <cell r="B622" t="str">
            <v>ELECTRIC ENERGY, INC.</v>
          </cell>
          <cell r="C622" t="str">
            <v>OTHER</v>
          </cell>
        </row>
        <row r="623">
          <cell r="A623" t="str">
            <v>ERC</v>
          </cell>
          <cell r="B623" t="str">
            <v>ERC MANAGEMENT</v>
          </cell>
          <cell r="C623" t="str">
            <v>AMEREN ENGY FUELS AND SVCS</v>
          </cell>
        </row>
        <row r="624">
          <cell r="A624" t="str">
            <v>GM1</v>
          </cell>
          <cell r="B624" t="str">
            <v>AEM TRADING</v>
          </cell>
          <cell r="C624" t="str">
            <v>AMEREN ENERGY MKTG CO- GMC</v>
          </cell>
        </row>
        <row r="625">
          <cell r="A625" t="str">
            <v>GM2</v>
          </cell>
          <cell r="B625" t="str">
            <v>AEM SALES</v>
          </cell>
          <cell r="C625" t="str">
            <v>AMEREN ENERGY MKTG CO- GMC</v>
          </cell>
        </row>
        <row r="626">
          <cell r="A626" t="str">
            <v>GM3</v>
          </cell>
          <cell r="B626" t="str">
            <v>PHYS NATL GAS MKTG-INVALID</v>
          </cell>
          <cell r="C626" t="str">
            <v>AMEREN ENERGY MKTG CO- GMC</v>
          </cell>
        </row>
        <row r="627">
          <cell r="A627" t="str">
            <v>GM4</v>
          </cell>
          <cell r="B627" t="str">
            <v>AEM BUSINESS OPERATIONS</v>
          </cell>
          <cell r="C627" t="str">
            <v>AMEREN ENERGY MKTG CO- GMC</v>
          </cell>
        </row>
        <row r="628">
          <cell r="A628" t="str">
            <v>GM5</v>
          </cell>
          <cell r="B628" t="str">
            <v>ENRGY SLS- MID MKT-CIL INVALID</v>
          </cell>
          <cell r="C628" t="str">
            <v>AMEREN ENERGY MKTG CO- GMC</v>
          </cell>
        </row>
        <row r="629">
          <cell r="A629" t="str">
            <v>GM6</v>
          </cell>
          <cell r="B629" t="str">
            <v>CILCO TRADING-INVALID</v>
          </cell>
          <cell r="C629" t="str">
            <v>AMEREN ENERGY MKTG CO- GMC</v>
          </cell>
        </row>
        <row r="630">
          <cell r="A630" t="str">
            <v>GM7</v>
          </cell>
          <cell r="B630" t="str">
            <v>ENERGY SUPPLY - CSI-INVALID</v>
          </cell>
          <cell r="C630" t="str">
            <v>AMEREN ENERGY MKTG CO- GMC</v>
          </cell>
        </row>
        <row r="631">
          <cell r="A631" t="str">
            <v>GM8</v>
          </cell>
          <cell r="B631" t="str">
            <v>ELECTRIC SUPPLY-CIL-INVALID</v>
          </cell>
          <cell r="C631" t="str">
            <v>AMEREN ENERGY MKTG CO- GMC</v>
          </cell>
        </row>
        <row r="632">
          <cell r="A632" t="str">
            <v>GM9</v>
          </cell>
          <cell r="B632" t="str">
            <v>UNREG MARKETING-CIL-INVALID</v>
          </cell>
          <cell r="C632" t="str">
            <v>AMEREN ENERGY MKTG CO- GMC</v>
          </cell>
        </row>
        <row r="633">
          <cell r="A633" t="str">
            <v>GMC</v>
          </cell>
          <cell r="B633" t="str">
            <v>VP MARKETING-INVALID</v>
          </cell>
          <cell r="C633" t="str">
            <v>AMEREN ENERGY MKTG CO- GMC</v>
          </cell>
        </row>
        <row r="634">
          <cell r="A634" t="str">
            <v>GTZ</v>
          </cell>
          <cell r="B634" t="str">
            <v>GAS VACANCY FACTOR</v>
          </cell>
          <cell r="C634" t="str">
            <v>ILLINOIS OPERATIONS</v>
          </cell>
        </row>
        <row r="635">
          <cell r="A635" t="str">
            <v>IBA</v>
          </cell>
          <cell r="B635" t="str">
            <v>INTERCOMPANY BILLINGS ADDERS</v>
          </cell>
          <cell r="C635" t="str">
            <v>OTHER</v>
          </cell>
        </row>
        <row r="636">
          <cell r="A636" t="str">
            <v>IHC</v>
          </cell>
          <cell r="B636" t="str">
            <v>IHC MANAGEMENT</v>
          </cell>
          <cell r="C636" t="str">
            <v>AMEREN ENGY RESOURCES - IHC</v>
          </cell>
        </row>
        <row r="637">
          <cell r="A637" t="str">
            <v>IMS</v>
          </cell>
          <cell r="B637" t="str">
            <v>ILLINOIS MATERIAL SUPPLY COMPANY</v>
          </cell>
          <cell r="C637" t="str">
            <v>AMEREN ENGY RESOURCES - IHC</v>
          </cell>
        </row>
        <row r="638">
          <cell r="A638" t="str">
            <v>INC</v>
          </cell>
          <cell r="B638" t="str">
            <v>INCOME ITEMS</v>
          </cell>
          <cell r="C638" t="str">
            <v>OTHER</v>
          </cell>
        </row>
        <row r="639">
          <cell r="A639" t="str">
            <v>MCR</v>
          </cell>
          <cell r="B639" t="str">
            <v>MISSOURI CENTRAL RAILROAD CO</v>
          </cell>
          <cell r="C639" t="str">
            <v>AMEREN ENGY FUELS AND SVCS</v>
          </cell>
        </row>
        <row r="640">
          <cell r="A640" t="str">
            <v>NAD</v>
          </cell>
          <cell r="B640" t="str">
            <v>NEWTON - TRNG &amp; BEN ADMN &amp; BUD</v>
          </cell>
          <cell r="C640" t="str">
            <v>POWER PLANTS - GEN</v>
          </cell>
        </row>
        <row r="641">
          <cell r="A641" t="str">
            <v>NCP</v>
          </cell>
          <cell r="B641" t="str">
            <v>NON-CAPITALIZED PAYROLL EXP APPORT</v>
          </cell>
          <cell r="C641" t="str">
            <v>OTHER</v>
          </cell>
        </row>
        <row r="642">
          <cell r="A642" t="str">
            <v>NCY</v>
          </cell>
          <cell r="B642" t="str">
            <v>NEWTON - COAL YARD</v>
          </cell>
          <cell r="C642" t="str">
            <v>POWER PLANTS - GEN</v>
          </cell>
        </row>
        <row r="643">
          <cell r="A643" t="str">
            <v>NEM</v>
          </cell>
          <cell r="B643" t="str">
            <v>NEWTON - ELECTRICAL MAINTENANCE</v>
          </cell>
          <cell r="C643" t="str">
            <v>POWER PLANTS - GEN</v>
          </cell>
        </row>
        <row r="644">
          <cell r="A644" t="str">
            <v>NIM</v>
          </cell>
          <cell r="B644" t="str">
            <v>NEWTON - INSTRUMENT MAINTENANCE</v>
          </cell>
          <cell r="C644" t="str">
            <v>POWER PLANTS - GEN</v>
          </cell>
        </row>
        <row r="645">
          <cell r="A645" t="str">
            <v>NMM</v>
          </cell>
          <cell r="B645" t="str">
            <v>NEWTON - MECHANICAL MAINTENANCE</v>
          </cell>
          <cell r="C645" t="str">
            <v>POWER PLANTS - GEN</v>
          </cell>
        </row>
        <row r="646">
          <cell r="A646" t="str">
            <v>NOP</v>
          </cell>
          <cell r="B646" t="str">
            <v>NEWTON - OPERATIONS</v>
          </cell>
          <cell r="C646" t="str">
            <v>POWER PLANTS - GEN</v>
          </cell>
        </row>
        <row r="647">
          <cell r="A647" t="str">
            <v>NSS</v>
          </cell>
          <cell r="B647" t="str">
            <v>NEWTON - STATION SUPPORT</v>
          </cell>
          <cell r="C647" t="str">
            <v>POWER PLANTS - GEN</v>
          </cell>
        </row>
        <row r="648">
          <cell r="A648" t="str">
            <v>NST</v>
          </cell>
          <cell r="B648" t="str">
            <v>NEWTON - STORES</v>
          </cell>
          <cell r="C648" t="str">
            <v>POWER PLANTS - GEN</v>
          </cell>
        </row>
        <row r="649">
          <cell r="A649" t="str">
            <v>NTS</v>
          </cell>
          <cell r="B649" t="str">
            <v>NEWTON - TECHNICAL SUPPORT</v>
          </cell>
          <cell r="C649" t="str">
            <v>POWER PLANTS - GEN</v>
          </cell>
        </row>
        <row r="650">
          <cell r="A650" t="str">
            <v>NXX</v>
          </cell>
          <cell r="B650" t="str">
            <v>NEWTON - ROUTINE (EMPRV)</v>
          </cell>
          <cell r="C650" t="str">
            <v>POWER PLANTS - GEN</v>
          </cell>
        </row>
        <row r="651">
          <cell r="A651" t="str">
            <v>PT2</v>
          </cell>
          <cell r="B651" t="str">
            <v>Invalid RMC</v>
          </cell>
          <cell r="C651" t="str">
            <v>OTHER</v>
          </cell>
        </row>
        <row r="652">
          <cell r="A652" t="str">
            <v>REV</v>
          </cell>
          <cell r="B652" t="str">
            <v>REVENUES</v>
          </cell>
          <cell r="C652" t="str">
            <v>OTHER</v>
          </cell>
        </row>
        <row r="653">
          <cell r="A653" t="str">
            <v>SRR</v>
          </cell>
          <cell r="B653" t="str">
            <v>SERVICE REQUEST RECLASS</v>
          </cell>
          <cell r="C653" t="str">
            <v>OTHER</v>
          </cell>
        </row>
        <row r="654">
          <cell r="A654" t="str">
            <v>TAX</v>
          </cell>
          <cell r="B654" t="str">
            <v>TAXES</v>
          </cell>
          <cell r="C654" t="str">
            <v>OTHER</v>
          </cell>
        </row>
      </sheetData>
      <sheetData sheetId="28" refreshError="1"/>
      <sheetData sheetId="29">
        <row r="5">
          <cell r="C5" t="str">
            <v>Project#</v>
          </cell>
        </row>
      </sheetData>
      <sheetData sheetId="30" refreshError="1"/>
      <sheetData sheetId="31">
        <row r="5">
          <cell r="C5" t="str">
            <v>Project#</v>
          </cell>
          <cell r="D5" t="str">
            <v>AllocFactor</v>
          </cell>
        </row>
        <row r="6">
          <cell r="C6">
            <v>12732</v>
          </cell>
          <cell r="D6" t="str">
            <v>CIP</v>
          </cell>
        </row>
        <row r="7">
          <cell r="C7">
            <v>12737</v>
          </cell>
          <cell r="D7" t="str">
            <v>CIP</v>
          </cell>
        </row>
        <row r="8">
          <cell r="C8">
            <v>12756</v>
          </cell>
          <cell r="D8" t="str">
            <v>CIP</v>
          </cell>
        </row>
        <row r="9">
          <cell r="C9">
            <v>12815</v>
          </cell>
          <cell r="D9" t="str">
            <v>CIP</v>
          </cell>
        </row>
        <row r="10">
          <cell r="C10">
            <v>12899</v>
          </cell>
          <cell r="D10" t="str">
            <v>CIP</v>
          </cell>
        </row>
        <row r="11">
          <cell r="C11">
            <v>14489</v>
          </cell>
          <cell r="D11" t="str">
            <v>CIP</v>
          </cell>
        </row>
        <row r="12">
          <cell r="C12">
            <v>14503</v>
          </cell>
          <cell r="D12" t="str">
            <v>CIP</v>
          </cell>
        </row>
        <row r="13">
          <cell r="C13">
            <v>14506</v>
          </cell>
          <cell r="D13" t="str">
            <v>CIL</v>
          </cell>
        </row>
        <row r="14">
          <cell r="C14">
            <v>14552</v>
          </cell>
          <cell r="D14" t="str">
            <v>CIL</v>
          </cell>
        </row>
        <row r="15">
          <cell r="C15">
            <v>14554</v>
          </cell>
          <cell r="D15" t="str">
            <v>CIL</v>
          </cell>
        </row>
        <row r="16">
          <cell r="C16">
            <v>14617</v>
          </cell>
          <cell r="D16" t="str">
            <v>CIL</v>
          </cell>
        </row>
        <row r="17">
          <cell r="C17">
            <v>15277</v>
          </cell>
          <cell r="D17" t="str">
            <v>IPC</v>
          </cell>
        </row>
        <row r="18">
          <cell r="C18">
            <v>15452</v>
          </cell>
          <cell r="D18" t="str">
            <v>CIP</v>
          </cell>
        </row>
        <row r="19">
          <cell r="C19">
            <v>15782</v>
          </cell>
          <cell r="D19" t="str">
            <v>IPC</v>
          </cell>
        </row>
        <row r="20">
          <cell r="C20">
            <v>15931</v>
          </cell>
          <cell r="D20" t="str">
            <v>CIP</v>
          </cell>
        </row>
        <row r="21">
          <cell r="C21">
            <v>15936</v>
          </cell>
          <cell r="D21" t="str">
            <v>CIP</v>
          </cell>
        </row>
        <row r="22">
          <cell r="C22">
            <v>15989</v>
          </cell>
          <cell r="D22" t="str">
            <v>CIP</v>
          </cell>
        </row>
        <row r="23">
          <cell r="C23">
            <v>15993</v>
          </cell>
          <cell r="D23" t="str">
            <v>CIP</v>
          </cell>
        </row>
        <row r="24">
          <cell r="C24">
            <v>15996</v>
          </cell>
          <cell r="D24" t="str">
            <v>CIP</v>
          </cell>
        </row>
        <row r="25">
          <cell r="C25">
            <v>16095</v>
          </cell>
          <cell r="D25" t="str">
            <v>CIP</v>
          </cell>
        </row>
        <row r="26">
          <cell r="C26">
            <v>16107</v>
          </cell>
          <cell r="D26" t="str">
            <v>CIP</v>
          </cell>
        </row>
        <row r="27">
          <cell r="C27">
            <v>16108</v>
          </cell>
          <cell r="D27" t="str">
            <v>CIP</v>
          </cell>
        </row>
        <row r="28">
          <cell r="C28">
            <v>16109</v>
          </cell>
          <cell r="D28" t="str">
            <v>CIP</v>
          </cell>
        </row>
        <row r="29">
          <cell r="C29">
            <v>16114</v>
          </cell>
          <cell r="D29" t="str">
            <v>CIP</v>
          </cell>
        </row>
        <row r="30">
          <cell r="C30">
            <v>16116</v>
          </cell>
          <cell r="D30" t="str">
            <v>IPC</v>
          </cell>
        </row>
        <row r="31">
          <cell r="C31">
            <v>16143</v>
          </cell>
          <cell r="D31" t="str">
            <v>CIP</v>
          </cell>
        </row>
        <row r="32">
          <cell r="C32">
            <v>16162</v>
          </cell>
          <cell r="D32" t="str">
            <v>CIP</v>
          </cell>
        </row>
        <row r="33">
          <cell r="C33">
            <v>16190</v>
          </cell>
          <cell r="D33" t="str">
            <v>CIP</v>
          </cell>
        </row>
        <row r="34">
          <cell r="C34">
            <v>16282</v>
          </cell>
          <cell r="D34" t="str">
            <v>IPC</v>
          </cell>
        </row>
        <row r="35">
          <cell r="C35">
            <v>16283</v>
          </cell>
          <cell r="D35" t="str">
            <v>IPC</v>
          </cell>
        </row>
        <row r="36">
          <cell r="C36">
            <v>16284</v>
          </cell>
          <cell r="D36" t="str">
            <v>IPC</v>
          </cell>
        </row>
        <row r="37">
          <cell r="C37">
            <v>16303</v>
          </cell>
          <cell r="D37" t="str">
            <v>IPC</v>
          </cell>
        </row>
        <row r="38">
          <cell r="C38">
            <v>16304</v>
          </cell>
          <cell r="D38" t="str">
            <v>IPC</v>
          </cell>
        </row>
        <row r="39">
          <cell r="C39">
            <v>16306</v>
          </cell>
          <cell r="D39" t="str">
            <v>IPC</v>
          </cell>
        </row>
        <row r="40">
          <cell r="C40">
            <v>16310</v>
          </cell>
          <cell r="D40" t="str">
            <v>IPC</v>
          </cell>
        </row>
        <row r="41">
          <cell r="C41">
            <v>16322</v>
          </cell>
          <cell r="D41" t="str">
            <v>IPC</v>
          </cell>
        </row>
        <row r="42">
          <cell r="C42">
            <v>16331</v>
          </cell>
          <cell r="D42" t="str">
            <v>IPC</v>
          </cell>
        </row>
        <row r="43">
          <cell r="C43">
            <v>16336</v>
          </cell>
          <cell r="D43" t="str">
            <v>IPC</v>
          </cell>
        </row>
        <row r="44">
          <cell r="C44">
            <v>16337</v>
          </cell>
          <cell r="D44" t="str">
            <v>IPC</v>
          </cell>
        </row>
        <row r="45">
          <cell r="C45">
            <v>16342</v>
          </cell>
          <cell r="D45" t="str">
            <v>IPC</v>
          </cell>
        </row>
        <row r="46">
          <cell r="C46">
            <v>16347</v>
          </cell>
          <cell r="D46" t="str">
            <v>IPC</v>
          </cell>
        </row>
        <row r="47">
          <cell r="C47">
            <v>16348</v>
          </cell>
          <cell r="D47" t="str">
            <v>IPC</v>
          </cell>
        </row>
        <row r="48">
          <cell r="C48">
            <v>16349</v>
          </cell>
          <cell r="D48" t="str">
            <v>IPC</v>
          </cell>
        </row>
        <row r="49">
          <cell r="C49">
            <v>16354</v>
          </cell>
          <cell r="D49" t="str">
            <v>IPC</v>
          </cell>
        </row>
        <row r="50">
          <cell r="C50">
            <v>16355</v>
          </cell>
          <cell r="D50" t="str">
            <v>IPC</v>
          </cell>
        </row>
        <row r="51">
          <cell r="C51">
            <v>16357</v>
          </cell>
          <cell r="D51" t="str">
            <v>IPC</v>
          </cell>
        </row>
        <row r="52">
          <cell r="C52">
            <v>16360</v>
          </cell>
          <cell r="D52" t="str">
            <v>IPC</v>
          </cell>
        </row>
        <row r="53">
          <cell r="C53">
            <v>16361</v>
          </cell>
          <cell r="D53" t="str">
            <v>IPC</v>
          </cell>
        </row>
        <row r="54">
          <cell r="C54">
            <v>16362</v>
          </cell>
          <cell r="D54" t="str">
            <v>IPC</v>
          </cell>
        </row>
        <row r="55">
          <cell r="C55">
            <v>16365</v>
          </cell>
          <cell r="D55" t="str">
            <v>IPC</v>
          </cell>
        </row>
        <row r="56">
          <cell r="C56">
            <v>16366</v>
          </cell>
          <cell r="D56" t="str">
            <v>IPC</v>
          </cell>
        </row>
        <row r="57">
          <cell r="C57">
            <v>16367</v>
          </cell>
          <cell r="D57" t="str">
            <v>IPC</v>
          </cell>
        </row>
        <row r="58">
          <cell r="C58">
            <v>16374</v>
          </cell>
          <cell r="D58" t="str">
            <v>IPC</v>
          </cell>
        </row>
        <row r="59">
          <cell r="C59">
            <v>16375</v>
          </cell>
          <cell r="D59" t="str">
            <v>IPC</v>
          </cell>
        </row>
        <row r="60">
          <cell r="C60">
            <v>16379</v>
          </cell>
          <cell r="D60" t="str">
            <v>IPC</v>
          </cell>
        </row>
        <row r="61">
          <cell r="C61">
            <v>16380</v>
          </cell>
          <cell r="D61" t="str">
            <v>IPC</v>
          </cell>
        </row>
        <row r="62">
          <cell r="C62">
            <v>16381</v>
          </cell>
          <cell r="D62" t="str">
            <v>IPC</v>
          </cell>
        </row>
        <row r="63">
          <cell r="C63">
            <v>16384</v>
          </cell>
          <cell r="D63" t="str">
            <v>IPC</v>
          </cell>
        </row>
        <row r="64">
          <cell r="C64">
            <v>16470</v>
          </cell>
          <cell r="D64" t="str">
            <v>CIP</v>
          </cell>
        </row>
        <row r="65">
          <cell r="C65">
            <v>16508</v>
          </cell>
          <cell r="D65" t="str">
            <v>CIL</v>
          </cell>
        </row>
        <row r="66">
          <cell r="C66">
            <v>16521</v>
          </cell>
          <cell r="D66" t="str">
            <v>IPC</v>
          </cell>
        </row>
        <row r="67">
          <cell r="C67">
            <v>16533</v>
          </cell>
          <cell r="D67" t="str">
            <v>CIL</v>
          </cell>
        </row>
        <row r="68">
          <cell r="C68">
            <v>16534</v>
          </cell>
          <cell r="D68" t="str">
            <v>CIL</v>
          </cell>
        </row>
        <row r="69">
          <cell r="C69">
            <v>16535</v>
          </cell>
          <cell r="D69" t="str">
            <v>CIL</v>
          </cell>
        </row>
        <row r="70">
          <cell r="C70">
            <v>16536</v>
          </cell>
          <cell r="D70" t="str">
            <v>CIL</v>
          </cell>
        </row>
        <row r="71">
          <cell r="C71">
            <v>16543</v>
          </cell>
          <cell r="D71" t="str">
            <v>IPC</v>
          </cell>
        </row>
        <row r="72">
          <cell r="C72">
            <v>16544</v>
          </cell>
          <cell r="D72" t="str">
            <v>IPC</v>
          </cell>
        </row>
        <row r="73">
          <cell r="C73">
            <v>16558</v>
          </cell>
          <cell r="D73" t="str">
            <v>CIL</v>
          </cell>
        </row>
        <row r="74">
          <cell r="C74">
            <v>16567</v>
          </cell>
          <cell r="D74" t="str">
            <v>IPC</v>
          </cell>
        </row>
        <row r="75">
          <cell r="C75">
            <v>16575</v>
          </cell>
          <cell r="D75" t="str">
            <v>CIP</v>
          </cell>
        </row>
        <row r="76">
          <cell r="C76">
            <v>16590</v>
          </cell>
          <cell r="D76" t="str">
            <v>CIP</v>
          </cell>
        </row>
        <row r="77">
          <cell r="C77">
            <v>16609</v>
          </cell>
          <cell r="D77" t="str">
            <v>IPC</v>
          </cell>
        </row>
        <row r="78">
          <cell r="C78">
            <v>16610</v>
          </cell>
          <cell r="D78" t="str">
            <v>CIP</v>
          </cell>
        </row>
        <row r="79">
          <cell r="C79">
            <v>16653</v>
          </cell>
          <cell r="D79" t="str">
            <v>IPC</v>
          </cell>
        </row>
        <row r="80">
          <cell r="C80">
            <v>16654</v>
          </cell>
          <cell r="D80" t="str">
            <v>IPC</v>
          </cell>
        </row>
        <row r="81">
          <cell r="C81">
            <v>16655</v>
          </cell>
          <cell r="D81" t="str">
            <v>IPC</v>
          </cell>
        </row>
        <row r="82">
          <cell r="C82">
            <v>16656</v>
          </cell>
          <cell r="D82" t="str">
            <v>IPC</v>
          </cell>
        </row>
        <row r="83">
          <cell r="C83">
            <v>16802</v>
          </cell>
          <cell r="D83" t="str">
            <v>IPC</v>
          </cell>
        </row>
        <row r="84">
          <cell r="C84">
            <v>16828</v>
          </cell>
          <cell r="D84" t="str">
            <v>IPC</v>
          </cell>
        </row>
        <row r="85">
          <cell r="C85">
            <v>16831</v>
          </cell>
          <cell r="D85" t="str">
            <v>IPC</v>
          </cell>
        </row>
        <row r="86">
          <cell r="C86">
            <v>16848</v>
          </cell>
          <cell r="D86" t="str">
            <v>CIL</v>
          </cell>
        </row>
        <row r="87">
          <cell r="C87">
            <v>16852</v>
          </cell>
          <cell r="D87" t="str">
            <v>CIL</v>
          </cell>
        </row>
        <row r="88">
          <cell r="C88">
            <v>16922</v>
          </cell>
          <cell r="D88" t="str">
            <v>CIP</v>
          </cell>
        </row>
        <row r="89">
          <cell r="C89">
            <v>16934</v>
          </cell>
          <cell r="D89" t="str">
            <v>IPC</v>
          </cell>
        </row>
        <row r="90">
          <cell r="C90">
            <v>16937</v>
          </cell>
          <cell r="D90" t="str">
            <v>IPC</v>
          </cell>
        </row>
        <row r="91">
          <cell r="C91">
            <v>16938</v>
          </cell>
          <cell r="D91" t="str">
            <v>IPC</v>
          </cell>
        </row>
        <row r="92">
          <cell r="C92">
            <v>16939</v>
          </cell>
          <cell r="D92" t="str">
            <v>IPC</v>
          </cell>
        </row>
        <row r="93">
          <cell r="C93">
            <v>16953</v>
          </cell>
          <cell r="D93" t="str">
            <v>CIL</v>
          </cell>
        </row>
        <row r="94">
          <cell r="C94">
            <v>16956</v>
          </cell>
          <cell r="D94" t="str">
            <v>IPC</v>
          </cell>
        </row>
        <row r="95">
          <cell r="C95">
            <v>16957</v>
          </cell>
          <cell r="D95" t="str">
            <v>IPC</v>
          </cell>
        </row>
        <row r="96">
          <cell r="C96">
            <v>16959</v>
          </cell>
          <cell r="D96" t="str">
            <v>IPC</v>
          </cell>
        </row>
        <row r="97">
          <cell r="C97">
            <v>16983</v>
          </cell>
          <cell r="D97" t="str">
            <v>CIL</v>
          </cell>
        </row>
        <row r="98">
          <cell r="C98">
            <v>16984</v>
          </cell>
          <cell r="D98" t="str">
            <v>CIL</v>
          </cell>
        </row>
        <row r="99">
          <cell r="C99">
            <v>16996</v>
          </cell>
          <cell r="D99" t="str">
            <v>CIL</v>
          </cell>
        </row>
        <row r="100">
          <cell r="C100">
            <v>17030</v>
          </cell>
          <cell r="D100" t="str">
            <v>IPC</v>
          </cell>
        </row>
        <row r="101">
          <cell r="C101">
            <v>17032</v>
          </cell>
          <cell r="D101" t="str">
            <v>IPC</v>
          </cell>
        </row>
        <row r="102">
          <cell r="C102">
            <v>17042</v>
          </cell>
          <cell r="D102" t="str">
            <v>IPC</v>
          </cell>
        </row>
        <row r="103">
          <cell r="C103">
            <v>17044</v>
          </cell>
          <cell r="D103" t="str">
            <v>IPC</v>
          </cell>
        </row>
        <row r="104">
          <cell r="C104">
            <v>17045</v>
          </cell>
          <cell r="D104" t="str">
            <v>IPC</v>
          </cell>
        </row>
        <row r="105">
          <cell r="C105">
            <v>17049</v>
          </cell>
          <cell r="D105" t="str">
            <v>CIL</v>
          </cell>
        </row>
        <row r="106">
          <cell r="C106">
            <v>17055</v>
          </cell>
          <cell r="D106" t="str">
            <v>IPC</v>
          </cell>
        </row>
        <row r="107">
          <cell r="C107">
            <v>17059</v>
          </cell>
          <cell r="D107" t="str">
            <v>CIL</v>
          </cell>
        </row>
        <row r="108">
          <cell r="C108">
            <v>17060</v>
          </cell>
          <cell r="D108" t="str">
            <v>CIL</v>
          </cell>
        </row>
        <row r="109">
          <cell r="C109">
            <v>17221</v>
          </cell>
          <cell r="D109" t="str">
            <v>IPC</v>
          </cell>
        </row>
        <row r="110">
          <cell r="C110">
            <v>17226</v>
          </cell>
          <cell r="D110" t="str">
            <v>IPC</v>
          </cell>
        </row>
        <row r="111">
          <cell r="C111">
            <v>17232</v>
          </cell>
          <cell r="D111" t="str">
            <v>IPC</v>
          </cell>
        </row>
        <row r="112">
          <cell r="C112">
            <v>17233</v>
          </cell>
          <cell r="D112" t="str">
            <v>IPC</v>
          </cell>
        </row>
        <row r="113">
          <cell r="C113">
            <v>17287</v>
          </cell>
          <cell r="D113" t="str">
            <v>IPC</v>
          </cell>
        </row>
        <row r="114">
          <cell r="C114">
            <v>17309</v>
          </cell>
          <cell r="D114" t="str">
            <v>IPC</v>
          </cell>
        </row>
        <row r="115">
          <cell r="C115">
            <v>17310</v>
          </cell>
          <cell r="D115" t="str">
            <v>IPC</v>
          </cell>
        </row>
        <row r="116">
          <cell r="C116">
            <v>17311</v>
          </cell>
          <cell r="D116" t="str">
            <v>IPC</v>
          </cell>
        </row>
        <row r="117">
          <cell r="C117">
            <v>17328</v>
          </cell>
          <cell r="D117" t="str">
            <v>IPC</v>
          </cell>
        </row>
        <row r="118">
          <cell r="C118">
            <v>17409</v>
          </cell>
          <cell r="D118" t="str">
            <v>IPC</v>
          </cell>
        </row>
        <row r="119">
          <cell r="C119">
            <v>17415</v>
          </cell>
          <cell r="D119" t="str">
            <v>IPC</v>
          </cell>
        </row>
        <row r="120">
          <cell r="C120">
            <v>17521</v>
          </cell>
          <cell r="D120" t="str">
            <v>IPC</v>
          </cell>
        </row>
        <row r="121">
          <cell r="C121">
            <v>17561</v>
          </cell>
          <cell r="D121" t="str">
            <v>IPC</v>
          </cell>
        </row>
        <row r="122">
          <cell r="C122">
            <v>17565</v>
          </cell>
          <cell r="D122" t="str">
            <v>IPC</v>
          </cell>
        </row>
        <row r="123">
          <cell r="C123">
            <v>18063</v>
          </cell>
          <cell r="D123" t="str">
            <v>CIP</v>
          </cell>
        </row>
        <row r="124">
          <cell r="C124">
            <v>18166</v>
          </cell>
          <cell r="D124" t="str">
            <v>IPC</v>
          </cell>
        </row>
        <row r="125">
          <cell r="C125">
            <v>18261</v>
          </cell>
          <cell r="D125" t="str">
            <v>IPC</v>
          </cell>
        </row>
        <row r="126">
          <cell r="C126">
            <v>18314</v>
          </cell>
          <cell r="D126" t="str">
            <v>IPC</v>
          </cell>
        </row>
        <row r="127">
          <cell r="C127">
            <v>18315</v>
          </cell>
          <cell r="D127" t="str">
            <v>IPC</v>
          </cell>
        </row>
        <row r="128">
          <cell r="C128">
            <v>18317</v>
          </cell>
          <cell r="D128" t="str">
            <v>IPC</v>
          </cell>
        </row>
        <row r="129">
          <cell r="C129">
            <v>18447</v>
          </cell>
          <cell r="D129" t="str">
            <v>IPC</v>
          </cell>
        </row>
        <row r="130">
          <cell r="C130">
            <v>18502</v>
          </cell>
          <cell r="D130" t="str">
            <v>IPC</v>
          </cell>
        </row>
        <row r="131">
          <cell r="C131">
            <v>18503</v>
          </cell>
          <cell r="D131" t="str">
            <v>IPC</v>
          </cell>
        </row>
        <row r="132">
          <cell r="C132">
            <v>18629</v>
          </cell>
          <cell r="D132" t="str">
            <v>IPC</v>
          </cell>
        </row>
        <row r="133">
          <cell r="C133">
            <v>18634</v>
          </cell>
          <cell r="D133" t="str">
            <v>IPC</v>
          </cell>
        </row>
        <row r="134">
          <cell r="C134">
            <v>18650</v>
          </cell>
          <cell r="D134" t="str">
            <v>IPC</v>
          </cell>
        </row>
        <row r="135">
          <cell r="C135">
            <v>18679</v>
          </cell>
          <cell r="D135" t="str">
            <v>IPC</v>
          </cell>
        </row>
        <row r="136">
          <cell r="C136">
            <v>18688</v>
          </cell>
          <cell r="D136" t="str">
            <v>IPC</v>
          </cell>
        </row>
        <row r="137">
          <cell r="C137">
            <v>18692</v>
          </cell>
          <cell r="D137" t="str">
            <v>IPC</v>
          </cell>
        </row>
        <row r="138">
          <cell r="C138">
            <v>18708</v>
          </cell>
          <cell r="D138" t="str">
            <v>IPC</v>
          </cell>
        </row>
        <row r="139">
          <cell r="C139">
            <v>18710</v>
          </cell>
          <cell r="D139" t="str">
            <v>IPC</v>
          </cell>
        </row>
        <row r="140">
          <cell r="C140">
            <v>18732</v>
          </cell>
          <cell r="D140" t="str">
            <v>IPC</v>
          </cell>
        </row>
        <row r="141">
          <cell r="C141">
            <v>18742</v>
          </cell>
          <cell r="D141" t="str">
            <v>IPC</v>
          </cell>
        </row>
        <row r="142">
          <cell r="C142">
            <v>18758</v>
          </cell>
          <cell r="D142" t="str">
            <v>IPC</v>
          </cell>
        </row>
        <row r="143">
          <cell r="C143">
            <v>18946</v>
          </cell>
          <cell r="D143" t="str">
            <v>CIP</v>
          </cell>
        </row>
        <row r="144">
          <cell r="C144">
            <v>18947</v>
          </cell>
          <cell r="D144" t="str">
            <v>IPC</v>
          </cell>
        </row>
        <row r="145">
          <cell r="C145">
            <v>19097</v>
          </cell>
          <cell r="D145" t="str">
            <v>CIL</v>
          </cell>
        </row>
        <row r="146">
          <cell r="C146">
            <v>19099</v>
          </cell>
          <cell r="D146" t="str">
            <v>IPC</v>
          </cell>
        </row>
        <row r="147">
          <cell r="C147">
            <v>19104</v>
          </cell>
          <cell r="D147" t="str">
            <v>IPC</v>
          </cell>
        </row>
        <row r="148">
          <cell r="C148">
            <v>19115</v>
          </cell>
          <cell r="D148" t="str">
            <v>IPC</v>
          </cell>
        </row>
        <row r="149">
          <cell r="C149">
            <v>19116</v>
          </cell>
          <cell r="D149" t="str">
            <v>IPC</v>
          </cell>
        </row>
        <row r="150">
          <cell r="C150">
            <v>19118</v>
          </cell>
          <cell r="D150" t="str">
            <v>IPC</v>
          </cell>
        </row>
        <row r="151">
          <cell r="C151">
            <v>19126</v>
          </cell>
          <cell r="D151" t="str">
            <v>IPC</v>
          </cell>
        </row>
        <row r="152">
          <cell r="C152">
            <v>19127</v>
          </cell>
          <cell r="D152" t="str">
            <v>IPC</v>
          </cell>
        </row>
        <row r="153">
          <cell r="C153">
            <v>19130</v>
          </cell>
          <cell r="D153" t="str">
            <v>CIP</v>
          </cell>
        </row>
        <row r="154">
          <cell r="C154">
            <v>19137</v>
          </cell>
          <cell r="D154" t="str">
            <v>IPC</v>
          </cell>
        </row>
        <row r="155">
          <cell r="C155">
            <v>19216</v>
          </cell>
          <cell r="D155" t="str">
            <v>IPC</v>
          </cell>
        </row>
        <row r="156">
          <cell r="C156">
            <v>19217</v>
          </cell>
          <cell r="D156" t="str">
            <v>IPC</v>
          </cell>
        </row>
        <row r="157">
          <cell r="C157">
            <v>19218</v>
          </cell>
          <cell r="D157" t="str">
            <v>IPC</v>
          </cell>
        </row>
        <row r="158">
          <cell r="C158">
            <v>19234</v>
          </cell>
          <cell r="D158" t="str">
            <v>IPC</v>
          </cell>
        </row>
        <row r="159">
          <cell r="C159">
            <v>19249</v>
          </cell>
          <cell r="D159" t="str">
            <v>CIP</v>
          </cell>
        </row>
        <row r="160">
          <cell r="C160">
            <v>19267</v>
          </cell>
          <cell r="D160" t="str">
            <v>IPC</v>
          </cell>
        </row>
        <row r="161">
          <cell r="C161">
            <v>19272</v>
          </cell>
          <cell r="D161" t="str">
            <v>CIP</v>
          </cell>
        </row>
        <row r="162">
          <cell r="C162">
            <v>19300</v>
          </cell>
          <cell r="D162" t="str">
            <v>IPC</v>
          </cell>
        </row>
        <row r="163">
          <cell r="C163">
            <v>19314</v>
          </cell>
          <cell r="D163" t="str">
            <v>CIP</v>
          </cell>
        </row>
        <row r="164">
          <cell r="C164">
            <v>19315</v>
          </cell>
          <cell r="D164" t="str">
            <v>CIP</v>
          </cell>
        </row>
        <row r="165">
          <cell r="C165">
            <v>19343</v>
          </cell>
          <cell r="D165" t="str">
            <v>CIL</v>
          </cell>
        </row>
        <row r="166">
          <cell r="C166">
            <v>19350</v>
          </cell>
          <cell r="D166" t="str">
            <v>IPC</v>
          </cell>
        </row>
        <row r="167">
          <cell r="C167">
            <v>19354</v>
          </cell>
          <cell r="D167" t="str">
            <v>CIP</v>
          </cell>
        </row>
        <row r="168">
          <cell r="C168">
            <v>19403</v>
          </cell>
          <cell r="D168" t="str">
            <v>CIP</v>
          </cell>
        </row>
        <row r="169">
          <cell r="C169">
            <v>19455</v>
          </cell>
          <cell r="D169" t="str">
            <v>CIP</v>
          </cell>
        </row>
        <row r="170">
          <cell r="C170">
            <v>19458</v>
          </cell>
          <cell r="D170" t="str">
            <v>CIL</v>
          </cell>
        </row>
        <row r="171">
          <cell r="C171">
            <v>19511</v>
          </cell>
          <cell r="D171" t="str">
            <v>IPC</v>
          </cell>
        </row>
        <row r="172">
          <cell r="C172">
            <v>19514</v>
          </cell>
          <cell r="D172" t="str">
            <v>IPC</v>
          </cell>
        </row>
        <row r="173">
          <cell r="C173">
            <v>19520</v>
          </cell>
          <cell r="D173" t="str">
            <v>IPC</v>
          </cell>
        </row>
        <row r="174">
          <cell r="C174">
            <v>19553</v>
          </cell>
          <cell r="D174" t="str">
            <v>IPC</v>
          </cell>
        </row>
        <row r="175">
          <cell r="C175">
            <v>19586</v>
          </cell>
          <cell r="D175" t="str">
            <v>IPC</v>
          </cell>
        </row>
        <row r="176">
          <cell r="C176">
            <v>19587</v>
          </cell>
          <cell r="D176" t="str">
            <v>CIP</v>
          </cell>
        </row>
        <row r="177">
          <cell r="C177">
            <v>19593</v>
          </cell>
          <cell r="D177" t="str">
            <v>CIL</v>
          </cell>
        </row>
        <row r="178">
          <cell r="C178">
            <v>19626</v>
          </cell>
          <cell r="D178" t="str">
            <v>IPC</v>
          </cell>
        </row>
        <row r="179">
          <cell r="C179">
            <v>19743</v>
          </cell>
          <cell r="D179" t="str">
            <v>CIP</v>
          </cell>
        </row>
        <row r="180">
          <cell r="C180">
            <v>19761</v>
          </cell>
          <cell r="D180" t="str">
            <v>CIP</v>
          </cell>
        </row>
        <row r="181">
          <cell r="C181">
            <v>19780</v>
          </cell>
          <cell r="D181" t="str">
            <v>IPC</v>
          </cell>
        </row>
        <row r="182">
          <cell r="C182">
            <v>19867</v>
          </cell>
          <cell r="D182" t="str">
            <v>IPC</v>
          </cell>
        </row>
        <row r="183">
          <cell r="C183">
            <v>19877</v>
          </cell>
          <cell r="D183" t="str">
            <v>IPC</v>
          </cell>
        </row>
        <row r="184">
          <cell r="C184">
            <v>19884</v>
          </cell>
          <cell r="D184" t="str">
            <v>IPC</v>
          </cell>
        </row>
        <row r="185">
          <cell r="C185">
            <v>19923</v>
          </cell>
          <cell r="D185" t="str">
            <v>IPC</v>
          </cell>
        </row>
        <row r="186">
          <cell r="C186">
            <v>19924</v>
          </cell>
          <cell r="D186" t="str">
            <v>IPC</v>
          </cell>
        </row>
        <row r="187">
          <cell r="C187">
            <v>19932</v>
          </cell>
          <cell r="D187" t="str">
            <v>IPC</v>
          </cell>
        </row>
        <row r="188">
          <cell r="C188">
            <v>19938</v>
          </cell>
          <cell r="D188" t="str">
            <v>IPC</v>
          </cell>
        </row>
        <row r="189">
          <cell r="C189">
            <v>20007</v>
          </cell>
          <cell r="D189" t="str">
            <v>IPC</v>
          </cell>
        </row>
        <row r="190">
          <cell r="C190">
            <v>20008</v>
          </cell>
          <cell r="D190" t="str">
            <v>IPC</v>
          </cell>
        </row>
        <row r="191">
          <cell r="C191">
            <v>20009</v>
          </cell>
          <cell r="D191" t="str">
            <v>IPC</v>
          </cell>
        </row>
        <row r="192">
          <cell r="C192">
            <v>20021</v>
          </cell>
          <cell r="D192" t="str">
            <v>IPC</v>
          </cell>
        </row>
        <row r="193">
          <cell r="C193">
            <v>20023</v>
          </cell>
          <cell r="D193" t="str">
            <v>IPC</v>
          </cell>
        </row>
        <row r="194">
          <cell r="C194">
            <v>20048</v>
          </cell>
          <cell r="D194" t="str">
            <v>IPC</v>
          </cell>
        </row>
        <row r="195">
          <cell r="C195">
            <v>20051</v>
          </cell>
          <cell r="D195" t="str">
            <v>IPC</v>
          </cell>
        </row>
        <row r="196">
          <cell r="C196">
            <v>20065</v>
          </cell>
          <cell r="D196" t="str">
            <v>IPC</v>
          </cell>
        </row>
        <row r="197">
          <cell r="C197">
            <v>20087</v>
          </cell>
          <cell r="D197" t="str">
            <v>CIP</v>
          </cell>
        </row>
        <row r="198">
          <cell r="C198">
            <v>20116</v>
          </cell>
          <cell r="D198" t="str">
            <v>CIP</v>
          </cell>
        </row>
        <row r="199">
          <cell r="C199">
            <v>20131</v>
          </cell>
          <cell r="D199" t="str">
            <v>CIL</v>
          </cell>
        </row>
        <row r="200">
          <cell r="C200">
            <v>20132</v>
          </cell>
          <cell r="D200" t="str">
            <v>CIL</v>
          </cell>
        </row>
        <row r="201">
          <cell r="C201">
            <v>20274</v>
          </cell>
          <cell r="D201" t="str">
            <v>IPC</v>
          </cell>
        </row>
        <row r="202">
          <cell r="C202">
            <v>20352</v>
          </cell>
          <cell r="D202" t="str">
            <v>CIP</v>
          </cell>
        </row>
        <row r="203">
          <cell r="C203">
            <v>20419</v>
          </cell>
          <cell r="D203" t="str">
            <v>CIL</v>
          </cell>
        </row>
        <row r="204">
          <cell r="C204">
            <v>20769</v>
          </cell>
          <cell r="D204" t="str">
            <v>CIP</v>
          </cell>
        </row>
        <row r="205">
          <cell r="C205">
            <v>20848</v>
          </cell>
          <cell r="D205" t="str">
            <v>CIL</v>
          </cell>
        </row>
        <row r="206">
          <cell r="C206">
            <v>20898</v>
          </cell>
          <cell r="D206" t="str">
            <v>IPC</v>
          </cell>
        </row>
        <row r="207">
          <cell r="C207">
            <v>20939</v>
          </cell>
          <cell r="D207" t="str">
            <v>IPC</v>
          </cell>
        </row>
        <row r="208">
          <cell r="C208">
            <v>20946</v>
          </cell>
          <cell r="D208" t="str">
            <v>CIP</v>
          </cell>
        </row>
        <row r="209">
          <cell r="C209">
            <v>20989</v>
          </cell>
          <cell r="D209" t="str">
            <v>IPC</v>
          </cell>
        </row>
        <row r="210">
          <cell r="C210">
            <v>20995</v>
          </cell>
          <cell r="D210" t="str">
            <v>CIP</v>
          </cell>
        </row>
        <row r="211">
          <cell r="C211">
            <v>21034</v>
          </cell>
          <cell r="D211" t="str">
            <v>CIP</v>
          </cell>
        </row>
        <row r="212">
          <cell r="C212">
            <v>21046</v>
          </cell>
          <cell r="D212" t="str">
            <v>IPC</v>
          </cell>
        </row>
        <row r="213">
          <cell r="C213">
            <v>21058</v>
          </cell>
          <cell r="D213" t="str">
            <v>IPC</v>
          </cell>
        </row>
        <row r="214">
          <cell r="C214">
            <v>21086</v>
          </cell>
          <cell r="D214" t="str">
            <v>IPC</v>
          </cell>
        </row>
        <row r="215">
          <cell r="C215">
            <v>21114</v>
          </cell>
          <cell r="D215" t="str">
            <v>CIL</v>
          </cell>
        </row>
        <row r="216">
          <cell r="C216">
            <v>21248</v>
          </cell>
          <cell r="D216" t="str">
            <v>IPC</v>
          </cell>
        </row>
        <row r="217">
          <cell r="C217">
            <v>21296</v>
          </cell>
          <cell r="D217" t="str">
            <v>IPC</v>
          </cell>
        </row>
        <row r="218">
          <cell r="C218">
            <v>21308</v>
          </cell>
          <cell r="D218" t="str">
            <v>CIP</v>
          </cell>
        </row>
        <row r="219">
          <cell r="C219">
            <v>21346</v>
          </cell>
          <cell r="D219" t="str">
            <v>CIP</v>
          </cell>
        </row>
        <row r="220">
          <cell r="C220" t="str">
            <v>0K396</v>
          </cell>
          <cell r="D220" t="str">
            <v>CIP</v>
          </cell>
        </row>
        <row r="221">
          <cell r="C221" t="str">
            <v>0K398</v>
          </cell>
          <cell r="D221" t="str">
            <v>CIL</v>
          </cell>
        </row>
        <row r="222">
          <cell r="C222" t="str">
            <v>0K399</v>
          </cell>
          <cell r="D222" t="str">
            <v>IPC</v>
          </cell>
        </row>
        <row r="223">
          <cell r="C223" t="str">
            <v>0K405</v>
          </cell>
          <cell r="D223" t="str">
            <v>IPC</v>
          </cell>
        </row>
        <row r="224">
          <cell r="C224" t="str">
            <v>0K476</v>
          </cell>
          <cell r="D224" t="str">
            <v>IPC</v>
          </cell>
        </row>
        <row r="225">
          <cell r="C225" t="str">
            <v>0K487</v>
          </cell>
          <cell r="D225" t="str">
            <v>CIL</v>
          </cell>
        </row>
        <row r="226">
          <cell r="C226" t="str">
            <v>A2545</v>
          </cell>
          <cell r="D226" t="str">
            <v>017C</v>
          </cell>
        </row>
        <row r="227">
          <cell r="C227" t="str">
            <v>A2546</v>
          </cell>
          <cell r="D227" t="str">
            <v>002O</v>
          </cell>
        </row>
        <row r="228">
          <cell r="C228" t="str">
            <v>A2548</v>
          </cell>
          <cell r="D228" t="str">
            <v>004A</v>
          </cell>
        </row>
        <row r="229">
          <cell r="C229" t="str">
            <v>A2549</v>
          </cell>
          <cell r="D229" t="str">
            <v>002M</v>
          </cell>
        </row>
        <row r="230">
          <cell r="C230" t="str">
            <v>A2552</v>
          </cell>
          <cell r="D230" t="str">
            <v>001A</v>
          </cell>
        </row>
        <row r="231">
          <cell r="C231" t="str">
            <v>A2553</v>
          </cell>
          <cell r="D231" t="str">
            <v>001A</v>
          </cell>
        </row>
        <row r="232">
          <cell r="C232" t="str">
            <v>A2554</v>
          </cell>
          <cell r="D232" t="str">
            <v>010A</v>
          </cell>
        </row>
        <row r="233">
          <cell r="C233" t="str">
            <v>A2555</v>
          </cell>
          <cell r="D233" t="str">
            <v>003B</v>
          </cell>
        </row>
        <row r="234">
          <cell r="C234" t="str">
            <v>A2557</v>
          </cell>
          <cell r="D234" t="str">
            <v>CIP</v>
          </cell>
        </row>
        <row r="235">
          <cell r="C235" t="str">
            <v>A2558</v>
          </cell>
          <cell r="D235" t="str">
            <v>CIL</v>
          </cell>
        </row>
        <row r="236">
          <cell r="C236" t="str">
            <v>A2564</v>
          </cell>
          <cell r="D236" t="str">
            <v>011A</v>
          </cell>
        </row>
        <row r="237">
          <cell r="C237" t="str">
            <v>A2566</v>
          </cell>
          <cell r="D237" t="str">
            <v>018A</v>
          </cell>
        </row>
        <row r="238">
          <cell r="C238" t="str">
            <v>A2567</v>
          </cell>
          <cell r="D238" t="str">
            <v>002M</v>
          </cell>
        </row>
        <row r="239">
          <cell r="C239" t="str">
            <v>A2569</v>
          </cell>
          <cell r="D239" t="str">
            <v>002L</v>
          </cell>
        </row>
        <row r="240">
          <cell r="C240" t="str">
            <v>A2570</v>
          </cell>
          <cell r="D240" t="str">
            <v>002L</v>
          </cell>
        </row>
        <row r="241">
          <cell r="C241" t="str">
            <v>A2573</v>
          </cell>
          <cell r="D241" t="str">
            <v>002K</v>
          </cell>
        </row>
        <row r="242">
          <cell r="C242" t="str">
            <v>A2577</v>
          </cell>
          <cell r="D242" t="str">
            <v>002L</v>
          </cell>
        </row>
        <row r="243">
          <cell r="C243" t="str">
            <v>A2578</v>
          </cell>
          <cell r="D243" t="str">
            <v>IPC</v>
          </cell>
        </row>
        <row r="244">
          <cell r="C244" t="str">
            <v>A2587</v>
          </cell>
          <cell r="D244" t="str">
            <v>010A</v>
          </cell>
        </row>
        <row r="245">
          <cell r="C245" t="str">
            <v>A2590</v>
          </cell>
          <cell r="D245" t="str">
            <v>IPC</v>
          </cell>
        </row>
        <row r="246">
          <cell r="C246" t="str">
            <v>A2591</v>
          </cell>
          <cell r="D246" t="str">
            <v>IPC</v>
          </cell>
        </row>
        <row r="247">
          <cell r="C247" t="str">
            <v>A2593</v>
          </cell>
          <cell r="D247" t="str">
            <v>IPC</v>
          </cell>
        </row>
        <row r="248">
          <cell r="C248" t="str">
            <v>A2594</v>
          </cell>
          <cell r="D248" t="str">
            <v>IPC</v>
          </cell>
        </row>
        <row r="249">
          <cell r="C249" t="str">
            <v>A2596</v>
          </cell>
          <cell r="D249" t="str">
            <v>IPC</v>
          </cell>
        </row>
        <row r="250">
          <cell r="C250" t="str">
            <v>A2597</v>
          </cell>
          <cell r="D250" t="str">
            <v>IPC</v>
          </cell>
        </row>
        <row r="251">
          <cell r="C251" t="str">
            <v>A2599</v>
          </cell>
          <cell r="D251" t="str">
            <v>IPC</v>
          </cell>
        </row>
        <row r="252">
          <cell r="C252" t="str">
            <v>A2600</v>
          </cell>
          <cell r="D252" t="str">
            <v>IPC</v>
          </cell>
        </row>
        <row r="253">
          <cell r="C253" t="str">
            <v>A2602</v>
          </cell>
          <cell r="D253" t="str">
            <v>IPC</v>
          </cell>
        </row>
        <row r="254">
          <cell r="C254" t="str">
            <v>A2603</v>
          </cell>
          <cell r="D254" t="str">
            <v>IPC</v>
          </cell>
        </row>
        <row r="255">
          <cell r="C255" t="str">
            <v>A2604</v>
          </cell>
          <cell r="D255" t="str">
            <v>IPC</v>
          </cell>
        </row>
        <row r="256">
          <cell r="C256" t="str">
            <v>A2605</v>
          </cell>
          <cell r="D256" t="str">
            <v>IPC</v>
          </cell>
        </row>
        <row r="257">
          <cell r="C257" t="str">
            <v>A2606</v>
          </cell>
          <cell r="D257" t="str">
            <v>IPC</v>
          </cell>
        </row>
        <row r="258">
          <cell r="C258" t="str">
            <v>A2607</v>
          </cell>
          <cell r="D258" t="str">
            <v>IPC</v>
          </cell>
        </row>
        <row r="259">
          <cell r="C259" t="str">
            <v>A2609</v>
          </cell>
          <cell r="D259" t="str">
            <v>IPC</v>
          </cell>
        </row>
        <row r="260">
          <cell r="C260" t="str">
            <v>A2610</v>
          </cell>
          <cell r="D260" t="str">
            <v>IPC</v>
          </cell>
        </row>
        <row r="261">
          <cell r="C261" t="str">
            <v>A2611</v>
          </cell>
          <cell r="D261" t="str">
            <v>IPC</v>
          </cell>
        </row>
        <row r="262">
          <cell r="C262" t="str">
            <v>A2612</v>
          </cell>
          <cell r="D262" t="str">
            <v>IPC</v>
          </cell>
        </row>
        <row r="263">
          <cell r="C263" t="str">
            <v>A2613</v>
          </cell>
          <cell r="D263" t="str">
            <v>IPC</v>
          </cell>
        </row>
        <row r="264">
          <cell r="C264" t="str">
            <v>A2614</v>
          </cell>
          <cell r="D264" t="str">
            <v>IPC</v>
          </cell>
        </row>
        <row r="265">
          <cell r="C265" t="str">
            <v>A2615</v>
          </cell>
          <cell r="D265" t="str">
            <v>IPC</v>
          </cell>
        </row>
        <row r="266">
          <cell r="C266" t="str">
            <v>A2617</v>
          </cell>
          <cell r="D266" t="str">
            <v>IPC</v>
          </cell>
        </row>
        <row r="267">
          <cell r="C267" t="str">
            <v>A2621</v>
          </cell>
          <cell r="D267" t="str">
            <v>IPC</v>
          </cell>
        </row>
        <row r="268">
          <cell r="C268" t="str">
            <v>A2622</v>
          </cell>
          <cell r="D268" t="str">
            <v>IPC</v>
          </cell>
        </row>
        <row r="269">
          <cell r="C269" t="str">
            <v>A2623</v>
          </cell>
          <cell r="D269" t="str">
            <v>IPC</v>
          </cell>
        </row>
        <row r="270">
          <cell r="C270" t="str">
            <v>A2627</v>
          </cell>
          <cell r="D270" t="str">
            <v>IPC</v>
          </cell>
        </row>
        <row r="271">
          <cell r="C271" t="str">
            <v>A2628</v>
          </cell>
          <cell r="D271" t="str">
            <v>IPC</v>
          </cell>
        </row>
        <row r="272">
          <cell r="C272" t="str">
            <v>A2631</v>
          </cell>
          <cell r="D272" t="str">
            <v>IPC</v>
          </cell>
        </row>
        <row r="273">
          <cell r="C273" t="str">
            <v>A2632</v>
          </cell>
          <cell r="D273" t="str">
            <v>IPC</v>
          </cell>
        </row>
        <row r="274">
          <cell r="C274" t="str">
            <v>A2633</v>
          </cell>
          <cell r="D274" t="str">
            <v>IPC</v>
          </cell>
        </row>
        <row r="275">
          <cell r="C275" t="str">
            <v>A2634</v>
          </cell>
          <cell r="D275" t="str">
            <v>CIP</v>
          </cell>
        </row>
        <row r="276">
          <cell r="C276" t="str">
            <v>A2635</v>
          </cell>
          <cell r="D276" t="str">
            <v>CIL</v>
          </cell>
        </row>
        <row r="277">
          <cell r="C277" t="str">
            <v>A2636</v>
          </cell>
          <cell r="D277" t="str">
            <v>002O</v>
          </cell>
        </row>
        <row r="278">
          <cell r="C278" t="str">
            <v>A2638</v>
          </cell>
          <cell r="D278" t="str">
            <v>IPC</v>
          </cell>
        </row>
        <row r="279">
          <cell r="C279" t="str">
            <v>A2649</v>
          </cell>
          <cell r="D279" t="str">
            <v>IPC</v>
          </cell>
        </row>
        <row r="280">
          <cell r="C280" t="str">
            <v>A2650</v>
          </cell>
          <cell r="D280" t="str">
            <v>001A</v>
          </cell>
        </row>
        <row r="281">
          <cell r="C281" t="str">
            <v>A2652</v>
          </cell>
          <cell r="D281" t="str">
            <v>CIL</v>
          </cell>
        </row>
        <row r="282">
          <cell r="C282" t="str">
            <v>A2653</v>
          </cell>
          <cell r="D282" t="str">
            <v>CIL</v>
          </cell>
        </row>
        <row r="283">
          <cell r="C283" t="str">
            <v>A2654</v>
          </cell>
          <cell r="D283" t="str">
            <v>CIP</v>
          </cell>
        </row>
        <row r="284">
          <cell r="C284" t="str">
            <v>A2655</v>
          </cell>
          <cell r="D284" t="str">
            <v>002M</v>
          </cell>
        </row>
        <row r="285">
          <cell r="C285" t="str">
            <v>A2660</v>
          </cell>
          <cell r="D285" t="str">
            <v>008A</v>
          </cell>
        </row>
        <row r="286">
          <cell r="C286" t="str">
            <v>A2661</v>
          </cell>
          <cell r="D286" t="str">
            <v>007A</v>
          </cell>
        </row>
        <row r="287">
          <cell r="C287" t="str">
            <v>A2662</v>
          </cell>
          <cell r="D287" t="str">
            <v>001A</v>
          </cell>
        </row>
        <row r="288">
          <cell r="C288" t="str">
            <v>A2664</v>
          </cell>
          <cell r="D288" t="str">
            <v>002M</v>
          </cell>
        </row>
        <row r="289">
          <cell r="C289" t="str">
            <v>A2665</v>
          </cell>
          <cell r="D289" t="str">
            <v>002M</v>
          </cell>
        </row>
        <row r="290">
          <cell r="C290" t="str">
            <v>A2666</v>
          </cell>
          <cell r="D290" t="str">
            <v>012B</v>
          </cell>
        </row>
        <row r="291">
          <cell r="C291" t="str">
            <v>A2669</v>
          </cell>
          <cell r="D291" t="str">
            <v>017A</v>
          </cell>
        </row>
        <row r="292">
          <cell r="C292" t="str">
            <v>A2670</v>
          </cell>
          <cell r="D292" t="str">
            <v>IPC</v>
          </cell>
        </row>
        <row r="293">
          <cell r="C293" t="str">
            <v>A2672</v>
          </cell>
          <cell r="D293" t="str">
            <v>IPC</v>
          </cell>
        </row>
        <row r="294">
          <cell r="C294" t="str">
            <v>A2679</v>
          </cell>
          <cell r="D294" t="str">
            <v>IPC</v>
          </cell>
        </row>
        <row r="295">
          <cell r="C295" t="str">
            <v>A2680</v>
          </cell>
          <cell r="D295" t="str">
            <v>002L</v>
          </cell>
        </row>
        <row r="296">
          <cell r="C296" t="str">
            <v>A2686</v>
          </cell>
          <cell r="D296" t="str">
            <v>CIP</v>
          </cell>
        </row>
        <row r="297">
          <cell r="C297" t="str">
            <v>A2694</v>
          </cell>
          <cell r="D297" t="str">
            <v>008C</v>
          </cell>
        </row>
        <row r="298">
          <cell r="C298" t="str">
            <v>A2695</v>
          </cell>
          <cell r="D298" t="str">
            <v>011A</v>
          </cell>
        </row>
        <row r="299">
          <cell r="C299" t="str">
            <v>A2696</v>
          </cell>
          <cell r="D299" t="str">
            <v>IPC</v>
          </cell>
        </row>
        <row r="300">
          <cell r="C300" t="str">
            <v>A2700</v>
          </cell>
          <cell r="D300" t="str">
            <v>011A</v>
          </cell>
        </row>
        <row r="301">
          <cell r="C301" t="str">
            <v>A2701</v>
          </cell>
          <cell r="D301" t="str">
            <v>011A</v>
          </cell>
        </row>
        <row r="302">
          <cell r="C302" t="str">
            <v>A2702</v>
          </cell>
          <cell r="D302" t="str">
            <v>011A</v>
          </cell>
        </row>
        <row r="303">
          <cell r="C303" t="str">
            <v>A2705</v>
          </cell>
          <cell r="D303" t="str">
            <v>CIL</v>
          </cell>
        </row>
        <row r="304">
          <cell r="C304" t="str">
            <v>A2707</v>
          </cell>
          <cell r="D304" t="str">
            <v>012B</v>
          </cell>
        </row>
        <row r="305">
          <cell r="C305" t="str">
            <v>A2708</v>
          </cell>
          <cell r="D305" t="str">
            <v>012B</v>
          </cell>
        </row>
        <row r="306">
          <cell r="C306" t="str">
            <v>A2709</v>
          </cell>
          <cell r="D306" t="str">
            <v>012B</v>
          </cell>
        </row>
        <row r="307">
          <cell r="C307" t="str">
            <v>A2710</v>
          </cell>
          <cell r="D307" t="str">
            <v>012B</v>
          </cell>
        </row>
        <row r="308">
          <cell r="C308" t="str">
            <v>A2712</v>
          </cell>
          <cell r="D308" t="str">
            <v>CIL</v>
          </cell>
        </row>
        <row r="309">
          <cell r="C309" t="str">
            <v>A2713</v>
          </cell>
          <cell r="D309" t="str">
            <v>CIP</v>
          </cell>
        </row>
        <row r="310">
          <cell r="C310" t="str">
            <v>A2714</v>
          </cell>
          <cell r="D310" t="str">
            <v>IPC</v>
          </cell>
        </row>
        <row r="311">
          <cell r="C311" t="str">
            <v>A2715</v>
          </cell>
          <cell r="D311" t="str">
            <v>IPC</v>
          </cell>
        </row>
        <row r="312">
          <cell r="C312" t="str">
            <v>A2716</v>
          </cell>
          <cell r="D312" t="str">
            <v>002M</v>
          </cell>
        </row>
        <row r="313">
          <cell r="C313" t="str">
            <v>A2717</v>
          </cell>
          <cell r="D313" t="str">
            <v>IPC</v>
          </cell>
        </row>
        <row r="314">
          <cell r="C314" t="str">
            <v>A2718</v>
          </cell>
          <cell r="D314" t="str">
            <v>002M</v>
          </cell>
        </row>
        <row r="315">
          <cell r="C315" t="str">
            <v>A2719</v>
          </cell>
          <cell r="D315" t="str">
            <v>IPC</v>
          </cell>
        </row>
        <row r="316">
          <cell r="C316" t="str">
            <v>A2720</v>
          </cell>
          <cell r="D316" t="str">
            <v>CIP</v>
          </cell>
        </row>
        <row r="317">
          <cell r="C317" t="str">
            <v>A2721</v>
          </cell>
          <cell r="D317" t="str">
            <v>001A</v>
          </cell>
        </row>
        <row r="318">
          <cell r="C318" t="str">
            <v>A2722</v>
          </cell>
          <cell r="D318" t="str">
            <v>CIL</v>
          </cell>
        </row>
        <row r="319">
          <cell r="C319" t="str">
            <v>A2723</v>
          </cell>
          <cell r="D319" t="str">
            <v>IPC</v>
          </cell>
        </row>
        <row r="320">
          <cell r="C320" t="str">
            <v>A2731</v>
          </cell>
          <cell r="D320" t="str">
            <v>CIL</v>
          </cell>
        </row>
        <row r="321">
          <cell r="C321" t="str">
            <v>A2733</v>
          </cell>
          <cell r="D321" t="str">
            <v>002L</v>
          </cell>
        </row>
        <row r="322">
          <cell r="C322" t="str">
            <v>A2734</v>
          </cell>
          <cell r="D322" t="str">
            <v>004A</v>
          </cell>
        </row>
        <row r="323">
          <cell r="C323" t="str">
            <v>A2735</v>
          </cell>
          <cell r="D323" t="str">
            <v>010A</v>
          </cell>
        </row>
        <row r="324">
          <cell r="C324" t="str">
            <v>A2740</v>
          </cell>
          <cell r="D324" t="str">
            <v>017B</v>
          </cell>
        </row>
        <row r="325">
          <cell r="C325" t="str">
            <v>A2742</v>
          </cell>
          <cell r="D325" t="str">
            <v>004A</v>
          </cell>
        </row>
        <row r="326">
          <cell r="C326" t="str">
            <v>A2743</v>
          </cell>
          <cell r="D326" t="str">
            <v>002M</v>
          </cell>
        </row>
        <row r="327">
          <cell r="C327" t="str">
            <v>A2744</v>
          </cell>
          <cell r="D327" t="str">
            <v>002L</v>
          </cell>
        </row>
        <row r="328">
          <cell r="C328" t="str">
            <v>A2745</v>
          </cell>
          <cell r="D328" t="str">
            <v>010A</v>
          </cell>
        </row>
        <row r="329">
          <cell r="C329" t="str">
            <v>A2746</v>
          </cell>
          <cell r="D329" t="str">
            <v>018A</v>
          </cell>
        </row>
        <row r="330">
          <cell r="C330" t="str">
            <v>A2808</v>
          </cell>
          <cell r="D330" t="str">
            <v>011A</v>
          </cell>
        </row>
        <row r="331">
          <cell r="C331" t="str">
            <v>A2823</v>
          </cell>
          <cell r="D331" t="str">
            <v>002M</v>
          </cell>
        </row>
        <row r="332">
          <cell r="C332" t="str">
            <v>A2826</v>
          </cell>
          <cell r="D332" t="str">
            <v>002M</v>
          </cell>
        </row>
        <row r="333">
          <cell r="C333" t="str">
            <v>A2832</v>
          </cell>
          <cell r="D333" t="str">
            <v>IPC</v>
          </cell>
        </row>
        <row r="334">
          <cell r="C334" t="str">
            <v>A2833</v>
          </cell>
          <cell r="D334" t="str">
            <v>CIP</v>
          </cell>
        </row>
        <row r="335">
          <cell r="C335" t="str">
            <v>A2834</v>
          </cell>
          <cell r="D335" t="str">
            <v>CIL</v>
          </cell>
        </row>
        <row r="336">
          <cell r="C336" t="str">
            <v>A2836</v>
          </cell>
          <cell r="D336" t="str">
            <v>012B</v>
          </cell>
        </row>
        <row r="337">
          <cell r="C337" t="str">
            <v>A2839</v>
          </cell>
          <cell r="D337" t="str">
            <v>002L</v>
          </cell>
        </row>
        <row r="338">
          <cell r="C338" t="str">
            <v>A2856</v>
          </cell>
          <cell r="D338" t="str">
            <v>002L</v>
          </cell>
        </row>
        <row r="339">
          <cell r="C339" t="str">
            <v>A2858</v>
          </cell>
          <cell r="D339" t="str">
            <v>002M</v>
          </cell>
        </row>
        <row r="340">
          <cell r="C340" t="str">
            <v>A2863</v>
          </cell>
          <cell r="D340" t="str">
            <v>002M</v>
          </cell>
        </row>
        <row r="341">
          <cell r="C341" t="str">
            <v>A2866</v>
          </cell>
          <cell r="D341" t="str">
            <v>002L</v>
          </cell>
        </row>
        <row r="342">
          <cell r="C342" t="str">
            <v>A2869</v>
          </cell>
          <cell r="D342" t="str">
            <v>002L</v>
          </cell>
        </row>
        <row r="343">
          <cell r="C343" t="str">
            <v>A2870</v>
          </cell>
          <cell r="D343" t="str">
            <v>017B</v>
          </cell>
        </row>
        <row r="344">
          <cell r="C344" t="str">
            <v>A2874</v>
          </cell>
          <cell r="D344" t="str">
            <v>002D</v>
          </cell>
        </row>
        <row r="345">
          <cell r="C345" t="str">
            <v>A2880</v>
          </cell>
          <cell r="D345" t="str">
            <v>002O</v>
          </cell>
        </row>
        <row r="346">
          <cell r="C346" t="str">
            <v>A2882</v>
          </cell>
          <cell r="D346" t="str">
            <v>002L</v>
          </cell>
        </row>
        <row r="347">
          <cell r="C347" t="str">
            <v>A2883</v>
          </cell>
          <cell r="D347" t="str">
            <v>004A</v>
          </cell>
        </row>
        <row r="348">
          <cell r="C348" t="str">
            <v>A2909</v>
          </cell>
          <cell r="D348" t="str">
            <v>001A</v>
          </cell>
        </row>
        <row r="349">
          <cell r="C349" t="str">
            <v>A2910</v>
          </cell>
          <cell r="D349" t="str">
            <v>002M</v>
          </cell>
        </row>
        <row r="350">
          <cell r="C350" t="str">
            <v>A2911</v>
          </cell>
          <cell r="D350" t="str">
            <v>011A</v>
          </cell>
        </row>
        <row r="351">
          <cell r="C351" t="str">
            <v>A2927</v>
          </cell>
          <cell r="D351" t="str">
            <v>008C</v>
          </cell>
        </row>
        <row r="352">
          <cell r="C352" t="str">
            <v>A2929</v>
          </cell>
          <cell r="D352" t="str">
            <v>001A</v>
          </cell>
        </row>
        <row r="353">
          <cell r="C353" t="str">
            <v>A2963</v>
          </cell>
          <cell r="D353" t="str">
            <v>010A</v>
          </cell>
        </row>
        <row r="354">
          <cell r="C354" t="str">
            <v>A2964</v>
          </cell>
          <cell r="D354" t="str">
            <v>002O</v>
          </cell>
        </row>
        <row r="355">
          <cell r="C355" t="str">
            <v>A2972</v>
          </cell>
          <cell r="D355" t="str">
            <v>010A</v>
          </cell>
        </row>
        <row r="356">
          <cell r="C356" t="str">
            <v>AXACL</v>
          </cell>
          <cell r="D356" t="str">
            <v>CIL</v>
          </cell>
        </row>
        <row r="357">
          <cell r="C357" t="str">
            <v>AXAIP</v>
          </cell>
          <cell r="D357" t="str">
            <v>IPC</v>
          </cell>
        </row>
        <row r="358">
          <cell r="C358" t="str">
            <v>C0091</v>
          </cell>
          <cell r="D358" t="str">
            <v>CIP</v>
          </cell>
        </row>
        <row r="359">
          <cell r="C359" t="str">
            <v>C0223</v>
          </cell>
          <cell r="D359" t="str">
            <v>CIP</v>
          </cell>
        </row>
        <row r="360">
          <cell r="C360" t="str">
            <v>C0224</v>
          </cell>
          <cell r="D360" t="str">
            <v>CIP</v>
          </cell>
        </row>
        <row r="361">
          <cell r="C361" t="str">
            <v>C0226</v>
          </cell>
          <cell r="D361" t="str">
            <v>CIP</v>
          </cell>
        </row>
        <row r="362">
          <cell r="C362" t="str">
            <v>C0227</v>
          </cell>
          <cell r="D362" t="str">
            <v>CIP</v>
          </cell>
        </row>
        <row r="363">
          <cell r="C363" t="str">
            <v>C0228</v>
          </cell>
          <cell r="D363" t="str">
            <v>CIP</v>
          </cell>
        </row>
        <row r="364">
          <cell r="C364" t="str">
            <v>C0230</v>
          </cell>
          <cell r="D364" t="str">
            <v>CIP</v>
          </cell>
        </row>
        <row r="365">
          <cell r="C365" t="str">
            <v>C0231</v>
          </cell>
          <cell r="D365" t="str">
            <v>CIP</v>
          </cell>
        </row>
        <row r="366">
          <cell r="C366" t="str">
            <v>C0290</v>
          </cell>
          <cell r="D366" t="str">
            <v>CIP</v>
          </cell>
        </row>
        <row r="367">
          <cell r="C367" t="str">
            <v>C0291</v>
          </cell>
          <cell r="D367" t="str">
            <v>CIP</v>
          </cell>
        </row>
        <row r="368">
          <cell r="C368" t="str">
            <v>C0292</v>
          </cell>
          <cell r="D368" t="str">
            <v>CIP</v>
          </cell>
        </row>
        <row r="369">
          <cell r="C369" t="str">
            <v>C0293</v>
          </cell>
          <cell r="D369" t="str">
            <v>CIP</v>
          </cell>
        </row>
        <row r="370">
          <cell r="C370" t="str">
            <v>C0294</v>
          </cell>
          <cell r="D370" t="str">
            <v>CIP</v>
          </cell>
        </row>
        <row r="371">
          <cell r="C371" t="str">
            <v>C0995</v>
          </cell>
          <cell r="D371" t="str">
            <v>CIP</v>
          </cell>
        </row>
        <row r="372">
          <cell r="C372" t="str">
            <v>C0996</v>
          </cell>
          <cell r="D372" t="str">
            <v>CIP</v>
          </cell>
        </row>
        <row r="373">
          <cell r="C373" t="str">
            <v>C1190</v>
          </cell>
          <cell r="D373" t="str">
            <v>CIL</v>
          </cell>
        </row>
        <row r="374">
          <cell r="C374" t="str">
            <v>C1191</v>
          </cell>
          <cell r="D374" t="str">
            <v>CIL</v>
          </cell>
        </row>
        <row r="375">
          <cell r="C375" t="str">
            <v>C1192</v>
          </cell>
          <cell r="D375" t="str">
            <v>CIL</v>
          </cell>
        </row>
        <row r="376">
          <cell r="C376" t="str">
            <v>C1194</v>
          </cell>
          <cell r="D376" t="str">
            <v>CIL</v>
          </cell>
        </row>
        <row r="377">
          <cell r="C377" t="str">
            <v>C1195</v>
          </cell>
          <cell r="D377" t="str">
            <v>CIL</v>
          </cell>
        </row>
        <row r="378">
          <cell r="C378" t="str">
            <v>C1196</v>
          </cell>
          <cell r="D378" t="str">
            <v>CIL</v>
          </cell>
        </row>
        <row r="379">
          <cell r="C379" t="str">
            <v>C1197</v>
          </cell>
          <cell r="D379" t="str">
            <v>CIL</v>
          </cell>
        </row>
        <row r="380">
          <cell r="C380" t="str">
            <v>C1198</v>
          </cell>
          <cell r="D380" t="str">
            <v>CIL</v>
          </cell>
        </row>
        <row r="381">
          <cell r="C381" t="str">
            <v>C1227</v>
          </cell>
          <cell r="D381" t="str">
            <v>CIL</v>
          </cell>
        </row>
        <row r="382">
          <cell r="C382" t="str">
            <v>C1228</v>
          </cell>
          <cell r="D382" t="str">
            <v>CIL</v>
          </cell>
        </row>
        <row r="383">
          <cell r="C383" t="str">
            <v>C1235</v>
          </cell>
          <cell r="D383" t="str">
            <v>CIL</v>
          </cell>
        </row>
        <row r="384">
          <cell r="C384" t="str">
            <v>C2119</v>
          </cell>
          <cell r="D384" t="str">
            <v>CIL</v>
          </cell>
        </row>
        <row r="385">
          <cell r="C385" t="str">
            <v>C2224</v>
          </cell>
          <cell r="D385" t="str">
            <v>CIL</v>
          </cell>
        </row>
        <row r="386">
          <cell r="C386" t="str">
            <v>C2226</v>
          </cell>
          <cell r="D386" t="str">
            <v>CIL</v>
          </cell>
        </row>
        <row r="387">
          <cell r="C387" t="str">
            <v>C2227</v>
          </cell>
          <cell r="D387" t="str">
            <v>CIL</v>
          </cell>
        </row>
        <row r="388">
          <cell r="C388" t="str">
            <v>C2231</v>
          </cell>
          <cell r="D388" t="str">
            <v>CIL</v>
          </cell>
        </row>
        <row r="389">
          <cell r="C389" t="str">
            <v>C2236</v>
          </cell>
          <cell r="D389" t="str">
            <v>CIL</v>
          </cell>
        </row>
        <row r="390">
          <cell r="C390" t="str">
            <v>C3162</v>
          </cell>
          <cell r="D390" t="str">
            <v>IPC</v>
          </cell>
        </row>
        <row r="391">
          <cell r="C391" t="str">
            <v>C3170</v>
          </cell>
          <cell r="D391" t="str">
            <v>IPC</v>
          </cell>
        </row>
        <row r="392">
          <cell r="C392" t="str">
            <v>C3190</v>
          </cell>
          <cell r="D392" t="str">
            <v>IPC</v>
          </cell>
        </row>
        <row r="393">
          <cell r="C393" t="str">
            <v>C3191</v>
          </cell>
          <cell r="D393" t="str">
            <v>IPC</v>
          </cell>
        </row>
        <row r="394">
          <cell r="C394" t="str">
            <v>C3192</v>
          </cell>
          <cell r="D394" t="str">
            <v>IPC</v>
          </cell>
        </row>
        <row r="395">
          <cell r="C395" t="str">
            <v>C3193</v>
          </cell>
          <cell r="D395" t="str">
            <v>IPC</v>
          </cell>
        </row>
        <row r="396">
          <cell r="C396" t="str">
            <v>C3201</v>
          </cell>
          <cell r="D396" t="str">
            <v>IPC</v>
          </cell>
        </row>
        <row r="397">
          <cell r="C397" t="str">
            <v>C3202</v>
          </cell>
          <cell r="D397" t="str">
            <v>IPC</v>
          </cell>
        </row>
        <row r="398">
          <cell r="C398" t="str">
            <v>C3215</v>
          </cell>
          <cell r="D398" t="str">
            <v>IPC</v>
          </cell>
        </row>
        <row r="399">
          <cell r="C399" t="str">
            <v>C3216</v>
          </cell>
          <cell r="D399" t="str">
            <v>IPC</v>
          </cell>
        </row>
        <row r="400">
          <cell r="C400" t="str">
            <v>C3217</v>
          </cell>
          <cell r="D400" t="str">
            <v>IPC</v>
          </cell>
        </row>
        <row r="401">
          <cell r="C401" t="str">
            <v>C3218</v>
          </cell>
          <cell r="D401" t="str">
            <v>IPC</v>
          </cell>
        </row>
        <row r="402">
          <cell r="C402" t="str">
            <v>C3219</v>
          </cell>
          <cell r="D402" t="str">
            <v>IPC</v>
          </cell>
        </row>
        <row r="403">
          <cell r="C403" t="str">
            <v>C3220</v>
          </cell>
          <cell r="D403" t="str">
            <v>IPC</v>
          </cell>
        </row>
        <row r="404">
          <cell r="C404" t="str">
            <v>C3221</v>
          </cell>
          <cell r="D404" t="str">
            <v>IPC</v>
          </cell>
        </row>
        <row r="405">
          <cell r="C405" t="str">
            <v>C3222</v>
          </cell>
          <cell r="D405" t="str">
            <v>IPC</v>
          </cell>
        </row>
        <row r="406">
          <cell r="C406" t="str">
            <v>C3223</v>
          </cell>
          <cell r="D406" t="str">
            <v>IPC</v>
          </cell>
        </row>
        <row r="407">
          <cell r="C407" t="str">
            <v>C3224</v>
          </cell>
          <cell r="D407" t="str">
            <v>IPC</v>
          </cell>
        </row>
        <row r="408">
          <cell r="C408" t="str">
            <v>C3226</v>
          </cell>
          <cell r="D408" t="str">
            <v>IPC</v>
          </cell>
        </row>
        <row r="409">
          <cell r="C409" t="str">
            <v>C3227</v>
          </cell>
          <cell r="D409" t="str">
            <v>IPC</v>
          </cell>
        </row>
        <row r="410">
          <cell r="C410" t="str">
            <v>C3228</v>
          </cell>
          <cell r="D410" t="str">
            <v>IPC</v>
          </cell>
        </row>
        <row r="411">
          <cell r="C411" t="str">
            <v>C3231</v>
          </cell>
          <cell r="D411" t="str">
            <v>IPC</v>
          </cell>
        </row>
        <row r="412">
          <cell r="C412" t="str">
            <v>C3232</v>
          </cell>
          <cell r="D412" t="str">
            <v>IPC</v>
          </cell>
        </row>
        <row r="413">
          <cell r="C413" t="str">
            <v>C3233</v>
          </cell>
          <cell r="D413" t="str">
            <v>IPC</v>
          </cell>
        </row>
        <row r="414">
          <cell r="C414" t="str">
            <v>C3242</v>
          </cell>
          <cell r="D414" t="str">
            <v>IPC</v>
          </cell>
        </row>
        <row r="415">
          <cell r="C415" t="str">
            <v>C3293</v>
          </cell>
          <cell r="D415" t="str">
            <v>CIP</v>
          </cell>
        </row>
        <row r="416">
          <cell r="C416" t="str">
            <v>C3295</v>
          </cell>
          <cell r="D416" t="str">
            <v>CIP</v>
          </cell>
        </row>
        <row r="417">
          <cell r="C417" t="str">
            <v>C3296</v>
          </cell>
          <cell r="D417" t="str">
            <v>CIP</v>
          </cell>
        </row>
        <row r="418">
          <cell r="C418" t="str">
            <v>IPC01</v>
          </cell>
          <cell r="D418" t="str">
            <v>IPC</v>
          </cell>
        </row>
      </sheetData>
      <sheetData sheetId="32">
        <row r="5">
          <cell r="C5" t="str">
            <v>A0004</v>
          </cell>
          <cell r="D5" t="str">
            <v>CT</v>
          </cell>
        </row>
        <row r="6">
          <cell r="C6" t="str">
            <v>A0079</v>
          </cell>
          <cell r="D6" t="str">
            <v>CT</v>
          </cell>
        </row>
        <row r="7">
          <cell r="C7" t="str">
            <v>A0084</v>
          </cell>
          <cell r="D7" t="str">
            <v>CT</v>
          </cell>
        </row>
        <row r="8">
          <cell r="C8" t="str">
            <v>A0125</v>
          </cell>
          <cell r="D8" t="str">
            <v>IS</v>
          </cell>
        </row>
        <row r="9">
          <cell r="C9" t="str">
            <v>A0142</v>
          </cell>
          <cell r="D9" t="str">
            <v>CP</v>
          </cell>
        </row>
        <row r="10">
          <cell r="C10" t="str">
            <v>A0149</v>
          </cell>
          <cell r="D10" t="str">
            <v>GC</v>
          </cell>
        </row>
        <row r="11">
          <cell r="C11" t="str">
            <v>A0151</v>
          </cell>
          <cell r="D11" t="str">
            <v>HR</v>
          </cell>
        </row>
        <row r="12">
          <cell r="C12" t="str">
            <v>A0163</v>
          </cell>
          <cell r="D12" t="str">
            <v>SS</v>
          </cell>
        </row>
        <row r="13">
          <cell r="C13" t="str">
            <v>A0166</v>
          </cell>
          <cell r="D13" t="str">
            <v>IR</v>
          </cell>
        </row>
        <row r="14">
          <cell r="C14" t="str">
            <v>A0192</v>
          </cell>
          <cell r="D14" t="str">
            <v>FA</v>
          </cell>
        </row>
        <row r="15">
          <cell r="C15" t="str">
            <v>A0193</v>
          </cell>
          <cell r="D15" t="str">
            <v>ES</v>
          </cell>
        </row>
        <row r="16">
          <cell r="C16" t="str">
            <v>A0215</v>
          </cell>
          <cell r="D16" t="str">
            <v>GC</v>
          </cell>
        </row>
        <row r="17">
          <cell r="C17" t="str">
            <v>A0233</v>
          </cell>
          <cell r="D17" t="str">
            <v>IS</v>
          </cell>
        </row>
        <row r="18">
          <cell r="C18" t="str">
            <v>A0237</v>
          </cell>
          <cell r="D18" t="str">
            <v>HR</v>
          </cell>
        </row>
        <row r="19">
          <cell r="C19" t="str">
            <v>A0243</v>
          </cell>
          <cell r="D19" t="str">
            <v>IS</v>
          </cell>
        </row>
        <row r="20">
          <cell r="C20" t="str">
            <v>A0254</v>
          </cell>
          <cell r="D20" t="str">
            <v>HR</v>
          </cell>
        </row>
        <row r="21">
          <cell r="C21" t="str">
            <v>A0255</v>
          </cell>
          <cell r="D21" t="str">
            <v>GC</v>
          </cell>
        </row>
        <row r="22">
          <cell r="C22" t="str">
            <v>A0259</v>
          </cell>
          <cell r="D22" t="str">
            <v>Corp-Indirect</v>
          </cell>
        </row>
        <row r="23">
          <cell r="C23" t="str">
            <v>A0316</v>
          </cell>
          <cell r="D23" t="str">
            <v>FS</v>
          </cell>
        </row>
        <row r="24">
          <cell r="C24" t="str">
            <v>A0322</v>
          </cell>
          <cell r="D24" t="str">
            <v>EC</v>
          </cell>
        </row>
        <row r="25">
          <cell r="C25" t="str">
            <v>A0326</v>
          </cell>
          <cell r="D25" t="str">
            <v>TR</v>
          </cell>
        </row>
        <row r="26">
          <cell r="C26" t="str">
            <v>A0350</v>
          </cell>
          <cell r="D26" t="str">
            <v>Corp-Indirect</v>
          </cell>
        </row>
        <row r="27">
          <cell r="C27" t="str">
            <v>A0351</v>
          </cell>
          <cell r="D27" t="str">
            <v>HR</v>
          </cell>
        </row>
        <row r="28">
          <cell r="C28" t="str">
            <v>A0371</v>
          </cell>
          <cell r="D28" t="str">
            <v>EC</v>
          </cell>
        </row>
        <row r="29">
          <cell r="C29" t="str">
            <v>A0379</v>
          </cell>
          <cell r="D29" t="str">
            <v>GC</v>
          </cell>
        </row>
        <row r="30">
          <cell r="C30" t="str">
            <v>A0399</v>
          </cell>
          <cell r="D30" t="str">
            <v>Corp-Indirect</v>
          </cell>
        </row>
        <row r="31">
          <cell r="C31" t="str">
            <v>A0401</v>
          </cell>
          <cell r="D31" t="str">
            <v>GC</v>
          </cell>
        </row>
        <row r="32">
          <cell r="C32" t="str">
            <v>A0406</v>
          </cell>
          <cell r="D32" t="str">
            <v>GC</v>
          </cell>
        </row>
        <row r="33">
          <cell r="C33" t="str">
            <v>A0419</v>
          </cell>
          <cell r="D33" t="str">
            <v>HR</v>
          </cell>
        </row>
        <row r="34">
          <cell r="C34" t="str">
            <v>A0425</v>
          </cell>
          <cell r="D34" t="str">
            <v>HR</v>
          </cell>
        </row>
        <row r="35">
          <cell r="C35" t="str">
            <v>A0448</v>
          </cell>
          <cell r="D35" t="str">
            <v>PI</v>
          </cell>
        </row>
        <row r="36">
          <cell r="C36" t="str">
            <v>A0465</v>
          </cell>
          <cell r="D36" t="str">
            <v>EC</v>
          </cell>
        </row>
        <row r="37">
          <cell r="C37" t="str">
            <v>A0468</v>
          </cell>
          <cell r="D37" t="str">
            <v>FA</v>
          </cell>
        </row>
        <row r="38">
          <cell r="C38" t="str">
            <v>A0471</v>
          </cell>
          <cell r="D38" t="str">
            <v>EC</v>
          </cell>
        </row>
        <row r="39">
          <cell r="C39" t="str">
            <v>A0496</v>
          </cell>
          <cell r="D39" t="str">
            <v>IS</v>
          </cell>
        </row>
        <row r="40">
          <cell r="C40" t="str">
            <v>A0536</v>
          </cell>
          <cell r="D40" t="str">
            <v>Corp-Indirect</v>
          </cell>
        </row>
        <row r="41">
          <cell r="C41" t="str">
            <v>A0548</v>
          </cell>
          <cell r="D41" t="str">
            <v>IS</v>
          </cell>
        </row>
        <row r="42">
          <cell r="C42" t="str">
            <v>A0555</v>
          </cell>
          <cell r="D42" t="str">
            <v>DT</v>
          </cell>
        </row>
        <row r="43">
          <cell r="C43" t="str">
            <v>A0559</v>
          </cell>
          <cell r="D43" t="str">
            <v>TR</v>
          </cell>
        </row>
        <row r="44">
          <cell r="C44" t="str">
            <v>A0567</v>
          </cell>
          <cell r="D44" t="str">
            <v>Corp-Indirect</v>
          </cell>
        </row>
        <row r="45">
          <cell r="C45" t="str">
            <v>A0596</v>
          </cell>
          <cell r="D45" t="str">
            <v>DT</v>
          </cell>
        </row>
        <row r="46">
          <cell r="C46" t="str">
            <v>A0600</v>
          </cell>
          <cell r="D46" t="str">
            <v>EC</v>
          </cell>
        </row>
        <row r="47">
          <cell r="C47" t="str">
            <v>A0622</v>
          </cell>
          <cell r="D47" t="str">
            <v>TR</v>
          </cell>
        </row>
        <row r="48">
          <cell r="C48" t="str">
            <v>A0623</v>
          </cell>
          <cell r="D48" t="str">
            <v>TR</v>
          </cell>
        </row>
        <row r="49">
          <cell r="C49" t="str">
            <v>A0624</v>
          </cell>
          <cell r="D49" t="str">
            <v>TR</v>
          </cell>
        </row>
        <row r="50">
          <cell r="C50" t="str">
            <v>A0629</v>
          </cell>
          <cell r="D50" t="str">
            <v>EC</v>
          </cell>
        </row>
        <row r="51">
          <cell r="C51" t="str">
            <v>A0631</v>
          </cell>
          <cell r="D51" t="str">
            <v>EC</v>
          </cell>
        </row>
        <row r="52">
          <cell r="C52" t="str">
            <v>A0723</v>
          </cell>
          <cell r="D52" t="str">
            <v>FP</v>
          </cell>
        </row>
        <row r="53">
          <cell r="C53" t="str">
            <v>A0736</v>
          </cell>
          <cell r="D53" t="str">
            <v>FS</v>
          </cell>
        </row>
        <row r="54">
          <cell r="C54" t="str">
            <v>A0742</v>
          </cell>
          <cell r="D54" t="str">
            <v>IS</v>
          </cell>
        </row>
        <row r="55">
          <cell r="C55" t="str">
            <v>A0750</v>
          </cell>
          <cell r="D55" t="str">
            <v>HR</v>
          </cell>
        </row>
        <row r="56">
          <cell r="C56" t="str">
            <v>A0803</v>
          </cell>
          <cell r="D56" t="str">
            <v>Corp-Indirect</v>
          </cell>
        </row>
        <row r="57">
          <cell r="C57" t="str">
            <v>A0819</v>
          </cell>
          <cell r="D57" t="str">
            <v>Corp-Indirect</v>
          </cell>
        </row>
        <row r="58">
          <cell r="C58" t="str">
            <v>A0850</v>
          </cell>
          <cell r="D58" t="str">
            <v>HR</v>
          </cell>
        </row>
        <row r="59">
          <cell r="C59" t="str">
            <v>A0866</v>
          </cell>
          <cell r="D59" t="str">
            <v>Corp-Indirect</v>
          </cell>
        </row>
        <row r="60">
          <cell r="C60" t="str">
            <v>A0894</v>
          </cell>
          <cell r="D60" t="str">
            <v>Corp-Indirect</v>
          </cell>
        </row>
        <row r="61">
          <cell r="C61" t="str">
            <v>A0974</v>
          </cell>
          <cell r="D61" t="str">
            <v>IS</v>
          </cell>
        </row>
        <row r="62">
          <cell r="C62" t="str">
            <v>A0986</v>
          </cell>
          <cell r="D62" t="str">
            <v>IS</v>
          </cell>
        </row>
        <row r="63">
          <cell r="C63" t="str">
            <v>A1047</v>
          </cell>
          <cell r="D63" t="str">
            <v>IS</v>
          </cell>
        </row>
        <row r="64">
          <cell r="C64" t="str">
            <v>A1055</v>
          </cell>
          <cell r="D64" t="str">
            <v>IS</v>
          </cell>
        </row>
        <row r="65">
          <cell r="C65" t="str">
            <v>A1056</v>
          </cell>
          <cell r="D65" t="str">
            <v>IS</v>
          </cell>
        </row>
        <row r="66">
          <cell r="C66" t="str">
            <v>A1057</v>
          </cell>
          <cell r="D66" t="str">
            <v>IS</v>
          </cell>
        </row>
        <row r="67">
          <cell r="C67" t="str">
            <v>A1059</v>
          </cell>
          <cell r="D67" t="str">
            <v>IS</v>
          </cell>
        </row>
        <row r="68">
          <cell r="C68" t="str">
            <v>A2078</v>
          </cell>
          <cell r="D68" t="str">
            <v>CC</v>
          </cell>
        </row>
        <row r="69">
          <cell r="C69" t="str">
            <v>A2122</v>
          </cell>
          <cell r="D69" t="str">
            <v>IS</v>
          </cell>
        </row>
        <row r="70">
          <cell r="C70" t="str">
            <v>A2167</v>
          </cell>
          <cell r="D70" t="str">
            <v>EC</v>
          </cell>
        </row>
        <row r="71">
          <cell r="C71" t="str">
            <v>A2209</v>
          </cell>
          <cell r="D71" t="str">
            <v>IS</v>
          </cell>
        </row>
        <row r="72">
          <cell r="C72" t="str">
            <v>A2301</v>
          </cell>
          <cell r="D72" t="str">
            <v>IS</v>
          </cell>
        </row>
        <row r="73">
          <cell r="C73" t="str">
            <v>A2302</v>
          </cell>
          <cell r="D73" t="str">
            <v>Corp-Indirect</v>
          </cell>
        </row>
        <row r="74">
          <cell r="C74" t="str">
            <v>A2321</v>
          </cell>
          <cell r="D74" t="str">
            <v>GC</v>
          </cell>
        </row>
        <row r="75">
          <cell r="C75" t="str">
            <v>A2347</v>
          </cell>
          <cell r="D75" t="str">
            <v>AS</v>
          </cell>
        </row>
        <row r="76">
          <cell r="C76" t="str">
            <v>A2397</v>
          </cell>
          <cell r="D76" t="str">
            <v>IS</v>
          </cell>
        </row>
        <row r="77">
          <cell r="C77" t="str">
            <v>A2506</v>
          </cell>
          <cell r="D77" t="str">
            <v>TR</v>
          </cell>
        </row>
        <row r="78">
          <cell r="C78" t="str">
            <v>AXA11</v>
          </cell>
          <cell r="D78" t="str">
            <v>Corp-Indirect</v>
          </cell>
        </row>
        <row r="79">
          <cell r="C79" t="str">
            <v>AXB11</v>
          </cell>
          <cell r="D79" t="str">
            <v>Corp-Indirect</v>
          </cell>
        </row>
      </sheetData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PACT"/>
      <sheetName val="insidenew (2)"/>
      <sheetName val="insidenew"/>
      <sheetName val="inside"/>
      <sheetName val="Oct-00"/>
    </sheetNames>
    <sheetDataSet>
      <sheetData sheetId="0" refreshError="1">
        <row r="5">
          <cell r="B5" t="str">
            <v>S&amp;U-Q</v>
          </cell>
        </row>
        <row r="6">
          <cell r="B6">
            <v>1</v>
          </cell>
        </row>
        <row r="7">
          <cell r="B7">
            <v>125</v>
          </cell>
        </row>
        <row r="8">
          <cell r="B8">
            <v>1</v>
          </cell>
        </row>
        <row r="9">
          <cell r="B9">
            <v>126</v>
          </cell>
        </row>
        <row r="10">
          <cell r="B10">
            <v>-1</v>
          </cell>
        </row>
        <row r="11">
          <cell r="B11">
            <v>1</v>
          </cell>
        </row>
        <row r="12">
          <cell r="B12">
            <v>0</v>
          </cell>
        </row>
        <row r="13">
          <cell r="B13">
            <v>5</v>
          </cell>
        </row>
        <row r="14">
          <cell r="B14">
            <v>1</v>
          </cell>
        </row>
        <row r="15">
          <cell r="B15">
            <v>110</v>
          </cell>
        </row>
        <row r="16">
          <cell r="B16">
            <v>2</v>
          </cell>
        </row>
        <row r="17">
          <cell r="B17">
            <v>10000000</v>
          </cell>
        </row>
        <row r="18">
          <cell r="B18">
            <v>10000000</v>
          </cell>
        </row>
        <row r="19">
          <cell r="B19">
            <v>10000000</v>
          </cell>
        </row>
        <row r="20">
          <cell r="B20">
            <v>10000000</v>
          </cell>
        </row>
        <row r="21">
          <cell r="B21">
            <v>10000000</v>
          </cell>
        </row>
        <row r="22">
          <cell r="B22">
            <v>9997435</v>
          </cell>
        </row>
        <row r="23">
          <cell r="B23">
            <v>9995145.5873849988</v>
          </cell>
        </row>
        <row r="24">
          <cell r="B24">
            <v>9993046.6068116482</v>
          </cell>
        </row>
        <row r="25">
          <cell r="B25">
            <v>9991057.9905368928</v>
          </cell>
        </row>
        <row r="26">
          <cell r="B26">
            <v>9989114.7297577336</v>
          </cell>
        </row>
        <row r="27">
          <cell r="B27">
            <v>9987171.8469427954</v>
          </cell>
        </row>
        <row r="28">
          <cell r="B28">
            <v>9985164.4254015591</v>
          </cell>
        </row>
        <row r="29">
          <cell r="B29">
            <v>9983082.5186188631</v>
          </cell>
        </row>
        <row r="30">
          <cell r="B30">
            <v>9980931.1643361002</v>
          </cell>
        </row>
        <row r="31">
          <cell r="B31">
            <v>9978695.4357552882</v>
          </cell>
        </row>
        <row r="32">
          <cell r="B32">
            <v>9976375.3890664745</v>
          </cell>
        </row>
        <row r="33">
          <cell r="B33">
            <v>9973971.0825977083</v>
          </cell>
        </row>
        <row r="34">
          <cell r="B34">
            <v>9971467.6158559769</v>
          </cell>
        </row>
        <row r="35">
          <cell r="B35">
            <v>9968870.0485420469</v>
          </cell>
        </row>
        <row r="36">
          <cell r="B36">
            <v>9966158.5158888437</v>
          </cell>
        </row>
        <row r="37">
          <cell r="B37">
            <v>9963338.0930288471</v>
          </cell>
        </row>
        <row r="38">
          <cell r="B38">
            <v>9960383.9632842634</v>
          </cell>
        </row>
        <row r="39">
          <cell r="B39">
            <v>9957296.2442556452</v>
          </cell>
        </row>
        <row r="40">
          <cell r="B40">
            <v>9954065.1016243845</v>
          </cell>
        </row>
        <row r="41">
          <cell r="B41">
            <v>9950670.7654247303</v>
          </cell>
        </row>
        <row r="42">
          <cell r="B42">
            <v>9947103.4499553256</v>
          </cell>
        </row>
        <row r="43">
          <cell r="B43">
            <v>9943343.444851242</v>
          </cell>
        </row>
        <row r="44">
          <cell r="B44">
            <v>9939385.9941601902</v>
          </cell>
        </row>
        <row r="45">
          <cell r="B45">
            <v>9935196.5429636519</v>
          </cell>
        </row>
        <row r="46">
          <cell r="B46">
            <v>9930765.4453054909</v>
          </cell>
        </row>
        <row r="47">
          <cell r="B47">
            <v>9926053.2971016932</v>
          </cell>
        </row>
        <row r="48">
          <cell r="B48">
            <v>9921045.6032133047</v>
          </cell>
        </row>
        <row r="49">
          <cell r="B49">
            <v>9915713.0412015785</v>
          </cell>
        </row>
        <row r="50">
          <cell r="B50">
            <v>9910021.4219159298</v>
          </cell>
        </row>
        <row r="51">
          <cell r="B51">
            <v>9903936.6687628739</v>
          </cell>
        </row>
        <row r="52">
          <cell r="B52">
            <v>9897320.8390681408</v>
          </cell>
        </row>
        <row r="53">
          <cell r="B53">
            <v>9890348.1765370183</v>
          </cell>
        </row>
        <row r="54">
          <cell r="B54">
            <v>9882925.4702305272</v>
          </cell>
        </row>
        <row r="55">
          <cell r="B55">
            <v>9874959.8323015217</v>
          </cell>
        </row>
        <row r="56">
          <cell r="B56">
            <v>9866343.9298478384</v>
          </cell>
        </row>
        <row r="57">
          <cell r="B57">
            <v>9856956.1035985891</v>
          </cell>
        </row>
        <row r="58">
          <cell r="B58">
            <v>9846675.2983825356</v>
          </cell>
        </row>
        <row r="59">
          <cell r="B59">
            <v>9835341.7751140967</v>
          </cell>
        </row>
        <row r="60">
          <cell r="B60">
            <v>9822772.2083255015</v>
          </cell>
        </row>
        <row r="61">
          <cell r="B61">
            <v>9808769.8465425335</v>
          </cell>
        </row>
        <row r="62">
          <cell r="B62">
            <v>9793110.145482529</v>
          </cell>
        </row>
        <row r="63">
          <cell r="B63">
            <v>9775541.3058815338</v>
          </cell>
        </row>
        <row r="64">
          <cell r="B64">
            <v>9755858.2534621414</v>
          </cell>
        </row>
        <row r="65">
          <cell r="B65">
            <v>9733888.0606753435</v>
          </cell>
        </row>
        <row r="66">
          <cell r="B66">
            <v>9709465.7355311085</v>
          </cell>
        </row>
        <row r="67">
          <cell r="B67">
            <v>9682492.8397178035</v>
          </cell>
        </row>
        <row r="68">
          <cell r="B68">
            <v>9652878.9353675265</v>
          </cell>
        </row>
        <row r="69">
          <cell r="B69">
            <v>9620527.3116156422</v>
          </cell>
        </row>
        <row r="70">
          <cell r="B70">
            <v>9585320.9919187836</v>
          </cell>
        </row>
        <row r="71">
          <cell r="B71">
            <v>9547099.5244635064</v>
          </cell>
        </row>
        <row r="72">
          <cell r="B72">
            <v>9505703.3009254318</v>
          </cell>
        </row>
        <row r="73">
          <cell r="B73">
            <v>9460926.6855264232</v>
          </cell>
        </row>
        <row r="74">
          <cell r="B74">
            <v>9412477.2799698412</v>
          </cell>
        </row>
        <row r="75">
          <cell r="B75">
            <v>9359950.9505089689</v>
          </cell>
        </row>
        <row r="76">
          <cell r="B76">
            <v>9302831.8498334885</v>
          </cell>
        </row>
        <row r="77">
          <cell r="B77">
            <v>9240507.5278555285</v>
          </cell>
        </row>
        <row r="78">
          <cell r="B78">
            <v>9172284.8607773706</v>
          </cell>
        </row>
        <row r="79">
          <cell r="B79">
            <v>9097333.5350375287</v>
          </cell>
        </row>
        <row r="80">
          <cell r="B80">
            <v>9014729.7465393879</v>
          </cell>
        </row>
        <row r="81">
          <cell r="B81">
            <v>8923442.0857610572</v>
          </cell>
        </row>
        <row r="82">
          <cell r="B82">
            <v>8822357.3338135555</v>
          </cell>
        </row>
        <row r="83">
          <cell r="B83">
            <v>8710331.0403887909</v>
          </cell>
        </row>
        <row r="84">
          <cell r="B84">
            <v>8586274.1505460534</v>
          </cell>
        </row>
        <row r="85">
          <cell r="B85">
            <v>8449189.9905955102</v>
          </cell>
        </row>
        <row r="86">
          <cell r="B86">
            <v>8298211.4146535592</v>
          </cell>
        </row>
        <row r="87">
          <cell r="B87">
            <v>8132599.8603456113</v>
          </cell>
        </row>
        <row r="88">
          <cell r="B88">
            <v>7951722.7068516649</v>
          </cell>
        </row>
        <row r="89">
          <cell r="B89">
            <v>7754802.269877837</v>
          </cell>
        </row>
        <row r="90">
          <cell r="B90">
            <v>7540920.945873471</v>
          </cell>
        </row>
        <row r="91">
          <cell r="B91">
            <v>7309116.8064577933</v>
          </cell>
        </row>
        <row r="92">
          <cell r="B92">
            <v>7058454.3001387268</v>
          </cell>
        </row>
        <row r="93">
          <cell r="B93">
            <v>6788214.3188036149</v>
          </cell>
        </row>
        <row r="94">
          <cell r="B94">
            <v>6498255.7441759184</v>
          </cell>
        </row>
        <row r="95">
          <cell r="B95">
            <v>6189143.4658090863</v>
          </cell>
        </row>
        <row r="96">
          <cell r="B96">
            <v>5862127.6925061317</v>
          </cell>
        </row>
        <row r="97">
          <cell r="B97">
            <v>5519149.2565368293</v>
          </cell>
        </row>
        <row r="98">
          <cell r="B98">
            <v>5162780.548616875</v>
          </cell>
        </row>
        <row r="99">
          <cell r="B99">
            <v>4796194.7343720589</v>
          </cell>
        </row>
        <row r="100">
          <cell r="B100">
            <v>4423060.3764273813</v>
          </cell>
        </row>
        <row r="101">
          <cell r="B101">
            <v>4047423.1278385334</v>
          </cell>
        </row>
        <row r="102">
          <cell r="B102">
            <v>3673534.3215581928</v>
          </cell>
        </row>
        <row r="103">
          <cell r="B103">
            <v>3304821.6817033971</v>
          </cell>
        </row>
        <row r="104">
          <cell r="B104">
            <v>2945025.7452163482</v>
          </cell>
        </row>
        <row r="105">
          <cell r="B105">
            <v>2597500.927177838</v>
          </cell>
        </row>
        <row r="106">
          <cell r="B106">
            <v>2264744.1746503301</v>
          </cell>
        </row>
        <row r="107">
          <cell r="B107">
            <v>1949880.1891649566</v>
          </cell>
        </row>
        <row r="108">
          <cell r="B108">
            <v>1656140.4880682016</v>
          </cell>
        </row>
        <row r="109">
          <cell r="B109">
            <v>1386115.0621911217</v>
          </cell>
        </row>
        <row r="110">
          <cell r="B110">
            <v>1141754.0656473245</v>
          </cell>
        </row>
        <row r="111">
          <cell r="B111">
            <v>923104.16593663208</v>
          </cell>
        </row>
        <row r="112">
          <cell r="B112">
            <v>730865.41561991361</v>
          </cell>
        </row>
        <row r="113">
          <cell r="B113">
            <v>566350.16859282565</v>
          </cell>
        </row>
        <row r="114">
          <cell r="B114">
            <v>428727.92715002189</v>
          </cell>
        </row>
        <row r="115">
          <cell r="B115">
            <v>316250.72673428652</v>
          </cell>
        </row>
        <row r="116">
          <cell r="B116">
            <v>226540.04120693484</v>
          </cell>
        </row>
        <row r="117">
          <cell r="B117">
            <v>156950.11210874136</v>
          </cell>
        </row>
        <row r="118">
          <cell r="B118">
            <v>104661.31903409759</v>
          </cell>
        </row>
        <row r="119">
          <cell r="B119">
            <v>66776.590407389638</v>
          </cell>
        </row>
        <row r="120">
          <cell r="B120">
            <v>40435.095236205838</v>
          </cell>
        </row>
        <row r="121">
          <cell r="B121">
            <v>22934.482754761681</v>
          </cell>
        </row>
        <row r="122">
          <cell r="B122">
            <v>11956.353623850266</v>
          </cell>
        </row>
        <row r="123">
          <cell r="B123">
            <v>5572.6711005954394</v>
          </cell>
        </row>
        <row r="124">
          <cell r="B124">
            <v>2226.7641407380793</v>
          </cell>
        </row>
        <row r="125">
          <cell r="B125">
            <v>712.3952909614892</v>
          </cell>
        </row>
        <row r="126">
          <cell r="B126">
            <v>160.39971793407955</v>
          </cell>
        </row>
        <row r="127">
          <cell r="B127">
            <v>0</v>
          </cell>
        </row>
        <row r="128">
          <cell r="B128">
            <v>0</v>
          </cell>
        </row>
        <row r="129">
          <cell r="B129">
            <v>0</v>
          </cell>
        </row>
        <row r="130">
          <cell r="B130">
            <v>0</v>
          </cell>
        </row>
        <row r="131">
          <cell r="B131">
            <v>0</v>
          </cell>
        </row>
        <row r="132">
          <cell r="B132">
            <v>0</v>
          </cell>
        </row>
        <row r="133">
          <cell r="B133">
            <v>0</v>
          </cell>
        </row>
        <row r="134">
          <cell r="B134">
            <v>0</v>
          </cell>
        </row>
        <row r="135">
          <cell r="B135">
            <v>0</v>
          </cell>
        </row>
        <row r="136">
          <cell r="B136">
            <v>0</v>
          </cell>
        </row>
        <row r="137">
          <cell r="B137">
            <v>0</v>
          </cell>
        </row>
        <row r="138">
          <cell r="B138">
            <v>0</v>
          </cell>
        </row>
        <row r="139">
          <cell r="B139">
            <v>0</v>
          </cell>
        </row>
        <row r="140">
          <cell r="B140">
            <v>0</v>
          </cell>
        </row>
        <row r="141">
          <cell r="B141">
            <v>0</v>
          </cell>
        </row>
        <row r="146">
          <cell r="B146" t="str">
            <v>S&amp;U-Q</v>
          </cell>
        </row>
        <row r="147">
          <cell r="B147">
            <v>1</v>
          </cell>
        </row>
        <row r="148">
          <cell r="B148">
            <v>125</v>
          </cell>
        </row>
        <row r="149">
          <cell r="B149">
            <v>1</v>
          </cell>
        </row>
        <row r="150">
          <cell r="B150">
            <v>126</v>
          </cell>
        </row>
        <row r="151">
          <cell r="B151">
            <v>-1</v>
          </cell>
        </row>
        <row r="152">
          <cell r="B152">
            <v>1</v>
          </cell>
        </row>
        <row r="153">
          <cell r="B153">
            <v>0</v>
          </cell>
        </row>
        <row r="154">
          <cell r="B154">
            <v>5</v>
          </cell>
        </row>
        <row r="155">
          <cell r="B155">
            <v>1</v>
          </cell>
        </row>
        <row r="156">
          <cell r="B156">
            <v>110</v>
          </cell>
        </row>
        <row r="157">
          <cell r="B157">
            <v>2</v>
          </cell>
        </row>
        <row r="158">
          <cell r="B158">
            <v>10000000</v>
          </cell>
        </row>
        <row r="159">
          <cell r="B159">
            <v>10000000</v>
          </cell>
        </row>
        <row r="160">
          <cell r="B160">
            <v>10000000</v>
          </cell>
        </row>
        <row r="161">
          <cell r="B161">
            <v>10000000</v>
          </cell>
        </row>
        <row r="162">
          <cell r="B162">
            <v>10000000</v>
          </cell>
        </row>
        <row r="163">
          <cell r="B163">
            <v>9996580</v>
          </cell>
        </row>
        <row r="164">
          <cell r="B164">
            <v>9993401.0875599999</v>
          </cell>
        </row>
        <row r="165">
          <cell r="B165">
            <v>9990383.0804315563</v>
          </cell>
        </row>
        <row r="166">
          <cell r="B166">
            <v>9987445.9078059085</v>
          </cell>
        </row>
        <row r="167">
          <cell r="B167">
            <v>9984529.5736008286</v>
          </cell>
        </row>
        <row r="168">
          <cell r="B168">
            <v>9981604.1064357646</v>
          </cell>
        </row>
        <row r="169">
          <cell r="B169">
            <v>9978629.5884120464</v>
          </cell>
        </row>
        <row r="170">
          <cell r="B170">
            <v>9975596.0850171689</v>
          </cell>
        </row>
        <row r="171">
          <cell r="B171">
            <v>9972503.6502308138</v>
          </cell>
        </row>
        <row r="172">
          <cell r="B172">
            <v>9969342.3665736914</v>
          </cell>
        </row>
        <row r="173">
          <cell r="B173">
            <v>9966102.3303045556</v>
          </cell>
        </row>
        <row r="174">
          <cell r="B174">
            <v>9962783.618228564</v>
          </cell>
        </row>
        <row r="175">
          <cell r="B175">
            <v>9959366.3834475111</v>
          </cell>
        </row>
        <row r="176">
          <cell r="B176">
            <v>9955850.727114154</v>
          </cell>
        </row>
        <row r="177">
          <cell r="B177">
            <v>9952216.8415987585</v>
          </cell>
        </row>
        <row r="178">
          <cell r="B178">
            <v>9948464.8558494765</v>
          </cell>
        </row>
        <row r="179">
          <cell r="B179">
            <v>9944565.0576259848</v>
          </cell>
        </row>
        <row r="180">
          <cell r="B180">
            <v>9940507.6750824731</v>
          </cell>
        </row>
        <row r="181">
          <cell r="B181">
            <v>9936292.8998282384</v>
          </cell>
        </row>
        <row r="182">
          <cell r="B182">
            <v>9931881.1857807152</v>
          </cell>
        </row>
        <row r="183">
          <cell r="B183">
            <v>9927272.7929105125</v>
          </cell>
        </row>
        <row r="184">
          <cell r="B184">
            <v>9922428.2837875709</v>
          </cell>
        </row>
        <row r="185">
          <cell r="B185">
            <v>9917338.0780779887</v>
          </cell>
        </row>
        <row r="186">
          <cell r="B186">
            <v>9911962.8808396701</v>
          </cell>
        </row>
        <row r="187">
          <cell r="B187">
            <v>9906293.2380718291</v>
          </cell>
        </row>
        <row r="188">
          <cell r="B188">
            <v>9900280.1180763189</v>
          </cell>
        </row>
        <row r="189">
          <cell r="B189">
            <v>9893894.4374001604</v>
          </cell>
        </row>
        <row r="190">
          <cell r="B190">
            <v>9887097.3319216669</v>
          </cell>
        </row>
        <row r="191">
          <cell r="B191">
            <v>9879840.2024800368</v>
          </cell>
        </row>
        <row r="192">
          <cell r="B192">
            <v>9872084.5279210899</v>
          </cell>
        </row>
        <row r="193">
          <cell r="B193">
            <v>9863594.5352270789</v>
          </cell>
        </row>
        <row r="194">
          <cell r="B194">
            <v>9854648.2549836282</v>
          </cell>
        </row>
        <row r="195">
          <cell r="B195">
            <v>9845128.6647693142</v>
          </cell>
        </row>
        <row r="196">
          <cell r="B196">
            <v>9834899.576086618</v>
          </cell>
        </row>
        <row r="197">
          <cell r="B197">
            <v>9823805.809364792</v>
          </cell>
        </row>
        <row r="198">
          <cell r="B198">
            <v>9811643.9377727993</v>
          </cell>
        </row>
        <row r="199">
          <cell r="B199">
            <v>9798201.9855780508</v>
          </cell>
        </row>
        <row r="200">
          <cell r="B200">
            <v>9783240.1311460733</v>
          </cell>
        </row>
        <row r="201">
          <cell r="B201">
            <v>9766461.8743211571</v>
          </cell>
        </row>
        <row r="202">
          <cell r="B202">
            <v>9747593.0699799675</v>
          </cell>
        </row>
        <row r="203">
          <cell r="B203">
            <v>9726314.0743082017</v>
          </cell>
        </row>
        <row r="204">
          <cell r="B204">
            <v>9702280.3522305861</v>
          </cell>
        </row>
        <row r="205">
          <cell r="B205">
            <v>9675210.9900478628</v>
          </cell>
        </row>
        <row r="206">
          <cell r="B206">
            <v>9644850.1779610924</v>
          </cell>
        </row>
        <row r="207">
          <cell r="B207">
            <v>9610967.8192859162</v>
          </cell>
        </row>
        <row r="208">
          <cell r="B208">
            <v>9573398.5460803267</v>
          </cell>
        </row>
        <row r="209">
          <cell r="B209">
            <v>9532003.1707670745</v>
          </cell>
        </row>
        <row r="210">
          <cell r="B210">
            <v>9486678.4956900775</v>
          </cell>
        </row>
        <row r="211">
          <cell r="B211">
            <v>9437347.7675124891</v>
          </cell>
        </row>
        <row r="212">
          <cell r="B212">
            <v>9383932.3791483678</v>
          </cell>
        </row>
        <row r="213">
          <cell r="B213">
            <v>9326399.4897318091</v>
          </cell>
        </row>
        <row r="214">
          <cell r="B214">
            <v>9264677.3779087644</v>
          </cell>
        </row>
        <row r="215">
          <cell r="B215">
            <v>9198536.8461078741</v>
          </cell>
        </row>
        <row r="216">
          <cell r="B216">
            <v>9127533.3401927669</v>
          </cell>
        </row>
        <row r="217">
          <cell r="B217">
            <v>9051008.1006685905</v>
          </cell>
        </row>
        <row r="218">
          <cell r="B218">
            <v>8968118.9684826676</v>
          </cell>
        </row>
        <row r="219">
          <cell r="B219">
            <v>8877863.8191838581</v>
          </cell>
        </row>
        <row r="220">
          <cell r="B220">
            <v>8779026.5612848848</v>
          </cell>
        </row>
        <row r="221">
          <cell r="B221">
            <v>8670245.6431640033</v>
          </cell>
        </row>
        <row r="222">
          <cell r="B222">
            <v>8550006.6765846051</v>
          </cell>
        </row>
        <row r="223">
          <cell r="B223">
            <v>8416694.9724832978</v>
          </cell>
        </row>
        <row r="224">
          <cell r="B224">
            <v>8268737.8915620139</v>
          </cell>
        </row>
        <row r="225">
          <cell r="B225">
            <v>8104983.8063575197</v>
          </cell>
        </row>
        <row r="226">
          <cell r="B226">
            <v>7924818.1213259976</v>
          </cell>
        </row>
        <row r="227">
          <cell r="B227">
            <v>7728147.9100090507</v>
          </cell>
        </row>
        <row r="228">
          <cell r="B228">
            <v>7515391.9980465015</v>
          </cell>
        </row>
        <row r="229">
          <cell r="B229">
            <v>7287269.789337798</v>
          </cell>
        </row>
        <row r="230">
          <cell r="B230">
            <v>7044093.5964675955</v>
          </cell>
        </row>
        <row r="231">
          <cell r="B231">
            <v>6785716.2433491638</v>
          </cell>
        </row>
        <row r="232">
          <cell r="B232">
            <v>6511654.7357127778</v>
          </cell>
        </row>
        <row r="233">
          <cell r="B233">
            <v>6221254.469464195</v>
          </cell>
        </row>
        <row r="234">
          <cell r="B234">
            <v>5913999.1537262974</v>
          </cell>
        </row>
        <row r="235">
          <cell r="B235">
            <v>5590160.3880665526</v>
          </cell>
        </row>
        <row r="236">
          <cell r="B236">
            <v>5250960.6360394498</v>
          </cell>
        </row>
        <row r="237">
          <cell r="B237">
            <v>4898489.9033453017</v>
          </cell>
        </row>
        <row r="238">
          <cell r="B238">
            <v>4535658.7562045157</v>
          </cell>
        </row>
        <row r="239">
          <cell r="B239">
            <v>4166075.1381139471</v>
          </cell>
        </row>
        <row r="240">
          <cell r="B240">
            <v>3793961.3067776095</v>
          </cell>
        </row>
        <row r="241">
          <cell r="B241">
            <v>3423955.2303341231</v>
          </cell>
        </row>
        <row r="242">
          <cell r="B242">
            <v>3060855.0500228805</v>
          </cell>
        </row>
        <row r="243">
          <cell r="B243">
            <v>2709358.6994984532</v>
          </cell>
        </row>
        <row r="244">
          <cell r="B244">
            <v>2372937.62978173</v>
          </cell>
        </row>
        <row r="245">
          <cell r="B245">
            <v>2055272.4692828499</v>
          </cell>
        </row>
        <row r="246">
          <cell r="B246">
            <v>1759163.1988158619</v>
          </cell>
        </row>
        <row r="247">
          <cell r="B247">
            <v>1486740.9450104365</v>
          </cell>
        </row>
        <row r="248">
          <cell r="B248">
            <v>1239485.5186685859</v>
          </cell>
        </row>
        <row r="249">
          <cell r="B249">
            <v>1018591.8464445826</v>
          </cell>
        </row>
        <row r="250">
          <cell r="B250">
            <v>824590.8433707474</v>
          </cell>
        </row>
        <row r="251">
          <cell r="B251">
            <v>657193.13003058219</v>
          </cell>
        </row>
        <row r="252">
          <cell r="B252">
            <v>513988.11822439823</v>
          </cell>
        </row>
        <row r="253">
          <cell r="B253">
            <v>393670.69558172172</v>
          </cell>
        </row>
        <row r="254">
          <cell r="B254">
            <v>295868.72265418113</v>
          </cell>
        </row>
        <row r="255">
          <cell r="B255">
            <v>217772.9898347194</v>
          </cell>
        </row>
        <row r="256">
          <cell r="B256">
            <v>156621.68097016067</v>
          </cell>
        </row>
        <row r="257">
          <cell r="B257">
            <v>109767.67862121324</v>
          </cell>
        </row>
        <row r="258">
          <cell r="B258">
            <v>74731.482120501285</v>
          </cell>
        </row>
        <row r="259">
          <cell r="B259">
            <v>49241.619809947981</v>
          </cell>
        </row>
        <row r="260">
          <cell r="B260">
            <v>31265.868015086853</v>
          </cell>
        </row>
        <row r="261">
          <cell r="B261">
            <v>18975.192766620177</v>
          </cell>
        </row>
        <row r="262">
          <cell r="B262">
            <v>10867.946781117875</v>
          </cell>
        </row>
        <row r="263">
          <cell r="B263">
            <v>5765.1088610328188</v>
          </cell>
        </row>
        <row r="264">
          <cell r="B264">
            <v>2756.0391165610445</v>
          </cell>
        </row>
        <row r="265">
          <cell r="B265">
            <v>1139.5725659938939</v>
          </cell>
        </row>
        <row r="266">
          <cell r="B266">
            <v>381.45140416026811</v>
          </cell>
        </row>
        <row r="267">
          <cell r="B267">
            <v>91.466324946569898</v>
          </cell>
        </row>
        <row r="268">
          <cell r="B268">
            <v>0</v>
          </cell>
        </row>
        <row r="269">
          <cell r="B269">
            <v>0</v>
          </cell>
        </row>
        <row r="270">
          <cell r="B270">
            <v>0</v>
          </cell>
        </row>
        <row r="271">
          <cell r="B271">
            <v>0</v>
          </cell>
        </row>
        <row r="272">
          <cell r="B272">
            <v>0</v>
          </cell>
        </row>
        <row r="273">
          <cell r="B273">
            <v>0</v>
          </cell>
        </row>
        <row r="274">
          <cell r="B274">
            <v>0</v>
          </cell>
        </row>
        <row r="275">
          <cell r="B275">
            <v>0</v>
          </cell>
        </row>
        <row r="276">
          <cell r="B276">
            <v>0</v>
          </cell>
        </row>
        <row r="277">
          <cell r="B277">
            <v>0</v>
          </cell>
        </row>
        <row r="278">
          <cell r="B278">
            <v>0</v>
          </cell>
        </row>
        <row r="279">
          <cell r="B279">
            <v>0</v>
          </cell>
        </row>
        <row r="280">
          <cell r="B280">
            <v>0</v>
          </cell>
        </row>
        <row r="281">
          <cell r="B281">
            <v>0</v>
          </cell>
        </row>
        <row r="282">
          <cell r="B282">
            <v>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ation"/>
      <sheetName val="Rate"/>
      <sheetName val="Rate Base(2)"/>
      <sheetName val="Income"/>
      <sheetName val="Income (2)"/>
      <sheetName val="Tax"/>
      <sheetName val="TaxCalc"/>
      <sheetName val="Deficiency"/>
      <sheetName val="Deficiency (2)"/>
      <sheetName val="Tax Claimed"/>
      <sheetName val="Plant"/>
      <sheetName val="Plant (2)"/>
      <sheetName val="Reserve"/>
      <sheetName val="Reserve (2)"/>
      <sheetName val="Mat&amp;Sup"/>
      <sheetName val="Prepay"/>
      <sheetName val="Cust.Deposits"/>
      <sheetName val="AccumDef"/>
      <sheetName val="AccumDef(1)"/>
      <sheetName val="AccumDef2"/>
      <sheetName val="AccumDef3"/>
      <sheetName val="FuncAccum"/>
      <sheetName val="FuncAccum2"/>
      <sheetName val="Revenues"/>
      <sheetName val="KWH"/>
      <sheetName val="LaborRatio"/>
      <sheetName val="FunctionalLaborRatio"/>
      <sheetName val="O&amp;M"/>
      <sheetName val="Functional O&amp;M"/>
      <sheetName val="ProdExp"/>
      <sheetName val="EPRI-old"/>
      <sheetName val="EPRI"/>
      <sheetName val="Deprc"/>
      <sheetName val="Deprc-GenPlt"/>
      <sheetName val="OtherTax"/>
      <sheetName val="OtherTax-GenPlt"/>
      <sheetName val="OtherTax-FICA adj."/>
      <sheetName val="REPPCF"/>
      <sheetName val="TaxDed"/>
      <sheetName val="AccAddDeprc"/>
      <sheetName val="AllocDef"/>
      <sheetName val="AllocDef(1)"/>
      <sheetName val="Prov&amp;Amort"/>
      <sheetName val="Prov&amp;Amort2"/>
      <sheetName val="Prov&amp;Amort3"/>
      <sheetName val="FuncProvAmort"/>
      <sheetName val="StateTaxAlloc"/>
      <sheetName val="ITC"/>
      <sheetName val="PeakDemand"/>
      <sheetName val="FunctionalGen.Plant"/>
      <sheetName val="FunctionalNetPlant"/>
      <sheetName val="FunctionalA&amp;G Cost"/>
      <sheetName val="Mis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A1" t="str">
            <v>AmerenUE</v>
          </cell>
        </row>
        <row r="2">
          <cell r="A2" t="str">
            <v>PLANT IN SERVICE</v>
          </cell>
        </row>
        <row r="3">
          <cell r="A3">
            <v>36068</v>
          </cell>
        </row>
        <row r="5">
          <cell r="A5" t="str">
            <v>input 11/21/98</v>
          </cell>
          <cell r="G5" t="str">
            <v>ELECTRIC</v>
          </cell>
        </row>
        <row r="6">
          <cell r="G6" t="str">
            <v>ULTIMATE CONSUMERS</v>
          </cell>
          <cell r="I6" t="str">
            <v xml:space="preserve">ELECTRIC </v>
          </cell>
          <cell r="J6" t="str">
            <v xml:space="preserve">ELECTRIC </v>
          </cell>
          <cell r="K6" t="str">
            <v>GAS OPERATIONS</v>
          </cell>
        </row>
        <row r="7">
          <cell r="C7" t="str">
            <v>BOOK</v>
          </cell>
          <cell r="D7" t="str">
            <v xml:space="preserve">PRO FORMA </v>
          </cell>
          <cell r="F7" t="str">
            <v xml:space="preserve">ELECTRIC </v>
          </cell>
          <cell r="I7" t="str">
            <v>SALES FOR</v>
          </cell>
          <cell r="J7" t="str">
            <v xml:space="preserve">SYSTEM </v>
          </cell>
          <cell r="M7" t="str">
            <v>STEAM</v>
          </cell>
        </row>
        <row r="8">
          <cell r="C8" t="str">
            <v>TOTAL</v>
          </cell>
          <cell r="D8" t="str">
            <v>ADJUSTMENT</v>
          </cell>
          <cell r="E8" t="str">
            <v>TOTAL</v>
          </cell>
          <cell r="F8" t="str">
            <v>POWER POOL</v>
          </cell>
          <cell r="G8" t="str">
            <v>MISSOURI</v>
          </cell>
          <cell r="H8" t="str">
            <v>ILLINOIS</v>
          </cell>
          <cell r="I8" t="str">
            <v>RESALE</v>
          </cell>
          <cell r="J8" t="str">
            <v>GENERAL</v>
          </cell>
          <cell r="K8" t="str">
            <v>MISSOURI</v>
          </cell>
          <cell r="L8" t="str">
            <v>ILLINOIS</v>
          </cell>
          <cell r="M8" t="str">
            <v>HEATING</v>
          </cell>
        </row>
        <row r="9">
          <cell r="A9" t="str">
            <v>INTANGIBLE PLANT</v>
          </cell>
        </row>
        <row r="10">
          <cell r="A10" t="str">
            <v xml:space="preserve">   ACCOUNT 301</v>
          </cell>
          <cell r="C10">
            <v>142566</v>
          </cell>
          <cell r="D10">
            <v>0</v>
          </cell>
          <cell r="E10">
            <v>142566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137576</v>
          </cell>
          <cell r="K10">
            <v>4049</v>
          </cell>
          <cell r="L10">
            <v>898</v>
          </cell>
          <cell r="M10">
            <v>43</v>
          </cell>
        </row>
        <row r="11">
          <cell r="A11" t="str">
            <v xml:space="preserve">   ACCOUNT 302</v>
          </cell>
          <cell r="C11">
            <v>19443</v>
          </cell>
          <cell r="D11">
            <v>0</v>
          </cell>
          <cell r="E11">
            <v>19443</v>
          </cell>
          <cell r="F11">
            <v>16204</v>
          </cell>
          <cell r="G11">
            <v>0</v>
          </cell>
          <cell r="H11">
            <v>0</v>
          </cell>
          <cell r="I11">
            <v>0</v>
          </cell>
          <cell r="J11">
            <v>3126</v>
          </cell>
          <cell r="K11">
            <v>92</v>
          </cell>
          <cell r="L11">
            <v>20</v>
          </cell>
          <cell r="M11">
            <v>1</v>
          </cell>
        </row>
        <row r="13">
          <cell r="A13" t="str">
            <v>TOTAL INTANGIBLE PLANT</v>
          </cell>
          <cell r="C13">
            <v>162009</v>
          </cell>
          <cell r="D13">
            <v>0</v>
          </cell>
          <cell r="E13">
            <v>162009</v>
          </cell>
          <cell r="F13">
            <v>16204</v>
          </cell>
          <cell r="G13">
            <v>0</v>
          </cell>
          <cell r="H13">
            <v>0</v>
          </cell>
          <cell r="I13">
            <v>0</v>
          </cell>
          <cell r="J13">
            <v>140702</v>
          </cell>
          <cell r="K13">
            <v>4141</v>
          </cell>
          <cell r="L13">
            <v>918</v>
          </cell>
          <cell r="M13">
            <v>44</v>
          </cell>
        </row>
        <row r="15">
          <cell r="A15" t="str">
            <v>PRODUCTION PLANT</v>
          </cell>
        </row>
        <row r="16">
          <cell r="A16" t="str">
            <v xml:space="preserve">   NUCLEAR (1)</v>
          </cell>
          <cell r="C16">
            <v>2880154981</v>
          </cell>
          <cell r="D16">
            <v>0</v>
          </cell>
          <cell r="E16">
            <v>2880154981</v>
          </cell>
          <cell r="F16">
            <v>0</v>
          </cell>
          <cell r="G16">
            <v>2511495143</v>
          </cell>
          <cell r="H16">
            <v>219467810</v>
          </cell>
          <cell r="I16">
            <v>149192028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 xml:space="preserve">   CALLAWAY POST OPERATIONAL (2)</v>
          </cell>
          <cell r="C17">
            <v>116730946</v>
          </cell>
          <cell r="D17">
            <v>0</v>
          </cell>
          <cell r="E17">
            <v>116730946</v>
          </cell>
          <cell r="F17">
            <v>0</v>
          </cell>
          <cell r="G17">
            <v>110182340</v>
          </cell>
          <cell r="H17">
            <v>0</v>
          </cell>
          <cell r="I17">
            <v>6548606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 xml:space="preserve">   CALLAWAY DISALLOWANCES (3)</v>
          </cell>
          <cell r="C18">
            <v>-385592670</v>
          </cell>
          <cell r="D18">
            <v>0</v>
          </cell>
          <cell r="E18">
            <v>-385592670</v>
          </cell>
          <cell r="F18">
            <v>0</v>
          </cell>
          <cell r="G18">
            <v>-339358670</v>
          </cell>
          <cell r="H18">
            <v>-28005000</v>
          </cell>
          <cell r="I18">
            <v>-18229000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 xml:space="preserve">   STEAM</v>
          </cell>
          <cell r="C19">
            <v>1955733952</v>
          </cell>
          <cell r="D19">
            <v>0</v>
          </cell>
          <cell r="E19">
            <v>1955733952</v>
          </cell>
          <cell r="F19">
            <v>1955733952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A20" t="str">
            <v xml:space="preserve">   HYDRAULIC</v>
          </cell>
          <cell r="C20">
            <v>145184090</v>
          </cell>
          <cell r="D20">
            <v>0</v>
          </cell>
          <cell r="E20">
            <v>145184090</v>
          </cell>
          <cell r="F20">
            <v>145184090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A21" t="str">
            <v xml:space="preserve">   OTHER</v>
          </cell>
          <cell r="C21">
            <v>41163653</v>
          </cell>
          <cell r="D21">
            <v>0</v>
          </cell>
          <cell r="E21">
            <v>41163653</v>
          </cell>
          <cell r="F21">
            <v>41163653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A22" t="str">
            <v xml:space="preserve">   TOTAL PRODUCTION PLANT</v>
          </cell>
          <cell r="C22">
            <v>4753374952</v>
          </cell>
          <cell r="D22">
            <v>0</v>
          </cell>
          <cell r="E22">
            <v>4753374952</v>
          </cell>
          <cell r="F22">
            <v>2142081695</v>
          </cell>
          <cell r="G22">
            <v>2282318813</v>
          </cell>
          <cell r="H22">
            <v>191462810</v>
          </cell>
          <cell r="I22">
            <v>137511634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4">
          <cell r="A24" t="str">
            <v>TRANSMISSION PLANT</v>
          </cell>
          <cell r="C24">
            <v>431578884</v>
          </cell>
          <cell r="D24">
            <v>0</v>
          </cell>
          <cell r="E24">
            <v>431578884</v>
          </cell>
          <cell r="F24">
            <v>431578884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A25" t="str">
            <v xml:space="preserve">   Transmission Plant - FUTURE USE PLANT</v>
          </cell>
          <cell r="C25">
            <v>1219466</v>
          </cell>
          <cell r="D25">
            <v>0</v>
          </cell>
          <cell r="E25">
            <v>1219466</v>
          </cell>
          <cell r="F25">
            <v>1219466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 xml:space="preserve">   TOTAL TRANSMISSION PLANT</v>
          </cell>
          <cell r="C26">
            <v>432798350</v>
          </cell>
          <cell r="D26">
            <v>0</v>
          </cell>
          <cell r="E26">
            <v>432798350</v>
          </cell>
          <cell r="F26">
            <v>432798350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A28" t="str">
            <v>DISTRIBUTION PLANT</v>
          </cell>
        </row>
        <row r="29">
          <cell r="A29" t="str">
            <v xml:space="preserve">   MISSOURI</v>
          </cell>
          <cell r="C29">
            <v>2574684485</v>
          </cell>
          <cell r="D29">
            <v>0</v>
          </cell>
          <cell r="E29">
            <v>2574684485</v>
          </cell>
          <cell r="F29">
            <v>0</v>
          </cell>
          <cell r="G29">
            <v>2558313059</v>
          </cell>
          <cell r="H29">
            <v>0</v>
          </cell>
          <cell r="I29">
            <v>16371426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A30" t="str">
            <v xml:space="preserve">   Missouri - FUTURE USE PLANT</v>
          </cell>
          <cell r="C30">
            <v>2176771</v>
          </cell>
          <cell r="D30">
            <v>0</v>
          </cell>
          <cell r="E30">
            <v>2176771</v>
          </cell>
          <cell r="F30">
            <v>0</v>
          </cell>
          <cell r="G30">
            <v>2176771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A31" t="str">
            <v xml:space="preserve">   ILLINOIS (4)</v>
          </cell>
          <cell r="C31">
            <v>138148255</v>
          </cell>
          <cell r="D31">
            <v>16832691</v>
          </cell>
          <cell r="E31">
            <v>154980946</v>
          </cell>
          <cell r="F31">
            <v>0</v>
          </cell>
          <cell r="G31">
            <v>0</v>
          </cell>
          <cell r="H31">
            <v>154980946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A32" t="str">
            <v xml:space="preserve">   IOWA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 xml:space="preserve">   TOTAL DISTRIBUTION PLANT</v>
          </cell>
          <cell r="C33">
            <v>2715009511</v>
          </cell>
          <cell r="D33">
            <v>16832691</v>
          </cell>
          <cell r="E33">
            <v>2731842202</v>
          </cell>
          <cell r="F33">
            <v>0</v>
          </cell>
          <cell r="G33">
            <v>2560489830</v>
          </cell>
          <cell r="H33">
            <v>154980946</v>
          </cell>
          <cell r="I33">
            <v>16371426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5">
          <cell r="A35" t="str">
            <v>GENERAL PLANT</v>
          </cell>
        </row>
        <row r="36">
          <cell r="A36" t="str">
            <v xml:space="preserve">   MISSOURI</v>
          </cell>
          <cell r="C36">
            <v>418505937</v>
          </cell>
          <cell r="D36">
            <v>0</v>
          </cell>
          <cell r="E36">
            <v>418505937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412866725</v>
          </cell>
          <cell r="K36">
            <v>4638741</v>
          </cell>
          <cell r="L36">
            <v>950319</v>
          </cell>
          <cell r="M36">
            <v>50152</v>
          </cell>
        </row>
        <row r="37">
          <cell r="A37" t="str">
            <v xml:space="preserve">   ILLINOIS</v>
          </cell>
          <cell r="C37">
            <v>13264533</v>
          </cell>
          <cell r="D37">
            <v>0</v>
          </cell>
          <cell r="E37">
            <v>13264533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12991753</v>
          </cell>
          <cell r="K37">
            <v>0</v>
          </cell>
          <cell r="L37">
            <v>272780</v>
          </cell>
          <cell r="M37">
            <v>0</v>
          </cell>
        </row>
        <row r="38">
          <cell r="A38" t="str">
            <v xml:space="preserve">   IOWA</v>
          </cell>
          <cell r="C38">
            <v>409705</v>
          </cell>
          <cell r="D38">
            <v>0</v>
          </cell>
          <cell r="E38">
            <v>409705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409705</v>
          </cell>
          <cell r="K38">
            <v>0</v>
          </cell>
          <cell r="L38">
            <v>0</v>
          </cell>
          <cell r="M38">
            <v>0</v>
          </cell>
        </row>
        <row r="39">
          <cell r="A39" t="str">
            <v xml:space="preserve">   TOTAL GENERAL PLANT</v>
          </cell>
          <cell r="C39">
            <v>432180175</v>
          </cell>
          <cell r="D39">
            <v>0</v>
          </cell>
          <cell r="E39">
            <v>432180175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426268183</v>
          </cell>
          <cell r="K39">
            <v>4638741</v>
          </cell>
          <cell r="L39">
            <v>1223099</v>
          </cell>
          <cell r="M39">
            <v>50152</v>
          </cell>
        </row>
        <row r="41">
          <cell r="A41" t="str">
            <v>FUTURE USE PLANT</v>
          </cell>
          <cell r="C41">
            <v>3396237</v>
          </cell>
          <cell r="D41">
            <v>0</v>
          </cell>
          <cell r="E41">
            <v>3396237</v>
          </cell>
          <cell r="F41">
            <v>1219466</v>
          </cell>
          <cell r="G41">
            <v>2176771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A42" t="str">
            <v>Less: Assigned Future Use Plant</v>
          </cell>
          <cell r="C42">
            <v>-3396237</v>
          </cell>
          <cell r="D42">
            <v>0</v>
          </cell>
          <cell r="E42">
            <v>-3396237</v>
          </cell>
          <cell r="F42">
            <v>-1219466</v>
          </cell>
          <cell r="G42">
            <v>-2176771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4">
          <cell r="A44" t="str">
            <v>TOTAL PLANT IN SERVICE</v>
          </cell>
          <cell r="C44">
            <v>8333524997</v>
          </cell>
          <cell r="D44">
            <v>16832691</v>
          </cell>
          <cell r="E44">
            <v>8350357688</v>
          </cell>
          <cell r="F44">
            <v>2574896249</v>
          </cell>
          <cell r="G44">
            <v>4842808643</v>
          </cell>
          <cell r="H44">
            <v>346443756</v>
          </cell>
          <cell r="I44">
            <v>153883060</v>
          </cell>
          <cell r="J44">
            <v>426408885</v>
          </cell>
          <cell r="K44">
            <v>4642882</v>
          </cell>
          <cell r="L44">
            <v>1224017</v>
          </cell>
          <cell r="M44">
            <v>50196</v>
          </cell>
        </row>
        <row r="46">
          <cell r="A46" t="str">
            <v>ALLOCATION TO HEATING &amp; GAS</v>
          </cell>
          <cell r="C46">
            <v>-5917095</v>
          </cell>
          <cell r="D46">
            <v>0</v>
          </cell>
          <cell r="E46">
            <v>-5917095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-4642882</v>
          </cell>
          <cell r="L46">
            <v>-1224017</v>
          </cell>
          <cell r="M46">
            <v>-50196</v>
          </cell>
        </row>
        <row r="48">
          <cell r="A48" t="str">
            <v>TOTAL ELECTRIC PLANT IN SERVICE</v>
          </cell>
          <cell r="C48">
            <v>8327607902</v>
          </cell>
          <cell r="D48">
            <v>16832691</v>
          </cell>
          <cell r="E48">
            <v>8344440593</v>
          </cell>
          <cell r="F48">
            <v>2574896249</v>
          </cell>
          <cell r="G48">
            <v>4842808643</v>
          </cell>
          <cell r="H48">
            <v>346443756</v>
          </cell>
          <cell r="I48">
            <v>153883060</v>
          </cell>
          <cell r="J48">
            <v>426408885</v>
          </cell>
          <cell r="K48">
            <v>0</v>
          </cell>
          <cell r="L48">
            <v>0</v>
          </cell>
          <cell r="M48">
            <v>0</v>
          </cell>
        </row>
        <row r="51">
          <cell r="A51" t="str">
            <v>(1) Includes $385,592,670 of disallowances ordered by various jurisdictions. Allocated on fixed allocation factor.</v>
          </cell>
        </row>
        <row r="52">
          <cell r="A52" t="str">
            <v>(2) The Callaway Post Operational Costs applicable to Illinois jurisdiction were written off 12/97.  Allocated on fixed allocation factor, excluding Illinois.</v>
          </cell>
        </row>
        <row r="53">
          <cell r="A53" t="str">
            <v>(3) Directly assigned.</v>
          </cell>
        </row>
        <row r="54">
          <cell r="A54" t="str">
            <v>(4) Forecasted Distribution Plant additions, net {$ 10,349,691}; Software costs capitalized-Illinois Distribution for New Acctg. system {$177,000},  Delivery Services startup costs {$3,529,000}, and Phase II of new Cust Serv. system {$2,047,000} .</v>
          </cell>
        </row>
        <row r="55">
          <cell r="A55" t="str">
            <v xml:space="preserve">       Additional hardware for Delivery Services {$114,000}, Phase II of Cust. Serv. system {$616,000}.</v>
          </cell>
        </row>
        <row r="56">
          <cell r="C56" t="str">
            <v>BAL. AT</v>
          </cell>
          <cell r="F56" t="str">
            <v>AVG. BAL. AT</v>
          </cell>
        </row>
        <row r="57">
          <cell r="A57" t="str">
            <v>FUTURE USE PLANT:</v>
          </cell>
          <cell r="C57">
            <v>36068</v>
          </cell>
          <cell r="F57">
            <v>36068</v>
          </cell>
        </row>
        <row r="58">
          <cell r="A58" t="str">
            <v xml:space="preserve">     POWER POOL</v>
          </cell>
          <cell r="C58">
            <v>1219466</v>
          </cell>
          <cell r="F58">
            <v>1219466</v>
          </cell>
        </row>
        <row r="59">
          <cell r="A59" t="str">
            <v xml:space="preserve">     MO. DISTRIBUTION</v>
          </cell>
          <cell r="C59">
            <v>2176771</v>
          </cell>
          <cell r="F59">
            <v>2176771</v>
          </cell>
        </row>
        <row r="60">
          <cell r="A60" t="str">
            <v xml:space="preserve">     SYSTEM GENERAL</v>
          </cell>
          <cell r="C60">
            <v>0</v>
          </cell>
          <cell r="F60">
            <v>0</v>
          </cell>
        </row>
        <row r="62">
          <cell r="A62" t="str">
            <v xml:space="preserve">     TOTAL</v>
          </cell>
          <cell r="C62">
            <v>3396237</v>
          </cell>
          <cell r="F62">
            <v>3396237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lon IT SFAs"/>
      <sheetName val="Sheet2"/>
      <sheetName val="Programs &amp; Projects"/>
      <sheetName val="Rates"/>
    </sheetNames>
    <sheetDataSet>
      <sheetData sheetId="0"/>
      <sheetData sheetId="1">
        <row r="1">
          <cell r="P1" t="str">
            <v>Process</v>
          </cell>
        </row>
        <row r="2">
          <cell r="P2" t="str">
            <v>Renewal</v>
          </cell>
        </row>
        <row r="3">
          <cell r="P3" t="str">
            <v>Innovate</v>
          </cell>
        </row>
        <row r="4">
          <cell r="P4" t="str">
            <v>Transform</v>
          </cell>
        </row>
      </sheetData>
      <sheetData sheetId="2"/>
      <sheetData sheetId="3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lon IT SFAs"/>
      <sheetName val="Sheet2"/>
      <sheetName val="Programs &amp; Projects"/>
      <sheetName val="Instructions"/>
      <sheetName val="Examples"/>
    </sheetNames>
    <sheetDataSet>
      <sheetData sheetId="0"/>
      <sheetData sheetId="1">
        <row r="1">
          <cell r="O1" t="str">
            <v>Clewett</v>
          </cell>
        </row>
        <row r="2">
          <cell r="O2" t="str">
            <v>Hill</v>
          </cell>
        </row>
        <row r="3">
          <cell r="O3" t="str">
            <v>Lasky</v>
          </cell>
        </row>
        <row r="4">
          <cell r="O4" t="str">
            <v>Peery</v>
          </cell>
        </row>
        <row r="5">
          <cell r="O5" t="str">
            <v>Walters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pageSetUpPr fitToPage="1"/>
  </sheetPr>
  <dimension ref="A1:AR183"/>
  <sheetViews>
    <sheetView tabSelected="1" zoomScale="85" zoomScaleNormal="85" zoomScaleSheetLayoutView="80" workbookViewId="0">
      <pane xSplit="2" ySplit="4" topLeftCell="AD16" activePane="bottomRight" state="frozen"/>
      <selection pane="topRight"/>
      <selection pane="bottomLeft"/>
      <selection pane="bottomRight" activeCell="AD80" sqref="AD80"/>
    </sheetView>
  </sheetViews>
  <sheetFormatPr defaultColWidth="9.109375" defaultRowHeight="14.4" zeroHeight="1" outlineLevelRow="1" x14ac:dyDescent="0.3"/>
  <cols>
    <col min="1" max="1" width="3.109375" style="1" customWidth="1"/>
    <col min="2" max="2" width="50" style="40" customWidth="1"/>
    <col min="3" max="3" width="14" style="40" customWidth="1"/>
    <col min="4" max="4" width="14.88671875" style="40" customWidth="1"/>
    <col min="5" max="5" width="15.109375" style="40" customWidth="1"/>
    <col min="6" max="13" width="18.6640625" style="40" customWidth="1"/>
    <col min="14" max="14" width="17.88671875" style="40" customWidth="1" collapsed="1"/>
    <col min="15" max="25" width="18.6640625" style="40" customWidth="1"/>
    <col min="26" max="26" width="18.6640625" style="40" customWidth="1" collapsed="1"/>
    <col min="27" max="40" width="18.6640625" style="40" customWidth="1"/>
    <col min="41" max="16384" width="9.109375" style="40"/>
  </cols>
  <sheetData>
    <row r="1" spans="1:43" s="2" customFormat="1" ht="15.6" x14ac:dyDescent="0.3">
      <c r="A1" s="50" t="s">
        <v>76</v>
      </c>
      <c r="Z1" s="150"/>
    </row>
    <row r="2" spans="1:43" ht="15.6" x14ac:dyDescent="0.3">
      <c r="A2" s="50" t="s">
        <v>7</v>
      </c>
      <c r="B2" s="36"/>
      <c r="C2" s="109"/>
      <c r="D2" s="53"/>
      <c r="E2" s="53"/>
      <c r="F2" s="53"/>
      <c r="G2" s="53"/>
      <c r="H2" s="53"/>
      <c r="I2" s="53"/>
      <c r="J2" s="53"/>
      <c r="K2" s="53"/>
      <c r="V2" s="43"/>
      <c r="W2" s="43"/>
      <c r="X2" s="43"/>
      <c r="Z2" s="146"/>
      <c r="AC2" s="175"/>
      <c r="AE2" s="2"/>
    </row>
    <row r="3" spans="1:43" x14ac:dyDescent="0.3">
      <c r="A3" s="94"/>
      <c r="AG3" s="43"/>
    </row>
    <row r="4" spans="1:43" x14ac:dyDescent="0.3">
      <c r="A4" s="6"/>
      <c r="C4" s="12">
        <v>43435</v>
      </c>
      <c r="D4" s="12">
        <v>43466</v>
      </c>
      <c r="E4" s="12">
        <v>43497</v>
      </c>
      <c r="F4" s="12">
        <v>43525</v>
      </c>
      <c r="G4" s="12">
        <v>43556</v>
      </c>
      <c r="H4" s="12">
        <v>43586</v>
      </c>
      <c r="I4" s="12">
        <v>43617</v>
      </c>
      <c r="J4" s="12">
        <v>43647</v>
      </c>
      <c r="K4" s="12">
        <v>43678</v>
      </c>
      <c r="L4" s="12">
        <v>43709</v>
      </c>
      <c r="M4" s="12">
        <v>43739</v>
      </c>
      <c r="N4" s="12">
        <v>43770</v>
      </c>
      <c r="O4" s="12">
        <v>43800</v>
      </c>
      <c r="P4" s="12">
        <v>43831</v>
      </c>
      <c r="Q4" s="12">
        <v>43862</v>
      </c>
      <c r="R4" s="12">
        <v>43891</v>
      </c>
      <c r="S4" s="12">
        <v>43922</v>
      </c>
      <c r="T4" s="12">
        <v>43952</v>
      </c>
      <c r="U4" s="12">
        <v>43983</v>
      </c>
      <c r="V4" s="12">
        <v>44013</v>
      </c>
      <c r="W4" s="12">
        <v>44044</v>
      </c>
      <c r="X4" s="12">
        <v>44075</v>
      </c>
      <c r="Y4" s="12">
        <v>44105</v>
      </c>
      <c r="Z4" s="12">
        <v>44136</v>
      </c>
      <c r="AA4" s="12">
        <v>44166</v>
      </c>
      <c r="AB4" s="12">
        <v>44197</v>
      </c>
      <c r="AC4" s="12">
        <v>44228</v>
      </c>
      <c r="AD4" s="12">
        <v>44256</v>
      </c>
      <c r="AE4" s="12">
        <v>44287</v>
      </c>
      <c r="AF4" s="12">
        <v>44317</v>
      </c>
      <c r="AG4" s="12">
        <v>44348</v>
      </c>
      <c r="AH4" s="12">
        <v>44378</v>
      </c>
      <c r="AI4" s="12">
        <v>44409</v>
      </c>
      <c r="AJ4" s="12">
        <v>44440</v>
      </c>
      <c r="AK4" s="12">
        <v>44470</v>
      </c>
      <c r="AL4" s="12">
        <v>44501</v>
      </c>
      <c r="AM4" s="12">
        <v>44531</v>
      </c>
      <c r="AN4" s="12">
        <v>44562</v>
      </c>
    </row>
    <row r="5" spans="1:43" s="2" customFormat="1" ht="15" customHeight="1" x14ac:dyDescent="0.3">
      <c r="A5" s="258" t="s">
        <v>0</v>
      </c>
      <c r="B5" s="7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9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166">
        <f>'MEEIA 3 adjs'!BB1+'MEEIA 3 adjs'!BF11</f>
        <v>-21982.399999997611</v>
      </c>
      <c r="AE5" s="31"/>
      <c r="AF5" s="31"/>
      <c r="AG5" s="31"/>
      <c r="AH5" s="31"/>
      <c r="AI5" s="31"/>
      <c r="AJ5" s="31"/>
      <c r="AK5" s="31"/>
      <c r="AL5" s="251">
        <f>'[115]PCR1.B (M3)'!$B$9+'[115]PCR1.B (M3)'!$D$9</f>
        <v>-60592.04</v>
      </c>
      <c r="AM5" s="31"/>
      <c r="AN5" s="31"/>
    </row>
    <row r="6" spans="1:43" s="4" customFormat="1" ht="15" customHeight="1" x14ac:dyDescent="0.3">
      <c r="A6" s="258"/>
      <c r="B6" s="7" t="s">
        <v>9</v>
      </c>
      <c r="C6" s="23">
        <v>472906.7</v>
      </c>
      <c r="D6" s="23">
        <v>121950.46</v>
      </c>
      <c r="E6" s="23">
        <v>306057.09999999998</v>
      </c>
      <c r="F6" s="23">
        <v>3254515.75</v>
      </c>
      <c r="G6" s="23">
        <v>1441686.8700000006</v>
      </c>
      <c r="H6" s="23">
        <v>2646810.4000000004</v>
      </c>
      <c r="I6" s="23">
        <v>3090012.3199999994</v>
      </c>
      <c r="J6" s="23">
        <v>3806682.3899999997</v>
      </c>
      <c r="K6" s="23">
        <v>5667444.0099999998</v>
      </c>
      <c r="L6" s="24">
        <v>4665040.7600000016</v>
      </c>
      <c r="M6" s="24">
        <v>4693766.1500000032</v>
      </c>
      <c r="N6" s="23">
        <v>7981786.3300000001</v>
      </c>
      <c r="O6" s="24">
        <v>14289408.219999997</v>
      </c>
      <c r="P6" s="24">
        <v>2300282.3399999994</v>
      </c>
      <c r="Q6" s="23">
        <v>3266635.3100000005</v>
      </c>
      <c r="R6" s="23">
        <v>4668387.1399999997</v>
      </c>
      <c r="S6" s="23">
        <v>3355052.560000001</v>
      </c>
      <c r="T6" s="23">
        <v>3504036.8800000004</v>
      </c>
      <c r="U6" s="23">
        <v>4570550.08</v>
      </c>
      <c r="V6" s="23">
        <v>4337551.2399999993</v>
      </c>
      <c r="W6" s="23">
        <v>5132057.5999999996</v>
      </c>
      <c r="X6" s="23">
        <v>6881005.1299999999</v>
      </c>
      <c r="Y6" s="23">
        <v>5075926.8299999991</v>
      </c>
      <c r="Z6" s="23">
        <v>8226323.5899999999</v>
      </c>
      <c r="AA6" s="23">
        <v>17050986.669999998</v>
      </c>
      <c r="AB6" s="23">
        <v>3390691.4000000004</v>
      </c>
      <c r="AC6" s="23">
        <v>3040542.4899999993</v>
      </c>
      <c r="AD6" s="23">
        <f>6776151.45</f>
        <v>6776151.4500000002</v>
      </c>
      <c r="AE6" s="176">
        <f>3593026.47+'PAYS interest'!C13</f>
        <v>3593096.5983472401</v>
      </c>
      <c r="AF6" s="176">
        <f>3249647.22+'PAYS interest'!D13</f>
        <v>3249816.752362628</v>
      </c>
      <c r="AG6" s="177">
        <f>6100963.25+'PAYS interest'!E13</f>
        <v>6101138.4180074409</v>
      </c>
      <c r="AH6" s="177">
        <f>5073828.74+'PAYS interest'!F13</f>
        <v>5074049.6564757768</v>
      </c>
      <c r="AI6" s="176">
        <f>6150373.04+'PAYS interest'!G13</f>
        <v>6150752.0389186945</v>
      </c>
      <c r="AJ6" s="176">
        <f>4538294.08+'PAYS interest'!H13</f>
        <v>4538886.177325543</v>
      </c>
      <c r="AK6" s="176">
        <f>5907219.36+'PAYS interest'!I13</f>
        <v>5908069.5179605344</v>
      </c>
      <c r="AL6" s="252">
        <f>SUM('[116]PCR (M3)'!AK15:AK18)</f>
        <v>7001000.6900734287</v>
      </c>
      <c r="AM6" s="252">
        <f>SUM('[116]PCR (M3)'!AL15:AL18)</f>
        <v>29690167.029802725</v>
      </c>
      <c r="AN6" s="252">
        <f>SUM('[116]PCR (M3)'!AM15:AM18)</f>
        <v>2990313.2376637836</v>
      </c>
      <c r="AP6" s="150"/>
      <c r="AQ6" s="150"/>
    </row>
    <row r="7" spans="1:43" s="4" customFormat="1" x14ac:dyDescent="0.3">
      <c r="A7" s="258"/>
      <c r="B7" s="7" t="s">
        <v>10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453008.63</v>
      </c>
      <c r="I7" s="24">
        <v>6131398.7699999996</v>
      </c>
      <c r="J7" s="24">
        <v>7440020.2300000004</v>
      </c>
      <c r="K7" s="24">
        <v>7787637.1200000001</v>
      </c>
      <c r="L7" s="23">
        <v>7415530.5499999998</v>
      </c>
      <c r="M7" s="24">
        <v>6393806.0300000003</v>
      </c>
      <c r="N7" s="24">
        <v>5729648.6699999999</v>
      </c>
      <c r="O7" s="23">
        <v>7016994.2000000002</v>
      </c>
      <c r="P7" s="24">
        <v>7580344.1500000004</v>
      </c>
      <c r="Q7" s="24">
        <v>6780583.4199999999</v>
      </c>
      <c r="R7" s="24">
        <v>5258818.8899999997</v>
      </c>
      <c r="S7" s="24">
        <v>4379338.6900000004</v>
      </c>
      <c r="T7" s="24">
        <v>4010923.17</v>
      </c>
      <c r="U7" s="24">
        <v>4897738.25</v>
      </c>
      <c r="V7" s="24">
        <v>6248757.4000000004</v>
      </c>
      <c r="W7" s="24">
        <v>6053644.0300000003</v>
      </c>
      <c r="X7" s="24">
        <v>5708518.8099999996</v>
      </c>
      <c r="Y7" s="24">
        <v>4362797.6900000004</v>
      </c>
      <c r="Z7" s="24">
        <v>4453895.6900000004</v>
      </c>
      <c r="AA7" s="24">
        <v>5320333.05</v>
      </c>
      <c r="AB7" s="24">
        <v>6316759.2699999996</v>
      </c>
      <c r="AC7" s="24">
        <v>7583892.4100000001</v>
      </c>
      <c r="AD7" s="24">
        <v>7418563.8899999997</v>
      </c>
      <c r="AE7" s="24">
        <v>5953301.3499999996</v>
      </c>
      <c r="AF7" s="24">
        <v>5846801.6900000004</v>
      </c>
      <c r="AG7" s="24">
        <v>6866409.0999999996</v>
      </c>
      <c r="AH7" s="24">
        <v>8666483.5800000001</v>
      </c>
      <c r="AI7" s="24">
        <v>8626819.1899999995</v>
      </c>
      <c r="AJ7" s="24">
        <v>8648916.9199999999</v>
      </c>
      <c r="AK7" s="24">
        <v>6801979.5499999998</v>
      </c>
      <c r="AL7" s="116">
        <f>SUM('[116]PCR (M3)'!AK35:AK39)</f>
        <v>6165195.5996564412</v>
      </c>
      <c r="AM7" s="116">
        <f>SUM('[116]PCR (M3)'!AL35:AL39)</f>
        <v>7599430.6487578843</v>
      </c>
      <c r="AN7" s="116">
        <f>SUM('[116]PCR (M3)'!AM35:AM39)</f>
        <v>8949231.1789711416</v>
      </c>
      <c r="AP7" s="146"/>
      <c r="AQ7" s="146"/>
    </row>
    <row r="8" spans="1:43" s="4" customFormat="1" x14ac:dyDescent="0.3">
      <c r="A8" s="258"/>
      <c r="B8" s="7" t="s">
        <v>11</v>
      </c>
      <c r="C8" s="9">
        <f t="shared" ref="C8" si="0">IF(OR(C6="",C7=""),"",C6-C7)</f>
        <v>472906.7</v>
      </c>
      <c r="D8" s="9">
        <f t="shared" ref="D8:AK8" si="1">IF(OR(D6="",D7=""),"",D6-D7)</f>
        <v>121950.46</v>
      </c>
      <c r="E8" s="9">
        <f t="shared" si="1"/>
        <v>306057.09999999998</v>
      </c>
      <c r="F8" s="9">
        <f t="shared" si="1"/>
        <v>3254515.75</v>
      </c>
      <c r="G8" s="9">
        <f t="shared" si="1"/>
        <v>1441686.8700000006</v>
      </c>
      <c r="H8" s="9">
        <f>IF(OR(H6="",H7=""),"",H6-H7)</f>
        <v>2193801.7700000005</v>
      </c>
      <c r="I8" s="10">
        <f t="shared" si="1"/>
        <v>-3041386.45</v>
      </c>
      <c r="J8" s="10">
        <f t="shared" si="1"/>
        <v>-3633337.8400000008</v>
      </c>
      <c r="K8" s="10">
        <f t="shared" si="1"/>
        <v>-2120193.1100000003</v>
      </c>
      <c r="L8" s="10">
        <f t="shared" si="1"/>
        <v>-2750489.7899999982</v>
      </c>
      <c r="M8" s="10">
        <f t="shared" si="1"/>
        <v>-1700039.8799999971</v>
      </c>
      <c r="N8" s="10">
        <f t="shared" si="1"/>
        <v>2252137.66</v>
      </c>
      <c r="O8" s="10">
        <f>IF(OR(O6="",O7=""),"",O6-O7)</f>
        <v>7272414.0199999968</v>
      </c>
      <c r="P8" s="10">
        <f t="shared" si="1"/>
        <v>-5280061.8100000005</v>
      </c>
      <c r="Q8" s="10">
        <f t="shared" si="1"/>
        <v>-3513948.1099999994</v>
      </c>
      <c r="R8" s="10">
        <f t="shared" si="1"/>
        <v>-590431.75</v>
      </c>
      <c r="S8" s="10">
        <f t="shared" si="1"/>
        <v>-1024286.1299999994</v>
      </c>
      <c r="T8" s="10">
        <f t="shared" si="1"/>
        <v>-506886.28999999957</v>
      </c>
      <c r="U8" s="10">
        <f t="shared" si="1"/>
        <v>-327188.16999999993</v>
      </c>
      <c r="V8" s="10">
        <f t="shared" si="1"/>
        <v>-1911206.1600000011</v>
      </c>
      <c r="W8" s="10">
        <f>IF(OR(W6="",W7=""),"",W6-W7)</f>
        <v>-921586.43000000063</v>
      </c>
      <c r="X8" s="10">
        <f>IF(OR(X6="",X7=""),"",X6-X7)</f>
        <v>1172486.3200000003</v>
      </c>
      <c r="Y8" s="10">
        <f t="shared" si="1"/>
        <v>713129.13999999873</v>
      </c>
      <c r="Z8" s="10">
        <f t="shared" si="1"/>
        <v>3772427.8999999994</v>
      </c>
      <c r="AA8" s="10">
        <f t="shared" si="1"/>
        <v>11730653.619999997</v>
      </c>
      <c r="AB8" s="10">
        <f t="shared" si="1"/>
        <v>-2926067.8699999992</v>
      </c>
      <c r="AC8" s="10">
        <f t="shared" si="1"/>
        <v>-4543349.9200000009</v>
      </c>
      <c r="AD8" s="10">
        <f>IF(OR(AD6="",AD7=""),"",AD6-AD7)</f>
        <v>-642412.43999999948</v>
      </c>
      <c r="AE8" s="10">
        <f>IF(OR(AE6="",AE7=""),"",AE6-AE7)</f>
        <v>-2360204.7516527595</v>
      </c>
      <c r="AF8" s="10">
        <f t="shared" si="1"/>
        <v>-2596984.9376373724</v>
      </c>
      <c r="AG8" s="10">
        <f t="shared" si="1"/>
        <v>-765270.68199255876</v>
      </c>
      <c r="AH8" s="10">
        <f t="shared" si="1"/>
        <v>-3592433.9235242233</v>
      </c>
      <c r="AI8" s="10">
        <f t="shared" si="1"/>
        <v>-2476067.151081305</v>
      </c>
      <c r="AJ8" s="10">
        <f t="shared" si="1"/>
        <v>-4110030.7426744569</v>
      </c>
      <c r="AK8" s="10">
        <f t="shared" si="1"/>
        <v>-893910.03203946538</v>
      </c>
      <c r="AL8" s="10">
        <f>IF(OR(AL6="",AL7=""),"",AL6-AL7)</f>
        <v>835805.09041698743</v>
      </c>
      <c r="AM8" s="10">
        <f>IF(OR(AM6="",AM7=""),"",AM6-AM7)</f>
        <v>22090736.381044842</v>
      </c>
      <c r="AN8" s="10">
        <f>IF(OR(AN6="",AN7=""),"",AN6-AN7)</f>
        <v>-5958917.9413073584</v>
      </c>
      <c r="AP8" s="146"/>
      <c r="AQ8" s="146"/>
    </row>
    <row r="9" spans="1:43" s="4" customFormat="1" x14ac:dyDescent="0.3">
      <c r="A9" s="258"/>
      <c r="B9" s="7" t="s">
        <v>4</v>
      </c>
      <c r="C9" s="25">
        <v>0</v>
      </c>
      <c r="D9" s="25">
        <v>0</v>
      </c>
      <c r="E9" s="25">
        <v>0</v>
      </c>
      <c r="F9" s="25">
        <v>2.7878150000000001E-2</v>
      </c>
      <c r="G9" s="25">
        <v>2.6622739999999999E-2</v>
      </c>
      <c r="H9" s="25">
        <v>2.677361E-2</v>
      </c>
      <c r="I9" s="25">
        <v>2.6500570000000001E-2</v>
      </c>
      <c r="J9" s="25">
        <v>2.594869E-2</v>
      </c>
      <c r="K9" s="25">
        <v>2.3511899999999999E-2</v>
      </c>
      <c r="L9" s="25">
        <v>2.21687E-2</v>
      </c>
      <c r="M9" s="25">
        <v>2.113932E-2</v>
      </c>
      <c r="N9" s="25">
        <v>1.8159890000000001E-2</v>
      </c>
      <c r="O9" s="25">
        <v>1.9151990000000001E-2</v>
      </c>
      <c r="P9" s="25">
        <v>1.8890779999999999E-2</v>
      </c>
      <c r="Q9" s="25">
        <v>1.8035829999999999E-2</v>
      </c>
      <c r="R9" s="25">
        <v>1.888592E-2</v>
      </c>
      <c r="S9" s="25">
        <v>9.3845999999999999E-3</v>
      </c>
      <c r="T9" s="25">
        <v>1.2906700000000001E-3</v>
      </c>
      <c r="U9" s="25">
        <v>1.2563100000000001E-3</v>
      </c>
      <c r="V9" s="25">
        <v>1.9366299999999999E-3</v>
      </c>
      <c r="W9" s="25">
        <v>1.3658500000000001E-3</v>
      </c>
      <c r="X9" s="25">
        <v>1.23916E-3</v>
      </c>
      <c r="Y9" s="25">
        <v>2E-3</v>
      </c>
      <c r="Z9" s="25">
        <v>2.5244400000000002E-3</v>
      </c>
      <c r="AA9" s="25">
        <v>2.8469900000000002E-3</v>
      </c>
      <c r="AB9" s="25">
        <v>2.0613900000000002E-3</v>
      </c>
      <c r="AC9" s="25">
        <v>2.3221700000000001E-3</v>
      </c>
      <c r="AD9" s="25">
        <v>2.1367399999999998E-3</v>
      </c>
      <c r="AE9" s="25">
        <v>2.2512299999999999E-3</v>
      </c>
      <c r="AF9" s="25">
        <v>2.2427200000000001E-3</v>
      </c>
      <c r="AG9" s="25">
        <v>2.01659E-3</v>
      </c>
      <c r="AH9" s="25">
        <v>1.3954900000000001E-3</v>
      </c>
      <c r="AI9" s="25">
        <v>2.0509899999999999E-3</v>
      </c>
      <c r="AJ9" s="25">
        <v>1.9323299999999999E-3</v>
      </c>
      <c r="AK9" s="25">
        <v>1.5E-3</v>
      </c>
      <c r="AL9" s="253">
        <f>AK9</f>
        <v>1.5E-3</v>
      </c>
      <c r="AM9" s="253">
        <f>AL9</f>
        <v>1.5E-3</v>
      </c>
      <c r="AN9" s="253">
        <f>AM9</f>
        <v>1.5E-3</v>
      </c>
      <c r="AP9" s="170"/>
      <c r="AQ9" s="170"/>
    </row>
    <row r="10" spans="1:43" s="4" customFormat="1" x14ac:dyDescent="0.3">
      <c r="A10" s="258"/>
      <c r="B10" s="7" t="s">
        <v>5</v>
      </c>
      <c r="C10" s="10">
        <f>IF(OR(C9="",C8=""),"",ROUND((C9*C8)/12,2))</f>
        <v>0</v>
      </c>
      <c r="D10" s="10">
        <f>IF(OR(D9="",D8="",C13=""),"",ROUND(((C13+D8)*D9)/12,2))</f>
        <v>0</v>
      </c>
      <c r="E10" s="10">
        <f t="shared" ref="E10:K10" si="2">IF(OR(E9="",E8="",D13=""),"",ROUND(((D13+E8)*E9)/12,2))</f>
        <v>0</v>
      </c>
      <c r="F10" s="10">
        <f t="shared" si="2"/>
        <v>9653.81</v>
      </c>
      <c r="G10" s="10">
        <f t="shared" si="2"/>
        <v>12438.97</v>
      </c>
      <c r="H10" s="10">
        <f t="shared" si="2"/>
        <v>17431.88</v>
      </c>
      <c r="I10" s="10">
        <f t="shared" si="2"/>
        <v>10576.06</v>
      </c>
      <c r="J10" s="10">
        <f t="shared" si="2"/>
        <v>2521.9899999999998</v>
      </c>
      <c r="K10" s="10">
        <f t="shared" si="2"/>
        <v>-1864.05</v>
      </c>
      <c r="L10" s="10">
        <f t="shared" ref="L10" si="3">IF(OR(L9="",L8="",K13=""),"",ROUND(((K13+L8)*L9)/12,2))</f>
        <v>-6842.24</v>
      </c>
      <c r="M10" s="10">
        <f t="shared" ref="M10" si="4">IF(OR(M9="",M8="",L13=""),"",ROUND(((L13+M8)*M9)/12,2))</f>
        <v>-9531.39</v>
      </c>
      <c r="N10" s="10">
        <f t="shared" ref="N10" si="5">IF(OR(N9="",N8="",M13=""),"",ROUND(((M13+N8)*N9)/12,2))</f>
        <v>-4794.22</v>
      </c>
      <c r="O10" s="10">
        <f t="shared" ref="O10" si="6">IF(OR(O9="",O8="",N13=""),"",ROUND(((N13+O8)*O9)/12,2))</f>
        <v>6542.98</v>
      </c>
      <c r="P10" s="10">
        <f t="shared" ref="P10" si="7">IF(OR(P9="",P8="",O13=""),"",ROUND(((O13+P8)*P9)/12,2))</f>
        <v>-1848</v>
      </c>
      <c r="Q10" s="10">
        <f t="shared" ref="Q10" si="8">IF(OR(Q9="",Q8="",P13=""),"",ROUND(((P13+Q8)*Q9)/12,2))</f>
        <v>-7048.55</v>
      </c>
      <c r="R10" s="10">
        <f t="shared" ref="R10" si="9">IF(OR(R9="",R8="",Q13=""),"",ROUND(((Q13+R8)*R9)/12,2))</f>
        <v>-8321.11</v>
      </c>
      <c r="S10" s="10">
        <f t="shared" ref="S10" si="10">IF(OR(S9="",S8="",R13=""),"",ROUND(((R13+S8)*S9)/12,2))</f>
        <v>-4942.3900000000003</v>
      </c>
      <c r="T10" s="10">
        <f t="shared" ref="T10" si="11">IF(OR(T9="",T8="",S13=""),"",ROUND(((S13+T8)*T9)/12,2))</f>
        <v>-734.78</v>
      </c>
      <c r="U10" s="10">
        <f t="shared" ref="U10" si="12">IF(OR(U9="",U8="",T13=""),"",ROUND(((T13+U8)*U9)/12,2))</f>
        <v>-749.55</v>
      </c>
      <c r="V10" s="10">
        <f t="shared" ref="V10" si="13">IF(OR(V9="",V8="",U13=""),"",ROUND(((U13+V8)*V9)/12,2))</f>
        <v>-1464.01</v>
      </c>
      <c r="W10" s="10">
        <f t="shared" ref="W10" si="14">IF(OR(W9="",W8="",V13=""),"",ROUND(((V13+W8)*W9)/12,2))</f>
        <v>-1137.5899999999999</v>
      </c>
      <c r="X10" s="10">
        <f t="shared" ref="X10" si="15">IF(OR(X9="",X8="",W13=""),"",ROUND(((W13+X8)*X9)/12,2))</f>
        <v>-911.11</v>
      </c>
      <c r="Y10" s="10">
        <f>IF(OR(Y9="",Y8="",X13=""),"",ROUND(((X13+Y8)*Y9)/12,2))</f>
        <v>-1351.83</v>
      </c>
      <c r="Z10" s="10">
        <f t="shared" ref="Z10" si="16">IF(OR(Z9="",Z8="",Y13=""),"",ROUND(((Y13+Z8)*Z9)/12,2))</f>
        <v>-912.99</v>
      </c>
      <c r="AA10" s="10">
        <f>IF(OR(AA9="",AA8="",Z13=""),"",ROUND(((Z13+AA8)*AA9)/12,2))</f>
        <v>1753.23</v>
      </c>
      <c r="AB10" s="10">
        <f>IF(OR(AB9="",AB8="",AA13=""),"",ROUND(((AA13+AB8)*AB9)/12,2))</f>
        <v>767.1</v>
      </c>
      <c r="AC10" s="10">
        <f t="shared" ref="AC10" si="17">IF(OR(AC9="",AC8="",AB13=""),"",ROUND(((AB13+AC8)*AC9)/12,2))</f>
        <v>-14.91</v>
      </c>
      <c r="AD10" s="10">
        <f>IF(OR(AD9="",AD8="",AC13=""),"",ROUND(((AC13+AD8+AD5)*AD9)/12,2))+'MEEIA 3 adjs'!BF11</f>
        <v>-623.98999999999546</v>
      </c>
      <c r="AE10" s="10">
        <f>IF(OR(AE9="",AE8="",AD13=""),"",ROUND(((AD13+AE8)*AE9)/12,2))</f>
        <v>-581.91</v>
      </c>
      <c r="AF10" s="10">
        <f>IF(OR(AF9="",AF8="",AE13=""),"",ROUND(((AE13+AF8)*AF9)/12,2))</f>
        <v>-1065.17</v>
      </c>
      <c r="AG10" s="10">
        <f t="shared" ref="AG10:AN10" si="18">IF(OR(AG9="",AG8="",AF13=""),"",ROUND(((AF13+AG8)*AG9)/12,2))</f>
        <v>-1086.56</v>
      </c>
      <c r="AH10" s="10">
        <f t="shared" si="18"/>
        <v>-1169.8</v>
      </c>
      <c r="AI10" s="10">
        <f t="shared" si="18"/>
        <v>-2142.6799999999998</v>
      </c>
      <c r="AJ10" s="10">
        <f t="shared" si="18"/>
        <v>-2680.89</v>
      </c>
      <c r="AK10" s="10">
        <f t="shared" si="18"/>
        <v>-2193.15</v>
      </c>
      <c r="AL10" s="10">
        <f>IF(OR(AL9="",AL8="",AK13=""),"",ROUND(((AK13+AL8+AL5)*AL9)/12,2))+'[115]PCR1.B (M3)'!$D$9</f>
        <v>-2220.86</v>
      </c>
      <c r="AM10" s="10">
        <f>IF(OR(AM9="",AM8="",AL13=""),"",ROUND(((AL13+AM8)*AM9)/12,2))</f>
        <v>664.55</v>
      </c>
      <c r="AN10" s="10">
        <f t="shared" si="18"/>
        <v>-80.23</v>
      </c>
      <c r="AP10" s="169"/>
      <c r="AQ10" s="169"/>
    </row>
    <row r="11" spans="1:43" s="4" customFormat="1" x14ac:dyDescent="0.3">
      <c r="A11" s="258"/>
      <c r="B11" s="8" t="s">
        <v>6</v>
      </c>
      <c r="C11" s="10">
        <f>C10</f>
        <v>0</v>
      </c>
      <c r="D11" s="10">
        <f>D10</f>
        <v>0</v>
      </c>
      <c r="E11" s="10">
        <f>IF(OR(D11="",E10=""),"",D11+E10)</f>
        <v>0</v>
      </c>
      <c r="F11" s="10">
        <f t="shared" ref="F11:AN11" si="19">IF(OR(E11="",F10=""),"",E11+F10)</f>
        <v>9653.81</v>
      </c>
      <c r="G11" s="10">
        <f t="shared" si="19"/>
        <v>22092.78</v>
      </c>
      <c r="H11" s="10">
        <f t="shared" si="19"/>
        <v>39524.660000000003</v>
      </c>
      <c r="I11" s="10">
        <f t="shared" si="19"/>
        <v>50100.72</v>
      </c>
      <c r="J11" s="10">
        <f t="shared" si="19"/>
        <v>52622.71</v>
      </c>
      <c r="K11" s="10">
        <f t="shared" si="19"/>
        <v>50758.659999999996</v>
      </c>
      <c r="L11" s="10">
        <f t="shared" si="19"/>
        <v>43916.42</v>
      </c>
      <c r="M11" s="10">
        <f t="shared" si="19"/>
        <v>34385.03</v>
      </c>
      <c r="N11" s="10">
        <f t="shared" si="19"/>
        <v>29590.809999999998</v>
      </c>
      <c r="O11" s="10">
        <f>IF(OR(N11="",O10=""),"",N11+O10)</f>
        <v>36133.789999999994</v>
      </c>
      <c r="P11" s="10">
        <f t="shared" si="19"/>
        <v>34285.789999999994</v>
      </c>
      <c r="Q11" s="10">
        <f t="shared" si="19"/>
        <v>27237.239999999994</v>
      </c>
      <c r="R11" s="10">
        <f t="shared" si="19"/>
        <v>18916.129999999994</v>
      </c>
      <c r="S11" s="10">
        <f t="shared" si="19"/>
        <v>13973.739999999994</v>
      </c>
      <c r="T11" s="10">
        <f t="shared" si="19"/>
        <v>13238.959999999994</v>
      </c>
      <c r="U11" s="10">
        <f t="shared" si="19"/>
        <v>12489.409999999994</v>
      </c>
      <c r="V11" s="10">
        <f t="shared" si="19"/>
        <v>11025.399999999994</v>
      </c>
      <c r="W11" s="10">
        <f t="shared" si="19"/>
        <v>9887.809999999994</v>
      </c>
      <c r="X11" s="10">
        <f>IF(OR(W11="",X10=""),"",W11+X10+X5)</f>
        <v>8976.6999999999935</v>
      </c>
      <c r="Y11" s="10">
        <f t="shared" si="19"/>
        <v>7624.8699999999935</v>
      </c>
      <c r="Z11" s="10">
        <f t="shared" si="19"/>
        <v>6711.8799999999937</v>
      </c>
      <c r="AA11" s="10">
        <f t="shared" si="19"/>
        <v>8465.1099999999933</v>
      </c>
      <c r="AB11" s="10">
        <f t="shared" si="19"/>
        <v>9232.2099999999937</v>
      </c>
      <c r="AC11" s="10">
        <f t="shared" si="19"/>
        <v>9217.2999999999938</v>
      </c>
      <c r="AD11" s="10">
        <f>IF(OR(AC11="",AD10=""),"",AC11+AD10)</f>
        <v>8593.3099999999977</v>
      </c>
      <c r="AE11" s="10">
        <f>IF(OR(AD11="",AE10=""),"",AD11+AE10)</f>
        <v>8011.3999999999978</v>
      </c>
      <c r="AF11" s="10">
        <f t="shared" si="19"/>
        <v>6946.2299999999977</v>
      </c>
      <c r="AG11" s="10">
        <f t="shared" si="19"/>
        <v>5859.6699999999983</v>
      </c>
      <c r="AH11" s="10">
        <f t="shared" si="19"/>
        <v>4689.8699999999981</v>
      </c>
      <c r="AI11" s="10">
        <f t="shared" si="19"/>
        <v>2547.1899999999982</v>
      </c>
      <c r="AJ11" s="10">
        <f t="shared" si="19"/>
        <v>-133.70000000000164</v>
      </c>
      <c r="AK11" s="10">
        <f t="shared" si="19"/>
        <v>-2326.8500000000017</v>
      </c>
      <c r="AL11" s="10">
        <f>IF(OR(AK11="",AL10=""),"",AK11+AL10)</f>
        <v>-4547.7100000000019</v>
      </c>
      <c r="AM11" s="10">
        <f>IF(OR(AL11="",AM10=""),"",AL11+AM10)</f>
        <v>-3883.1600000000017</v>
      </c>
      <c r="AN11" s="10">
        <f t="shared" si="19"/>
        <v>-3963.3900000000017</v>
      </c>
      <c r="AP11" s="169"/>
      <c r="AQ11" s="169"/>
    </row>
    <row r="12" spans="1:43" s="4" customFormat="1" x14ac:dyDescent="0.3">
      <c r="A12" s="258"/>
      <c r="B12" s="7" t="s">
        <v>12</v>
      </c>
      <c r="C12" s="10">
        <f>IF(OR(C10="",C8=""),"",C8+C10)</f>
        <v>472906.7</v>
      </c>
      <c r="D12" s="10">
        <f>IF(OR(D10="",D8=""),"",D8+D10)</f>
        <v>121950.46</v>
      </c>
      <c r="E12" s="10">
        <f>IF(OR(E10="",E8=""),"",E8+E10)</f>
        <v>306057.09999999998</v>
      </c>
      <c r="F12" s="10">
        <f t="shared" ref="F12:H12" si="20">IF(OR(F10="",F8=""),"",F8+F10)</f>
        <v>3264169.56</v>
      </c>
      <c r="G12" s="10">
        <f>IF(OR(G10="",G8=""),"",G8+G10)</f>
        <v>1454125.8400000005</v>
      </c>
      <c r="H12" s="10">
        <f t="shared" si="20"/>
        <v>2211233.6500000004</v>
      </c>
      <c r="I12" s="10">
        <f>IF(OR(I10="",I8=""),"",I8+I10)</f>
        <v>-3030810.39</v>
      </c>
      <c r="J12" s="10">
        <f t="shared" ref="J12:M12" si="21">IF(OR(J10="",J8=""),"",J8+J10)</f>
        <v>-3630815.8500000006</v>
      </c>
      <c r="K12" s="10">
        <f>IF(OR(K10="",K8=""),"",K8+K10)</f>
        <v>-2122057.16</v>
      </c>
      <c r="L12" s="10">
        <f t="shared" si="21"/>
        <v>-2757332.0299999984</v>
      </c>
      <c r="M12" s="10">
        <f t="shared" si="21"/>
        <v>-1709571.269999997</v>
      </c>
      <c r="N12" s="10">
        <f>IF(OR(N10="",N8=""),"",N8+N10)</f>
        <v>2247343.44</v>
      </c>
      <c r="O12" s="10">
        <f>IF(OR(O10="",O8=""),"",O8+O10)</f>
        <v>7278956.9999999972</v>
      </c>
      <c r="P12" s="10">
        <f t="shared" ref="P12:X12" si="22">IF(OR(P10="",P8=""),"",P8+P10)</f>
        <v>-5281909.8100000005</v>
      </c>
      <c r="Q12" s="10">
        <f t="shared" si="22"/>
        <v>-3520996.6599999992</v>
      </c>
      <c r="R12" s="10">
        <f t="shared" si="22"/>
        <v>-598752.86</v>
      </c>
      <c r="S12" s="10">
        <f t="shared" si="22"/>
        <v>-1029228.5199999994</v>
      </c>
      <c r="T12" s="10">
        <f>IF(OR(T10="",T8=""),"",T8+T10)</f>
        <v>-507621.0699999996</v>
      </c>
      <c r="U12" s="10">
        <f t="shared" si="22"/>
        <v>-327937.71999999991</v>
      </c>
      <c r="V12" s="10">
        <f>IF(OR(V10="",V8=""),"",V8+V10)</f>
        <v>-1912670.1700000011</v>
      </c>
      <c r="W12" s="10">
        <f t="shared" si="22"/>
        <v>-922724.0200000006</v>
      </c>
      <c r="X12" s="10">
        <f t="shared" si="22"/>
        <v>1171575.2100000002</v>
      </c>
      <c r="Y12" s="10">
        <f>IF(OR(Y10="",Y8=""),"",Y8+Y10)</f>
        <v>711777.30999999878</v>
      </c>
      <c r="Z12" s="10">
        <f t="shared" ref="Z12:AN12" si="23">IF(OR(Z10="",Z8=""),"",Z8+Z10)</f>
        <v>3771514.9099999992</v>
      </c>
      <c r="AA12" s="10">
        <f t="shared" si="23"/>
        <v>11732406.849999998</v>
      </c>
      <c r="AB12" s="10">
        <f t="shared" si="23"/>
        <v>-2925300.7699999991</v>
      </c>
      <c r="AC12" s="10">
        <f t="shared" si="23"/>
        <v>-4543364.830000001</v>
      </c>
      <c r="AD12" s="10">
        <f>IF(OR(AD10="",AD8=""),"",AD8+AD10)+'MEEIA 3 adjs'!BB1</f>
        <v>-664526.86999999708</v>
      </c>
      <c r="AE12" s="10">
        <f>IF(OR(AE10="",AE8=""),"",AE8+AE10)</f>
        <v>-2360786.6616527596</v>
      </c>
      <c r="AF12" s="10">
        <f t="shared" si="23"/>
        <v>-2598050.1076373723</v>
      </c>
      <c r="AG12" s="10">
        <f t="shared" si="23"/>
        <v>-766357.24199255882</v>
      </c>
      <c r="AH12" s="10">
        <f t="shared" si="23"/>
        <v>-3593603.7235242231</v>
      </c>
      <c r="AI12" s="10">
        <f t="shared" si="23"/>
        <v>-2478209.8310813052</v>
      </c>
      <c r="AJ12" s="10">
        <f t="shared" si="23"/>
        <v>-4112711.632674457</v>
      </c>
      <c r="AK12" s="10">
        <f t="shared" si="23"/>
        <v>-896103.18203946541</v>
      </c>
      <c r="AL12" s="10">
        <f>IF(OR(AL10="",AL8=""),"",AL8+AL10)+'[115]PCR1.B (M3)'!$B$9</f>
        <v>773116.52041698748</v>
      </c>
      <c r="AM12" s="10">
        <f>IF(OR(AM10="",AM8=""),"",AM8+AM10)</f>
        <v>22091400.931044843</v>
      </c>
      <c r="AN12" s="10">
        <f t="shared" si="23"/>
        <v>-5958998.1713073589</v>
      </c>
    </row>
    <row r="13" spans="1:43" s="4" customFormat="1" x14ac:dyDescent="0.3">
      <c r="A13" s="258"/>
      <c r="B13" s="11" t="s">
        <v>3</v>
      </c>
      <c r="C13" s="103">
        <f>C12</f>
        <v>472906.7</v>
      </c>
      <c r="D13" s="103">
        <f>IF(OR(D12="",C13=""),"",D12+C13)</f>
        <v>594857.16</v>
      </c>
      <c r="E13" s="103">
        <f>IF(OR(E12="",D13=""),"",E12+D13)</f>
        <v>900914.26</v>
      </c>
      <c r="F13" s="10">
        <f>IF(OR(F12="",E13=""),"",F12+E13)</f>
        <v>4165083.8200000003</v>
      </c>
      <c r="G13" s="10">
        <f t="shared" ref="G13:AN13" si="24">IF(OR(G12="",F13=""),"",G12+F13)</f>
        <v>5619209.6600000011</v>
      </c>
      <c r="H13" s="10">
        <f t="shared" si="24"/>
        <v>7830443.3100000015</v>
      </c>
      <c r="I13" s="10">
        <f t="shared" si="24"/>
        <v>4799632.9200000018</v>
      </c>
      <c r="J13" s="10">
        <f t="shared" si="24"/>
        <v>1168817.0700000012</v>
      </c>
      <c r="K13" s="10">
        <f>IF(OR(K12="",J13=""),"",K12+J13)</f>
        <v>-953240.08999999892</v>
      </c>
      <c r="L13" s="10">
        <f t="shared" si="24"/>
        <v>-3710572.1199999973</v>
      </c>
      <c r="M13" s="10">
        <f t="shared" si="24"/>
        <v>-5420143.3899999941</v>
      </c>
      <c r="N13" s="10">
        <f>IF(OR(N12="",M13=""),"",N12+M13)</f>
        <v>-3172799.9499999941</v>
      </c>
      <c r="O13" s="10">
        <f>IF(OR(O12="",N13=""),"",O12+N13+O5)</f>
        <v>4106157.0500000031</v>
      </c>
      <c r="P13" s="10">
        <f t="shared" si="24"/>
        <v>-1175752.7599999974</v>
      </c>
      <c r="Q13" s="10">
        <f t="shared" si="24"/>
        <v>-4696749.4199999962</v>
      </c>
      <c r="R13" s="10">
        <f t="shared" si="24"/>
        <v>-5295502.2799999965</v>
      </c>
      <c r="S13" s="10">
        <f t="shared" si="24"/>
        <v>-6324730.7999999961</v>
      </c>
      <c r="T13" s="10">
        <f t="shared" si="24"/>
        <v>-6832351.8699999955</v>
      </c>
      <c r="U13" s="10">
        <f t="shared" si="24"/>
        <v>-7160289.5899999952</v>
      </c>
      <c r="V13" s="10">
        <f>IF(OR(V12="",U13=""),"",V12+U13)</f>
        <v>-9072959.7599999961</v>
      </c>
      <c r="W13" s="10">
        <f t="shared" si="24"/>
        <v>-9995683.7799999975</v>
      </c>
      <c r="X13" s="10">
        <f>IF(OR(X12="",W13=""),"",X12+W13+X5)</f>
        <v>-8824108.5699999966</v>
      </c>
      <c r="Y13" s="10">
        <f t="shared" si="24"/>
        <v>-8112331.2599999979</v>
      </c>
      <c r="Z13" s="10">
        <f t="shared" si="24"/>
        <v>-4340816.3499999987</v>
      </c>
      <c r="AA13" s="10">
        <f t="shared" si="24"/>
        <v>7391590.4999999991</v>
      </c>
      <c r="AB13" s="10">
        <f t="shared" si="24"/>
        <v>4466289.7300000004</v>
      </c>
      <c r="AC13" s="10">
        <f t="shared" si="24"/>
        <v>-77075.100000000559</v>
      </c>
      <c r="AD13" s="10">
        <f>IF(OR(AD12="",AC13=""),"",AD12+AC13)</f>
        <v>-741601.96999999764</v>
      </c>
      <c r="AE13" s="10">
        <f>IF(OR(AE12="",AD13=""),"",AE12+AD13)</f>
        <v>-3102388.6316527575</v>
      </c>
      <c r="AF13" s="10">
        <f t="shared" si="24"/>
        <v>-5700438.7392901294</v>
      </c>
      <c r="AG13" s="10">
        <f t="shared" si="24"/>
        <v>-6466795.9812826887</v>
      </c>
      <c r="AH13" s="10">
        <f t="shared" si="24"/>
        <v>-10060399.704806913</v>
      </c>
      <c r="AI13" s="10">
        <f t="shared" si="24"/>
        <v>-12538609.535888217</v>
      </c>
      <c r="AJ13" s="10">
        <f t="shared" si="24"/>
        <v>-16651321.168562675</v>
      </c>
      <c r="AK13" s="10">
        <f t="shared" si="24"/>
        <v>-17547424.350602139</v>
      </c>
      <c r="AL13" s="10">
        <f>IF(OR(AL12="",AK13=""),"",AL12+AK13)</f>
        <v>-16774307.830185151</v>
      </c>
      <c r="AM13" s="10">
        <f>IF(OR(AM12="",AL13=""),"",AM12+AL13)</f>
        <v>5317093.1008596923</v>
      </c>
      <c r="AN13" s="10">
        <f t="shared" si="24"/>
        <v>-641905.07044766657</v>
      </c>
    </row>
    <row r="14" spans="1:43" s="5" customFormat="1" ht="8.25" customHeight="1" x14ac:dyDescent="0.3">
      <c r="A14" s="44"/>
      <c r="B14" s="13"/>
      <c r="C14" s="102"/>
      <c r="D14" s="102"/>
      <c r="E14" s="102"/>
      <c r="F14" s="100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</row>
    <row r="15" spans="1:43" s="5" customFormat="1" ht="15" customHeight="1" x14ac:dyDescent="0.3">
      <c r="A15" s="255" t="s">
        <v>25</v>
      </c>
      <c r="B15" s="17"/>
      <c r="C15" s="104"/>
      <c r="D15" s="104"/>
      <c r="E15" s="104"/>
      <c r="F15" s="9"/>
      <c r="G15" s="9"/>
      <c r="H15" s="9"/>
      <c r="I15" s="9"/>
      <c r="J15" s="9"/>
      <c r="K15" s="9"/>
      <c r="L15" s="9"/>
      <c r="M15" s="9"/>
      <c r="N15" s="116">
        <f>N26+N36+N46+N56+N66</f>
        <v>157.77999999999946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116">
        <f>Z26+Z36+Z46+Z56+Z66</f>
        <v>835.41999999999939</v>
      </c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</row>
    <row r="16" spans="1:43" s="3" customFormat="1" ht="15" customHeight="1" x14ac:dyDescent="0.3">
      <c r="A16" s="255"/>
      <c r="B16" s="17" t="s">
        <v>28</v>
      </c>
      <c r="C16" s="98"/>
      <c r="D16" s="98"/>
      <c r="E16" s="98"/>
      <c r="F16" s="21">
        <f>IF(F67="","",SUM(F67,F57,F47,F37,F27))</f>
        <v>0.71203150918887492</v>
      </c>
      <c r="G16" s="21">
        <f t="shared" ref="F16:AN21" si="25">IF(G67="","",SUM(G67,G57,G47,G37,G27))</f>
        <v>4695.4207688607348</v>
      </c>
      <c r="H16" s="21">
        <f t="shared" si="25"/>
        <v>39935.570121927383</v>
      </c>
      <c r="I16" s="21">
        <f t="shared" si="25"/>
        <v>291676.37356246018</v>
      </c>
      <c r="J16" s="21">
        <f t="shared" si="25"/>
        <v>544866.33457860805</v>
      </c>
      <c r="K16" s="21">
        <f t="shared" si="25"/>
        <v>663040.94756639062</v>
      </c>
      <c r="L16" s="21">
        <f t="shared" si="25"/>
        <v>547744.67638274864</v>
      </c>
      <c r="M16" s="21">
        <f t="shared" si="25"/>
        <v>270067.89072131994</v>
      </c>
      <c r="N16" s="21">
        <f t="shared" si="25"/>
        <v>449448.83291898982</v>
      </c>
      <c r="O16" s="21">
        <f t="shared" si="25"/>
        <v>672384.11562352558</v>
      </c>
      <c r="P16" s="21">
        <f t="shared" si="25"/>
        <v>860299.05315340089</v>
      </c>
      <c r="Q16" s="21">
        <f t="shared" si="25"/>
        <v>921069.68539476907</v>
      </c>
      <c r="R16" s="21">
        <f t="shared" si="25"/>
        <v>727242.36549864151</v>
      </c>
      <c r="S16" s="21">
        <f t="shared" si="25"/>
        <v>330495.27100759087</v>
      </c>
      <c r="T16" s="21">
        <f t="shared" si="25"/>
        <v>448514.38010054693</v>
      </c>
      <c r="U16" s="21">
        <f t="shared" si="25"/>
        <v>1166466.8526526124</v>
      </c>
      <c r="V16" s="21">
        <f t="shared" si="25"/>
        <v>1596902.1714481553</v>
      </c>
      <c r="W16" s="21">
        <f>IF(W67="","",SUM(W67,W57,W47,W37,W27))</f>
        <v>1748272.4117888492</v>
      </c>
      <c r="X16" s="21">
        <f t="shared" si="25"/>
        <v>1519471.01623757</v>
      </c>
      <c r="Y16" s="21">
        <f t="shared" si="25"/>
        <v>764880.45368540613</v>
      </c>
      <c r="Z16" s="21">
        <f t="shared" si="25"/>
        <v>908807.65228987066</v>
      </c>
      <c r="AA16" s="21">
        <f t="shared" si="25"/>
        <v>1120062.8565557792</v>
      </c>
      <c r="AB16" s="21">
        <f t="shared" si="25"/>
        <v>1377220.6643166305</v>
      </c>
      <c r="AC16" s="21">
        <f t="shared" si="25"/>
        <v>1195166.5723548159</v>
      </c>
      <c r="AD16" s="21">
        <f t="shared" si="25"/>
        <v>1300632.3993987506</v>
      </c>
      <c r="AE16" s="21">
        <f t="shared" si="25"/>
        <v>1205822.8207733985</v>
      </c>
      <c r="AF16" s="21">
        <f t="shared" si="25"/>
        <v>1472551.2785682739</v>
      </c>
      <c r="AG16" s="21">
        <f t="shared" si="25"/>
        <v>3602609.9103061222</v>
      </c>
      <c r="AH16" s="21">
        <f t="shared" si="25"/>
        <v>4524979.9029475963</v>
      </c>
      <c r="AI16" s="21">
        <f t="shared" si="25"/>
        <v>4557691.9623519126</v>
      </c>
      <c r="AJ16" s="21">
        <f t="shared" si="25"/>
        <v>3395133.6257571932</v>
      </c>
      <c r="AK16" s="21">
        <f t="shared" si="25"/>
        <v>1618999.5517252116</v>
      </c>
      <c r="AL16" s="21">
        <f>IF(AL67="","",SUM(AL67,AL57,AL47,AL37,AL27))</f>
        <v>1747998.6811667362</v>
      </c>
      <c r="AM16" s="21">
        <f t="shared" si="25"/>
        <v>2182170.769895846</v>
      </c>
      <c r="AN16" s="21">
        <f t="shared" si="25"/>
        <v>2429713.1121660238</v>
      </c>
    </row>
    <row r="17" spans="1:40" s="5" customFormat="1" ht="15" customHeight="1" x14ac:dyDescent="0.3">
      <c r="A17" s="255"/>
      <c r="B17" s="18" t="s">
        <v>26</v>
      </c>
      <c r="C17" s="98"/>
      <c r="D17" s="98"/>
      <c r="E17" s="98"/>
      <c r="F17" s="21">
        <f t="shared" si="25"/>
        <v>0</v>
      </c>
      <c r="G17" s="21">
        <f t="shared" si="25"/>
        <v>0</v>
      </c>
      <c r="H17" s="21">
        <f t="shared" si="25"/>
        <v>42385.43</v>
      </c>
      <c r="I17" s="21">
        <f t="shared" si="25"/>
        <v>557603.83999999997</v>
      </c>
      <c r="J17" s="21">
        <f t="shared" si="25"/>
        <v>676036.05</v>
      </c>
      <c r="K17" s="21">
        <f t="shared" si="25"/>
        <v>706998.16999999993</v>
      </c>
      <c r="L17" s="21">
        <f t="shared" si="25"/>
        <v>670246.85</v>
      </c>
      <c r="M17" s="21">
        <f t="shared" si="25"/>
        <v>574404.17000000004</v>
      </c>
      <c r="N17" s="21">
        <f t="shared" si="25"/>
        <v>514881.99</v>
      </c>
      <c r="O17" s="21">
        <f t="shared" si="25"/>
        <v>639874.60000000009</v>
      </c>
      <c r="P17" s="21">
        <f t="shared" si="25"/>
        <v>693023.25</v>
      </c>
      <c r="Q17" s="21">
        <f t="shared" si="25"/>
        <v>705379.12999999989</v>
      </c>
      <c r="R17" s="21">
        <f t="shared" si="25"/>
        <v>656045.5</v>
      </c>
      <c r="S17" s="21">
        <f t="shared" si="25"/>
        <v>537519.55000000005</v>
      </c>
      <c r="T17" s="21">
        <f t="shared" si="25"/>
        <v>488973.88</v>
      </c>
      <c r="U17" s="21">
        <f t="shared" si="25"/>
        <v>614590.80000000005</v>
      </c>
      <c r="V17" s="21">
        <f t="shared" si="25"/>
        <v>791820.69</v>
      </c>
      <c r="W17" s="21">
        <f t="shared" si="25"/>
        <v>759797.67</v>
      </c>
      <c r="X17" s="21">
        <f t="shared" si="25"/>
        <v>707202.3</v>
      </c>
      <c r="Y17" s="21">
        <f t="shared" si="25"/>
        <v>523078.24999999994</v>
      </c>
      <c r="Z17" s="21">
        <f t="shared" si="25"/>
        <v>540041.11</v>
      </c>
      <c r="AA17" s="21">
        <f t="shared" si="25"/>
        <v>664038.72</v>
      </c>
      <c r="AB17" s="21">
        <f t="shared" si="25"/>
        <v>811016.92</v>
      </c>
      <c r="AC17" s="21">
        <f>IF(AC68="","",SUM(AC68,AC58,AC48,AC38,AC28))</f>
        <v>2076902.76</v>
      </c>
      <c r="AD17" s="21">
        <f t="shared" si="25"/>
        <v>2924297.21</v>
      </c>
      <c r="AE17" s="21">
        <f t="shared" si="25"/>
        <v>2229866.6</v>
      </c>
      <c r="AF17" s="21">
        <f t="shared" si="25"/>
        <v>2168254.38</v>
      </c>
      <c r="AG17" s="21">
        <f t="shared" si="25"/>
        <v>2621890.16</v>
      </c>
      <c r="AH17" s="21">
        <f t="shared" si="25"/>
        <v>3329515.52</v>
      </c>
      <c r="AI17" s="21">
        <f t="shared" si="25"/>
        <v>3339633.92</v>
      </c>
      <c r="AJ17" s="21">
        <f t="shared" si="25"/>
        <v>3328981</v>
      </c>
      <c r="AK17" s="21">
        <f t="shared" si="25"/>
        <v>2544745.08</v>
      </c>
      <c r="AL17" s="21">
        <f t="shared" si="25"/>
        <v>2287690.2092673844</v>
      </c>
      <c r="AM17" s="21">
        <f t="shared" si="25"/>
        <v>2933856.8282546718</v>
      </c>
      <c r="AN17" s="21">
        <f t="shared" si="25"/>
        <v>3534237.8730187169</v>
      </c>
    </row>
    <row r="18" spans="1:40" s="5" customFormat="1" ht="15" customHeight="1" x14ac:dyDescent="0.3">
      <c r="A18" s="255"/>
      <c r="B18" s="18" t="s">
        <v>47</v>
      </c>
      <c r="C18" s="98"/>
      <c r="D18" s="98"/>
      <c r="E18" s="98"/>
      <c r="F18" s="21">
        <f t="shared" ref="F18:M18" si="26">IF(F69="","",SUM(F69,F59,F49,F39,F29))</f>
        <v>0</v>
      </c>
      <c r="G18" s="21">
        <f t="shared" si="26"/>
        <v>0</v>
      </c>
      <c r="H18" s="21">
        <f t="shared" si="26"/>
        <v>0</v>
      </c>
      <c r="I18" s="21">
        <f t="shared" si="26"/>
        <v>0</v>
      </c>
      <c r="J18" s="21">
        <f t="shared" si="26"/>
        <v>0</v>
      </c>
      <c r="K18" s="21">
        <f t="shared" si="26"/>
        <v>0</v>
      </c>
      <c r="L18" s="21">
        <f t="shared" si="26"/>
        <v>0</v>
      </c>
      <c r="M18" s="21">
        <f t="shared" si="26"/>
        <v>0</v>
      </c>
      <c r="N18" s="21">
        <f>IF(N69="","",SUM(N69,N59,N49,N39,N29))</f>
        <v>0</v>
      </c>
      <c r="O18" s="21">
        <f>IF(O69="","",SUM(O69,O59,O49,O39,O29))</f>
        <v>0</v>
      </c>
      <c r="P18" s="21">
        <f t="shared" si="25"/>
        <v>0</v>
      </c>
      <c r="Q18" s="21">
        <f t="shared" si="25"/>
        <v>196554.22</v>
      </c>
      <c r="R18" s="21">
        <f t="shared" si="25"/>
        <v>181274.15000000002</v>
      </c>
      <c r="S18" s="21">
        <f t="shared" si="25"/>
        <v>149642.01999999999</v>
      </c>
      <c r="T18" s="21">
        <f t="shared" si="25"/>
        <v>136362.22</v>
      </c>
      <c r="U18" s="21">
        <f t="shared" si="25"/>
        <v>171212.22</v>
      </c>
      <c r="V18" s="21">
        <f t="shared" si="25"/>
        <v>216757.82</v>
      </c>
      <c r="W18" s="21">
        <f t="shared" si="25"/>
        <v>209115.01</v>
      </c>
      <c r="X18" s="21">
        <f t="shared" si="25"/>
        <v>195955.65999999997</v>
      </c>
      <c r="Y18" s="21">
        <f t="shared" si="25"/>
        <v>147507.93</v>
      </c>
      <c r="Z18" s="21">
        <f t="shared" si="25"/>
        <v>151406.02000000002</v>
      </c>
      <c r="AA18" s="21">
        <f t="shared" si="25"/>
        <v>183380.12</v>
      </c>
      <c r="AB18" s="21">
        <f t="shared" si="25"/>
        <v>220797.02</v>
      </c>
      <c r="AC18" s="21">
        <f t="shared" si="25"/>
        <v>-269418.96999999997</v>
      </c>
      <c r="AD18" s="21">
        <f t="shared" si="25"/>
        <v>-372580.93</v>
      </c>
      <c r="AE18" s="21">
        <f t="shared" si="25"/>
        <v>-266557.01</v>
      </c>
      <c r="AF18" s="21">
        <f t="shared" si="25"/>
        <v>-255479.12</v>
      </c>
      <c r="AG18" s="21">
        <f t="shared" si="25"/>
        <v>-321252.77</v>
      </c>
      <c r="AH18" s="21">
        <f>IF(AH69="","",SUM(AH69,AH59,AH49,AH39,AH29))</f>
        <v>-412310.44999999995</v>
      </c>
      <c r="AI18" s="21">
        <f t="shared" si="25"/>
        <v>-417357.26</v>
      </c>
      <c r="AJ18" s="21">
        <f t="shared" si="25"/>
        <v>-413042.95</v>
      </c>
      <c r="AK18" s="21">
        <f t="shared" si="25"/>
        <v>-303496.26</v>
      </c>
      <c r="AL18" s="21">
        <f t="shared" si="25"/>
        <v>-269934.61</v>
      </c>
      <c r="AM18" s="21">
        <f t="shared" si="25"/>
        <v>-365204.36</v>
      </c>
      <c r="AN18" s="21">
        <f t="shared" si="25"/>
        <v>-452403.77</v>
      </c>
    </row>
    <row r="19" spans="1:40" s="5" customFormat="1" ht="15" customHeight="1" x14ac:dyDescent="0.3">
      <c r="A19" s="255"/>
      <c r="B19" s="18" t="s">
        <v>48</v>
      </c>
      <c r="C19" s="98"/>
      <c r="D19" s="98"/>
      <c r="E19" s="98"/>
      <c r="F19" s="21">
        <f t="shared" ref="F19:L19" si="27">IF(F70="","",SUM(F70,F60,F50,F40,F30))</f>
        <v>0</v>
      </c>
      <c r="G19" s="21">
        <f>IF(G70="","",SUM(G70,G60,G50,G40,G30))</f>
        <v>0</v>
      </c>
      <c r="H19" s="21">
        <f t="shared" si="27"/>
        <v>42385.43</v>
      </c>
      <c r="I19" s="21">
        <f t="shared" si="27"/>
        <v>557603.83999999997</v>
      </c>
      <c r="J19" s="21">
        <f t="shared" si="27"/>
        <v>676036.05</v>
      </c>
      <c r="K19" s="21">
        <f t="shared" si="27"/>
        <v>706998.16999999993</v>
      </c>
      <c r="L19" s="21">
        <f t="shared" si="27"/>
        <v>670246.85</v>
      </c>
      <c r="M19" s="21">
        <f>IF(M70="","",SUM(M70,M60,M50,M40,M30))</f>
        <v>574404.17000000004</v>
      </c>
      <c r="N19" s="21">
        <f>IF(N70="","",SUM(N70,N60,N50,N40,N30))</f>
        <v>514881.99</v>
      </c>
      <c r="O19" s="21">
        <f>IF(O70="","",SUM(O70,O60,O50,O40,O30))</f>
        <v>639874.60000000009</v>
      </c>
      <c r="P19" s="21">
        <f t="shared" si="25"/>
        <v>693023.25</v>
      </c>
      <c r="Q19" s="21">
        <f t="shared" si="25"/>
        <v>901933.35</v>
      </c>
      <c r="R19" s="21">
        <f t="shared" si="25"/>
        <v>837319.65</v>
      </c>
      <c r="S19" s="21">
        <f t="shared" si="25"/>
        <v>687161.57000000007</v>
      </c>
      <c r="T19" s="21">
        <f t="shared" si="25"/>
        <v>625336.1</v>
      </c>
      <c r="U19" s="21">
        <f t="shared" si="25"/>
        <v>785803.02</v>
      </c>
      <c r="V19" s="21">
        <f t="shared" si="25"/>
        <v>1008578.51</v>
      </c>
      <c r="W19" s="21">
        <f t="shared" si="25"/>
        <v>968912.67999999993</v>
      </c>
      <c r="X19" s="21">
        <f t="shared" si="25"/>
        <v>903157.96</v>
      </c>
      <c r="Y19" s="21">
        <f t="shared" si="25"/>
        <v>670586.17999999993</v>
      </c>
      <c r="Z19" s="21">
        <f t="shared" si="25"/>
        <v>691447.12999999989</v>
      </c>
      <c r="AA19" s="21">
        <f t="shared" si="25"/>
        <v>847418.84</v>
      </c>
      <c r="AB19" s="21">
        <f t="shared" si="25"/>
        <v>1031813.9400000001</v>
      </c>
      <c r="AC19" s="21">
        <f t="shared" si="25"/>
        <v>1807483.79</v>
      </c>
      <c r="AD19" s="21">
        <f t="shared" si="25"/>
        <v>2551716.2800000003</v>
      </c>
      <c r="AE19" s="21">
        <f t="shared" si="25"/>
        <v>1963309.5900000003</v>
      </c>
      <c r="AF19" s="21">
        <f t="shared" si="25"/>
        <v>1912775.2599999998</v>
      </c>
      <c r="AG19" s="21">
        <f t="shared" si="25"/>
        <v>2300637.39</v>
      </c>
      <c r="AH19" s="21">
        <f t="shared" si="25"/>
        <v>2917205.0700000003</v>
      </c>
      <c r="AI19" s="21">
        <f t="shared" si="25"/>
        <v>2922276.66</v>
      </c>
      <c r="AJ19" s="21">
        <f t="shared" si="25"/>
        <v>2915938.05</v>
      </c>
      <c r="AK19" s="21">
        <f t="shared" si="25"/>
        <v>2241248.8199999998</v>
      </c>
      <c r="AL19" s="21">
        <f t="shared" si="25"/>
        <v>2017755.5992673845</v>
      </c>
      <c r="AM19" s="21">
        <f t="shared" si="25"/>
        <v>2568652.4682546714</v>
      </c>
      <c r="AN19" s="21">
        <f t="shared" si="25"/>
        <v>3081834.1030187169</v>
      </c>
    </row>
    <row r="20" spans="1:40" s="5" customFormat="1" x14ac:dyDescent="0.3">
      <c r="A20" s="255"/>
      <c r="B20" s="18" t="s">
        <v>13</v>
      </c>
      <c r="C20" s="98"/>
      <c r="D20" s="98"/>
      <c r="E20" s="98"/>
      <c r="F20" s="21">
        <f t="shared" ref="F20:M21" si="28">IF(F71="","",SUM(F71,F61,F51,F41,F31))</f>
        <v>0.71203150918887492</v>
      </c>
      <c r="G20" s="21">
        <f>IF(G71="","",SUM(G71,G61,G51,G41,G31))</f>
        <v>4695.4207688607348</v>
      </c>
      <c r="H20" s="21">
        <f t="shared" si="28"/>
        <v>-2449.8598780726179</v>
      </c>
      <c r="I20" s="21">
        <f t="shared" si="28"/>
        <v>-265927.46643753978</v>
      </c>
      <c r="J20" s="21">
        <f t="shared" si="28"/>
        <v>-131169.715421392</v>
      </c>
      <c r="K20" s="21">
        <f t="shared" si="28"/>
        <v>-43957.222433609393</v>
      </c>
      <c r="L20" s="21">
        <f t="shared" si="28"/>
        <v>-122502.17361725139</v>
      </c>
      <c r="M20" s="21">
        <f t="shared" si="28"/>
        <v>-304336.2792786801</v>
      </c>
      <c r="N20" s="21">
        <f>IF(N71="","",SUM(N71,N61,N51,N41,N31))</f>
        <v>-65433.157081010191</v>
      </c>
      <c r="O20" s="21">
        <f t="shared" ref="O20:Y21" si="29">IF(O71="","",SUM(O71,O61,O51,O41,O31))</f>
        <v>32509.51562352556</v>
      </c>
      <c r="P20" s="21">
        <f t="shared" si="29"/>
        <v>167275.80315340095</v>
      </c>
      <c r="Q20" s="21">
        <f>IF(Q71="","",SUM(Q71,Q61,Q51,Q41,Q31))</f>
        <v>19136.33539476915</v>
      </c>
      <c r="R20" s="21">
        <f t="shared" si="29"/>
        <v>-110077.28450135858</v>
      </c>
      <c r="S20" s="21">
        <f t="shared" si="29"/>
        <v>-356666.29899240914</v>
      </c>
      <c r="T20" s="21">
        <f t="shared" si="29"/>
        <v>-176821.71989945308</v>
      </c>
      <c r="U20" s="21">
        <f t="shared" si="29"/>
        <v>380663.8326526123</v>
      </c>
      <c r="V20" s="21">
        <f t="shared" si="29"/>
        <v>588323.66144815541</v>
      </c>
      <c r="W20" s="21">
        <f t="shared" si="29"/>
        <v>779359.73178884923</v>
      </c>
      <c r="X20" s="21">
        <f t="shared" si="29"/>
        <v>616313.05623756989</v>
      </c>
      <c r="Y20" s="21">
        <f t="shared" si="29"/>
        <v>94294.273685406195</v>
      </c>
      <c r="Z20" s="21">
        <f t="shared" si="25"/>
        <v>217360.52228987066</v>
      </c>
      <c r="AA20" s="21">
        <f t="shared" si="25"/>
        <v>272644.01655577932</v>
      </c>
      <c r="AB20" s="21">
        <f t="shared" si="25"/>
        <v>345406.72431663051</v>
      </c>
      <c r="AC20" s="21">
        <f t="shared" si="25"/>
        <v>-612317.2176451839</v>
      </c>
      <c r="AD20" s="21">
        <f t="shared" si="25"/>
        <v>-1251083.8806012496</v>
      </c>
      <c r="AE20" s="21">
        <f t="shared" si="25"/>
        <v>-757486.76922660158</v>
      </c>
      <c r="AF20" s="21">
        <f t="shared" si="25"/>
        <v>-440223.98143172619</v>
      </c>
      <c r="AG20" s="21">
        <f t="shared" si="25"/>
        <v>1301972.520306122</v>
      </c>
      <c r="AH20" s="21">
        <f t="shared" si="25"/>
        <v>1607774.8329475964</v>
      </c>
      <c r="AI20" s="21">
        <f t="shared" si="25"/>
        <v>1635415.3023519127</v>
      </c>
      <c r="AJ20" s="21">
        <f t="shared" si="25"/>
        <v>479195.57575719332</v>
      </c>
      <c r="AK20" s="21">
        <f t="shared" si="25"/>
        <v>-622249.26827478828</v>
      </c>
      <c r="AL20" s="21">
        <f t="shared" si="25"/>
        <v>-269756.91810064856</v>
      </c>
      <c r="AM20" s="21">
        <f t="shared" si="25"/>
        <v>-386481.69835882564</v>
      </c>
      <c r="AN20" s="21">
        <f t="shared" si="25"/>
        <v>-652120.99085269321</v>
      </c>
    </row>
    <row r="21" spans="1:40" s="5" customFormat="1" x14ac:dyDescent="0.3">
      <c r="A21" s="255"/>
      <c r="B21" s="19" t="s">
        <v>8</v>
      </c>
      <c r="C21" s="98"/>
      <c r="D21" s="98"/>
      <c r="E21" s="98"/>
      <c r="F21" s="21">
        <f t="shared" si="28"/>
        <v>0</v>
      </c>
      <c r="G21" s="21">
        <f t="shared" si="28"/>
        <v>10.42</v>
      </c>
      <c r="H21" s="21">
        <f t="shared" si="28"/>
        <v>5.0299999999999994</v>
      </c>
      <c r="I21" s="21">
        <f t="shared" si="28"/>
        <v>-582.26</v>
      </c>
      <c r="J21" s="21">
        <f t="shared" si="28"/>
        <v>-855.06</v>
      </c>
      <c r="K21" s="21">
        <f t="shared" si="28"/>
        <v>-862.55</v>
      </c>
      <c r="L21" s="21">
        <f t="shared" si="28"/>
        <v>-1041.1799999999998</v>
      </c>
      <c r="M21" s="21">
        <f t="shared" si="28"/>
        <v>-1530.79</v>
      </c>
      <c r="N21" s="21">
        <f>IF(N72="","",SUM(N72,N62,N52,N42,N32))</f>
        <v>-1258.5900000000006</v>
      </c>
      <c r="O21" s="21">
        <f t="shared" si="29"/>
        <v>-1443.8799999999999</v>
      </c>
      <c r="P21" s="21">
        <f t="shared" si="29"/>
        <v>-1163.1299999999999</v>
      </c>
      <c r="Q21" s="21">
        <f t="shared" si="29"/>
        <v>-1083.47</v>
      </c>
      <c r="R21" s="21">
        <f t="shared" si="29"/>
        <v>-1000.1500000000001</v>
      </c>
      <c r="S21" s="21">
        <f t="shared" si="29"/>
        <v>-634.92999999999995</v>
      </c>
      <c r="T21" s="21">
        <f t="shared" si="29"/>
        <v>-90.31</v>
      </c>
      <c r="U21" s="21">
        <f t="shared" si="29"/>
        <v>-33.789999999999992</v>
      </c>
      <c r="V21" s="21">
        <f t="shared" si="29"/>
        <v>70.47999999999999</v>
      </c>
      <c r="W21" s="21">
        <f t="shared" si="29"/>
        <v>163.1</v>
      </c>
      <c r="X21" s="21">
        <f t="shared" si="29"/>
        <v>233.22</v>
      </c>
      <c r="Y21" s="21">
        <f t="shared" si="29"/>
        <v>424.84000000000003</v>
      </c>
      <c r="Z21" s="21">
        <f>IF(Z72="","",SUM(Z72,Z62,Z52,Z42,Z32))</f>
        <v>1480.5299999999993</v>
      </c>
      <c r="AA21" s="21">
        <f>IF(AA72="","",SUM(AA72,AA62,AA52,AA42,AA32))</f>
        <v>835.87</v>
      </c>
      <c r="AB21" s="21">
        <f t="shared" si="25"/>
        <v>702.63</v>
      </c>
      <c r="AC21" s="21">
        <f t="shared" si="25"/>
        <v>621.02</v>
      </c>
      <c r="AD21" s="21">
        <f t="shared" si="25"/>
        <v>282.43</v>
      </c>
      <c r="AE21" s="21">
        <f t="shared" si="25"/>
        <v>105.50999999999999</v>
      </c>
      <c r="AF21" s="21">
        <f t="shared" si="25"/>
        <v>-24.899999999999991</v>
      </c>
      <c r="AG21" s="21">
        <f t="shared" si="25"/>
        <v>142.43</v>
      </c>
      <c r="AH21" s="21">
        <f t="shared" si="25"/>
        <v>237.6</v>
      </c>
      <c r="AI21" s="21">
        <f t="shared" si="25"/>
        <v>557.42999999999995</v>
      </c>
      <c r="AJ21" s="21">
        <f t="shared" si="25"/>
        <v>535.91999999999996</v>
      </c>
      <c r="AK21" s="21">
        <f t="shared" si="25"/>
        <v>300.35000000000002</v>
      </c>
      <c r="AL21" s="252">
        <f t="shared" si="25"/>
        <v>232.94</v>
      </c>
      <c r="AM21" s="252">
        <f t="shared" si="25"/>
        <v>139.01</v>
      </c>
      <c r="AN21" s="252">
        <f t="shared" si="25"/>
        <v>0.96999999999999886</v>
      </c>
    </row>
    <row r="22" spans="1:40" s="5" customFormat="1" x14ac:dyDescent="0.3">
      <c r="A22" s="255"/>
      <c r="B22" s="19" t="s">
        <v>27</v>
      </c>
      <c r="C22" s="98"/>
      <c r="D22" s="98"/>
      <c r="E22" s="97"/>
      <c r="F22" s="16">
        <f>IF(F21="","",E22+F21)</f>
        <v>0</v>
      </c>
      <c r="G22" s="16">
        <f>IF(G21="","",F22+G21)</f>
        <v>10.42</v>
      </c>
      <c r="H22" s="16">
        <f t="shared" ref="H22:X22" si="30">IF(H21="","",G22+H21)</f>
        <v>15.45</v>
      </c>
      <c r="I22" s="16">
        <f t="shared" si="30"/>
        <v>-566.80999999999995</v>
      </c>
      <c r="J22" s="16">
        <f t="shared" si="30"/>
        <v>-1421.87</v>
      </c>
      <c r="K22" s="16">
        <f t="shared" si="30"/>
        <v>-2284.42</v>
      </c>
      <c r="L22" s="16">
        <f t="shared" si="30"/>
        <v>-3325.6</v>
      </c>
      <c r="M22" s="16">
        <f t="shared" si="30"/>
        <v>-4856.3899999999994</v>
      </c>
      <c r="N22" s="16">
        <f t="shared" si="30"/>
        <v>-6114.98</v>
      </c>
      <c r="O22" s="16">
        <f t="shared" si="30"/>
        <v>-7558.86</v>
      </c>
      <c r="P22" s="16">
        <f t="shared" si="30"/>
        <v>-8721.99</v>
      </c>
      <c r="Q22" s="16">
        <f t="shared" si="30"/>
        <v>-9805.4599999999991</v>
      </c>
      <c r="R22" s="16">
        <f t="shared" si="30"/>
        <v>-10805.609999999999</v>
      </c>
      <c r="S22" s="16">
        <f t="shared" si="30"/>
        <v>-11440.539999999999</v>
      </c>
      <c r="T22" s="16">
        <f t="shared" si="30"/>
        <v>-11530.849999999999</v>
      </c>
      <c r="U22" s="16">
        <f t="shared" si="30"/>
        <v>-11564.64</v>
      </c>
      <c r="V22" s="16">
        <f t="shared" si="30"/>
        <v>-11494.16</v>
      </c>
      <c r="W22" s="16">
        <f t="shared" si="30"/>
        <v>-11331.06</v>
      </c>
      <c r="X22" s="16">
        <f t="shared" si="30"/>
        <v>-11097.84</v>
      </c>
      <c r="Y22" s="16">
        <f>IF(Y21="","",X22+Y21)</f>
        <v>-10673</v>
      </c>
      <c r="Z22" s="16">
        <f>IF(Z21="","",Y22+Z21)</f>
        <v>-9192.4700000000012</v>
      </c>
      <c r="AA22" s="16">
        <f>IF(AA21="","",Z22+AA21)</f>
        <v>-8356.6</v>
      </c>
      <c r="AB22" s="16">
        <f t="shared" ref="AB22:AN22" si="31">IF(AB21="","",AA22+AB21)</f>
        <v>-7653.97</v>
      </c>
      <c r="AC22" s="16">
        <f t="shared" si="31"/>
        <v>-7032.9500000000007</v>
      </c>
      <c r="AD22" s="16">
        <f t="shared" si="31"/>
        <v>-6750.52</v>
      </c>
      <c r="AE22" s="16">
        <f t="shared" si="31"/>
        <v>-6645.01</v>
      </c>
      <c r="AF22" s="16">
        <f t="shared" si="31"/>
        <v>-6669.91</v>
      </c>
      <c r="AG22" s="16">
        <f t="shared" si="31"/>
        <v>-6527.48</v>
      </c>
      <c r="AH22" s="16">
        <f t="shared" si="31"/>
        <v>-6289.8799999999992</v>
      </c>
      <c r="AI22" s="16">
        <f t="shared" si="31"/>
        <v>-5732.4499999999989</v>
      </c>
      <c r="AJ22" s="16">
        <f t="shared" si="31"/>
        <v>-5196.5299999999988</v>
      </c>
      <c r="AK22" s="16">
        <f t="shared" si="31"/>
        <v>-4896.1799999999985</v>
      </c>
      <c r="AL22" s="16">
        <f t="shared" si="31"/>
        <v>-4663.2399999999989</v>
      </c>
      <c r="AM22" s="16">
        <f t="shared" si="31"/>
        <v>-4524.2299999999987</v>
      </c>
      <c r="AN22" s="16">
        <f t="shared" si="31"/>
        <v>-4523.2599999999984</v>
      </c>
    </row>
    <row r="23" spans="1:40" s="5" customFormat="1" x14ac:dyDescent="0.3">
      <c r="A23" s="255"/>
      <c r="B23" s="18" t="s">
        <v>14</v>
      </c>
      <c r="C23" s="98"/>
      <c r="D23" s="98"/>
      <c r="E23" s="98"/>
      <c r="F23" s="21">
        <f t="shared" ref="F23:Y24" si="32">IF(F73="","",SUM(F73,F63,F53,F43,F33))</f>
        <v>0.71203150918887492</v>
      </c>
      <c r="G23" s="21">
        <f t="shared" si="32"/>
        <v>4705.8407688607349</v>
      </c>
      <c r="H23" s="21">
        <f t="shared" si="32"/>
        <v>-2444.8298780726182</v>
      </c>
      <c r="I23" s="21">
        <f t="shared" si="32"/>
        <v>-266509.72643753979</v>
      </c>
      <c r="J23" s="21">
        <f t="shared" si="32"/>
        <v>-132024.775421392</v>
      </c>
      <c r="K23" s="21">
        <f t="shared" si="32"/>
        <v>-44819.772433609396</v>
      </c>
      <c r="L23" s="21">
        <f t="shared" si="32"/>
        <v>-123543.3536172514</v>
      </c>
      <c r="M23" s="21">
        <f t="shared" si="32"/>
        <v>-305867.06927868014</v>
      </c>
      <c r="N23" s="21">
        <f t="shared" si="32"/>
        <v>-66691.747081010195</v>
      </c>
      <c r="O23" s="21">
        <f>IF(O73="","",SUM(O73,O63,O53,O43,O33))</f>
        <v>31065.635623525563</v>
      </c>
      <c r="P23" s="21">
        <f t="shared" si="32"/>
        <v>166112.67315340095</v>
      </c>
      <c r="Q23" s="21">
        <f t="shared" si="32"/>
        <v>18052.865394769135</v>
      </c>
      <c r="R23" s="21">
        <f t="shared" si="32"/>
        <v>-111077.43450135857</v>
      </c>
      <c r="S23" s="21">
        <f t="shared" si="32"/>
        <v>-357301.22899240913</v>
      </c>
      <c r="T23" s="21">
        <f t="shared" si="32"/>
        <v>-176912.02989945305</v>
      </c>
      <c r="U23" s="21">
        <f t="shared" si="32"/>
        <v>380630.04265261232</v>
      </c>
      <c r="V23" s="21">
        <f t="shared" si="32"/>
        <v>588394.14144815551</v>
      </c>
      <c r="W23" s="21">
        <f t="shared" si="32"/>
        <v>779522.83178884932</v>
      </c>
      <c r="X23" s="21">
        <f t="shared" si="32"/>
        <v>616546.27623756987</v>
      </c>
      <c r="Y23" s="21">
        <f t="shared" si="32"/>
        <v>94719.113685406206</v>
      </c>
      <c r="Z23" s="21">
        <f>IF(Z73="","",SUM(Z73,Z63,Z53,Z43,Z33))</f>
        <v>218841.05228987065</v>
      </c>
      <c r="AA23" s="21">
        <f t="shared" ref="AA23:AN24" si="33">IF(AA73="","",SUM(AA73,AA63,AA53,AA43,AA33))</f>
        <v>273479.88655577932</v>
      </c>
      <c r="AB23" s="21">
        <f t="shared" si="33"/>
        <v>346109.35431663052</v>
      </c>
      <c r="AC23" s="21">
        <f t="shared" si="33"/>
        <v>-611696.19764518389</v>
      </c>
      <c r="AD23" s="21">
        <f t="shared" si="33"/>
        <v>-1250801.4506012495</v>
      </c>
      <c r="AE23" s="21">
        <f t="shared" si="33"/>
        <v>-757381.25922660169</v>
      </c>
      <c r="AF23" s="21">
        <f t="shared" si="33"/>
        <v>-440248.88143172616</v>
      </c>
      <c r="AG23" s="21">
        <f t="shared" si="33"/>
        <v>1302114.9503061222</v>
      </c>
      <c r="AH23" s="21">
        <f t="shared" si="33"/>
        <v>1608012.4329475963</v>
      </c>
      <c r="AI23" s="21">
        <f t="shared" si="33"/>
        <v>1635972.7323519127</v>
      </c>
      <c r="AJ23" s="21">
        <f t="shared" si="33"/>
        <v>479731.4957571933</v>
      </c>
      <c r="AK23" s="21">
        <f t="shared" si="33"/>
        <v>-621948.91827478819</v>
      </c>
      <c r="AL23" s="21">
        <f t="shared" si="33"/>
        <v>-269523.9781006485</v>
      </c>
      <c r="AM23" s="21">
        <f t="shared" si="33"/>
        <v>-386342.68835882557</v>
      </c>
      <c r="AN23" s="21">
        <f t="shared" si="33"/>
        <v>-652120.02085269324</v>
      </c>
    </row>
    <row r="24" spans="1:40" s="5" customFormat="1" x14ac:dyDescent="0.3">
      <c r="A24" s="255"/>
      <c r="B24" s="20" t="s">
        <v>2</v>
      </c>
      <c r="C24" s="98"/>
      <c r="D24" s="98"/>
      <c r="E24" s="98"/>
      <c r="F24" s="21">
        <f>IF(F74="","",SUM(F74,F64,F54,F44,F34))</f>
        <v>0.71203150918887492</v>
      </c>
      <c r="G24" s="21">
        <f t="shared" si="32"/>
        <v>4706.5528003699237</v>
      </c>
      <c r="H24" s="21">
        <f t="shared" si="32"/>
        <v>2261.7229222973056</v>
      </c>
      <c r="I24" s="21">
        <f t="shared" si="32"/>
        <v>-264248.00351524254</v>
      </c>
      <c r="J24" s="21">
        <f t="shared" si="32"/>
        <v>-396272.77893663448</v>
      </c>
      <c r="K24" s="21">
        <f t="shared" si="32"/>
        <v>-441092.55137024395</v>
      </c>
      <c r="L24" s="21">
        <f t="shared" si="32"/>
        <v>-564635.90498749528</v>
      </c>
      <c r="M24" s="21">
        <f t="shared" si="32"/>
        <v>-870502.97426617541</v>
      </c>
      <c r="N24" s="21">
        <f t="shared" si="32"/>
        <v>-937194.72134718567</v>
      </c>
      <c r="O24" s="21">
        <f>IF(O74="","",SUM(O74,O64,O54,O44,O34))</f>
        <v>-906129.08572366007</v>
      </c>
      <c r="P24" s="21">
        <f t="shared" si="32"/>
        <v>-740016.41257025907</v>
      </c>
      <c r="Q24" s="21">
        <f t="shared" si="32"/>
        <v>-525409.32717548998</v>
      </c>
      <c r="R24" s="21">
        <f t="shared" si="32"/>
        <v>-455212.61167684849</v>
      </c>
      <c r="S24" s="21">
        <f t="shared" si="32"/>
        <v>-662871.82066925766</v>
      </c>
      <c r="T24" s="21">
        <f t="shared" si="32"/>
        <v>-703421.63056871074</v>
      </c>
      <c r="U24" s="21">
        <f t="shared" si="32"/>
        <v>-151579.36791609845</v>
      </c>
      <c r="V24" s="21">
        <f t="shared" si="32"/>
        <v>653572.59353205701</v>
      </c>
      <c r="W24" s="21">
        <f t="shared" si="32"/>
        <v>1642210.4353209063</v>
      </c>
      <c r="X24" s="21">
        <f t="shared" si="32"/>
        <v>2454712.3715584762</v>
      </c>
      <c r="Y24" s="21">
        <f t="shared" si="32"/>
        <v>2696939.4152438822</v>
      </c>
      <c r="Z24" s="21">
        <f>IF(Z74="","",SUM(Z74,Z64,Z54,Z44,Z34))</f>
        <v>3067186.4875337528</v>
      </c>
      <c r="AA24" s="21">
        <f t="shared" si="33"/>
        <v>3524046.4940895322</v>
      </c>
      <c r="AB24" s="21">
        <f t="shared" si="33"/>
        <v>4090952.8684061626</v>
      </c>
      <c r="AC24" s="21">
        <f t="shared" si="33"/>
        <v>3209837.7007609787</v>
      </c>
      <c r="AD24" s="21">
        <f t="shared" si="33"/>
        <v>1586455.3201597293</v>
      </c>
      <c r="AE24" s="21">
        <f t="shared" si="33"/>
        <v>562517.05093312752</v>
      </c>
      <c r="AF24" s="21">
        <f t="shared" si="33"/>
        <v>-133210.95049859863</v>
      </c>
      <c r="AG24" s="21">
        <f t="shared" si="33"/>
        <v>847651.22980752343</v>
      </c>
      <c r="AH24" s="21">
        <f t="shared" si="33"/>
        <v>2043353.2127551197</v>
      </c>
      <c r="AI24" s="21">
        <f t="shared" si="33"/>
        <v>3261968.6851070323</v>
      </c>
      <c r="AJ24" s="21">
        <f t="shared" si="33"/>
        <v>3328657.2308642259</v>
      </c>
      <c r="AK24" s="21">
        <f t="shared" si="33"/>
        <v>2403212.0525894375</v>
      </c>
      <c r="AL24" s="21">
        <f t="shared" si="33"/>
        <v>1863753.464488789</v>
      </c>
      <c r="AM24" s="21">
        <f t="shared" si="33"/>
        <v>1112206.4161299635</v>
      </c>
      <c r="AN24" s="21">
        <f t="shared" si="33"/>
        <v>7682.6252772700973</v>
      </c>
    </row>
    <row r="25" spans="1:40" s="5" customFormat="1" ht="8.25" customHeight="1" x14ac:dyDescent="0.3">
      <c r="A25" s="44"/>
      <c r="B25" s="13"/>
      <c r="C25" s="102"/>
      <c r="D25" s="102"/>
      <c r="E25" s="102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</row>
    <row r="26" spans="1:40" s="5" customFormat="1" ht="15" hidden="1" customHeight="1" outlineLevel="1" x14ac:dyDescent="0.3">
      <c r="A26" s="255" t="s">
        <v>20</v>
      </c>
      <c r="B26" s="17"/>
      <c r="C26" s="97"/>
      <c r="D26" s="97"/>
      <c r="E26" s="97"/>
      <c r="F26" s="9"/>
      <c r="G26" s="9"/>
      <c r="H26" s="9"/>
      <c r="I26" s="9"/>
      <c r="J26" s="9"/>
      <c r="K26" s="9"/>
      <c r="L26" s="9"/>
      <c r="M26" s="9"/>
      <c r="N26" s="144">
        <f>'MEEIA 3 adjs'!L12</f>
        <v>8.9999999999918145E-2</v>
      </c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144">
        <f>'MEEIA 3 adjs'!AA34</f>
        <v>481.7</v>
      </c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</row>
    <row r="27" spans="1:40" s="3" customFormat="1" ht="15" hidden="1" customHeight="1" outlineLevel="1" x14ac:dyDescent="0.3">
      <c r="A27" s="255"/>
      <c r="B27" s="17" t="s">
        <v>28</v>
      </c>
      <c r="C27" s="97"/>
      <c r="D27" s="97"/>
      <c r="E27" s="97"/>
      <c r="F27" s="22">
        <f>IF('M3 Allocations - TD'!D5="","",'M3 Allocations - TD'!D31)</f>
        <v>0</v>
      </c>
      <c r="G27" s="22">
        <f>IF('M3 Allocations - TD'!E5="","",'M3 Allocations - TD'!E31)</f>
        <v>3542.7066619947968</v>
      </c>
      <c r="H27" s="22">
        <f>IF('M3 Allocations - TD'!F5="","",'M3 Allocations - TD'!F31)</f>
        <v>26593.748856903429</v>
      </c>
      <c r="I27" s="22">
        <f>IF('M3 Allocations - TD'!G5="","",'M3 Allocations - TD'!G31)</f>
        <v>243363.92907678595</v>
      </c>
      <c r="J27" s="22">
        <f>IF('M3 Allocations - TD'!H5="","",'M3 Allocations - TD'!H31)</f>
        <v>441129.8099540461</v>
      </c>
      <c r="K27" s="22">
        <f>IF('M3 Allocations - TD'!I5="","",'M3 Allocations - TD'!I31)</f>
        <v>538055.00088770315</v>
      </c>
      <c r="L27" s="22">
        <f>IF('M3 Allocations - TD'!J5="","",'M3 Allocations - TD'!J31)</f>
        <v>375001.00963366695</v>
      </c>
      <c r="M27" s="22">
        <f>IF('M3 Allocations - TD'!K5="","",'M3 Allocations - TD'!K31)</f>
        <v>137834.38057719183</v>
      </c>
      <c r="N27" s="22">
        <f>IF('M3 Allocations - TD'!L5="","",'M3 Allocations - TD'!L31)</f>
        <v>274809.55657286098</v>
      </c>
      <c r="O27" s="22">
        <f>IF('M3 Allocations - TD'!M5="","",'M3 Allocations - TD'!M31)</f>
        <v>467843.25553902646</v>
      </c>
      <c r="P27" s="22">
        <f>IF('M3 Allocations - TD'!N5="","",'M3 Allocations - TD'!N31)</f>
        <v>544296.07292371744</v>
      </c>
      <c r="Q27" s="22">
        <f>IF('M3 Allocations - TD'!O5="","",'M3 Allocations - TD'!O31)</f>
        <v>676189.22029010952</v>
      </c>
      <c r="R27" s="22">
        <f>IF('M3 Allocations - TD'!P5="","",'M3 Allocations - TD'!P31)</f>
        <v>463090.51540533279</v>
      </c>
      <c r="S27" s="22">
        <f>IF('M3 Allocations - TD'!Q5="","",'M3 Allocations - TD'!Q31)</f>
        <v>212999.83668866704</v>
      </c>
      <c r="T27" s="22">
        <f>IF('M3 Allocations - TD'!R5="","",'M3 Allocations - TD'!R31)</f>
        <v>239315.41925638349</v>
      </c>
      <c r="U27" s="22">
        <f>IF('M3 Allocations - TD'!S5="","",'M3 Allocations - TD'!S31)</f>
        <v>745964.63979628112</v>
      </c>
      <c r="V27" s="22">
        <f>IF('M3 Allocations - TD'!T5="","",'M3 Allocations - TD'!T31)</f>
        <v>1021961.1417325244</v>
      </c>
      <c r="W27" s="22">
        <f>IF('M3 Allocations - TD'!U5="","",'M3 Allocations - TD'!U31)</f>
        <v>1221140.287913003</v>
      </c>
      <c r="X27" s="22">
        <f>IF('M3 Allocations - TD'!V5="","",'M3 Allocations - TD'!V31)</f>
        <v>1038934.5439936385</v>
      </c>
      <c r="Y27" s="22">
        <f>IF('M3 Allocations - TD'!W5="","",'M3 Allocations - TD'!W31)</f>
        <v>456853.18990942289</v>
      </c>
      <c r="Z27" s="22">
        <f>IF('M3 Allocations - TD'!X5="","",'M3 Allocations - TD'!X31)</f>
        <v>609473.30327174987</v>
      </c>
      <c r="AA27" s="22">
        <f>IF('M3 Allocations - TD'!Y5="","",'M3 Allocations - TD'!Y31)</f>
        <v>767580.56672561402</v>
      </c>
      <c r="AB27" s="22">
        <f>IF('M3 Allocations - TD'!Z5="","",'M3 Allocations - TD'!Z31)</f>
        <v>793063.84804214339</v>
      </c>
      <c r="AC27" s="22">
        <f>IF('M3 Allocations - TD'!AA5="","",'M3 Allocations - TD'!AA31)</f>
        <v>764854.30430963449</v>
      </c>
      <c r="AD27" s="22">
        <f>IF('M3 Allocations - TD'!AB5="","",'M3 Allocations - TD'!AB31)</f>
        <v>819560.20806617534</v>
      </c>
      <c r="AE27" s="22">
        <f>IF('M3 Allocations - TD'!AC5="","",'M3 Allocations - TD'!AC31)</f>
        <v>733166.25858200283</v>
      </c>
      <c r="AF27" s="22">
        <f>IF('M3 Allocations - TD'!AD5="","",'M3 Allocations - TD'!AD31)</f>
        <v>808585.44290839287</v>
      </c>
      <c r="AG27" s="22">
        <f>IF('M3 Allocations - TD'!AE5="","",'M3 Allocations - TD'!AE31)</f>
        <v>2229150.475396621</v>
      </c>
      <c r="AH27" s="22">
        <f>IF('M3 Allocations - TD'!AF5="","",'M3 Allocations - TD'!AF31)</f>
        <v>2728598.0253418689</v>
      </c>
      <c r="AI27" s="22">
        <f>IF('M3 Allocations - TD'!AG5="","",'M3 Allocations - TD'!AG31)</f>
        <v>2843181.2454154654</v>
      </c>
      <c r="AJ27" s="22">
        <f>IF('M3 Allocations - TD'!AH5="","",'M3 Allocations - TD'!AH31)</f>
        <v>2152415.8892408246</v>
      </c>
      <c r="AK27" s="22">
        <f>IF('M3 Allocations - TD'!AI5="","",'M3 Allocations - TD'!AI31)</f>
        <v>886771.1903804827</v>
      </c>
      <c r="AL27" s="22">
        <f>IF('M3 Allocations - TD'!AJ5="","",'M3 Allocations - TD'!AJ31)</f>
        <v>1070241.9429000535</v>
      </c>
      <c r="AM27" s="22">
        <f>IF('M3 Allocations - TD'!AK5="","",'M3 Allocations - TD'!AK31)</f>
        <v>1317567.8580518807</v>
      </c>
      <c r="AN27" s="22">
        <f>IF('M3 Allocations - TD'!AL5="","",'M3 Allocations - TD'!AL31)</f>
        <v>1385967.3327910167</v>
      </c>
    </row>
    <row r="28" spans="1:40" s="5" customFormat="1" ht="15" hidden="1" customHeight="1" outlineLevel="1" x14ac:dyDescent="0.3">
      <c r="A28" s="255"/>
      <c r="B28" s="18" t="s">
        <v>26</v>
      </c>
      <c r="C28" s="97"/>
      <c r="D28" s="97"/>
      <c r="E28" s="97"/>
      <c r="F28" s="22">
        <f>IF('M3 Allocations - TD'!D51="","",'M3 Allocations - TD'!D69)</f>
        <v>0</v>
      </c>
      <c r="G28" s="22">
        <f>IF('M3 Allocations - TD'!E51="","",'M3 Allocations - TD'!E69)</f>
        <v>0</v>
      </c>
      <c r="H28" s="22">
        <f>IF('M3 Allocations - TD'!F51="","",'M3 Allocations - TD'!F69)</f>
        <v>28636.335868779192</v>
      </c>
      <c r="I28" s="22">
        <f>IF('M3 Allocations - TD'!G51="","",'M3 Allocations - TD'!G69)</f>
        <v>344669.92129031231</v>
      </c>
      <c r="J28" s="22">
        <f>IF('M3 Allocations - TD'!H51="","",'M3 Allocations - TD'!H69)</f>
        <v>437739.69493695599</v>
      </c>
      <c r="K28" s="22">
        <f>IF('M3 Allocations - TD'!I51="","",'M3 Allocations - TD'!I69)</f>
        <v>461093.89388914994</v>
      </c>
      <c r="L28" s="22">
        <f>IF('M3 Allocations - TD'!J51="","",'M3 Allocations - TD'!J69)</f>
        <v>425531.99443758972</v>
      </c>
      <c r="M28" s="22">
        <f>IF('M3 Allocations - TD'!K51="","",'M3 Allocations - TD'!K69)</f>
        <v>350101.97926152864</v>
      </c>
      <c r="N28" s="22">
        <f>IF('M3 Allocations - TD'!L51="","",'M3 Allocations - TD'!L69)</f>
        <v>315194.78964232601</v>
      </c>
      <c r="O28" s="22">
        <f>IF('M3 Allocations - TD'!M51="","",'M3 Allocations - TD'!M69)</f>
        <v>423499.84124645527</v>
      </c>
      <c r="P28" s="22">
        <f>IF('M3 Allocations - TD'!N51="","",'M3 Allocations - TD'!N69)</f>
        <v>467459.76087976695</v>
      </c>
      <c r="Q28" s="22">
        <f>IF('M3 Allocations - TD'!O51="","",'M3 Allocations - TD'!O69)</f>
        <v>474323.05163473397</v>
      </c>
      <c r="R28" s="22">
        <f>IF('M3 Allocations - TD'!P51="","",'M3 Allocations - TD'!P69)</f>
        <v>428810.25716296653</v>
      </c>
      <c r="S28" s="22">
        <f>IF('M3 Allocations - TD'!Q51="","",'M3 Allocations - TD'!Q69)</f>
        <v>339346.33491655142</v>
      </c>
      <c r="T28" s="22">
        <f>IF('M3 Allocations - TD'!R51="","",'M3 Allocations - TD'!R69)</f>
        <v>302925.05162387801</v>
      </c>
      <c r="U28" s="22">
        <f>IF('M3 Allocations - TD'!S51="","",'M3 Allocations - TD'!S69)</f>
        <v>399589.74786578171</v>
      </c>
      <c r="V28" s="22">
        <f>IF('M3 Allocations - TD'!T51="","",'M3 Allocations - TD'!T69)</f>
        <v>536049.73122413771</v>
      </c>
      <c r="W28" s="22">
        <f>IF('M3 Allocations - TD'!U51="","",'M3 Allocations - TD'!U69)</f>
        <v>503311.04413038632</v>
      </c>
      <c r="X28" s="22">
        <f>IF('M3 Allocations - TD'!V51="","",'M3 Allocations - TD'!V69)</f>
        <v>453730.11803544633</v>
      </c>
      <c r="Y28" s="22">
        <f>IF('M3 Allocations - TD'!W51="","",'M3 Allocations - TD'!W69)</f>
        <v>307694.93026905361</v>
      </c>
      <c r="Z28" s="22">
        <f>IF('M3 Allocations - TD'!X51="","",'M3 Allocations - TD'!X69)</f>
        <v>328619.27667869348</v>
      </c>
      <c r="AA28" s="22">
        <f>IF('M3 Allocations - TD'!Y51="","",'M3 Allocations - TD'!Y69)</f>
        <v>435339.54516653361</v>
      </c>
      <c r="AB28" s="22">
        <f>IF('M3 Allocations - TD'!Z51="","",'M3 Allocations - TD'!Z69)</f>
        <v>565868.64496161381</v>
      </c>
      <c r="AC28" s="22">
        <f>IF('M3 Allocations - TD'!AA51="","",'M3 Allocations - TD'!AA69)</f>
        <v>1375644.4768897495</v>
      </c>
      <c r="AD28" s="22">
        <f>IF('M3 Allocations - TD'!AB51="","",'M3 Allocations - TD'!AB69)</f>
        <v>1787809.7846895901</v>
      </c>
      <c r="AE28" s="22">
        <f>IF('M3 Allocations - TD'!AC51="","",'M3 Allocations - TD'!AC69)</f>
        <v>1208966.210998087</v>
      </c>
      <c r="AF28" s="22">
        <f>IF('M3 Allocations - TD'!AD51="","",'M3 Allocations - TD'!AD69)</f>
        <v>1135096.7258818494</v>
      </c>
      <c r="AG28" s="22">
        <f>IF('M3 Allocations - TD'!AE51="","",'M3 Allocations - TD'!AE69)</f>
        <v>1483131.5421443433</v>
      </c>
      <c r="AH28" s="22">
        <f>IF('M3 Allocations - TD'!AF51="","",'M3 Allocations - TD'!AF69)</f>
        <v>1957827.6512690852</v>
      </c>
      <c r="AI28" s="22">
        <f>IF('M3 Allocations - TD'!AG51="","",'M3 Allocations - TD'!AG69)</f>
        <v>1996815.833049651</v>
      </c>
      <c r="AJ28" s="22">
        <f>IF('M3 Allocations - TD'!AH51="","",'M3 Allocations - TD'!AH69)</f>
        <v>1962236.8311878431</v>
      </c>
      <c r="AK28" s="22">
        <f>IF('M3 Allocations - TD'!AI51="","",'M3 Allocations - TD'!AI69)</f>
        <v>1361448.9893388003</v>
      </c>
      <c r="AL28" s="22">
        <f>IF('M3 Allocations - TD'!AJ51="","",'M3 Allocations - TD'!AJ69)</f>
        <v>1201311.8493001498</v>
      </c>
      <c r="AM28" s="22">
        <f>IF('M3 Allocations - TD'!AK51="","",'M3 Allocations - TD'!AK69)</f>
        <v>1740931.9557145983</v>
      </c>
      <c r="AN28" s="22">
        <f>IF('M3 Allocations - TD'!AL51="","",'M3 Allocations - TD'!AL69)</f>
        <v>2221375.1164290369</v>
      </c>
    </row>
    <row r="29" spans="1:40" s="5" customFormat="1" ht="15" hidden="1" customHeight="1" outlineLevel="1" x14ac:dyDescent="0.3">
      <c r="A29" s="255"/>
      <c r="B29" s="18" t="s">
        <v>47</v>
      </c>
      <c r="C29" s="97"/>
      <c r="D29" s="97"/>
      <c r="E29" s="97"/>
      <c r="F29" s="22">
        <f>IF(F28="","",0)</f>
        <v>0</v>
      </c>
      <c r="G29" s="22">
        <f t="shared" ref="G29:P29" si="34">IF(G28="","",0)</f>
        <v>0</v>
      </c>
      <c r="H29" s="22">
        <f t="shared" si="34"/>
        <v>0</v>
      </c>
      <c r="I29" s="22">
        <f t="shared" si="34"/>
        <v>0</v>
      </c>
      <c r="J29" s="22">
        <f t="shared" si="34"/>
        <v>0</v>
      </c>
      <c r="K29" s="22">
        <f t="shared" si="34"/>
        <v>0</v>
      </c>
      <c r="L29" s="22">
        <f t="shared" si="34"/>
        <v>0</v>
      </c>
      <c r="M29" s="22">
        <f t="shared" si="34"/>
        <v>0</v>
      </c>
      <c r="N29" s="22">
        <f t="shared" si="34"/>
        <v>0</v>
      </c>
      <c r="O29" s="22">
        <f t="shared" si="34"/>
        <v>0</v>
      </c>
      <c r="P29" s="22">
        <f t="shared" si="34"/>
        <v>0</v>
      </c>
      <c r="Q29" s="22">
        <f>IF(Q28="","",-'M3 TD amort'!C8)</f>
        <v>115732.97</v>
      </c>
      <c r="R29" s="22">
        <f>IF(R28="","",-'M3 TD amort'!D8)</f>
        <v>104574.51</v>
      </c>
      <c r="S29" s="22">
        <f>IF(S28="","",-'M3 TD amort'!E8)</f>
        <v>82818.98</v>
      </c>
      <c r="T29" s="22">
        <f>IF(T28="","",-'M3 TD amort'!F8)</f>
        <v>74005.649999999994</v>
      </c>
      <c r="U29" s="22">
        <f>IF(U28="","",-'M3 TD amort'!G8)</f>
        <v>97941.18</v>
      </c>
      <c r="V29" s="22">
        <f>IF(V28="","",-'M3 TD amort'!H8)</f>
        <v>131594.67000000001</v>
      </c>
      <c r="W29" s="22">
        <f>IF(W28="","",-'M3 TD amort'!I8)</f>
        <v>123527.13</v>
      </c>
      <c r="X29" s="22">
        <f>IF(X28="","",-'M3 TD amort'!J8)</f>
        <v>111322.95</v>
      </c>
      <c r="Y29" s="22">
        <f>IF(Y28="","",-'M3 TD amort'!K8)</f>
        <v>75219.710000000006</v>
      </c>
      <c r="Z29" s="22">
        <f>IF(Z28="","",-'M3 TD amort'!L8)</f>
        <v>80241.5</v>
      </c>
      <c r="AA29" s="22">
        <f>IF(AA28="","",-'M3 TD amort'!M8)</f>
        <v>106401.64</v>
      </c>
      <c r="AB29" s="22">
        <f>IF(AB28="","",-'M3 TD amort'!N8)</f>
        <v>138469.78</v>
      </c>
      <c r="AC29" s="22">
        <f>IF(AC28="","",-'M3 TD amort'!O8)</f>
        <v>-214209.84</v>
      </c>
      <c r="AD29" s="22">
        <f>IF(AD28="","",-'M3 TD amort'!P8)</f>
        <v>-278064.93</v>
      </c>
      <c r="AE29" s="22">
        <f>IF(AE28="","",-'M3 TD amort'!Q8)</f>
        <v>-187629.17</v>
      </c>
      <c r="AF29" s="22">
        <f>IF(AF28="","",-'M3 TD amort'!R8)</f>
        <v>-176283.71</v>
      </c>
      <c r="AG29" s="22">
        <f>IF(AG28="","",-'M3 TD amort'!S8)</f>
        <v>-231223.27</v>
      </c>
      <c r="AH29" s="22">
        <f>IF(AH28="","",-'M3 TD amort'!T8)</f>
        <v>-305423.73</v>
      </c>
      <c r="AI29" s="22">
        <f>IF(AI28="","",-'M3 TD amort'!U8)</f>
        <v>-311615.01</v>
      </c>
      <c r="AJ29" s="22">
        <f>IF(AJ28="","",-'M3 TD amort'!V8)</f>
        <v>-306092.45</v>
      </c>
      <c r="AK29" s="22">
        <f>IF(AK28="","",-'M3 TD amort'!W8)</f>
        <v>-211968.1</v>
      </c>
      <c r="AL29" s="22">
        <f>IF(AL28="","",-'M3 TD amort'!X8)</f>
        <v>-186680.73</v>
      </c>
      <c r="AM29" s="22">
        <f>IF(AM28="","",-'M3 TD amort'!Y8)</f>
        <v>-271153.46000000002</v>
      </c>
      <c r="AN29" s="22">
        <f>IF(AN28="","",-'M3 TD amort'!Z8)</f>
        <v>-346420.88</v>
      </c>
    </row>
    <row r="30" spans="1:40" s="5" customFormat="1" ht="15" hidden="1" customHeight="1" outlineLevel="1" x14ac:dyDescent="0.3">
      <c r="A30" s="255"/>
      <c r="B30" s="18" t="s">
        <v>48</v>
      </c>
      <c r="C30" s="97"/>
      <c r="D30" s="97"/>
      <c r="E30" s="97"/>
      <c r="F30" s="9">
        <f t="shared" ref="F30:M30" si="35">IF(OR(F29="",F28=""),"",F28+F29)</f>
        <v>0</v>
      </c>
      <c r="G30" s="9">
        <f t="shared" si="35"/>
        <v>0</v>
      </c>
      <c r="H30" s="9">
        <f t="shared" si="35"/>
        <v>28636.335868779192</v>
      </c>
      <c r="I30" s="9">
        <f t="shared" si="35"/>
        <v>344669.92129031231</v>
      </c>
      <c r="J30" s="9">
        <f t="shared" si="35"/>
        <v>437739.69493695599</v>
      </c>
      <c r="K30" s="9">
        <f t="shared" si="35"/>
        <v>461093.89388914994</v>
      </c>
      <c r="L30" s="9">
        <f t="shared" si="35"/>
        <v>425531.99443758972</v>
      </c>
      <c r="M30" s="9">
        <f t="shared" si="35"/>
        <v>350101.97926152864</v>
      </c>
      <c r="N30" s="9">
        <f>IF(OR(N29="",N28=""),"",N28+N29)</f>
        <v>315194.78964232601</v>
      </c>
      <c r="O30" s="9">
        <f>IF(OR(O29="",O28=""),"",O28+O29)</f>
        <v>423499.84124645527</v>
      </c>
      <c r="P30" s="9">
        <f t="shared" ref="P30:Y30" si="36">IF(OR(P29="",P28=""),"",P28+P29)</f>
        <v>467459.76087976695</v>
      </c>
      <c r="Q30" s="9">
        <f t="shared" si="36"/>
        <v>590056.021634734</v>
      </c>
      <c r="R30" s="9">
        <f t="shared" si="36"/>
        <v>533384.76716296654</v>
      </c>
      <c r="S30" s="9">
        <f t="shared" si="36"/>
        <v>422165.3149165514</v>
      </c>
      <c r="T30" s="9">
        <f t="shared" si="36"/>
        <v>376930.70162387798</v>
      </c>
      <c r="U30" s="9">
        <f t="shared" si="36"/>
        <v>497530.9278657817</v>
      </c>
      <c r="V30" s="9">
        <f t="shared" si="36"/>
        <v>667644.40122413775</v>
      </c>
      <c r="W30" s="9">
        <f t="shared" si="36"/>
        <v>626838.17413038632</v>
      </c>
      <c r="X30" s="9">
        <f t="shared" si="36"/>
        <v>565053.06803544634</v>
      </c>
      <c r="Y30" s="9">
        <f t="shared" si="36"/>
        <v>382914.64026905363</v>
      </c>
      <c r="Z30" s="9">
        <f>IF(OR(Z29="",Z28=""),"",Z28+Z29)</f>
        <v>408860.77667869348</v>
      </c>
      <c r="AA30" s="9">
        <f t="shared" ref="AA30:AN30" si="37">IF(OR(AA29="",AA28=""),"",AA28+AA29)</f>
        <v>541741.18516653357</v>
      </c>
      <c r="AB30" s="9">
        <f t="shared" si="37"/>
        <v>704338.42496161384</v>
      </c>
      <c r="AC30" s="9">
        <f t="shared" si="37"/>
        <v>1161434.6368897494</v>
      </c>
      <c r="AD30" s="9">
        <f t="shared" si="37"/>
        <v>1509744.8546895902</v>
      </c>
      <c r="AE30" s="9">
        <f t="shared" si="37"/>
        <v>1021337.0409980869</v>
      </c>
      <c r="AF30" s="9">
        <f t="shared" si="37"/>
        <v>958813.01588184945</v>
      </c>
      <c r="AG30" s="9">
        <f t="shared" si="37"/>
        <v>1251908.2721443432</v>
      </c>
      <c r="AH30" s="9">
        <f t="shared" si="37"/>
        <v>1652403.9212690853</v>
      </c>
      <c r="AI30" s="9">
        <f t="shared" si="37"/>
        <v>1685200.823049651</v>
      </c>
      <c r="AJ30" s="9">
        <f t="shared" si="37"/>
        <v>1656144.3811878432</v>
      </c>
      <c r="AK30" s="9">
        <f t="shared" si="37"/>
        <v>1149480.8893388002</v>
      </c>
      <c r="AL30" s="9">
        <f t="shared" si="37"/>
        <v>1014631.1193001498</v>
      </c>
      <c r="AM30" s="9">
        <f t="shared" si="37"/>
        <v>1469778.4957145983</v>
      </c>
      <c r="AN30" s="9">
        <f t="shared" si="37"/>
        <v>1874954.2364290371</v>
      </c>
    </row>
    <row r="31" spans="1:40" s="5" customFormat="1" hidden="1" outlineLevel="1" x14ac:dyDescent="0.3">
      <c r="A31" s="255"/>
      <c r="B31" s="18" t="s">
        <v>13</v>
      </c>
      <c r="C31" s="97"/>
      <c r="D31" s="97"/>
      <c r="E31" s="97"/>
      <c r="F31" s="9">
        <f t="shared" ref="F31:M31" si="38">IF(OR(F28="",F27=""),"",F27-F28)</f>
        <v>0</v>
      </c>
      <c r="G31" s="9">
        <f>IF(OR(G28="",G27=""),"",G27-G28)</f>
        <v>3542.7066619947968</v>
      </c>
      <c r="H31" s="9">
        <f t="shared" si="38"/>
        <v>-2042.587011875763</v>
      </c>
      <c r="I31" s="9">
        <f t="shared" si="38"/>
        <v>-101305.99221352636</v>
      </c>
      <c r="J31" s="9">
        <f t="shared" si="38"/>
        <v>3390.1150170901092</v>
      </c>
      <c r="K31" s="9">
        <f t="shared" si="38"/>
        <v>76961.106998553209</v>
      </c>
      <c r="L31" s="9">
        <f t="shared" si="38"/>
        <v>-50530.984803922765</v>
      </c>
      <c r="M31" s="9">
        <f t="shared" si="38"/>
        <v>-212267.59868433682</v>
      </c>
      <c r="N31" s="9">
        <f>IF(OR(N30="",N27=""),"",N27-N30)</f>
        <v>-40385.23306946503</v>
      </c>
      <c r="O31" s="9">
        <f t="shared" ref="O31:Y31" si="39">IF(OR(O30="",O27=""),"",O27-O30)</f>
        <v>44343.414292571193</v>
      </c>
      <c r="P31" s="9">
        <f t="shared" si="39"/>
        <v>76836.312043950486</v>
      </c>
      <c r="Q31" s="9">
        <f t="shared" si="39"/>
        <v>86133.198655375512</v>
      </c>
      <c r="R31" s="9">
        <f t="shared" si="39"/>
        <v>-70294.251757633756</v>
      </c>
      <c r="S31" s="9">
        <f t="shared" si="39"/>
        <v>-209165.47822788436</v>
      </c>
      <c r="T31" s="9">
        <f t="shared" si="39"/>
        <v>-137615.28236749448</v>
      </c>
      <c r="U31" s="9">
        <f t="shared" si="39"/>
        <v>248433.71193049941</v>
      </c>
      <c r="V31" s="9">
        <f t="shared" si="39"/>
        <v>354316.74050838663</v>
      </c>
      <c r="W31" s="9">
        <f t="shared" si="39"/>
        <v>594302.11378261668</v>
      </c>
      <c r="X31" s="9">
        <f t="shared" si="39"/>
        <v>473881.47595819214</v>
      </c>
      <c r="Y31" s="9">
        <f t="shared" si="39"/>
        <v>73938.549640369252</v>
      </c>
      <c r="Z31" s="9">
        <f>IF(OR(Z30="",Z27=""),"",Z27-Z30)</f>
        <v>200612.52659305639</v>
      </c>
      <c r="AA31" s="9">
        <f t="shared" ref="AA31:AN31" si="40">IF(OR(AA30="",AA27=""),"",AA27-AA30)</f>
        <v>225839.38155908044</v>
      </c>
      <c r="AB31" s="9">
        <f t="shared" si="40"/>
        <v>88725.423080529552</v>
      </c>
      <c r="AC31" s="9">
        <f t="shared" si="40"/>
        <v>-396580.33258011495</v>
      </c>
      <c r="AD31" s="9">
        <f t="shared" si="40"/>
        <v>-690184.64662341482</v>
      </c>
      <c r="AE31" s="9">
        <f t="shared" si="40"/>
        <v>-288170.78241608408</v>
      </c>
      <c r="AF31" s="9">
        <f t="shared" si="40"/>
        <v>-150227.57297345658</v>
      </c>
      <c r="AG31" s="9">
        <f t="shared" si="40"/>
        <v>977242.2032522778</v>
      </c>
      <c r="AH31" s="9">
        <f t="shared" si="40"/>
        <v>1076194.1040727836</v>
      </c>
      <c r="AI31" s="9">
        <f t="shared" si="40"/>
        <v>1157980.4223658144</v>
      </c>
      <c r="AJ31" s="9">
        <f t="shared" si="40"/>
        <v>496271.50805298146</v>
      </c>
      <c r="AK31" s="9">
        <f t="shared" si="40"/>
        <v>-262709.69895831752</v>
      </c>
      <c r="AL31" s="9">
        <f t="shared" si="40"/>
        <v>55610.823599903611</v>
      </c>
      <c r="AM31" s="9">
        <f t="shared" si="40"/>
        <v>-152210.63766271761</v>
      </c>
      <c r="AN31" s="9">
        <f t="shared" si="40"/>
        <v>-488986.90363802039</v>
      </c>
    </row>
    <row r="32" spans="1:40" s="5" customFormat="1" hidden="1" outlineLevel="1" x14ac:dyDescent="0.3">
      <c r="A32" s="255"/>
      <c r="B32" s="19" t="s">
        <v>8</v>
      </c>
      <c r="C32" s="97"/>
      <c r="D32" s="97"/>
      <c r="E32" s="97"/>
      <c r="F32" s="9">
        <f>IF(OR(F9="",F31=""),"",ROUND((F31+E34)*F9/12,2))</f>
        <v>0</v>
      </c>
      <c r="G32" s="9">
        <f t="shared" ref="G32:L32" si="41">IF(OR(G9="",G31=""),"",ROUND((G31+F34)*G9/12,2))</f>
        <v>7.86</v>
      </c>
      <c r="H32" s="9">
        <f t="shared" si="41"/>
        <v>3.36</v>
      </c>
      <c r="I32" s="9">
        <f t="shared" si="41"/>
        <v>-220.38</v>
      </c>
      <c r="J32" s="9">
        <f t="shared" si="41"/>
        <v>-208.94</v>
      </c>
      <c r="K32" s="9">
        <f t="shared" si="41"/>
        <v>-38.94</v>
      </c>
      <c r="L32" s="9">
        <f t="shared" si="41"/>
        <v>-130.13999999999999</v>
      </c>
      <c r="M32" s="9">
        <f t="shared" ref="M32" si="42">IF(OR(M9="",M31=""),"",ROUND((M31+L34)*M9/12,2))</f>
        <v>-498.25</v>
      </c>
      <c r="N32" s="9">
        <f>IF(OR(N9="",N31=""),"",ROUND((N31+M34)*N9/12,2))+N26</f>
        <v>-489.81000000000006</v>
      </c>
      <c r="O32" s="9">
        <f t="shared" ref="O32" si="43">IF(OR(O9="",O31=""),"",ROUND((O31+N34)*O9/12,2))</f>
        <v>-446.67</v>
      </c>
      <c r="P32" s="9">
        <f>IF(OR(P9="",P31=""),"",ROUND((P31+O34)*P9/12,2))</f>
        <v>-320.33</v>
      </c>
      <c r="Q32" s="9">
        <f>IF(OR(Q9="",Q31=""),"",ROUND((Q31+P34)*Q9/12,2))</f>
        <v>-176.85</v>
      </c>
      <c r="R32" s="9">
        <f t="shared" ref="R32:Y32" si="44">IF(OR(R9="",R31=""),"",ROUND((R31+Q34)*R9/12,2))</f>
        <v>-113.95</v>
      </c>
      <c r="S32" s="9">
        <f t="shared" si="44"/>
        <v>-138.51</v>
      </c>
      <c r="T32" s="9">
        <f t="shared" si="44"/>
        <v>-24.96</v>
      </c>
      <c r="U32" s="9">
        <f t="shared" si="44"/>
        <v>9.4600000000000009</v>
      </c>
      <c r="V32" s="9">
        <f t="shared" si="44"/>
        <v>87.57</v>
      </c>
      <c r="W32" s="9">
        <f t="shared" si="44"/>
        <v>144.4</v>
      </c>
      <c r="X32" s="9">
        <f t="shared" si="44"/>
        <v>192.71</v>
      </c>
      <c r="Y32" s="9">
        <f t="shared" si="44"/>
        <v>341.94</v>
      </c>
      <c r="Z32" s="9">
        <f>IF(OR(Z9="",Z31=""),"",ROUND((Z29+Z31+Y34+Z26)*Z9/12,2))+Z26</f>
        <v>988.38</v>
      </c>
      <c r="AA32" s="9">
        <f>IF(OR(AA9="",AA31=""),"",ROUND((AA29+AA31+Z34)*AA9/12,2))</f>
        <v>650.36</v>
      </c>
      <c r="AB32" s="9">
        <f>IF(OR(AB9="",AB31=""),"",ROUND((AB29+AB31+AA34)*AB9/12,2))</f>
        <v>510.04</v>
      </c>
      <c r="AC32" s="9">
        <f t="shared" ref="AC32:AN32" si="45">IF(OR(AC9="",AC31=""),"",ROUND((AC29+AC31+AB34)*AC9/12,2))</f>
        <v>456.47</v>
      </c>
      <c r="AD32" s="9">
        <f t="shared" si="45"/>
        <v>247.69</v>
      </c>
      <c r="AE32" s="9">
        <f t="shared" si="45"/>
        <v>171.75</v>
      </c>
      <c r="AF32" s="9">
        <f t="shared" si="45"/>
        <v>110.11</v>
      </c>
      <c r="AG32" s="9">
        <f t="shared" si="45"/>
        <v>224.39</v>
      </c>
      <c r="AH32" s="9">
        <f t="shared" si="45"/>
        <v>244.94</v>
      </c>
      <c r="AI32" s="9">
        <f t="shared" si="45"/>
        <v>504.7</v>
      </c>
      <c r="AJ32" s="9">
        <f t="shared" si="45"/>
        <v>506.2</v>
      </c>
      <c r="AK32" s="9">
        <f t="shared" si="45"/>
        <v>333.67</v>
      </c>
      <c r="AL32" s="9">
        <f t="shared" si="45"/>
        <v>317.33</v>
      </c>
      <c r="AM32" s="9">
        <f t="shared" si="45"/>
        <v>264.45</v>
      </c>
      <c r="AN32" s="9">
        <f t="shared" si="45"/>
        <v>160.06</v>
      </c>
    </row>
    <row r="33" spans="1:40" s="5" customFormat="1" hidden="1" outlineLevel="1" x14ac:dyDescent="0.3">
      <c r="A33" s="255"/>
      <c r="B33" s="18" t="s">
        <v>14</v>
      </c>
      <c r="C33" s="97"/>
      <c r="D33" s="97"/>
      <c r="E33" s="97"/>
      <c r="F33" s="9">
        <f t="shared" ref="F33:M33" si="46">IF(OR(F31="",F32=""),"",F31+F32)</f>
        <v>0</v>
      </c>
      <c r="G33" s="9">
        <f>IF(OR(G31="",G32=""),"",G31+G32)</f>
        <v>3550.566661994797</v>
      </c>
      <c r="H33" s="9">
        <f t="shared" si="46"/>
        <v>-2039.2270118757631</v>
      </c>
      <c r="I33" s="9">
        <f t="shared" si="46"/>
        <v>-101526.37221352637</v>
      </c>
      <c r="J33" s="9">
        <f t="shared" si="46"/>
        <v>3181.1750170901091</v>
      </c>
      <c r="K33" s="9">
        <f t="shared" si="46"/>
        <v>76922.166998553206</v>
      </c>
      <c r="L33" s="9">
        <f t="shared" si="46"/>
        <v>-50661.124803922765</v>
      </c>
      <c r="M33" s="9">
        <f t="shared" si="46"/>
        <v>-212765.84868433682</v>
      </c>
      <c r="N33" s="9">
        <f>IF(OR(N31="",N32=""),"",N31+N32)</f>
        <v>-40875.043069465028</v>
      </c>
      <c r="O33" s="9">
        <f>IF(OR(O31="",O32=""),"",O31+O32)</f>
        <v>43896.744292571195</v>
      </c>
      <c r="P33" s="9">
        <f t="shared" ref="P33:Y33" si="47">IF(OR(P31="",P32=""),"",P31+P32)</f>
        <v>76515.982043950484</v>
      </c>
      <c r="Q33" s="9">
        <f>IF(OR(Q31="",Q32=""),"",Q31+Q32)</f>
        <v>85956.348655375506</v>
      </c>
      <c r="R33" s="9">
        <f t="shared" si="47"/>
        <v>-70408.201757633753</v>
      </c>
      <c r="S33" s="9">
        <f t="shared" si="47"/>
        <v>-209303.98822788437</v>
      </c>
      <c r="T33" s="9">
        <f t="shared" si="47"/>
        <v>-137640.24236749447</v>
      </c>
      <c r="U33" s="9">
        <f t="shared" si="47"/>
        <v>248443.1719304994</v>
      </c>
      <c r="V33" s="9">
        <f t="shared" si="47"/>
        <v>354404.31050838664</v>
      </c>
      <c r="W33" s="9">
        <f t="shared" si="47"/>
        <v>594446.5137826167</v>
      </c>
      <c r="X33" s="9">
        <f t="shared" si="47"/>
        <v>474074.18595819216</v>
      </c>
      <c r="Y33" s="9">
        <f t="shared" si="47"/>
        <v>74280.489640369255</v>
      </c>
      <c r="Z33" s="9">
        <f>IF(OR(Z31="",Z32=""),"",Z31+Z32)</f>
        <v>201600.9065930564</v>
      </c>
      <c r="AA33" s="9">
        <f t="shared" ref="AA33:AN33" si="48">IF(OR(AA31="",AA32=""),"",AA31+AA32)</f>
        <v>226489.74155908043</v>
      </c>
      <c r="AB33" s="9">
        <f t="shared" si="48"/>
        <v>89235.463080529546</v>
      </c>
      <c r="AC33" s="9">
        <f t="shared" si="48"/>
        <v>-396123.86258011498</v>
      </c>
      <c r="AD33" s="9">
        <f t="shared" si="48"/>
        <v>-689936.95662341488</v>
      </c>
      <c r="AE33" s="9">
        <f t="shared" si="48"/>
        <v>-287999.03241608408</v>
      </c>
      <c r="AF33" s="9">
        <f t="shared" si="48"/>
        <v>-150117.4629734566</v>
      </c>
      <c r="AG33" s="9">
        <f t="shared" si="48"/>
        <v>977466.59325227782</v>
      </c>
      <c r="AH33" s="9">
        <f t="shared" si="48"/>
        <v>1076439.0440727836</v>
      </c>
      <c r="AI33" s="9">
        <f t="shared" si="48"/>
        <v>1158485.1223658144</v>
      </c>
      <c r="AJ33" s="9">
        <f t="shared" si="48"/>
        <v>496777.70805298147</v>
      </c>
      <c r="AK33" s="9">
        <f t="shared" si="48"/>
        <v>-262376.02895831753</v>
      </c>
      <c r="AL33" s="9">
        <f t="shared" si="48"/>
        <v>55928.153599903613</v>
      </c>
      <c r="AM33" s="9">
        <f t="shared" si="48"/>
        <v>-151946.1876627176</v>
      </c>
      <c r="AN33" s="9">
        <f t="shared" si="48"/>
        <v>-488826.84363802039</v>
      </c>
    </row>
    <row r="34" spans="1:40" s="5" customFormat="1" hidden="1" outlineLevel="1" x14ac:dyDescent="0.3">
      <c r="A34" s="255"/>
      <c r="B34" s="20" t="s">
        <v>15</v>
      </c>
      <c r="C34" s="97"/>
      <c r="D34" s="97"/>
      <c r="E34" s="97"/>
      <c r="F34" s="9">
        <f>IF(OR(F33=""),"",F33)</f>
        <v>0</v>
      </c>
      <c r="G34" s="9">
        <f>IF(OR(G33="",F34=""),"",G33+F34)</f>
        <v>3550.566661994797</v>
      </c>
      <c r="H34" s="9">
        <f t="shared" ref="H34:M34" si="49">IF(OR(H33="",G34=""),"",H33+G34)</f>
        <v>1511.3396501190339</v>
      </c>
      <c r="I34" s="9">
        <f t="shared" si="49"/>
        <v>-100015.03256340734</v>
      </c>
      <c r="J34" s="9">
        <f t="shared" si="49"/>
        <v>-96833.857546317231</v>
      </c>
      <c r="K34" s="9">
        <f t="shared" si="49"/>
        <v>-19911.690547764025</v>
      </c>
      <c r="L34" s="9">
        <f t="shared" si="49"/>
        <v>-70572.81535168679</v>
      </c>
      <c r="M34" s="9">
        <f t="shared" si="49"/>
        <v>-283338.66403602361</v>
      </c>
      <c r="N34" s="9">
        <f>IF(OR(N33="",M34=""),"",N33+N29+M34)</f>
        <v>-324213.70710548863</v>
      </c>
      <c r="O34" s="9">
        <f>IF(OR(O33="",N34=""),"",O33+O29+N34+O26)</f>
        <v>-280316.96281291742</v>
      </c>
      <c r="P34" s="9">
        <f>IF(OR(P33="",O34=""),"",P33+P29+O34)</f>
        <v>-203800.98076896695</v>
      </c>
      <c r="Q34" s="9">
        <f>IF(OR(Q33="",P34=""),"",Q33+Q29+P34)</f>
        <v>-2111.6621135914465</v>
      </c>
      <c r="R34" s="9">
        <f t="shared" ref="R34:Y34" si="50">IF(OR(R33="",Q34=""),"",R33+R29+Q34)</f>
        <v>32054.646128774795</v>
      </c>
      <c r="S34" s="9">
        <f>IF(OR(S33="",R34=""),"",S33+S29+R34)</f>
        <v>-94430.362099109581</v>
      </c>
      <c r="T34" s="9">
        <f t="shared" si="50"/>
        <v>-158064.95446660405</v>
      </c>
      <c r="U34" s="9">
        <f t="shared" si="50"/>
        <v>188319.39746389538</v>
      </c>
      <c r="V34" s="9">
        <f t="shared" si="50"/>
        <v>674318.377972282</v>
      </c>
      <c r="W34" s="9">
        <f t="shared" si="50"/>
        <v>1392292.0217548986</v>
      </c>
      <c r="X34" s="9">
        <f t="shared" si="50"/>
        <v>1977689.1577130908</v>
      </c>
      <c r="Y34" s="9">
        <f t="shared" si="50"/>
        <v>2127189.35735346</v>
      </c>
      <c r="Z34" s="9">
        <f>IF(OR(Z33="",Y34=""),"",Z33+Z29+Y34)</f>
        <v>2409031.7639465164</v>
      </c>
      <c r="AA34" s="9">
        <f t="shared" ref="AA34:AN34" si="51">IF(OR(AA33="",Z34=""),"",AA33+AA29+Z34)</f>
        <v>2741923.1455055969</v>
      </c>
      <c r="AB34" s="9">
        <f t="shared" si="51"/>
        <v>2969628.3885861263</v>
      </c>
      <c r="AC34" s="9">
        <f t="shared" si="51"/>
        <v>2359294.6860060114</v>
      </c>
      <c r="AD34" s="9">
        <f t="shared" si="51"/>
        <v>1391292.7993825965</v>
      </c>
      <c r="AE34" s="9">
        <f t="shared" si="51"/>
        <v>915664.59696651238</v>
      </c>
      <c r="AF34" s="9">
        <f t="shared" si="51"/>
        <v>589263.42399305583</v>
      </c>
      <c r="AG34" s="9">
        <f t="shared" si="51"/>
        <v>1335506.7472453336</v>
      </c>
      <c r="AH34" s="9">
        <f t="shared" si="51"/>
        <v>2106522.0613181172</v>
      </c>
      <c r="AI34" s="9">
        <f t="shared" si="51"/>
        <v>2953392.1736839316</v>
      </c>
      <c r="AJ34" s="9">
        <f t="shared" si="51"/>
        <v>3144077.431736913</v>
      </c>
      <c r="AK34" s="9">
        <f t="shared" si="51"/>
        <v>2669733.3027785956</v>
      </c>
      <c r="AL34" s="9">
        <f t="shared" si="51"/>
        <v>2538980.7263784991</v>
      </c>
      <c r="AM34" s="9">
        <f t="shared" si="51"/>
        <v>2115881.0787157817</v>
      </c>
      <c r="AN34" s="9">
        <f t="shared" si="51"/>
        <v>1280633.3550777612</v>
      </c>
    </row>
    <row r="35" spans="1:40" s="5" customFormat="1" ht="8.25" hidden="1" customHeight="1" outlineLevel="1" x14ac:dyDescent="0.3">
      <c r="A35" s="44"/>
      <c r="B35" s="13"/>
      <c r="C35" s="102"/>
      <c r="D35" s="102"/>
      <c r="E35" s="102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</row>
    <row r="36" spans="1:40" s="5" customFormat="1" ht="15" hidden="1" customHeight="1" outlineLevel="1" x14ac:dyDescent="0.3">
      <c r="A36" s="255" t="s">
        <v>21</v>
      </c>
      <c r="B36" s="17"/>
      <c r="C36" s="97"/>
      <c r="D36" s="97"/>
      <c r="E36" s="97"/>
      <c r="F36" s="9"/>
      <c r="G36" s="9"/>
      <c r="H36" s="9"/>
      <c r="I36" s="9"/>
      <c r="J36" s="9"/>
      <c r="K36" s="9"/>
      <c r="L36" s="9"/>
      <c r="M36" s="9"/>
      <c r="N36" s="144">
        <f>'MEEIA 3 adjs'!L22</f>
        <v>1.999999999998181E-2</v>
      </c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144">
        <f>'MEEIA 3 adjs'!AA44</f>
        <v>78.53</v>
      </c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</row>
    <row r="37" spans="1:40" s="3" customFormat="1" ht="15" hidden="1" customHeight="1" outlineLevel="1" x14ac:dyDescent="0.3">
      <c r="A37" s="255"/>
      <c r="B37" s="17" t="s">
        <v>28</v>
      </c>
      <c r="C37" s="97"/>
      <c r="D37" s="97"/>
      <c r="E37" s="97"/>
      <c r="F37" s="22">
        <f>IF('M3 Allocations - TD'!D6="","",'M3 Allocations - TD'!D32)</f>
        <v>0.34412602678174997</v>
      </c>
      <c r="G37" s="22">
        <f>IF('M3 Allocations - TD'!E6="","",'M3 Allocations - TD'!E32)</f>
        <v>593.85341007321881</v>
      </c>
      <c r="H37" s="22">
        <f>IF('M3 Allocations - TD'!F6="","",'M3 Allocations - TD'!F32)</f>
        <v>8368.5225960071712</v>
      </c>
      <c r="I37" s="22">
        <f>IF('M3 Allocations - TD'!G6="","",'M3 Allocations - TD'!G32)</f>
        <v>23641.814181406706</v>
      </c>
      <c r="J37" s="22">
        <f>IF('M3 Allocations - TD'!H6="","",'M3 Allocations - TD'!H32)</f>
        <v>47663.861231335664</v>
      </c>
      <c r="K37" s="22">
        <f>IF('M3 Allocations - TD'!I6="","",'M3 Allocations - TD'!I32)</f>
        <v>53414.007632337976</v>
      </c>
      <c r="L37" s="22">
        <f>IF('M3 Allocations - TD'!J6="","",'M3 Allocations - TD'!J32)</f>
        <v>71963.570102025027</v>
      </c>
      <c r="M37" s="22">
        <f>IF('M3 Allocations - TD'!K6="","",'M3 Allocations - TD'!K32)</f>
        <v>61965.410188273323</v>
      </c>
      <c r="N37" s="22">
        <f>IF('M3 Allocations - TD'!L6="","",'M3 Allocations - TD'!L32)</f>
        <v>64700.998849587129</v>
      </c>
      <c r="O37" s="22">
        <f>IF('M3 Allocations - TD'!M6="","",'M3 Allocations - TD'!M32)</f>
        <v>81956.189294724609</v>
      </c>
      <c r="P37" s="22">
        <f>IF('M3 Allocations - TD'!N6="","",'M3 Allocations - TD'!N32)</f>
        <v>113990.99327753842</v>
      </c>
      <c r="Q37" s="22">
        <f>IF('M3 Allocations - TD'!O6="","",'M3 Allocations - TD'!O32)</f>
        <v>88043.147483850829</v>
      </c>
      <c r="R37" s="22">
        <f>IF('M3 Allocations - TD'!P6="","",'M3 Allocations - TD'!P32)</f>
        <v>103641.60510926238</v>
      </c>
      <c r="S37" s="22">
        <f>IF('M3 Allocations - TD'!Q6="","",'M3 Allocations - TD'!Q32)</f>
        <v>44495.668454394727</v>
      </c>
      <c r="T37" s="22">
        <f>IF('M3 Allocations - TD'!R6="","",'M3 Allocations - TD'!R32)</f>
        <v>72447.479306892477</v>
      </c>
      <c r="U37" s="22">
        <f>IF('M3 Allocations - TD'!S6="","",'M3 Allocations - TD'!S32)</f>
        <v>100242.14080653639</v>
      </c>
      <c r="V37" s="22">
        <f>IF('M3 Allocations - TD'!T6="","",'M3 Allocations - TD'!T32)</f>
        <v>144814.88878280437</v>
      </c>
      <c r="W37" s="22">
        <f>IF('M3 Allocations - TD'!U6="","",'M3 Allocations - TD'!U32)</f>
        <v>113846.66455304027</v>
      </c>
      <c r="X37" s="22">
        <f>IF('M3 Allocations - TD'!V6="","",'M3 Allocations - TD'!V32)</f>
        <v>127713.0610159208</v>
      </c>
      <c r="Y37" s="22">
        <f>IF('M3 Allocations - TD'!W6="","",'M3 Allocations - TD'!W32)</f>
        <v>102944.20736329375</v>
      </c>
      <c r="Z37" s="22">
        <f>IF('M3 Allocations - TD'!X6="","",'M3 Allocations - TD'!X32)</f>
        <v>98619.753088261379</v>
      </c>
      <c r="AA37" s="22">
        <f>IF('M3 Allocations - TD'!Y6="","",'M3 Allocations - TD'!Y32)</f>
        <v>116491.49867964754</v>
      </c>
      <c r="AB37" s="22">
        <f>IF('M3 Allocations - TD'!Z6="","",'M3 Allocations - TD'!Z32)</f>
        <v>196559.66519683803</v>
      </c>
      <c r="AC37" s="22">
        <f>IF('M3 Allocations - TD'!AA6="","",'M3 Allocations - TD'!AA32)</f>
        <v>143190.44336244816</v>
      </c>
      <c r="AD37" s="22">
        <f>IF('M3 Allocations - TD'!AB6="","",'M3 Allocations - TD'!AB32)</f>
        <v>165885.95699877734</v>
      </c>
      <c r="AE37" s="22">
        <f>IF('M3 Allocations - TD'!AC6="","",'M3 Allocations - TD'!AC32)</f>
        <v>168014.93999895826</v>
      </c>
      <c r="AF37" s="22">
        <f>IF('M3 Allocations - TD'!AD6="","",'M3 Allocations - TD'!AD32)</f>
        <v>224708.57117023846</v>
      </c>
      <c r="AG37" s="22">
        <f>IF('M3 Allocations - TD'!AE6="","",'M3 Allocations - TD'!AE32)</f>
        <v>334985.01191056194</v>
      </c>
      <c r="AH37" s="22">
        <f>IF('M3 Allocations - TD'!AF6="","",'M3 Allocations - TD'!AF32)</f>
        <v>449867.18718954525</v>
      </c>
      <c r="AI37" s="22">
        <f>IF('M3 Allocations - TD'!AG6="","",'M3 Allocations - TD'!AG32)</f>
        <v>392143.15877642907</v>
      </c>
      <c r="AJ37" s="22">
        <f>IF('M3 Allocations - TD'!AH6="","",'M3 Allocations - TD'!AH32)</f>
        <v>337751.81199888035</v>
      </c>
      <c r="AK37" s="22">
        <f>IF('M3 Allocations - TD'!AI6="","",'M3 Allocations - TD'!AI32)</f>
        <v>247793.76914859904</v>
      </c>
      <c r="AL37" s="22">
        <f>IF('M3 Allocations - TD'!AJ6="","",'M3 Allocations - TD'!AJ32)</f>
        <v>231435.5229782091</v>
      </c>
      <c r="AM37" s="22">
        <f>IF('M3 Allocations - TD'!AK6="","",'M3 Allocations - TD'!AK32)</f>
        <v>309462.23483799922</v>
      </c>
      <c r="AN37" s="22">
        <f>IF('M3 Allocations - TD'!AL6="","",'M3 Allocations - TD'!AL32)</f>
        <v>371030.33244412072</v>
      </c>
    </row>
    <row r="38" spans="1:40" s="5" customFormat="1" ht="15" hidden="1" customHeight="1" outlineLevel="1" x14ac:dyDescent="0.3">
      <c r="A38" s="255"/>
      <c r="B38" s="18" t="s">
        <v>26</v>
      </c>
      <c r="C38" s="97"/>
      <c r="D38" s="97"/>
      <c r="E38" s="97"/>
      <c r="F38" s="22">
        <f>IF('M3 Allocations - TD'!D52="","",'M3 Allocations - TD'!D70)</f>
        <v>0</v>
      </c>
      <c r="G38" s="22">
        <f>IF('M3 Allocations - TD'!E52="","",'M3 Allocations - TD'!E70)</f>
        <v>0</v>
      </c>
      <c r="H38" s="22">
        <f>IF('M3 Allocations - TD'!F52="","",'M3 Allocations - TD'!F70)</f>
        <v>4662.874879564878</v>
      </c>
      <c r="I38" s="22">
        <f>IF('M3 Allocations - TD'!G52="","",'M3 Allocations - TD'!G70)</f>
        <v>60575.806014450071</v>
      </c>
      <c r="J38" s="22">
        <f>IF('M3 Allocations - TD'!H52="","",'M3 Allocations - TD'!H70)</f>
        <v>69235.226705339766</v>
      </c>
      <c r="K38" s="22">
        <f>IF('M3 Allocations - TD'!I52="","",'M3 Allocations - TD'!I70)</f>
        <v>71132.268141530934</v>
      </c>
      <c r="L38" s="22">
        <f>IF('M3 Allocations - TD'!J52="","",'M3 Allocations - TD'!J70)</f>
        <v>68766.003213137257</v>
      </c>
      <c r="M38" s="22">
        <f>IF('M3 Allocations - TD'!K52="","",'M3 Allocations - TD'!K70)</f>
        <v>61936.863591354115</v>
      </c>
      <c r="N38" s="22">
        <f>IF('M3 Allocations - TD'!L52="","",'M3 Allocations - TD'!L70)</f>
        <v>55314.675500358826</v>
      </c>
      <c r="O38" s="22">
        <f>IF('M3 Allocations - TD'!M52="","",'M3 Allocations - TD'!M70)</f>
        <v>64772.869833744619</v>
      </c>
      <c r="P38" s="22">
        <f>IF('M3 Allocations - TD'!N52="","",'M3 Allocations - TD'!N70)</f>
        <v>69020.979330338465</v>
      </c>
      <c r="Q38" s="22">
        <f>IF('M3 Allocations - TD'!O52="","",'M3 Allocations - TD'!O70)</f>
        <v>72477.677451482814</v>
      </c>
      <c r="R38" s="22">
        <f>IF('M3 Allocations - TD'!P52="","",'M3 Allocations - TD'!P70)</f>
        <v>71928.028717536567</v>
      </c>
      <c r="S38" s="22">
        <f>IF('M3 Allocations - TD'!Q52="","",'M3 Allocations - TD'!Q70)</f>
        <v>55453.451619799707</v>
      </c>
      <c r="T38" s="22">
        <f>IF('M3 Allocations - TD'!R52="","",'M3 Allocations - TD'!R70)</f>
        <v>50391.746026202469</v>
      </c>
      <c r="U38" s="22">
        <f>IF('M3 Allocations - TD'!S52="","",'M3 Allocations - TD'!S70)</f>
        <v>63389.498728401399</v>
      </c>
      <c r="V38" s="22">
        <f>IF('M3 Allocations - TD'!T52="","",'M3 Allocations - TD'!T70)</f>
        <v>78881.855890584935</v>
      </c>
      <c r="W38" s="22">
        <f>IF('M3 Allocations - TD'!U52="","",'M3 Allocations - TD'!U70)</f>
        <v>76955.02703194521</v>
      </c>
      <c r="X38" s="22">
        <f>IF('M3 Allocations - TD'!V52="","",'M3 Allocations - TD'!V70)</f>
        <v>73755.388306573834</v>
      </c>
      <c r="Y38" s="22">
        <f>IF('M3 Allocations - TD'!W52="","",'M3 Allocations - TD'!W70)</f>
        <v>59772.834718849517</v>
      </c>
      <c r="Z38" s="22">
        <f>IF('M3 Allocations - TD'!X52="","",'M3 Allocations - TD'!X70)</f>
        <v>59572.876185864705</v>
      </c>
      <c r="AA38" s="22">
        <f>IF('M3 Allocations - TD'!Y52="","",'M3 Allocations - TD'!Y70)</f>
        <v>68599.470346323797</v>
      </c>
      <c r="AB38" s="22">
        <f>IF('M3 Allocations - TD'!Z52="","",'M3 Allocations - TD'!Z70)</f>
        <v>81564.73791205966</v>
      </c>
      <c r="AC38" s="22">
        <f>IF('M3 Allocations - TD'!AA52="","",'M3 Allocations - TD'!AA70)</f>
        <v>242664.75286538465</v>
      </c>
      <c r="AD38" s="22">
        <f>IF('M3 Allocations - TD'!AB52="","",'M3 Allocations - TD'!AB70)</f>
        <v>375919.83719992841</v>
      </c>
      <c r="AE38" s="22">
        <f>IF('M3 Allocations - TD'!AC52="","",'M3 Allocations - TD'!AC70)</f>
        <v>300075.62636462261</v>
      </c>
      <c r="AF38" s="22">
        <f>IF('M3 Allocations - TD'!AD52="","",'M3 Allocations - TD'!AD70)</f>
        <v>293923.98139317043</v>
      </c>
      <c r="AG38" s="22">
        <f>IF('M3 Allocations - TD'!AE52="","",'M3 Allocations - TD'!AE70)</f>
        <v>350815.31218641665</v>
      </c>
      <c r="AH38" s="22">
        <f>IF('M3 Allocations - TD'!AF52="","",'M3 Allocations - TD'!AF70)</f>
        <v>415012.49945076351</v>
      </c>
      <c r="AI38" s="22">
        <f>IF('M3 Allocations - TD'!AG52="","",'M3 Allocations - TD'!AG70)</f>
        <v>415043.37829811877</v>
      </c>
      <c r="AJ38" s="22">
        <f>IF('M3 Allocations - TD'!AH52="","",'M3 Allocations - TD'!AH70)</f>
        <v>419425.17682734353</v>
      </c>
      <c r="AK38" s="22">
        <f>IF('M3 Allocations - TD'!AI52="","",'M3 Allocations - TD'!AI70)</f>
        <v>350351.57477839955</v>
      </c>
      <c r="AL38" s="22">
        <f>IF('M3 Allocations - TD'!AJ52="","",'M3 Allocations - TD'!AJ70)</f>
        <v>310924.85136511241</v>
      </c>
      <c r="AM38" s="22">
        <f>IF('M3 Allocations - TD'!AK52="","",'M3 Allocations - TD'!AK70)</f>
        <v>370785.03148898733</v>
      </c>
      <c r="AN38" s="22">
        <f>IF('M3 Allocations - TD'!AL52="","",'M3 Allocations - TD'!AL70)</f>
        <v>435312.87343833351</v>
      </c>
    </row>
    <row r="39" spans="1:40" s="5" customFormat="1" ht="15" hidden="1" customHeight="1" outlineLevel="1" x14ac:dyDescent="0.3">
      <c r="A39" s="255"/>
      <c r="B39" s="18" t="s">
        <v>47</v>
      </c>
      <c r="C39" s="97"/>
      <c r="D39" s="97"/>
      <c r="E39" s="97"/>
      <c r="F39" s="22">
        <f>IF(F38="","",0)</f>
        <v>0</v>
      </c>
      <c r="G39" s="22">
        <f t="shared" ref="G39" si="52">IF(G38="","",0)</f>
        <v>0</v>
      </c>
      <c r="H39" s="22">
        <f t="shared" ref="H39" si="53">IF(H38="","",0)</f>
        <v>0</v>
      </c>
      <c r="I39" s="22">
        <f t="shared" ref="I39" si="54">IF(I38="","",0)</f>
        <v>0</v>
      </c>
      <c r="J39" s="22">
        <f t="shared" ref="J39" si="55">IF(J38="","",0)</f>
        <v>0</v>
      </c>
      <c r="K39" s="22">
        <f t="shared" ref="K39" si="56">IF(K38="","",0)</f>
        <v>0</v>
      </c>
      <c r="L39" s="22">
        <f t="shared" ref="L39" si="57">IF(L38="","",0)</f>
        <v>0</v>
      </c>
      <c r="M39" s="22">
        <f t="shared" ref="M39" si="58">IF(M38="","",0)</f>
        <v>0</v>
      </c>
      <c r="N39" s="22">
        <f t="shared" ref="N39" si="59">IF(N38="","",0)</f>
        <v>0</v>
      </c>
      <c r="O39" s="22">
        <f t="shared" ref="O39" si="60">IF(O38="","",0)</f>
        <v>0</v>
      </c>
      <c r="P39" s="22">
        <f t="shared" ref="P39" si="61">IF(P38="","",0)</f>
        <v>0</v>
      </c>
      <c r="Q39" s="22">
        <f>IF(Q38="","",-'M3 TD amort'!C15)</f>
        <v>17996.03</v>
      </c>
      <c r="R39" s="22">
        <f>IF(R38="","",-'M3 TD amort'!D15)</f>
        <v>17828.82</v>
      </c>
      <c r="S39" s="22">
        <f>IF(S38="","",-'M3 TD amort'!E15)</f>
        <v>13698.34</v>
      </c>
      <c r="T39" s="22">
        <f>IF(T38="","",-'M3 TD amort'!F15)</f>
        <v>12419.68</v>
      </c>
      <c r="U39" s="22">
        <f>IF(U38="","",-'M3 TD amort'!G15)</f>
        <v>15595.43</v>
      </c>
      <c r="V39" s="22">
        <f>IF(V38="","",-'M3 TD amort'!H15)</f>
        <v>19419.18</v>
      </c>
      <c r="W39" s="22">
        <f>IF(W38="","",-'M3 TD amort'!I15)</f>
        <v>18927.88</v>
      </c>
      <c r="X39" s="22">
        <f>IF(X38="","",-'M3 TD amort'!J15)</f>
        <v>18118.43</v>
      </c>
      <c r="Y39" s="22">
        <f>IF(Y38="","",-'M3 TD amort'!K15)</f>
        <v>14686.23</v>
      </c>
      <c r="Z39" s="22">
        <f>IF(Z38="","",-'M3 TD amort'!L15)</f>
        <v>14677.84</v>
      </c>
      <c r="AA39" s="22">
        <f>IF(AA38="","",-'M3 TD amort'!M15)</f>
        <v>16957.169999999998</v>
      </c>
      <c r="AB39" s="22">
        <f>IF(AB38="","",-'M3 TD amort'!N15)</f>
        <v>20227.96</v>
      </c>
      <c r="AC39" s="22">
        <f>IF(AC38="","",-'M3 TD amort'!O15)</f>
        <v>-27075.87</v>
      </c>
      <c r="AD39" s="22">
        <f>IF(AD38="","",-'M3 TD amort'!P15)</f>
        <v>-41869.919999999998</v>
      </c>
      <c r="AE39" s="22">
        <f>IF(AE38="","",-'M3 TD amort'!Q15)</f>
        <v>-33303.57</v>
      </c>
      <c r="AF39" s="22">
        <f>IF(AF38="","",-'M3 TD amort'!R15)</f>
        <v>-32560.29</v>
      </c>
      <c r="AG39" s="22">
        <f>IF(AG38="","",-'M3 TD amort'!S15)</f>
        <v>-38841.39</v>
      </c>
      <c r="AH39" s="22">
        <f>IF(AH38="","",-'M3 TD amort'!T15)</f>
        <v>-45977.98</v>
      </c>
      <c r="AI39" s="22">
        <f>IF(AI38="","",-'M3 TD amort'!U15)</f>
        <v>-45995.38</v>
      </c>
      <c r="AJ39" s="22">
        <f>IF(AJ38="","",-'M3 TD amort'!V15)</f>
        <v>-46474.38</v>
      </c>
      <c r="AK39" s="22">
        <f>IF(AK38="","",-'M3 TD amort'!W15)</f>
        <v>-38765.449999999997</v>
      </c>
      <c r="AL39" s="22">
        <f>IF(AL38="","",-'M3 TD amort'!X15)</f>
        <v>-34432.71</v>
      </c>
      <c r="AM39" s="22">
        <f>IF(AM38="","",-'M3 TD amort'!Y15)</f>
        <v>-41160.81</v>
      </c>
      <c r="AN39" s="22">
        <f>IF(AN38="","",-'M3 TD amort'!Z15)</f>
        <v>-48388.62</v>
      </c>
    </row>
    <row r="40" spans="1:40" s="5" customFormat="1" ht="15" hidden="1" customHeight="1" outlineLevel="1" x14ac:dyDescent="0.3">
      <c r="A40" s="255"/>
      <c r="B40" s="18" t="s">
        <v>48</v>
      </c>
      <c r="C40" s="97"/>
      <c r="D40" s="97"/>
      <c r="E40" s="97"/>
      <c r="F40" s="9">
        <f t="shared" ref="F40:M40" si="62">IF(OR(F39="",F38=""),"",F38+F39)</f>
        <v>0</v>
      </c>
      <c r="G40" s="9">
        <f t="shared" si="62"/>
        <v>0</v>
      </c>
      <c r="H40" s="9">
        <f t="shared" si="62"/>
        <v>4662.874879564878</v>
      </c>
      <c r="I40" s="9">
        <f t="shared" si="62"/>
        <v>60575.806014450071</v>
      </c>
      <c r="J40" s="9">
        <f t="shared" si="62"/>
        <v>69235.226705339766</v>
      </c>
      <c r="K40" s="9">
        <f t="shared" si="62"/>
        <v>71132.268141530934</v>
      </c>
      <c r="L40" s="9">
        <f t="shared" si="62"/>
        <v>68766.003213137257</v>
      </c>
      <c r="M40" s="9">
        <f t="shared" si="62"/>
        <v>61936.863591354115</v>
      </c>
      <c r="N40" s="9">
        <f>IF(OR(N39="",N38=""),"",N38+N39)</f>
        <v>55314.675500358826</v>
      </c>
      <c r="O40" s="9">
        <f t="shared" ref="O40:AN40" si="63">IF(OR(O39="",O38=""),"",O38+O39)</f>
        <v>64772.869833744619</v>
      </c>
      <c r="P40" s="9">
        <f t="shared" si="63"/>
        <v>69020.979330338465</v>
      </c>
      <c r="Q40" s="9">
        <f t="shared" si="63"/>
        <v>90473.707451482813</v>
      </c>
      <c r="R40" s="9">
        <f t="shared" si="63"/>
        <v>89756.848717536574</v>
      </c>
      <c r="S40" s="9">
        <f t="shared" si="63"/>
        <v>69151.791619799711</v>
      </c>
      <c r="T40" s="9">
        <f t="shared" si="63"/>
        <v>62811.426026202469</v>
      </c>
      <c r="U40" s="9">
        <f t="shared" si="63"/>
        <v>78984.928728401399</v>
      </c>
      <c r="V40" s="9">
        <f t="shared" si="63"/>
        <v>98301.035890584928</v>
      </c>
      <c r="W40" s="9">
        <f t="shared" si="63"/>
        <v>95882.907031945215</v>
      </c>
      <c r="X40" s="9">
        <f t="shared" si="63"/>
        <v>91873.818306573841</v>
      </c>
      <c r="Y40" s="9">
        <f t="shared" si="63"/>
        <v>74459.06471884952</v>
      </c>
      <c r="Z40" s="9">
        <f t="shared" si="63"/>
        <v>74250.716185864701</v>
      </c>
      <c r="AA40" s="9">
        <f t="shared" si="63"/>
        <v>85556.640346323795</v>
      </c>
      <c r="AB40" s="9">
        <f t="shared" si="63"/>
        <v>101792.69791205967</v>
      </c>
      <c r="AC40" s="9">
        <f t="shared" si="63"/>
        <v>215588.88286538466</v>
      </c>
      <c r="AD40" s="9">
        <f t="shared" si="63"/>
        <v>334049.91719992843</v>
      </c>
      <c r="AE40" s="9">
        <f t="shared" si="63"/>
        <v>266772.05636462261</v>
      </c>
      <c r="AF40" s="9">
        <f t="shared" si="63"/>
        <v>261363.69139317042</v>
      </c>
      <c r="AG40" s="9">
        <f t="shared" si="63"/>
        <v>311973.92218641663</v>
      </c>
      <c r="AH40" s="9">
        <f t="shared" si="63"/>
        <v>369034.51945076353</v>
      </c>
      <c r="AI40" s="9">
        <f t="shared" si="63"/>
        <v>369047.99829811876</v>
      </c>
      <c r="AJ40" s="9">
        <f t="shared" si="63"/>
        <v>372950.79682734353</v>
      </c>
      <c r="AK40" s="9">
        <f t="shared" si="63"/>
        <v>311586.12477839953</v>
      </c>
      <c r="AL40" s="9">
        <f t="shared" si="63"/>
        <v>276492.14136511239</v>
      </c>
      <c r="AM40" s="9">
        <f t="shared" si="63"/>
        <v>329624.22148898733</v>
      </c>
      <c r="AN40" s="9">
        <f t="shared" si="63"/>
        <v>386924.25343833352</v>
      </c>
    </row>
    <row r="41" spans="1:40" s="5" customFormat="1" hidden="1" outlineLevel="1" x14ac:dyDescent="0.3">
      <c r="A41" s="255"/>
      <c r="B41" s="18" t="s">
        <v>13</v>
      </c>
      <c r="C41" s="97"/>
      <c r="D41" s="97"/>
      <c r="E41" s="97"/>
      <c r="F41" s="9">
        <f t="shared" ref="F41:M41" si="64">IF(OR(F38="",F37=""),"",F37-F38)</f>
        <v>0.34412602678174997</v>
      </c>
      <c r="G41" s="9">
        <f t="shared" si="64"/>
        <v>593.85341007321881</v>
      </c>
      <c r="H41" s="9">
        <f t="shared" si="64"/>
        <v>3705.6477164422931</v>
      </c>
      <c r="I41" s="9">
        <f t="shared" si="64"/>
        <v>-36933.991833043365</v>
      </c>
      <c r="J41" s="9">
        <f t="shared" si="64"/>
        <v>-21571.365474004102</v>
      </c>
      <c r="K41" s="9">
        <f t="shared" si="64"/>
        <v>-17718.260509192958</v>
      </c>
      <c r="L41" s="9">
        <f t="shared" si="64"/>
        <v>3197.5668888877699</v>
      </c>
      <c r="M41" s="9">
        <f t="shared" si="64"/>
        <v>28.546596919208241</v>
      </c>
      <c r="N41" s="9">
        <f>IF(OR(N40="",N37=""),"",N37-N40)</f>
        <v>9386.3233492283034</v>
      </c>
      <c r="O41" s="9">
        <f t="shared" ref="O41:AN41" si="65">IF(OR(O40="",O37=""),"",O37-O40)</f>
        <v>17183.31946097999</v>
      </c>
      <c r="P41" s="9">
        <f t="shared" si="65"/>
        <v>44970.013947199957</v>
      </c>
      <c r="Q41" s="9">
        <f>IF(OR(Q40="",Q37=""),"",Q37-Q40)</f>
        <v>-2430.5599676319835</v>
      </c>
      <c r="R41" s="9">
        <f t="shared" si="65"/>
        <v>13884.756391725808</v>
      </c>
      <c r="S41" s="9">
        <f t="shared" si="65"/>
        <v>-24656.123165404984</v>
      </c>
      <c r="T41" s="9">
        <f t="shared" si="65"/>
        <v>9636.0532806900083</v>
      </c>
      <c r="U41" s="9">
        <f t="shared" si="65"/>
        <v>21257.212078134995</v>
      </c>
      <c r="V41" s="9">
        <f t="shared" si="65"/>
        <v>46513.852892219438</v>
      </c>
      <c r="W41" s="9">
        <f t="shared" si="65"/>
        <v>17963.75752109506</v>
      </c>
      <c r="X41" s="9">
        <f t="shared" si="65"/>
        <v>35839.24270934696</v>
      </c>
      <c r="Y41" s="9">
        <f t="shared" si="65"/>
        <v>28485.142644444233</v>
      </c>
      <c r="Z41" s="9">
        <f t="shared" si="65"/>
        <v>24369.036902396678</v>
      </c>
      <c r="AA41" s="9">
        <f t="shared" si="65"/>
        <v>30934.858333323748</v>
      </c>
      <c r="AB41" s="9">
        <f t="shared" si="65"/>
        <v>94766.967284778366</v>
      </c>
      <c r="AC41" s="9">
        <f t="shared" si="65"/>
        <v>-72398.439502936497</v>
      </c>
      <c r="AD41" s="9">
        <f t="shared" si="65"/>
        <v>-168163.96020115109</v>
      </c>
      <c r="AE41" s="9">
        <f t="shared" si="65"/>
        <v>-98757.116365664348</v>
      </c>
      <c r="AF41" s="9">
        <f t="shared" si="65"/>
        <v>-36655.120222931961</v>
      </c>
      <c r="AG41" s="9">
        <f t="shared" si="65"/>
        <v>23011.089724145306</v>
      </c>
      <c r="AH41" s="9">
        <f t="shared" si="65"/>
        <v>80832.667738781718</v>
      </c>
      <c r="AI41" s="9">
        <f t="shared" si="65"/>
        <v>23095.16047831031</v>
      </c>
      <c r="AJ41" s="9">
        <f t="shared" si="65"/>
        <v>-35198.984828463173</v>
      </c>
      <c r="AK41" s="9">
        <f t="shared" si="65"/>
        <v>-63792.355629800499</v>
      </c>
      <c r="AL41" s="9">
        <f t="shared" si="65"/>
        <v>-45056.618386903283</v>
      </c>
      <c r="AM41" s="9">
        <f t="shared" si="65"/>
        <v>-20161.98665098811</v>
      </c>
      <c r="AN41" s="9">
        <f t="shared" si="65"/>
        <v>-15893.920994212793</v>
      </c>
    </row>
    <row r="42" spans="1:40" s="5" customFormat="1" hidden="1" outlineLevel="1" x14ac:dyDescent="0.3">
      <c r="A42" s="255"/>
      <c r="B42" s="19" t="s">
        <v>8</v>
      </c>
      <c r="C42" s="97"/>
      <c r="D42" s="97"/>
      <c r="E42" s="97"/>
      <c r="F42" s="9">
        <f>IF(OR(F9="",F41=""),"",ROUND((F41+E44)*F9/12,2))</f>
        <v>0</v>
      </c>
      <c r="G42" s="9">
        <f t="shared" ref="G42:L42" si="66">IF(OR(G9="",G41=""),"",ROUND((G41+F44)*G9/12,2))</f>
        <v>1.32</v>
      </c>
      <c r="H42" s="9">
        <f t="shared" si="66"/>
        <v>9.6</v>
      </c>
      <c r="I42" s="9">
        <f t="shared" si="66"/>
        <v>-72.040000000000006</v>
      </c>
      <c r="J42" s="9">
        <f t="shared" si="66"/>
        <v>-117.35</v>
      </c>
      <c r="K42" s="9">
        <f t="shared" si="66"/>
        <v>-141.27000000000001</v>
      </c>
      <c r="L42" s="9">
        <f t="shared" si="66"/>
        <v>-127.55</v>
      </c>
      <c r="M42" s="9">
        <f t="shared" ref="M42" si="67">IF(OR(M9="",M41=""),"",ROUND((M41+L44)*M9/12,2))</f>
        <v>-121.81</v>
      </c>
      <c r="N42" s="9">
        <f>IF(OR(N9="",N41=""),"",ROUND((N41+M44)*N9/12,2))+N36</f>
        <v>-90.600000000000023</v>
      </c>
      <c r="O42" s="9">
        <f t="shared" ref="O42" si="68">IF(OR(O9="",O41=""),"",ROUND((O41+N44)*O9/12,2))</f>
        <v>-68.290000000000006</v>
      </c>
      <c r="P42" s="9">
        <f t="shared" ref="P42" si="69">IF(OR(P9="",P41=""),"",ROUND((P41+O44)*P9/12,2))</f>
        <v>3.33</v>
      </c>
      <c r="Q42" s="9">
        <f>IF(OR(Q9="",Q41=""),"",ROUND((Q41+P44)*Q9/12,2))</f>
        <v>-0.47</v>
      </c>
      <c r="R42" s="9">
        <f t="shared" ref="R42:Y42" si="70">IF(OR(R9="",R41=""),"",ROUND((R41+Q44)*R9/12,2))</f>
        <v>49.68</v>
      </c>
      <c r="S42" s="9">
        <f t="shared" si="70"/>
        <v>19.39</v>
      </c>
      <c r="T42" s="9">
        <f t="shared" si="70"/>
        <v>5.18</v>
      </c>
      <c r="U42" s="9">
        <f t="shared" si="70"/>
        <v>8.57</v>
      </c>
      <c r="V42" s="9">
        <f t="shared" si="70"/>
        <v>23.23</v>
      </c>
      <c r="W42" s="9">
        <f t="shared" si="70"/>
        <v>20.64</v>
      </c>
      <c r="X42" s="9">
        <f t="shared" si="70"/>
        <v>24.38</v>
      </c>
      <c r="Y42" s="9">
        <f t="shared" si="70"/>
        <v>47.13</v>
      </c>
      <c r="Z42" s="9">
        <f>IF(OR(Z9="",Z41=""),"",ROUND((Z39+Z41+Y44+Z36)*Z9/12,2))+Z36</f>
        <v>149.35</v>
      </c>
      <c r="AA42" s="9">
        <f>IF(OR(AA9="",AA41=""),"",ROUND((AA39+AA41+Z44)*AA9/12,2))</f>
        <v>91.24</v>
      </c>
      <c r="AB42" s="9">
        <f>IF(OR(AB9="",AB41=""),"",ROUND((AB39+AB41+AA44)*AB9/12,2))</f>
        <v>85.84</v>
      </c>
      <c r="AC42" s="9">
        <f t="shared" ref="AC42:AN42" si="71">IF(OR(AC9="",AC41=""),"",ROUND((AC39+AC41+AB44)*AC9/12,2))</f>
        <v>77.459999999999994</v>
      </c>
      <c r="AD42" s="9">
        <f t="shared" si="71"/>
        <v>33.89</v>
      </c>
      <c r="AE42" s="9">
        <f t="shared" si="71"/>
        <v>10.94</v>
      </c>
      <c r="AF42" s="9">
        <f t="shared" si="71"/>
        <v>-2.04</v>
      </c>
      <c r="AG42" s="9">
        <f t="shared" si="71"/>
        <v>-4.49</v>
      </c>
      <c r="AH42" s="9">
        <f t="shared" si="71"/>
        <v>0.94</v>
      </c>
      <c r="AI42" s="9">
        <f t="shared" si="71"/>
        <v>-2.5299999999999998</v>
      </c>
      <c r="AJ42" s="9">
        <f t="shared" si="71"/>
        <v>-15.53</v>
      </c>
      <c r="AK42" s="9">
        <f t="shared" si="71"/>
        <v>-24.88</v>
      </c>
      <c r="AL42" s="9">
        <f t="shared" si="71"/>
        <v>-34.82</v>
      </c>
      <c r="AM42" s="9">
        <f t="shared" si="71"/>
        <v>-42.49</v>
      </c>
      <c r="AN42" s="9">
        <f t="shared" si="71"/>
        <v>-50.53</v>
      </c>
    </row>
    <row r="43" spans="1:40" s="5" customFormat="1" hidden="1" outlineLevel="1" x14ac:dyDescent="0.3">
      <c r="A43" s="255"/>
      <c r="B43" s="18" t="s">
        <v>14</v>
      </c>
      <c r="C43" s="97"/>
      <c r="D43" s="97"/>
      <c r="E43" s="97"/>
      <c r="F43" s="9">
        <f t="shared" ref="F43:M43" si="72">IF(OR(F41="",F42=""),"",F41+F42)</f>
        <v>0.34412602678174997</v>
      </c>
      <c r="G43" s="9">
        <f t="shared" si="72"/>
        <v>595.17341007321886</v>
      </c>
      <c r="H43" s="9">
        <f t="shared" si="72"/>
        <v>3715.247716442293</v>
      </c>
      <c r="I43" s="9">
        <f t="shared" si="72"/>
        <v>-37006.031833043366</v>
      </c>
      <c r="J43" s="9">
        <f t="shared" si="72"/>
        <v>-21688.715474004101</v>
      </c>
      <c r="K43" s="9">
        <f t="shared" si="72"/>
        <v>-17859.530509192959</v>
      </c>
      <c r="L43" s="9">
        <f t="shared" si="72"/>
        <v>3070.0168888877697</v>
      </c>
      <c r="M43" s="9">
        <f t="shared" si="72"/>
        <v>-93.263403080791761</v>
      </c>
      <c r="N43" s="9">
        <f>IF(OR(N41="",N42=""),"",N41+N42)</f>
        <v>9295.7233492283031</v>
      </c>
      <c r="O43" s="9">
        <f t="shared" ref="O43:Y43" si="73">IF(OR(O41="",O42=""),"",O41+O42)</f>
        <v>17115.029460979989</v>
      </c>
      <c r="P43" s="9">
        <f t="shared" si="73"/>
        <v>44973.343947199959</v>
      </c>
      <c r="Q43" s="9">
        <f t="shared" si="73"/>
        <v>-2431.0299676319833</v>
      </c>
      <c r="R43" s="9">
        <f t="shared" si="73"/>
        <v>13934.436391725809</v>
      </c>
      <c r="S43" s="9">
        <f t="shared" si="73"/>
        <v>-24636.733165404985</v>
      </c>
      <c r="T43" s="9">
        <f t="shared" si="73"/>
        <v>9641.2332806900085</v>
      </c>
      <c r="U43" s="9">
        <f t="shared" si="73"/>
        <v>21265.782078134995</v>
      </c>
      <c r="V43" s="9">
        <f t="shared" si="73"/>
        <v>46537.082892219441</v>
      </c>
      <c r="W43" s="9">
        <f t="shared" si="73"/>
        <v>17984.397521095059</v>
      </c>
      <c r="X43" s="9">
        <f t="shared" si="73"/>
        <v>35863.622709346957</v>
      </c>
      <c r="Y43" s="9">
        <f t="shared" si="73"/>
        <v>28532.272644444234</v>
      </c>
      <c r="Z43" s="9">
        <f>IF(OR(Z41="",Z42=""),"",Z41+Z42)</f>
        <v>24518.386902396676</v>
      </c>
      <c r="AA43" s="9">
        <f t="shared" ref="AA43:AN43" si="74">IF(OR(AA41="",AA42=""),"",AA41+AA42)</f>
        <v>31026.098333323749</v>
      </c>
      <c r="AB43" s="9">
        <f t="shared" si="74"/>
        <v>94852.807284778362</v>
      </c>
      <c r="AC43" s="9">
        <f t="shared" si="74"/>
        <v>-72320.97950293649</v>
      </c>
      <c r="AD43" s="9">
        <f t="shared" si="74"/>
        <v>-168130.07020115107</v>
      </c>
      <c r="AE43" s="9">
        <f t="shared" si="74"/>
        <v>-98746.176365664345</v>
      </c>
      <c r="AF43" s="9">
        <f t="shared" si="74"/>
        <v>-36657.160222931961</v>
      </c>
      <c r="AG43" s="9">
        <f t="shared" si="74"/>
        <v>23006.599724145304</v>
      </c>
      <c r="AH43" s="9">
        <f t="shared" si="74"/>
        <v>80833.60773878172</v>
      </c>
      <c r="AI43" s="9">
        <f t="shared" si="74"/>
        <v>23092.630478310311</v>
      </c>
      <c r="AJ43" s="9">
        <f t="shared" si="74"/>
        <v>-35214.514828463172</v>
      </c>
      <c r="AK43" s="9">
        <f t="shared" si="74"/>
        <v>-63817.235629800496</v>
      </c>
      <c r="AL43" s="9">
        <f t="shared" si="74"/>
        <v>-45091.438386903283</v>
      </c>
      <c r="AM43" s="9">
        <f t="shared" si="74"/>
        <v>-20204.476650988112</v>
      </c>
      <c r="AN43" s="9">
        <f t="shared" si="74"/>
        <v>-15944.450994212793</v>
      </c>
    </row>
    <row r="44" spans="1:40" s="5" customFormat="1" hidden="1" outlineLevel="1" x14ac:dyDescent="0.3">
      <c r="A44" s="255"/>
      <c r="B44" s="20" t="s">
        <v>16</v>
      </c>
      <c r="C44" s="97"/>
      <c r="D44" s="97"/>
      <c r="E44" s="97"/>
      <c r="F44" s="9">
        <f>IF(OR(F43=""),"",F43)</f>
        <v>0.34412602678174997</v>
      </c>
      <c r="G44" s="9">
        <f t="shared" ref="G44:M44" si="75">IF(OR(G43="",F44=""),"",G43+F44)</f>
        <v>595.5175361000006</v>
      </c>
      <c r="H44" s="9">
        <f t="shared" si="75"/>
        <v>4310.7652525422936</v>
      </c>
      <c r="I44" s="9">
        <f t="shared" si="75"/>
        <v>-32695.266580501073</v>
      </c>
      <c r="J44" s="9">
        <f t="shared" si="75"/>
        <v>-54383.982054505177</v>
      </c>
      <c r="K44" s="9">
        <f t="shared" si="75"/>
        <v>-72243.512563698139</v>
      </c>
      <c r="L44" s="9">
        <f t="shared" si="75"/>
        <v>-69173.495674810372</v>
      </c>
      <c r="M44" s="9">
        <f t="shared" si="75"/>
        <v>-69266.759077891169</v>
      </c>
      <c r="N44" s="9">
        <f>IF(OR(N43="",M44=""),"",N43+N39+M44)</f>
        <v>-59971.035728662864</v>
      </c>
      <c r="O44" s="9">
        <f>IF(OR(O43="",N44=""),"",O43+O39+N44+O36)</f>
        <v>-42856.006267682875</v>
      </c>
      <c r="P44" s="9">
        <f t="shared" ref="P44:AN44" si="76">IF(OR(P43="",O44=""),"",P43+P39+O44)</f>
        <v>2117.3376795170843</v>
      </c>
      <c r="Q44" s="9">
        <f t="shared" si="76"/>
        <v>17682.337711885099</v>
      </c>
      <c r="R44" s="9">
        <f t="shared" si="76"/>
        <v>49445.594103610907</v>
      </c>
      <c r="S44" s="9">
        <f t="shared" si="76"/>
        <v>38507.200938205919</v>
      </c>
      <c r="T44" s="9">
        <f t="shared" si="76"/>
        <v>60568.114218895927</v>
      </c>
      <c r="U44" s="9">
        <f t="shared" si="76"/>
        <v>97429.32629703093</v>
      </c>
      <c r="V44" s="9">
        <f t="shared" si="76"/>
        <v>163385.58918925037</v>
      </c>
      <c r="W44" s="9">
        <f t="shared" si="76"/>
        <v>200297.86671034544</v>
      </c>
      <c r="X44" s="9">
        <f t="shared" si="76"/>
        <v>254279.91941969239</v>
      </c>
      <c r="Y44" s="9">
        <f t="shared" si="76"/>
        <v>297498.4220641366</v>
      </c>
      <c r="Z44" s="9">
        <f t="shared" si="76"/>
        <v>336694.64896653325</v>
      </c>
      <c r="AA44" s="9">
        <f t="shared" si="76"/>
        <v>384677.91729985701</v>
      </c>
      <c r="AB44" s="9">
        <f t="shared" si="76"/>
        <v>499758.68458463537</v>
      </c>
      <c r="AC44" s="9">
        <f t="shared" si="76"/>
        <v>400361.8350816989</v>
      </c>
      <c r="AD44" s="9">
        <f t="shared" si="76"/>
        <v>190361.84488054784</v>
      </c>
      <c r="AE44" s="9">
        <f t="shared" si="76"/>
        <v>58312.098514883488</v>
      </c>
      <c r="AF44" s="9">
        <f t="shared" si="76"/>
        <v>-10905.351708048474</v>
      </c>
      <c r="AG44" s="9">
        <f t="shared" si="76"/>
        <v>-26740.14198390317</v>
      </c>
      <c r="AH44" s="9">
        <f t="shared" si="76"/>
        <v>8115.4857548785476</v>
      </c>
      <c r="AI44" s="9">
        <f t="shared" si="76"/>
        <v>-14787.263766811138</v>
      </c>
      <c r="AJ44" s="9">
        <f t="shared" si="76"/>
        <v>-96476.158595274319</v>
      </c>
      <c r="AK44" s="9">
        <f t="shared" si="76"/>
        <v>-199058.8442250748</v>
      </c>
      <c r="AL44" s="9">
        <f t="shared" si="76"/>
        <v>-278582.99261197809</v>
      </c>
      <c r="AM44" s="9">
        <f t="shared" si="76"/>
        <v>-339948.27926296619</v>
      </c>
      <c r="AN44" s="9">
        <f t="shared" si="76"/>
        <v>-404281.350257179</v>
      </c>
    </row>
    <row r="45" spans="1:40" s="5" customFormat="1" ht="8.25" hidden="1" customHeight="1" outlineLevel="1" x14ac:dyDescent="0.3">
      <c r="A45" s="44"/>
      <c r="B45" s="13"/>
      <c r="C45" s="102"/>
      <c r="D45" s="102"/>
      <c r="E45" s="102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</row>
    <row r="46" spans="1:40" s="5" customFormat="1" ht="15" hidden="1" customHeight="1" outlineLevel="1" x14ac:dyDescent="0.3">
      <c r="A46" s="255" t="s">
        <v>22</v>
      </c>
      <c r="B46" s="17"/>
      <c r="C46" s="97"/>
      <c r="D46" s="97"/>
      <c r="E46" s="97"/>
      <c r="F46" s="9"/>
      <c r="G46" s="9"/>
      <c r="H46" s="9"/>
      <c r="I46" s="9"/>
      <c r="J46" s="9"/>
      <c r="K46" s="9"/>
      <c r="L46" s="9"/>
      <c r="M46" s="9"/>
      <c r="N46" s="144">
        <f>'MEEIA 3 adjs'!L32</f>
        <v>95.419999999999618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144">
        <f>'MEEIA 3 adjs'!AA54</f>
        <v>176.33999999999946</v>
      </c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</row>
    <row r="47" spans="1:40" s="3" customFormat="1" ht="15" hidden="1" customHeight="1" outlineLevel="1" x14ac:dyDescent="0.3">
      <c r="A47" s="255"/>
      <c r="B47" s="17" t="s">
        <v>28</v>
      </c>
      <c r="C47" s="97"/>
      <c r="D47" s="97"/>
      <c r="E47" s="97"/>
      <c r="F47" s="22">
        <f>IF('M3 Allocations - TD'!D7="","",'M3 Allocations - TD'!D33)</f>
        <v>0.36790548240712501</v>
      </c>
      <c r="G47" s="22">
        <f>IF('M3 Allocations - TD'!E7="","",'M3 Allocations - TD'!E33)</f>
        <v>549.3842450882164</v>
      </c>
      <c r="H47" s="22">
        <f>IF('M3 Allocations - TD'!F7="","",'M3 Allocations - TD'!F33)</f>
        <v>3822.5375931394819</v>
      </c>
      <c r="I47" s="22">
        <f>IF('M3 Allocations - TD'!G7="","",'M3 Allocations - TD'!G33)</f>
        <v>16781.332362054229</v>
      </c>
      <c r="J47" s="22">
        <f>IF('M3 Allocations - TD'!H7="","",'M3 Allocations - TD'!H33)</f>
        <v>40077.718380542559</v>
      </c>
      <c r="K47" s="22">
        <f>IF('M3 Allocations - TD'!I7="","",'M3 Allocations - TD'!I33)</f>
        <v>54061.137994792116</v>
      </c>
      <c r="L47" s="22">
        <f>IF('M3 Allocations - TD'!J7="","",'M3 Allocations - TD'!J33)</f>
        <v>79608.348605740233</v>
      </c>
      <c r="M47" s="22">
        <f>IF('M3 Allocations - TD'!K7="","",'M3 Allocations - TD'!K33)</f>
        <v>56432.915123633284</v>
      </c>
      <c r="N47" s="22">
        <f>IF('M3 Allocations - TD'!L7="","",'M3 Allocations - TD'!L33)</f>
        <v>84805.665004540322</v>
      </c>
      <c r="O47" s="22">
        <f>IF('M3 Allocations - TD'!M7="","",'M3 Allocations - TD'!M33)</f>
        <v>101585.96799703788</v>
      </c>
      <c r="P47" s="22">
        <f>IF('M3 Allocations - TD'!N7="","",'M3 Allocations - TD'!N33)</f>
        <v>154209.2659634623</v>
      </c>
      <c r="Q47" s="22">
        <f>IF('M3 Allocations - TD'!O7="","",'M3 Allocations - TD'!O33)</f>
        <v>122696.92137199735</v>
      </c>
      <c r="R47" s="22">
        <f>IF('M3 Allocations - TD'!P7="","",'M3 Allocations - TD'!P33)</f>
        <v>123411.87388052933</v>
      </c>
      <c r="S47" s="22">
        <f>IF('M3 Allocations - TD'!Q7="","",'M3 Allocations - TD'!Q33)</f>
        <v>47446.211556775474</v>
      </c>
      <c r="T47" s="22">
        <f>IF('M3 Allocations - TD'!R7="","",'M3 Allocations - TD'!R33)</f>
        <v>83556.534245541465</v>
      </c>
      <c r="U47" s="22">
        <f>IF('M3 Allocations - TD'!S7="","",'M3 Allocations - TD'!S33)</f>
        <v>189049.36683437167</v>
      </c>
      <c r="V47" s="22">
        <f>IF('M3 Allocations - TD'!T7="","",'M3 Allocations - TD'!T33)</f>
        <v>265484.4397628404</v>
      </c>
      <c r="W47" s="22">
        <f>IF('M3 Allocations - TD'!U7="","",'M3 Allocations - TD'!U33)</f>
        <v>248590.59560852987</v>
      </c>
      <c r="X47" s="22">
        <f>IF('M3 Allocations - TD'!V7="","",'M3 Allocations - TD'!V33)</f>
        <v>229992.78825383674</v>
      </c>
      <c r="Y47" s="22">
        <f>IF('M3 Allocations - TD'!W7="","",'M3 Allocations - TD'!W33)</f>
        <v>142655.78999924072</v>
      </c>
      <c r="Z47" s="22">
        <f>IF('M3 Allocations - TD'!X7="","",'M3 Allocations - TD'!X33)</f>
        <v>140592.80164431839</v>
      </c>
      <c r="AA47" s="22">
        <f>IF('M3 Allocations - TD'!Y7="","",'M3 Allocations - TD'!Y33)</f>
        <v>171784.13279113677</v>
      </c>
      <c r="AB47" s="22">
        <f>IF('M3 Allocations - TD'!Z7="","",'M3 Allocations - TD'!Z33)</f>
        <v>283797.45031291858</v>
      </c>
      <c r="AC47" s="22">
        <f>IF('M3 Allocations - TD'!AA7="","",'M3 Allocations - TD'!AA33)</f>
        <v>210481.86723637651</v>
      </c>
      <c r="AD47" s="22">
        <f>IF('M3 Allocations - TD'!AB7="","",'M3 Allocations - TD'!AB33)</f>
        <v>232927.56555946911</v>
      </c>
      <c r="AE47" s="22">
        <f>IF('M3 Allocations - TD'!AC7="","",'M3 Allocations - TD'!AC33)</f>
        <v>221111.27962203597</v>
      </c>
      <c r="AF47" s="22">
        <f>IF('M3 Allocations - TD'!AD7="","",'M3 Allocations - TD'!AD33)</f>
        <v>314679.79966629087</v>
      </c>
      <c r="AG47" s="22">
        <f>IF('M3 Allocations - TD'!AE7="","",'M3 Allocations - TD'!AE33)</f>
        <v>715299.40366319334</v>
      </c>
      <c r="AH47" s="22">
        <f>IF('M3 Allocations - TD'!AF7="","",'M3 Allocations - TD'!AF33)</f>
        <v>953627.42461110547</v>
      </c>
      <c r="AI47" s="22">
        <f>IF('M3 Allocations - TD'!AG7="","",'M3 Allocations - TD'!AG33)</f>
        <v>939310.43288894033</v>
      </c>
      <c r="AJ47" s="22">
        <f>IF('M3 Allocations - TD'!AH7="","",'M3 Allocations - TD'!AH33)</f>
        <v>659615.18241367524</v>
      </c>
      <c r="AK47" s="22">
        <f>IF('M3 Allocations - TD'!AI7="","",'M3 Allocations - TD'!AI33)</f>
        <v>353569.18814987835</v>
      </c>
      <c r="AL47" s="22">
        <f>IF('M3 Allocations - TD'!AJ7="","",'M3 Allocations - TD'!AJ33)</f>
        <v>334196.4782733724</v>
      </c>
      <c r="AM47" s="22">
        <f>IF('M3 Allocations - TD'!AK7="","",'M3 Allocations - TD'!AK33)</f>
        <v>425902.76167438709</v>
      </c>
      <c r="AN47" s="22">
        <f>IF('M3 Allocations - TD'!AL7="","",'M3 Allocations - TD'!AL33)</f>
        <v>511227.03831022914</v>
      </c>
    </row>
    <row r="48" spans="1:40" s="5" customFormat="1" ht="15" hidden="1" customHeight="1" outlineLevel="1" x14ac:dyDescent="0.3">
      <c r="A48" s="255"/>
      <c r="B48" s="18" t="s">
        <v>26</v>
      </c>
      <c r="C48" s="97"/>
      <c r="D48" s="97"/>
      <c r="E48" s="97"/>
      <c r="F48" s="22">
        <f>IF('M3 Allocations - TD'!D53="","",'M3 Allocations - TD'!D71)</f>
        <v>0</v>
      </c>
      <c r="G48" s="22">
        <f>IF('M3 Allocations - TD'!E53="","",'M3 Allocations - TD'!E71)</f>
        <v>0</v>
      </c>
      <c r="H48" s="22">
        <f>IF('M3 Allocations - TD'!F53="","",'M3 Allocations - TD'!F71)</f>
        <v>6753.6701978728988</v>
      </c>
      <c r="I48" s="22">
        <f>IF('M3 Allocations - TD'!G53="","",'M3 Allocations - TD'!G71)</f>
        <v>107151.44580605239</v>
      </c>
      <c r="J48" s="22">
        <f>IF('M3 Allocations - TD'!H53="","",'M3 Allocations - TD'!H71)</f>
        <v>115634.5208649429</v>
      </c>
      <c r="K48" s="22">
        <f>IF('M3 Allocations - TD'!I53="","",'M3 Allocations - TD'!I71)</f>
        <v>118331.81312804784</v>
      </c>
      <c r="L48" s="22">
        <f>IF('M3 Allocations - TD'!J53="","",'M3 Allocations - TD'!J71)</f>
        <v>119601.33814288217</v>
      </c>
      <c r="M48" s="22">
        <f>IF('M3 Allocations - TD'!K53="","",'M3 Allocations - TD'!K71)</f>
        <v>109968.9574924099</v>
      </c>
      <c r="N48" s="22">
        <f>IF('M3 Allocations - TD'!L53="","",'M3 Allocations - TD'!L71)</f>
        <v>96533.881711475129</v>
      </c>
      <c r="O48" s="22">
        <f>IF('M3 Allocations - TD'!M53="","",'M3 Allocations - TD'!M71)</f>
        <v>104142.56971532079</v>
      </c>
      <c r="P48" s="22">
        <f>IF('M3 Allocations - TD'!N53="","",'M3 Allocations - TD'!N71)</f>
        <v>107611.86637282498</v>
      </c>
      <c r="Q48" s="22">
        <f>IF('M3 Allocations - TD'!O53="","",'M3 Allocations - TD'!O71)</f>
        <v>104313.87773241718</v>
      </c>
      <c r="R48" s="22">
        <f>IF('M3 Allocations - TD'!P53="","",'M3 Allocations - TD'!P71)</f>
        <v>98420.974410363575</v>
      </c>
      <c r="S48" s="22">
        <f>IF('M3 Allocations - TD'!Q53="","",'M3 Allocations - TD'!Q71)</f>
        <v>84560.155028366615</v>
      </c>
      <c r="T48" s="22">
        <f>IF('M3 Allocations - TD'!R53="","",'M3 Allocations - TD'!R71)</f>
        <v>79147.524446379844</v>
      </c>
      <c r="U48" s="22">
        <f>IF('M3 Allocations - TD'!S53="","",'M3 Allocations - TD'!S71)</f>
        <v>94049.927973792379</v>
      </c>
      <c r="V48" s="22">
        <f>IF('M3 Allocations - TD'!T53="","",'M3 Allocations - TD'!T71)</f>
        <v>109708.48677351972</v>
      </c>
      <c r="W48" s="22">
        <f>IF('M3 Allocations - TD'!U53="","",'M3 Allocations - TD'!U71)</f>
        <v>109463.73998502946</v>
      </c>
      <c r="X48" s="22">
        <f>IF('M3 Allocations - TD'!V53="","",'M3 Allocations - TD'!V71)</f>
        <v>109154.24836711264</v>
      </c>
      <c r="Y48" s="22">
        <f>IF('M3 Allocations - TD'!W53="","",'M3 Allocations - TD'!W71)</f>
        <v>93111.170115006884</v>
      </c>
      <c r="Z48" s="22">
        <f>IF('M3 Allocations - TD'!X53="","",'M3 Allocations - TD'!X71)</f>
        <v>90314.439841834988</v>
      </c>
      <c r="AA48" s="22">
        <f>IF('M3 Allocations - TD'!Y53="","",'M3 Allocations - TD'!Y71)</f>
        <v>96572.606390330679</v>
      </c>
      <c r="AB48" s="22">
        <f>IF('M3 Allocations - TD'!Z53="","",'M3 Allocations - TD'!Z71)</f>
        <v>102973.56100695563</v>
      </c>
      <c r="AC48" s="22">
        <f>IF('M3 Allocations - TD'!AA53="","",'M3 Allocations - TD'!AA71)</f>
        <v>317054.12799449282</v>
      </c>
      <c r="AD48" s="22">
        <f>IF('M3 Allocations - TD'!AB53="","",'M3 Allocations - TD'!AB71)</f>
        <v>555274.69988765684</v>
      </c>
      <c r="AE48" s="22">
        <f>IF('M3 Allocations - TD'!AC53="","",'M3 Allocations - TD'!AC71)</f>
        <v>496959.09444564459</v>
      </c>
      <c r="AF48" s="22">
        <f>IF('M3 Allocations - TD'!AD53="","",'M3 Allocations - TD'!AD71)</f>
        <v>507462.60422851134</v>
      </c>
      <c r="AG48" s="22">
        <f>IF('M3 Allocations - TD'!AE53="","",'M3 Allocations - TD'!AE71)</f>
        <v>564396.00989380945</v>
      </c>
      <c r="AH48" s="22">
        <f>IF('M3 Allocations - TD'!AF53="","",'M3 Allocations - TD'!AF71)</f>
        <v>660447.26760719228</v>
      </c>
      <c r="AI48" s="22">
        <f>IF('M3 Allocations - TD'!AG53="","",'M3 Allocations - TD'!AG71)</f>
        <v>654260.67532357096</v>
      </c>
      <c r="AJ48" s="22">
        <f>IF('M3 Allocations - TD'!AH53="","",'M3 Allocations - TD'!AH71)</f>
        <v>666957.41235823918</v>
      </c>
      <c r="AK48" s="22">
        <f>IF('M3 Allocations - TD'!AI53="","",'M3 Allocations - TD'!AI71)</f>
        <v>587413.62430156593</v>
      </c>
      <c r="AL48" s="22">
        <f>IF('M3 Allocations - TD'!AJ53="","",'M3 Allocations - TD'!AJ71)</f>
        <v>533079.94337013643</v>
      </c>
      <c r="AM48" s="22">
        <f>IF('M3 Allocations - TD'!AK53="","",'M3 Allocations - TD'!AK71)</f>
        <v>574311.56401472248</v>
      </c>
      <c r="AN48" s="22">
        <f>IF('M3 Allocations - TD'!AL53="","",'M3 Allocations - TD'!AL71)</f>
        <v>626959.36446825496</v>
      </c>
    </row>
    <row r="49" spans="1:40" s="5" customFormat="1" ht="15" hidden="1" customHeight="1" outlineLevel="1" x14ac:dyDescent="0.3">
      <c r="A49" s="255"/>
      <c r="B49" s="18" t="s">
        <v>47</v>
      </c>
      <c r="C49" s="97"/>
      <c r="D49" s="97"/>
      <c r="E49" s="97"/>
      <c r="F49" s="22">
        <f>IF(F48="","",0)</f>
        <v>0</v>
      </c>
      <c r="G49" s="22">
        <f t="shared" ref="G49" si="77">IF(G48="","",0)</f>
        <v>0</v>
      </c>
      <c r="H49" s="22">
        <f t="shared" ref="H49" si="78">IF(H48="","",0)</f>
        <v>0</v>
      </c>
      <c r="I49" s="22">
        <f t="shared" ref="I49" si="79">IF(I48="","",0)</f>
        <v>0</v>
      </c>
      <c r="J49" s="22">
        <f t="shared" ref="J49" si="80">IF(J48="","",0)</f>
        <v>0</v>
      </c>
      <c r="K49" s="22">
        <f t="shared" ref="K49" si="81">IF(K48="","",0)</f>
        <v>0</v>
      </c>
      <c r="L49" s="22">
        <f t="shared" ref="L49" si="82">IF(L48="","",0)</f>
        <v>0</v>
      </c>
      <c r="M49" s="22">
        <f t="shared" ref="M49" si="83">IF(M48="","",0)</f>
        <v>0</v>
      </c>
      <c r="N49" s="22">
        <f t="shared" ref="N49" si="84">IF(N48="","",0)</f>
        <v>0</v>
      </c>
      <c r="O49" s="22">
        <f t="shared" ref="O49" si="85">IF(O48="","",0)</f>
        <v>0</v>
      </c>
      <c r="P49" s="22">
        <f t="shared" ref="P49" si="86">IF(P48="","",0)</f>
        <v>0</v>
      </c>
      <c r="Q49" s="22">
        <f>IF(Q48="","",-'M3 TD amort'!C22)</f>
        <v>40612.01</v>
      </c>
      <c r="R49" s="22">
        <f>IF(R48="","",-'M3 TD amort'!D22)</f>
        <v>38351.11</v>
      </c>
      <c r="S49" s="22">
        <f>IF(S48="","",-'M3 TD amort'!E22)</f>
        <v>32774.379999999997</v>
      </c>
      <c r="T49" s="22">
        <f>IF(T48="","",-'M3 TD amort'!F22)</f>
        <v>30569.17</v>
      </c>
      <c r="U49" s="22">
        <f>IF(U48="","",-'M3 TD amort'!G22)</f>
        <v>36225.06</v>
      </c>
      <c r="V49" s="22">
        <f>IF(V48="","",-'M3 TD amort'!H22)</f>
        <v>42295.91</v>
      </c>
      <c r="W49" s="22">
        <f>IF(W48="","",-'M3 TD amort'!I22)</f>
        <v>42141.33</v>
      </c>
      <c r="X49" s="22">
        <f>IF(X48="","",-'M3 TD amort'!J22)</f>
        <v>41942.74</v>
      </c>
      <c r="Y49" s="22">
        <f>IF(Y48="","",-'M3 TD amort'!K22)</f>
        <v>35788.269999999997</v>
      </c>
      <c r="Z49" s="22">
        <f>IF(Z48="","",-'M3 TD amort'!L22)</f>
        <v>34863.54</v>
      </c>
      <c r="AA49" s="22">
        <f>IF(AA48="","",-'M3 TD amort'!M22)</f>
        <v>37469.9</v>
      </c>
      <c r="AB49" s="22">
        <f>IF(AB48="","",-'M3 TD amort'!N22)</f>
        <v>40157.82</v>
      </c>
      <c r="AC49" s="22">
        <f>IF(AC48="","",-'M3 TD amort'!O22)</f>
        <v>-26804.880000000001</v>
      </c>
      <c r="AD49" s="22">
        <f>IF(AD48="","",-'M3 TD amort'!P22)</f>
        <v>-46741.51</v>
      </c>
      <c r="AE49" s="22">
        <f>IF(AE48="","",-'M3 TD amort'!Q22)</f>
        <v>-41624.800000000003</v>
      </c>
      <c r="AF49" s="22">
        <f>IF(AF48="","",-'M3 TD amort'!R22)</f>
        <v>-42397.51</v>
      </c>
      <c r="AG49" s="22">
        <f>IF(AG48="","",-'M3 TD amort'!S22)</f>
        <v>-47114.93</v>
      </c>
      <c r="AH49" s="22">
        <f>IF(AH48="","",-'M3 TD amort'!T22)</f>
        <v>-55182.37</v>
      </c>
      <c r="AI49" s="22">
        <f>IF(AI48="","",-'M3 TD amort'!U22)</f>
        <v>-54689.09</v>
      </c>
      <c r="AJ49" s="22">
        <f>IF(AJ48="","",-'M3 TD amort'!V22)</f>
        <v>-55739.85</v>
      </c>
      <c r="AK49" s="22">
        <f>IF(AK48="","",-'M3 TD amort'!W22)</f>
        <v>-48995.69</v>
      </c>
      <c r="AL49" s="22">
        <f>IF(AL48="","",-'M3 TD amort'!X22)</f>
        <v>-44517.39</v>
      </c>
      <c r="AM49" s="22">
        <f>IF(AM48="","",-'M3 TD amort'!Y22)</f>
        <v>-48120.7</v>
      </c>
      <c r="AN49" s="22">
        <f>IF(AN48="","",-'M3 TD amort'!Z22)</f>
        <v>-52629.21</v>
      </c>
    </row>
    <row r="50" spans="1:40" s="5" customFormat="1" ht="15" hidden="1" customHeight="1" outlineLevel="1" x14ac:dyDescent="0.3">
      <c r="A50" s="255"/>
      <c r="B50" s="18" t="s">
        <v>48</v>
      </c>
      <c r="C50" s="97"/>
      <c r="D50" s="97"/>
      <c r="E50" s="97"/>
      <c r="F50" s="9">
        <f t="shared" ref="F50:M50" si="87">IF(OR(F49="",F48=""),"",F48+F49)</f>
        <v>0</v>
      </c>
      <c r="G50" s="9">
        <f t="shared" si="87"/>
        <v>0</v>
      </c>
      <c r="H50" s="9">
        <f t="shared" si="87"/>
        <v>6753.6701978728988</v>
      </c>
      <c r="I50" s="9">
        <f t="shared" si="87"/>
        <v>107151.44580605239</v>
      </c>
      <c r="J50" s="9">
        <f t="shared" si="87"/>
        <v>115634.5208649429</v>
      </c>
      <c r="K50" s="9">
        <f t="shared" si="87"/>
        <v>118331.81312804784</v>
      </c>
      <c r="L50" s="9">
        <f t="shared" si="87"/>
        <v>119601.33814288217</v>
      </c>
      <c r="M50" s="9">
        <f t="shared" si="87"/>
        <v>109968.9574924099</v>
      </c>
      <c r="N50" s="9">
        <f>IF(OR(N49="",N48=""),"",N48+N49)</f>
        <v>96533.881711475129</v>
      </c>
      <c r="O50" s="9">
        <f t="shared" ref="O50:AN50" si="88">IF(OR(O49="",O48=""),"",O48+O49)</f>
        <v>104142.56971532079</v>
      </c>
      <c r="P50" s="9">
        <f t="shared" si="88"/>
        <v>107611.86637282498</v>
      </c>
      <c r="Q50" s="9">
        <f t="shared" si="88"/>
        <v>144925.88773241718</v>
      </c>
      <c r="R50" s="9">
        <f t="shared" si="88"/>
        <v>136772.08441036358</v>
      </c>
      <c r="S50" s="9">
        <f t="shared" si="88"/>
        <v>117334.5350283666</v>
      </c>
      <c r="T50" s="9">
        <f t="shared" si="88"/>
        <v>109716.69444637984</v>
      </c>
      <c r="U50" s="9">
        <f t="shared" si="88"/>
        <v>130274.98797379238</v>
      </c>
      <c r="V50" s="9">
        <f t="shared" si="88"/>
        <v>152004.39677351972</v>
      </c>
      <c r="W50" s="9">
        <f t="shared" si="88"/>
        <v>151605.06998502946</v>
      </c>
      <c r="X50" s="9">
        <f t="shared" si="88"/>
        <v>151096.98836711264</v>
      </c>
      <c r="Y50" s="9">
        <f t="shared" si="88"/>
        <v>128899.44011500687</v>
      </c>
      <c r="Z50" s="9">
        <f t="shared" si="88"/>
        <v>125177.97984183498</v>
      </c>
      <c r="AA50" s="9">
        <f t="shared" si="88"/>
        <v>134042.50639033067</v>
      </c>
      <c r="AB50" s="9">
        <f t="shared" si="88"/>
        <v>143131.38100695563</v>
      </c>
      <c r="AC50" s="9">
        <f t="shared" si="88"/>
        <v>290249.24799449282</v>
      </c>
      <c r="AD50" s="9">
        <f t="shared" si="88"/>
        <v>508533.18988765683</v>
      </c>
      <c r="AE50" s="9">
        <f t="shared" si="88"/>
        <v>455334.2944456446</v>
      </c>
      <c r="AF50" s="9">
        <f t="shared" si="88"/>
        <v>465065.09422851133</v>
      </c>
      <c r="AG50" s="9">
        <f t="shared" si="88"/>
        <v>517281.07989380945</v>
      </c>
      <c r="AH50" s="9">
        <f t="shared" si="88"/>
        <v>605264.89760719228</v>
      </c>
      <c r="AI50" s="9">
        <f t="shared" si="88"/>
        <v>599571.58532357099</v>
      </c>
      <c r="AJ50" s="9">
        <f t="shared" si="88"/>
        <v>611217.5623582392</v>
      </c>
      <c r="AK50" s="9">
        <f t="shared" si="88"/>
        <v>538417.93430156587</v>
      </c>
      <c r="AL50" s="9">
        <f t="shared" si="88"/>
        <v>488562.55337013642</v>
      </c>
      <c r="AM50" s="9">
        <f t="shared" si="88"/>
        <v>526190.86401472252</v>
      </c>
      <c r="AN50" s="9">
        <f t="shared" si="88"/>
        <v>574330.154468255</v>
      </c>
    </row>
    <row r="51" spans="1:40" s="5" customFormat="1" hidden="1" outlineLevel="1" x14ac:dyDescent="0.3">
      <c r="A51" s="255"/>
      <c r="B51" s="18" t="s">
        <v>13</v>
      </c>
      <c r="C51" s="97"/>
      <c r="D51" s="97"/>
      <c r="E51" s="97"/>
      <c r="F51" s="9">
        <f t="shared" ref="F51:M51" si="89">IF(OR(F48="",F47=""),"",F47-F48)</f>
        <v>0.36790548240712501</v>
      </c>
      <c r="G51" s="9">
        <f t="shared" si="89"/>
        <v>549.3842450882164</v>
      </c>
      <c r="H51" s="9">
        <f t="shared" si="89"/>
        <v>-2931.1326047334169</v>
      </c>
      <c r="I51" s="9">
        <f t="shared" si="89"/>
        <v>-90370.113443998154</v>
      </c>
      <c r="J51" s="9">
        <f t="shared" si="89"/>
        <v>-75556.802484400338</v>
      </c>
      <c r="K51" s="9">
        <f t="shared" si="89"/>
        <v>-64270.675133255725</v>
      </c>
      <c r="L51" s="9">
        <f t="shared" si="89"/>
        <v>-39992.989537141941</v>
      </c>
      <c r="M51" s="9">
        <f t="shared" si="89"/>
        <v>-53536.042368776616</v>
      </c>
      <c r="N51" s="9">
        <f>IF(OR(N50="",N47=""),"",N47-N50)</f>
        <v>-11728.216706934807</v>
      </c>
      <c r="O51" s="9">
        <f t="shared" ref="O51:AN51" si="90">IF(OR(O50="",O47=""),"",O47-O50)</f>
        <v>-2556.6017182829091</v>
      </c>
      <c r="P51" s="9">
        <f>IF(OR(P50="",P47=""),"",P47-P50)</f>
        <v>46597.399590637317</v>
      </c>
      <c r="Q51" s="9">
        <f t="shared" si="90"/>
        <v>-22228.966360419829</v>
      </c>
      <c r="R51" s="9">
        <f t="shared" si="90"/>
        <v>-13360.21052983425</v>
      </c>
      <c r="S51" s="9">
        <f t="shared" si="90"/>
        <v>-69888.323471591139</v>
      </c>
      <c r="T51" s="9">
        <f t="shared" si="90"/>
        <v>-26160.160200838378</v>
      </c>
      <c r="U51" s="9">
        <f t="shared" si="90"/>
        <v>58774.378860579294</v>
      </c>
      <c r="V51" s="9">
        <f t="shared" si="90"/>
        <v>113480.04298932067</v>
      </c>
      <c r="W51" s="9">
        <f t="shared" si="90"/>
        <v>96985.525623500405</v>
      </c>
      <c r="X51" s="9">
        <f t="shared" si="90"/>
        <v>78895.799886724097</v>
      </c>
      <c r="Y51" s="9">
        <f t="shared" si="90"/>
        <v>13756.349884233845</v>
      </c>
      <c r="Z51" s="9">
        <f t="shared" si="90"/>
        <v>15414.821802483406</v>
      </c>
      <c r="AA51" s="9">
        <f t="shared" si="90"/>
        <v>37741.626400806097</v>
      </c>
      <c r="AB51" s="9">
        <f t="shared" si="90"/>
        <v>140666.06930596294</v>
      </c>
      <c r="AC51" s="9">
        <f t="shared" si="90"/>
        <v>-79767.380758116313</v>
      </c>
      <c r="AD51" s="9">
        <f t="shared" si="90"/>
        <v>-275605.62432818773</v>
      </c>
      <c r="AE51" s="9">
        <f t="shared" si="90"/>
        <v>-234223.01482360862</v>
      </c>
      <c r="AF51" s="9">
        <f t="shared" si="90"/>
        <v>-150385.29456222046</v>
      </c>
      <c r="AG51" s="9">
        <f t="shared" si="90"/>
        <v>198018.32376938389</v>
      </c>
      <c r="AH51" s="9">
        <f t="shared" si="90"/>
        <v>348362.52700391319</v>
      </c>
      <c r="AI51" s="9">
        <f t="shared" si="90"/>
        <v>339738.84756536933</v>
      </c>
      <c r="AJ51" s="9">
        <f t="shared" si="90"/>
        <v>48397.62005543604</v>
      </c>
      <c r="AK51" s="9">
        <f t="shared" si="90"/>
        <v>-184848.74615168752</v>
      </c>
      <c r="AL51" s="9">
        <f t="shared" si="90"/>
        <v>-154366.07509676402</v>
      </c>
      <c r="AM51" s="9">
        <f t="shared" si="90"/>
        <v>-100288.10234033543</v>
      </c>
      <c r="AN51" s="9">
        <f t="shared" si="90"/>
        <v>-63103.116158025863</v>
      </c>
    </row>
    <row r="52" spans="1:40" s="5" customFormat="1" hidden="1" outlineLevel="1" x14ac:dyDescent="0.3">
      <c r="A52" s="255"/>
      <c r="B52" s="19" t="s">
        <v>8</v>
      </c>
      <c r="C52" s="97"/>
      <c r="D52" s="97"/>
      <c r="E52" s="97"/>
      <c r="F52" s="9">
        <f>IF(OR(F9="",F51=""),"",ROUND((F51+E54)*F9/12,2))</f>
        <v>0</v>
      </c>
      <c r="G52" s="9">
        <f t="shared" ref="G52:L52" si="91">IF(OR(G9="",G51=""),"",ROUND((G51+F54)*G9/12,2))</f>
        <v>1.22</v>
      </c>
      <c r="H52" s="9">
        <f t="shared" si="91"/>
        <v>-5.31</v>
      </c>
      <c r="I52" s="9">
        <f t="shared" si="91"/>
        <v>-204.84</v>
      </c>
      <c r="J52" s="9">
        <f t="shared" si="91"/>
        <v>-364.4</v>
      </c>
      <c r="K52" s="9">
        <f t="shared" si="91"/>
        <v>-456.82</v>
      </c>
      <c r="L52" s="9">
        <f t="shared" si="91"/>
        <v>-505.45</v>
      </c>
      <c r="M52" s="9">
        <f t="shared" ref="M52" si="92">IF(OR(M9="",M51=""),"",ROUND((M51+L54)*M9/12,2))</f>
        <v>-577.17999999999995</v>
      </c>
      <c r="N52" s="9">
        <f>IF(OR(N9="",N51=""),"",ROUND((N51+M54)*N9/12,2))+N46</f>
        <v>-419.03000000000043</v>
      </c>
      <c r="O52" s="9">
        <f t="shared" ref="O52" si="93">IF(OR(O9="",O51=""),"",ROUND((O51+N54)*O9/12,2))</f>
        <v>-547.30999999999995</v>
      </c>
      <c r="P52" s="9">
        <f>IF(OR(P9="",P51=""),"",ROUND((P51+O54)*P9/12,2))</f>
        <v>-467.35</v>
      </c>
      <c r="Q52" s="9">
        <f>IF(OR(Q9="",Q51=""),"",ROUND((Q51+P54)*Q9/12,2))</f>
        <v>-480.31</v>
      </c>
      <c r="R52" s="9">
        <f t="shared" ref="R52:Y52" si="94">IF(OR(R9="",R51=""),"",ROUND((R51+Q54)*R9/12,2))</f>
        <v>-460.82</v>
      </c>
      <c r="S52" s="9">
        <f t="shared" si="94"/>
        <v>-254.01</v>
      </c>
      <c r="T52" s="9">
        <f t="shared" si="94"/>
        <v>-34.25</v>
      </c>
      <c r="U52" s="9">
        <f t="shared" si="94"/>
        <v>-23.99</v>
      </c>
      <c r="V52" s="9">
        <f t="shared" si="94"/>
        <v>-12.82</v>
      </c>
      <c r="W52" s="9">
        <f t="shared" si="94"/>
        <v>6.81</v>
      </c>
      <c r="X52" s="9">
        <f t="shared" si="94"/>
        <v>18.68</v>
      </c>
      <c r="Y52" s="9">
        <f t="shared" si="94"/>
        <v>39.43</v>
      </c>
      <c r="Z52" s="9">
        <f>IF(OR(Z9="",Z51=""),"",ROUND((Z49+Z51+Y54+Z46)*Z9/12,2))+Z46</f>
        <v>244.25999999999948</v>
      </c>
      <c r="AA52" s="9">
        <f>IF(OR(AA9="",AA51=""),"",ROUND((AA49+AA51+Z54)*AA9/12,2))</f>
        <v>94.46</v>
      </c>
      <c r="AB52" s="9">
        <f>IF(OR(AB9="",AB51=""),"",ROUND((AB49+AB51+AA54)*AB9/12,2))</f>
        <v>99.47</v>
      </c>
      <c r="AC52" s="9">
        <f t="shared" ref="AC52:AN52" si="95">IF(OR(AC9="",AC51=""),"",ROUND((AC49+AC51+AB54)*AC9/12,2))</f>
        <v>91.45</v>
      </c>
      <c r="AD52" s="9">
        <f t="shared" si="95"/>
        <v>26.77</v>
      </c>
      <c r="AE52" s="9">
        <f t="shared" si="95"/>
        <v>-23.54</v>
      </c>
      <c r="AF52" s="9">
        <f t="shared" si="95"/>
        <v>-59.49</v>
      </c>
      <c r="AG52" s="9">
        <f t="shared" si="95"/>
        <v>-28.14</v>
      </c>
      <c r="AH52" s="9">
        <f t="shared" si="95"/>
        <v>14.62</v>
      </c>
      <c r="AI52" s="9">
        <f t="shared" si="95"/>
        <v>70.209999999999994</v>
      </c>
      <c r="AJ52" s="9">
        <f t="shared" si="95"/>
        <v>64.97</v>
      </c>
      <c r="AK52" s="9">
        <f t="shared" si="95"/>
        <v>21.21</v>
      </c>
      <c r="AL52" s="9">
        <f t="shared" si="95"/>
        <v>-3.64</v>
      </c>
      <c r="AM52" s="9">
        <f t="shared" si="95"/>
        <v>-22.19</v>
      </c>
      <c r="AN52" s="9">
        <f t="shared" si="95"/>
        <v>-36.659999999999997</v>
      </c>
    </row>
    <row r="53" spans="1:40" s="5" customFormat="1" hidden="1" outlineLevel="1" x14ac:dyDescent="0.3">
      <c r="A53" s="255"/>
      <c r="B53" s="18" t="s">
        <v>14</v>
      </c>
      <c r="C53" s="97"/>
      <c r="D53" s="97"/>
      <c r="E53" s="97"/>
      <c r="F53" s="9">
        <f t="shared" ref="F53:M53" si="96">IF(OR(F51="",F52=""),"",F51+F52)</f>
        <v>0.36790548240712501</v>
      </c>
      <c r="G53" s="9">
        <f t="shared" si="96"/>
        <v>550.60424508821643</v>
      </c>
      <c r="H53" s="9">
        <f t="shared" si="96"/>
        <v>-2936.4426047334168</v>
      </c>
      <c r="I53" s="9">
        <f t="shared" si="96"/>
        <v>-90574.953443998151</v>
      </c>
      <c r="J53" s="9">
        <f t="shared" si="96"/>
        <v>-75921.202484400332</v>
      </c>
      <c r="K53" s="9">
        <f t="shared" si="96"/>
        <v>-64727.495133255725</v>
      </c>
      <c r="L53" s="9">
        <f t="shared" si="96"/>
        <v>-40498.439537141938</v>
      </c>
      <c r="M53" s="9">
        <f t="shared" si="96"/>
        <v>-54113.222368776616</v>
      </c>
      <c r="N53" s="9">
        <f>IF(OR(N51="",N52=""),"",N51+N52)</f>
        <v>-12147.246706934808</v>
      </c>
      <c r="O53" s="9">
        <f>IF(OR(O51="",O52=""),"",O51+O52)</f>
        <v>-3103.9117182829091</v>
      </c>
      <c r="P53" s="9">
        <f t="shared" ref="P53:Y53" si="97">IF(OR(P51="",P52=""),"",P51+P52)</f>
        <v>46130.049590637318</v>
      </c>
      <c r="Q53" s="9">
        <f t="shared" si="97"/>
        <v>-22709.27636041983</v>
      </c>
      <c r="R53" s="9">
        <f t="shared" si="97"/>
        <v>-13821.03052983425</v>
      </c>
      <c r="S53" s="9">
        <f t="shared" si="97"/>
        <v>-70142.333471591133</v>
      </c>
      <c r="T53" s="9">
        <f t="shared" si="97"/>
        <v>-26194.410200838378</v>
      </c>
      <c r="U53" s="9">
        <f t="shared" si="97"/>
        <v>58750.388860579296</v>
      </c>
      <c r="V53" s="9">
        <f t="shared" si="97"/>
        <v>113467.22298932067</v>
      </c>
      <c r="W53" s="9">
        <f t="shared" si="97"/>
        <v>96992.335623500403</v>
      </c>
      <c r="X53" s="9">
        <f t="shared" si="97"/>
        <v>78914.47988672409</v>
      </c>
      <c r="Y53" s="9">
        <f t="shared" si="97"/>
        <v>13795.779884233845</v>
      </c>
      <c r="Z53" s="9">
        <f>IF(OR(Z51="",Z52=""),"",Z51+Z52)</f>
        <v>15659.081802483406</v>
      </c>
      <c r="AA53" s="9">
        <f t="shared" ref="AA53:AN53" si="98">IF(OR(AA51="",AA52=""),"",AA51+AA52)</f>
        <v>37836.086400806096</v>
      </c>
      <c r="AB53" s="9">
        <f t="shared" si="98"/>
        <v>140765.53930596294</v>
      </c>
      <c r="AC53" s="9">
        <f t="shared" si="98"/>
        <v>-79675.930758116316</v>
      </c>
      <c r="AD53" s="9">
        <f t="shared" si="98"/>
        <v>-275578.85432818771</v>
      </c>
      <c r="AE53" s="9">
        <f t="shared" si="98"/>
        <v>-234246.55482360863</v>
      </c>
      <c r="AF53" s="9">
        <f t="shared" si="98"/>
        <v>-150444.78456222045</v>
      </c>
      <c r="AG53" s="9">
        <f t="shared" si="98"/>
        <v>197990.18376938388</v>
      </c>
      <c r="AH53" s="9">
        <f t="shared" si="98"/>
        <v>348377.14700391318</v>
      </c>
      <c r="AI53" s="9">
        <f t="shared" si="98"/>
        <v>339809.05756536935</v>
      </c>
      <c r="AJ53" s="9">
        <f t="shared" si="98"/>
        <v>48462.590055436041</v>
      </c>
      <c r="AK53" s="9">
        <f t="shared" si="98"/>
        <v>-184827.53615168753</v>
      </c>
      <c r="AL53" s="9">
        <f t="shared" si="98"/>
        <v>-154369.71509676403</v>
      </c>
      <c r="AM53" s="9">
        <f t="shared" si="98"/>
        <v>-100310.29234033544</v>
      </c>
      <c r="AN53" s="9">
        <f t="shared" si="98"/>
        <v>-63139.776158025867</v>
      </c>
    </row>
    <row r="54" spans="1:40" s="5" customFormat="1" hidden="1" outlineLevel="1" x14ac:dyDescent="0.3">
      <c r="A54" s="255"/>
      <c r="B54" s="20" t="s">
        <v>17</v>
      </c>
      <c r="C54" s="97"/>
      <c r="D54" s="97"/>
      <c r="E54" s="97"/>
      <c r="F54" s="9">
        <f>IF(OR(F53=""),"",F53)</f>
        <v>0.36790548240712501</v>
      </c>
      <c r="G54" s="9">
        <f t="shared" ref="G54:M54" si="99">IF(OR(G53="",F54=""),"",G53+F54)</f>
        <v>550.97215057062351</v>
      </c>
      <c r="H54" s="9">
        <f t="shared" si="99"/>
        <v>-2385.4704541627934</v>
      </c>
      <c r="I54" s="9">
        <f t="shared" si="99"/>
        <v>-92960.423898160938</v>
      </c>
      <c r="J54" s="9">
        <f t="shared" si="99"/>
        <v>-168881.62638256128</v>
      </c>
      <c r="K54" s="9">
        <f t="shared" si="99"/>
        <v>-233609.12151581701</v>
      </c>
      <c r="L54" s="9">
        <f t="shared" si="99"/>
        <v>-274107.56105295895</v>
      </c>
      <c r="M54" s="9">
        <f t="shared" si="99"/>
        <v>-328220.78342173557</v>
      </c>
      <c r="N54" s="9">
        <f>IF(OR(N53="",M54=""),"",N53+N49+M54)</f>
        <v>-340368.03012867039</v>
      </c>
      <c r="O54" s="9">
        <f>IF(OR(O53="",N54=""),"",O53+O49+N54+O46)</f>
        <v>-343471.9418469533</v>
      </c>
      <c r="P54" s="9">
        <f t="shared" ref="P54:AN54" si="100">IF(OR(P53="",O54=""),"",P53+P49+O54)</f>
        <v>-297341.89225631597</v>
      </c>
      <c r="Q54" s="9">
        <f t="shared" si="100"/>
        <v>-279439.15861673577</v>
      </c>
      <c r="R54" s="9">
        <f t="shared" si="100"/>
        <v>-254909.07914657003</v>
      </c>
      <c r="S54" s="9">
        <f t="shared" si="100"/>
        <v>-292277.03261816117</v>
      </c>
      <c r="T54" s="9">
        <f t="shared" si="100"/>
        <v>-287902.27281899954</v>
      </c>
      <c r="U54" s="9">
        <f t="shared" si="100"/>
        <v>-192926.82395842025</v>
      </c>
      <c r="V54" s="9">
        <f t="shared" si="100"/>
        <v>-37163.690969099582</v>
      </c>
      <c r="W54" s="9">
        <f t="shared" si="100"/>
        <v>101969.97465440084</v>
      </c>
      <c r="X54" s="9">
        <f t="shared" si="100"/>
        <v>222827.19454112492</v>
      </c>
      <c r="Y54" s="9">
        <f t="shared" si="100"/>
        <v>272411.24442535877</v>
      </c>
      <c r="Z54" s="9">
        <f t="shared" si="100"/>
        <v>322933.86622784217</v>
      </c>
      <c r="AA54" s="9">
        <f t="shared" si="100"/>
        <v>398239.85262864828</v>
      </c>
      <c r="AB54" s="9">
        <f t="shared" si="100"/>
        <v>579163.2119346112</v>
      </c>
      <c r="AC54" s="9">
        <f t="shared" si="100"/>
        <v>472682.4011764949</v>
      </c>
      <c r="AD54" s="9">
        <f t="shared" si="100"/>
        <v>150362.03684830718</v>
      </c>
      <c r="AE54" s="9">
        <f t="shared" si="100"/>
        <v>-125509.31797530147</v>
      </c>
      <c r="AF54" s="9">
        <f t="shared" si="100"/>
        <v>-318351.61253752193</v>
      </c>
      <c r="AG54" s="9">
        <f t="shared" si="100"/>
        <v>-167476.35876813804</v>
      </c>
      <c r="AH54" s="9">
        <f t="shared" si="100"/>
        <v>125718.41823577514</v>
      </c>
      <c r="AI54" s="9">
        <f t="shared" si="100"/>
        <v>410838.38580114447</v>
      </c>
      <c r="AJ54" s="9">
        <f t="shared" si="100"/>
        <v>403561.1258565805</v>
      </c>
      <c r="AK54" s="9">
        <f t="shared" si="100"/>
        <v>169737.89970489297</v>
      </c>
      <c r="AL54" s="9">
        <f t="shared" si="100"/>
        <v>-29149.205391871074</v>
      </c>
      <c r="AM54" s="9">
        <f t="shared" si="100"/>
        <v>-177580.19773220652</v>
      </c>
      <c r="AN54" s="9">
        <f t="shared" si="100"/>
        <v>-293349.18389023235</v>
      </c>
    </row>
    <row r="55" spans="1:40" s="5" customFormat="1" ht="8.25" hidden="1" customHeight="1" outlineLevel="1" x14ac:dyDescent="0.3">
      <c r="A55" s="44"/>
      <c r="B55" s="13"/>
      <c r="C55" s="102"/>
      <c r="D55" s="102"/>
      <c r="E55" s="102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</row>
    <row r="56" spans="1:40" s="5" customFormat="1" ht="15" hidden="1" customHeight="1" outlineLevel="1" x14ac:dyDescent="0.3">
      <c r="A56" s="255" t="s">
        <v>23</v>
      </c>
      <c r="B56" s="17"/>
      <c r="C56" s="97"/>
      <c r="D56" s="97"/>
      <c r="E56" s="97"/>
      <c r="F56" s="9"/>
      <c r="G56" s="9"/>
      <c r="H56" s="9"/>
      <c r="I56" s="9"/>
      <c r="J56" s="9"/>
      <c r="K56" s="9"/>
      <c r="L56" s="9"/>
      <c r="M56" s="9"/>
      <c r="N56" s="144">
        <f>'MEEIA 3 adjs'!L42</f>
        <v>46.569999999999936</v>
      </c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144">
        <f>'MEEIA 3 adjs'!AA64</f>
        <v>87.969999999999914</v>
      </c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</row>
    <row r="57" spans="1:40" s="3" customFormat="1" ht="15" hidden="1" customHeight="1" outlineLevel="1" x14ac:dyDescent="0.3">
      <c r="A57" s="255"/>
      <c r="B57" s="17" t="s">
        <v>28</v>
      </c>
      <c r="C57" s="97"/>
      <c r="D57" s="97"/>
      <c r="E57" s="97"/>
      <c r="F57" s="22">
        <f>IF('M3 Allocations - TD'!D8="","",'M3 Allocations - TD'!D34)</f>
        <v>0</v>
      </c>
      <c r="G57" s="22">
        <f>IF('M3 Allocations - TD'!E8="","",'M3 Allocations - TD'!E34)</f>
        <v>9.4764517045030008</v>
      </c>
      <c r="H57" s="22">
        <f>IF('M3 Allocations - TD'!F8="","",'M3 Allocations - TD'!F34)</f>
        <v>992.38480063141662</v>
      </c>
      <c r="I57" s="22">
        <f>IF('M3 Allocations - TD'!G8="","",'M3 Allocations - TD'!G34)</f>
        <v>7292.1248374502911</v>
      </c>
      <c r="J57" s="22">
        <f>IF('M3 Allocations - TD'!H8="","",'M3 Allocations - TD'!H34)</f>
        <v>15994.94501268368</v>
      </c>
      <c r="K57" s="22">
        <f>IF('M3 Allocations - TD'!I8="","",'M3 Allocations - TD'!I34)</f>
        <v>17286.492613957165</v>
      </c>
      <c r="L57" s="22">
        <f>IF('M3 Allocations - TD'!J8="","",'M3 Allocations - TD'!J34)</f>
        <v>20593.63561343183</v>
      </c>
      <c r="M57" s="22">
        <f>IF('M3 Allocations - TD'!K8="","",'M3 Allocations - TD'!K34)</f>
        <v>13281.46306563299</v>
      </c>
      <c r="N57" s="22">
        <f>IF('M3 Allocations - TD'!L8="","",'M3 Allocations - TD'!L34)</f>
        <v>20634.15638219006</v>
      </c>
      <c r="O57" s="22">
        <f>IF('M3 Allocations - TD'!M8="","",'M3 Allocations - TD'!M34)</f>
        <v>18530.128304448888</v>
      </c>
      <c r="P57" s="22">
        <f>IF('M3 Allocations - TD'!N8="","",'M3 Allocations - TD'!N34)</f>
        <v>41320.38859087076</v>
      </c>
      <c r="Q57" s="22">
        <f>IF('M3 Allocations - TD'!O8="","",'M3 Allocations - TD'!O34)</f>
        <v>29425.974245256413</v>
      </c>
      <c r="R57" s="22">
        <f>IF('M3 Allocations - TD'!P8="","",'M3 Allocations - TD'!P34)</f>
        <v>32165.147795809222</v>
      </c>
      <c r="S57" s="22">
        <f>IF('M3 Allocations - TD'!Q8="","",'M3 Allocations - TD'!Q34)</f>
        <v>21213.003373036219</v>
      </c>
      <c r="T57" s="22">
        <f>IF('M3 Allocations - TD'!R8="","",'M3 Allocations - TD'!R34)</f>
        <v>41395.000804902586</v>
      </c>
      <c r="U57" s="22">
        <f>IF('M3 Allocations - TD'!S8="","",'M3 Allocations - TD'!S34)</f>
        <v>92952.761963081415</v>
      </c>
      <c r="V57" s="22">
        <f>IF('M3 Allocations - TD'!T8="","",'M3 Allocations - TD'!T34)</f>
        <v>123951.10916307675</v>
      </c>
      <c r="W57" s="22">
        <f>IF('M3 Allocations - TD'!U8="","",'M3 Allocations - TD'!U34)</f>
        <v>122809.27801030048</v>
      </c>
      <c r="X57" s="22">
        <f>IF('M3 Allocations - TD'!V8="","",'M3 Allocations - TD'!V34)</f>
        <v>96049.861338882605</v>
      </c>
      <c r="Y57" s="22">
        <f>IF('M3 Allocations - TD'!W8="","",'M3 Allocations - TD'!W34)</f>
        <v>51830.00376307463</v>
      </c>
      <c r="Z57" s="22">
        <f>IF('M3 Allocations - TD'!X8="","",'M3 Allocations - TD'!X34)</f>
        <v>49578.466987818043</v>
      </c>
      <c r="AA57" s="22">
        <f>IF('M3 Allocations - TD'!Y8="","",'M3 Allocations - TD'!Y34)</f>
        <v>51735.412802116007</v>
      </c>
      <c r="AB57" s="22">
        <f>IF('M3 Allocations - TD'!Z8="","",'M3 Allocations - TD'!Z34)</f>
        <v>90838.744276912417</v>
      </c>
      <c r="AC57" s="22">
        <f>IF('M3 Allocations - TD'!AA8="","",'M3 Allocations - TD'!AA34)</f>
        <v>65459.948883100595</v>
      </c>
      <c r="AD57" s="22">
        <f>IF('M3 Allocations - TD'!AB8="","",'M3 Allocations - TD'!AB34)</f>
        <v>71534.944524128558</v>
      </c>
      <c r="AE57" s="22">
        <f>IF('M3 Allocations - TD'!AC8="","",'M3 Allocations - TD'!AC34)</f>
        <v>71343.757771636898</v>
      </c>
      <c r="AF57" s="22">
        <f>IF('M3 Allocations - TD'!AD8="","",'M3 Allocations - TD'!AD34)</f>
        <v>103296.3103477702</v>
      </c>
      <c r="AG57" s="22">
        <f>IF('M3 Allocations - TD'!AE8="","",'M3 Allocations - TD'!AE34)</f>
        <v>256562.81120160531</v>
      </c>
      <c r="AH57" s="22">
        <f>IF('M3 Allocations - TD'!AF8="","",'M3 Allocations - TD'!AF34)</f>
        <v>319479.07850425603</v>
      </c>
      <c r="AI57" s="22">
        <f>IF('M3 Allocations - TD'!AG8="","",'M3 Allocations - TD'!AG34)</f>
        <v>309875.12991512951</v>
      </c>
      <c r="AJ57" s="22">
        <f>IF('M3 Allocations - TD'!AH8="","",'M3 Allocations - TD'!AH34)</f>
        <v>200668.49634980995</v>
      </c>
      <c r="AK57" s="22">
        <f>IF('M3 Allocations - TD'!AI8="","",'M3 Allocations - TD'!AI34)</f>
        <v>111417.50190042912</v>
      </c>
      <c r="AL57" s="22">
        <f>IF('M3 Allocations - TD'!AJ8="","",'M3 Allocations - TD'!AJ34)</f>
        <v>94704.220147862201</v>
      </c>
      <c r="AM57" s="22">
        <f>IF('M3 Allocations - TD'!AK8="","",'M3 Allocations - TD'!AK34)</f>
        <v>109815.31391875097</v>
      </c>
      <c r="AN57" s="22">
        <f>IF('M3 Allocations - TD'!AL8="","",'M3 Allocations - TD'!AL34)</f>
        <v>140287.89892637212</v>
      </c>
    </row>
    <row r="58" spans="1:40" s="5" customFormat="1" ht="15" hidden="1" customHeight="1" outlineLevel="1" x14ac:dyDescent="0.3">
      <c r="A58" s="255"/>
      <c r="B58" s="18" t="s">
        <v>26</v>
      </c>
      <c r="C58" s="97"/>
      <c r="D58" s="97"/>
      <c r="E58" s="97"/>
      <c r="F58" s="22">
        <f>IF('M3 Allocations - TD'!D54="","",'M3 Allocations - TD'!D72)</f>
        <v>0</v>
      </c>
      <c r="G58" s="22">
        <f>IF('M3 Allocations - TD'!E54="","",'M3 Allocations - TD'!E72)</f>
        <v>0</v>
      </c>
      <c r="H58" s="22">
        <f>IF('M3 Allocations - TD'!F54="","",'M3 Allocations - TD'!F72)</f>
        <v>2381.1324731369587</v>
      </c>
      <c r="I58" s="22">
        <f>IF('M3 Allocations - TD'!G54="","",'M3 Allocations - TD'!G72)</f>
        <v>41080.759711289073</v>
      </c>
      <c r="J58" s="22">
        <f>IF('M3 Allocations - TD'!H54="","",'M3 Allocations - TD'!H72)</f>
        <v>46620.227707662583</v>
      </c>
      <c r="K58" s="22">
        <f>IF('M3 Allocations - TD'!I54="","",'M3 Allocations - TD'!I72)</f>
        <v>48915.290383093015</v>
      </c>
      <c r="L58" s="22">
        <f>IF('M3 Allocations - TD'!J54="","",'M3 Allocations - TD'!J72)</f>
        <v>48689.064699160743</v>
      </c>
      <c r="M58" s="22">
        <f>IF('M3 Allocations - TD'!K54="","",'M3 Allocations - TD'!K72)</f>
        <v>45154.720570269681</v>
      </c>
      <c r="N58" s="22">
        <f>IF('M3 Allocations - TD'!L54="","",'M3 Allocations - TD'!L72)</f>
        <v>41515.04923810179</v>
      </c>
      <c r="O58" s="22">
        <f>IF('M3 Allocations - TD'!M54="","",'M3 Allocations - TD'!M72)</f>
        <v>41594.548478057877</v>
      </c>
      <c r="P58" s="22">
        <f>IF('M3 Allocations - TD'!N54="","",'M3 Allocations - TD'!N72)</f>
        <v>42743.649469302021</v>
      </c>
      <c r="Q58" s="22">
        <f>IF('M3 Allocations - TD'!O54="","",'M3 Allocations - TD'!O72)</f>
        <v>43471.756585125317</v>
      </c>
      <c r="R58" s="22">
        <f>IF('M3 Allocations - TD'!P54="","",'M3 Allocations - TD'!P72)</f>
        <v>37573.855689531287</v>
      </c>
      <c r="S58" s="22">
        <f>IF('M3 Allocations - TD'!Q54="","",'M3 Allocations - TD'!Q72)</f>
        <v>36905.295455925545</v>
      </c>
      <c r="T58" s="22">
        <f>IF('M3 Allocations - TD'!R54="","",'M3 Allocations - TD'!R72)</f>
        <v>34871.894488322658</v>
      </c>
      <c r="U58" s="22">
        <f>IF('M3 Allocations - TD'!S54="","",'M3 Allocations - TD'!S72)</f>
        <v>40727.091457001268</v>
      </c>
      <c r="V58" s="22">
        <f>IF('M3 Allocations - TD'!T54="","",'M3 Allocations - TD'!T72)</f>
        <v>42825.077518324979</v>
      </c>
      <c r="W58" s="22">
        <f>IF('M3 Allocations - TD'!U54="","",'M3 Allocations - TD'!U72)</f>
        <v>44954.202556147626</v>
      </c>
      <c r="X58" s="22">
        <f>IF('M3 Allocations - TD'!V54="","",'M3 Allocations - TD'!V72)</f>
        <v>45054.75137109276</v>
      </c>
      <c r="Y58" s="22">
        <f>IF('M3 Allocations - TD'!W54="","",'M3 Allocations - TD'!W72)</f>
        <v>40035.738044047088</v>
      </c>
      <c r="Z58" s="22">
        <f>IF('M3 Allocations - TD'!X54="","",'M3 Allocations - TD'!X72)</f>
        <v>39574.059026383933</v>
      </c>
      <c r="AA58" s="22">
        <f>IF('M3 Allocations - TD'!Y54="","",'M3 Allocations - TD'!Y72)</f>
        <v>41188.257144152223</v>
      </c>
      <c r="AB58" s="22">
        <f>IF('M3 Allocations - TD'!Z54="","",'M3 Allocations - TD'!Z72)</f>
        <v>40226.995717895465</v>
      </c>
      <c r="AC58" s="22">
        <f>IF('M3 Allocations - TD'!AA54="","",'M3 Allocations - TD'!AA72)</f>
        <v>108585.49808616596</v>
      </c>
      <c r="AD58" s="22">
        <f>IF('M3 Allocations - TD'!AB54="","",'M3 Allocations - TD'!AB72)</f>
        <v>181792.64072508441</v>
      </c>
      <c r="AE58" s="22">
        <f>IF('M3 Allocations - TD'!AC54="","",'M3 Allocations - TD'!AC72)</f>
        <v>183572.05910467496</v>
      </c>
      <c r="AF58" s="22">
        <f>IF('M3 Allocations - TD'!AD54="","",'M3 Allocations - TD'!AD72)</f>
        <v>190770.53370651661</v>
      </c>
      <c r="AG58" s="22">
        <f>IF('M3 Allocations - TD'!AE54="","",'M3 Allocations - TD'!AE72)</f>
        <v>183881.99525765545</v>
      </c>
      <c r="AH58" s="22">
        <f>IF('M3 Allocations - TD'!AF54="","",'M3 Allocations - TD'!AF72)</f>
        <v>245635.92921565124</v>
      </c>
      <c r="AI58" s="22">
        <f>IF('M3 Allocations - TD'!AG54="","",'M3 Allocations - TD'!AG72)</f>
        <v>225402.14448890529</v>
      </c>
      <c r="AJ58" s="22">
        <f>IF('M3 Allocations - TD'!AH54="","",'M3 Allocations - TD'!AH72)</f>
        <v>228315.5064563354</v>
      </c>
      <c r="AK58" s="22">
        <f>IF('M3 Allocations - TD'!AI54="","",'M3 Allocations - TD'!AI72)</f>
        <v>197613.76683715408</v>
      </c>
      <c r="AL58" s="22">
        <f>IF('M3 Allocations - TD'!AJ54="","",'M3 Allocations - TD'!AJ72)</f>
        <v>198653.01246584108</v>
      </c>
      <c r="AM58" s="22">
        <f>IF('M3 Allocations - TD'!AK54="","",'M3 Allocations - TD'!AK72)</f>
        <v>205364.84927898599</v>
      </c>
      <c r="AN58" s="22">
        <f>IF('M3 Allocations - TD'!AL54="","",'M3 Allocations - TD'!AL72)</f>
        <v>208510.37573239492</v>
      </c>
    </row>
    <row r="59" spans="1:40" s="5" customFormat="1" ht="15" hidden="1" customHeight="1" outlineLevel="1" x14ac:dyDescent="0.3">
      <c r="A59" s="255"/>
      <c r="B59" s="18" t="s">
        <v>47</v>
      </c>
      <c r="C59" s="97"/>
      <c r="D59" s="97"/>
      <c r="E59" s="97"/>
      <c r="F59" s="22">
        <f>IF(F58="","",0)</f>
        <v>0</v>
      </c>
      <c r="G59" s="22">
        <f t="shared" ref="G59" si="101">IF(G58="","",0)</f>
        <v>0</v>
      </c>
      <c r="H59" s="22">
        <f t="shared" ref="H59" si="102">IF(H58="","",0)</f>
        <v>0</v>
      </c>
      <c r="I59" s="22">
        <f t="shared" ref="I59" si="103">IF(I58="","",0)</f>
        <v>0</v>
      </c>
      <c r="J59" s="22">
        <f t="shared" ref="J59" si="104">IF(J58="","",0)</f>
        <v>0</v>
      </c>
      <c r="K59" s="22">
        <f t="shared" ref="K59" si="105">IF(K58="","",0)</f>
        <v>0</v>
      </c>
      <c r="L59" s="22">
        <f t="shared" ref="L59" si="106">IF(L58="","",0)</f>
        <v>0</v>
      </c>
      <c r="M59" s="22">
        <f t="shared" ref="M59" si="107">IF(M58="","",0)</f>
        <v>0</v>
      </c>
      <c r="N59" s="22">
        <f t="shared" ref="N59" si="108">IF(N58="","",0)</f>
        <v>0</v>
      </c>
      <c r="O59" s="22">
        <f t="shared" ref="O59" si="109">IF(O58="","",0)</f>
        <v>0</v>
      </c>
      <c r="P59" s="22">
        <f t="shared" ref="P59" si="110">IF(P58="","",0)</f>
        <v>0</v>
      </c>
      <c r="Q59" s="22">
        <f>IF(Q58="","",-'M3 TD amort'!C29)</f>
        <v>20708.53</v>
      </c>
      <c r="R59" s="22">
        <f>IF(R58="","",-'M3 TD amort'!D29)</f>
        <v>17927.830000000002</v>
      </c>
      <c r="S59" s="22">
        <f>IF(S58="","",-'M3 TD amort'!E29)</f>
        <v>17511.97</v>
      </c>
      <c r="T59" s="22">
        <f>IF(T58="","",-'M3 TD amort'!F29)</f>
        <v>16485.95</v>
      </c>
      <c r="U59" s="22">
        <f>IF(U58="","",-'M3 TD amort'!G29)</f>
        <v>19200.04</v>
      </c>
      <c r="V59" s="22">
        <f>IF(V58="","",-'M3 TD amort'!H29)</f>
        <v>20208.66</v>
      </c>
      <c r="W59" s="22">
        <f>IF(W58="","",-'M3 TD amort'!I29)</f>
        <v>21182.03</v>
      </c>
      <c r="X59" s="22">
        <f>IF(X58="","",-'M3 TD amort'!J29)</f>
        <v>21187.42</v>
      </c>
      <c r="Y59" s="22">
        <f>IF(Y58="","",-'M3 TD amort'!K29)</f>
        <v>18832.849999999999</v>
      </c>
      <c r="Z59" s="22">
        <f>IF(Z58="","",-'M3 TD amort'!L29)</f>
        <v>18699.46</v>
      </c>
      <c r="AA59" s="22">
        <f>IF(AA58="","",-'M3 TD amort'!M29)</f>
        <v>19565.84</v>
      </c>
      <c r="AB59" s="22">
        <f>IF(AB58="","",-'M3 TD amort'!N29)</f>
        <v>19211.02</v>
      </c>
      <c r="AC59" s="22">
        <f>IF(AC58="","",-'M3 TD amort'!O29)</f>
        <v>-5225.53</v>
      </c>
      <c r="AD59" s="22">
        <f>IF(AD58="","",-'M3 TD amort'!P29)</f>
        <v>-8688.59</v>
      </c>
      <c r="AE59" s="22">
        <f>IF(AE58="","",-'M3 TD amort'!Q29)</f>
        <v>-8718.77</v>
      </c>
      <c r="AF59" s="22">
        <f>IF(AF58="","",-'M3 TD amort'!R29)</f>
        <v>-9032.2099999999991</v>
      </c>
      <c r="AG59" s="22">
        <f>IF(AG58="","",-'M3 TD amort'!S29)</f>
        <v>-8700.5300000000007</v>
      </c>
      <c r="AH59" s="22">
        <f>IF(AH58="","",-'M3 TD amort'!T29)</f>
        <v>-11631.74</v>
      </c>
      <c r="AI59" s="22">
        <f>IF(AI58="","",-'M3 TD amort'!U29)</f>
        <v>-10679.45</v>
      </c>
      <c r="AJ59" s="22">
        <f>IF(AJ58="","",-'M3 TD amort'!V29)</f>
        <v>-10815</v>
      </c>
      <c r="AK59" s="22">
        <f>IF(AK58="","",-'M3 TD amort'!W29)</f>
        <v>-9338.6</v>
      </c>
      <c r="AL59" s="22">
        <f>IF(AL58="","",-'M3 TD amort'!X29)</f>
        <v>-9401.33</v>
      </c>
      <c r="AM59" s="22">
        <f>IF(AM58="","",-'M3 TD amort'!Y29)</f>
        <v>-9758.02</v>
      </c>
      <c r="AN59" s="22">
        <f>IF(AN58="","",-'M3 TD amort'!Z29)</f>
        <v>-9929.56</v>
      </c>
    </row>
    <row r="60" spans="1:40" s="5" customFormat="1" ht="15" hidden="1" customHeight="1" outlineLevel="1" x14ac:dyDescent="0.3">
      <c r="A60" s="255"/>
      <c r="B60" s="18" t="s">
        <v>48</v>
      </c>
      <c r="C60" s="97"/>
      <c r="D60" s="97"/>
      <c r="E60" s="97"/>
      <c r="F60" s="9">
        <f t="shared" ref="F60:M60" si="111">IF(OR(F59="",F58=""),"",F58+F59)</f>
        <v>0</v>
      </c>
      <c r="G60" s="9">
        <f t="shared" si="111"/>
        <v>0</v>
      </c>
      <c r="H60" s="9">
        <f t="shared" si="111"/>
        <v>2381.1324731369587</v>
      </c>
      <c r="I60" s="9">
        <f t="shared" si="111"/>
        <v>41080.759711289073</v>
      </c>
      <c r="J60" s="9">
        <f t="shared" si="111"/>
        <v>46620.227707662583</v>
      </c>
      <c r="K60" s="9">
        <f t="shared" si="111"/>
        <v>48915.290383093015</v>
      </c>
      <c r="L60" s="9">
        <f t="shared" si="111"/>
        <v>48689.064699160743</v>
      </c>
      <c r="M60" s="9">
        <f t="shared" si="111"/>
        <v>45154.720570269681</v>
      </c>
      <c r="N60" s="9">
        <f>IF(OR(N59="",N58=""),"",N58+N59)</f>
        <v>41515.04923810179</v>
      </c>
      <c r="O60" s="9">
        <f t="shared" ref="O60:AN60" si="112">IF(OR(O59="",O58=""),"",O58+O59)</f>
        <v>41594.548478057877</v>
      </c>
      <c r="P60" s="9">
        <f t="shared" si="112"/>
        <v>42743.649469302021</v>
      </c>
      <c r="Q60" s="9">
        <f t="shared" si="112"/>
        <v>64180.286585125315</v>
      </c>
      <c r="R60" s="9">
        <f t="shared" si="112"/>
        <v>55501.685689531289</v>
      </c>
      <c r="S60" s="9">
        <f t="shared" si="112"/>
        <v>54417.265455925546</v>
      </c>
      <c r="T60" s="9">
        <f t="shared" si="112"/>
        <v>51357.844488322662</v>
      </c>
      <c r="U60" s="9">
        <f t="shared" si="112"/>
        <v>59927.131457001269</v>
      </c>
      <c r="V60" s="9">
        <f t="shared" si="112"/>
        <v>63033.737518324982</v>
      </c>
      <c r="W60" s="9">
        <f t="shared" si="112"/>
        <v>66136.232556147617</v>
      </c>
      <c r="X60" s="9">
        <f t="shared" si="112"/>
        <v>66242.171371092758</v>
      </c>
      <c r="Y60" s="9">
        <f t="shared" si="112"/>
        <v>58868.588044047086</v>
      </c>
      <c r="Z60" s="9">
        <f t="shared" si="112"/>
        <v>58273.519026383932</v>
      </c>
      <c r="AA60" s="9">
        <f t="shared" si="112"/>
        <v>60754.097144152227</v>
      </c>
      <c r="AB60" s="9">
        <f t="shared" si="112"/>
        <v>59438.015717895469</v>
      </c>
      <c r="AC60" s="9">
        <f t="shared" si="112"/>
        <v>103359.96808616596</v>
      </c>
      <c r="AD60" s="9">
        <f t="shared" si="112"/>
        <v>173104.05072508441</v>
      </c>
      <c r="AE60" s="9">
        <f t="shared" si="112"/>
        <v>174853.28910467497</v>
      </c>
      <c r="AF60" s="9">
        <f t="shared" si="112"/>
        <v>181738.32370651662</v>
      </c>
      <c r="AG60" s="9">
        <f t="shared" si="112"/>
        <v>175181.46525765545</v>
      </c>
      <c r="AH60" s="9">
        <f t="shared" si="112"/>
        <v>234004.18921565125</v>
      </c>
      <c r="AI60" s="9">
        <f t="shared" si="112"/>
        <v>214722.69448890528</v>
      </c>
      <c r="AJ60" s="9">
        <f t="shared" si="112"/>
        <v>217500.5064563354</v>
      </c>
      <c r="AK60" s="9">
        <f t="shared" si="112"/>
        <v>188275.16683715407</v>
      </c>
      <c r="AL60" s="9">
        <f t="shared" si="112"/>
        <v>189251.68246584109</v>
      </c>
      <c r="AM60" s="9">
        <f t="shared" si="112"/>
        <v>195606.829278986</v>
      </c>
      <c r="AN60" s="9">
        <f t="shared" si="112"/>
        <v>198580.81573239493</v>
      </c>
    </row>
    <row r="61" spans="1:40" s="5" customFormat="1" hidden="1" outlineLevel="1" x14ac:dyDescent="0.3">
      <c r="A61" s="255"/>
      <c r="B61" s="18" t="s">
        <v>13</v>
      </c>
      <c r="C61" s="97"/>
      <c r="D61" s="97"/>
      <c r="E61" s="97"/>
      <c r="F61" s="9">
        <f t="shared" ref="F61:M61" si="113">IF(OR(F58="",F57=""),"",F57-F58)</f>
        <v>0</v>
      </c>
      <c r="G61" s="9">
        <f t="shared" si="113"/>
        <v>9.4764517045030008</v>
      </c>
      <c r="H61" s="9">
        <f t="shared" si="113"/>
        <v>-1388.7476725055421</v>
      </c>
      <c r="I61" s="9">
        <f t="shared" si="113"/>
        <v>-33788.634873838782</v>
      </c>
      <c r="J61" s="9">
        <f t="shared" si="113"/>
        <v>-30625.282694978901</v>
      </c>
      <c r="K61" s="9">
        <f t="shared" si="113"/>
        <v>-31628.79776913585</v>
      </c>
      <c r="L61" s="9">
        <f t="shared" si="113"/>
        <v>-28095.429085728912</v>
      </c>
      <c r="M61" s="9">
        <f t="shared" si="113"/>
        <v>-31873.257504636691</v>
      </c>
      <c r="N61" s="9">
        <f>IF(OR(N60="",N57=""),"",N57-N60)</f>
        <v>-20880.89285591173</v>
      </c>
      <c r="O61" s="9">
        <f t="shared" ref="O61:AN61" si="114">IF(OR(O60="",O57=""),"",O57-O60)</f>
        <v>-23064.420173608989</v>
      </c>
      <c r="P61" s="9">
        <f t="shared" si="114"/>
        <v>-1423.2608784312615</v>
      </c>
      <c r="Q61" s="9">
        <f t="shared" si="114"/>
        <v>-34754.312339868906</v>
      </c>
      <c r="R61" s="9">
        <f t="shared" si="114"/>
        <v>-23336.537893722067</v>
      </c>
      <c r="S61" s="9">
        <f t="shared" si="114"/>
        <v>-33204.262082889327</v>
      </c>
      <c r="T61" s="9">
        <f t="shared" si="114"/>
        <v>-9962.8436834200766</v>
      </c>
      <c r="U61" s="9">
        <f t="shared" si="114"/>
        <v>33025.630506080146</v>
      </c>
      <c r="V61" s="9">
        <f t="shared" si="114"/>
        <v>60917.371644751765</v>
      </c>
      <c r="W61" s="9">
        <f t="shared" si="114"/>
        <v>56673.04545415286</v>
      </c>
      <c r="X61" s="9">
        <f t="shared" si="114"/>
        <v>29807.689967789847</v>
      </c>
      <c r="Y61" s="9">
        <f t="shared" si="114"/>
        <v>-7038.5842809724563</v>
      </c>
      <c r="Z61" s="9">
        <f t="shared" si="114"/>
        <v>-8695.0520385658892</v>
      </c>
      <c r="AA61" s="9">
        <f t="shared" si="114"/>
        <v>-9018.6843420362202</v>
      </c>
      <c r="AB61" s="9">
        <f t="shared" si="114"/>
        <v>31400.728559016949</v>
      </c>
      <c r="AC61" s="9">
        <f t="shared" si="114"/>
        <v>-37900.019203065363</v>
      </c>
      <c r="AD61" s="9">
        <f t="shared" si="114"/>
        <v>-101569.10620095585</v>
      </c>
      <c r="AE61" s="9">
        <f t="shared" si="114"/>
        <v>-103509.53133303807</v>
      </c>
      <c r="AF61" s="9">
        <f t="shared" si="114"/>
        <v>-78442.013358746422</v>
      </c>
      <c r="AG61" s="9">
        <f t="shared" si="114"/>
        <v>81381.345943949855</v>
      </c>
      <c r="AH61" s="9">
        <f t="shared" si="114"/>
        <v>85474.889288604783</v>
      </c>
      <c r="AI61" s="9">
        <f t="shared" si="114"/>
        <v>95152.435426224227</v>
      </c>
      <c r="AJ61" s="9">
        <f t="shared" si="114"/>
        <v>-16832.010106525442</v>
      </c>
      <c r="AK61" s="9">
        <f t="shared" si="114"/>
        <v>-76857.664936724948</v>
      </c>
      <c r="AL61" s="9">
        <f t="shared" si="114"/>
        <v>-94547.46231797889</v>
      </c>
      <c r="AM61" s="9">
        <f t="shared" si="114"/>
        <v>-85791.515360235033</v>
      </c>
      <c r="AN61" s="9">
        <f t="shared" si="114"/>
        <v>-58292.916806022811</v>
      </c>
    </row>
    <row r="62" spans="1:40" s="5" customFormat="1" hidden="1" outlineLevel="1" x14ac:dyDescent="0.3">
      <c r="A62" s="255"/>
      <c r="B62" s="19" t="s">
        <v>8</v>
      </c>
      <c r="C62" s="97"/>
      <c r="D62" s="97"/>
      <c r="E62" s="97"/>
      <c r="F62" s="9">
        <f>IF(OR(F9="",F61=""),"",ROUND((F61+E64)*F9/12,2))</f>
        <v>0</v>
      </c>
      <c r="G62" s="9">
        <f t="shared" ref="G62:L62" si="115">IF(OR(G9="",G61=""),"",ROUND((G61+F64)*G9/12,2))</f>
        <v>0.02</v>
      </c>
      <c r="H62" s="9">
        <f t="shared" si="115"/>
        <v>-3.08</v>
      </c>
      <c r="I62" s="9">
        <f t="shared" si="115"/>
        <v>-77.67</v>
      </c>
      <c r="J62" s="9">
        <f t="shared" si="115"/>
        <v>-142.44999999999999</v>
      </c>
      <c r="K62" s="9">
        <f t="shared" si="115"/>
        <v>-191.32</v>
      </c>
      <c r="L62" s="9">
        <f t="shared" si="115"/>
        <v>-232.65</v>
      </c>
      <c r="M62" s="9">
        <f t="shared" ref="M62" si="116">IF(OR(M9="",M61=""),"",ROUND((M61+L64)*M9/12,2))</f>
        <v>-278.39999999999998</v>
      </c>
      <c r="N62" s="9">
        <f>IF(OR(N9="",N61=""),"",ROUND((N61+M64)*N9/12,2))+N56</f>
        <v>-224.61000000000007</v>
      </c>
      <c r="O62" s="9">
        <f t="shared" ref="O62" si="117">IF(OR(O9="",O61=""),"",ROUND((O61+N64)*O9/12,2))</f>
        <v>-323.17</v>
      </c>
      <c r="P62" s="9">
        <f t="shared" ref="P62" si="118">IF(OR(P9="",P61=""),"",ROUND((P61+O64)*P9/12,2))</f>
        <v>-321.51</v>
      </c>
      <c r="Q62" s="9">
        <f t="shared" ref="Q62" si="119">IF(OR(Q9="",Q61=""),"",ROUND((Q61+P64)*Q9/12,2))</f>
        <v>-359.68</v>
      </c>
      <c r="R62" s="9">
        <f t="shared" ref="R62" si="120">IF(OR(R9="",R61=""),"",ROUND((R61+Q64)*R9/12,2))</f>
        <v>-381.33</v>
      </c>
      <c r="S62" s="9">
        <f t="shared" ref="S62" si="121">IF(OR(S9="",S61=""),"",ROUND((S61+R64)*S9/12,2))</f>
        <v>-201.73</v>
      </c>
      <c r="T62" s="9">
        <f t="shared" ref="T62" si="122">IF(OR(T9="",T61=""),"",ROUND((T61+S64)*T9/12,2))</f>
        <v>-26.95</v>
      </c>
      <c r="U62" s="9">
        <f t="shared" ref="U62" si="123">IF(OR(U9="",U61=""),"",ROUND((U61+T64)*U9/12,2))</f>
        <v>-21.06</v>
      </c>
      <c r="V62" s="9">
        <f t="shared" ref="V62" si="124">IF(OR(V9="",V61=""),"",ROUND((V61+U64)*V9/12,2))</f>
        <v>-19.53</v>
      </c>
      <c r="W62" s="9">
        <f t="shared" ref="W62" si="125">IF(OR(W9="",W61=""),"",ROUND((W61+V64)*W9/12,2))</f>
        <v>-5.03</v>
      </c>
      <c r="X62" s="9">
        <f t="shared" ref="X62" si="126">IF(OR(X9="",X61=""),"",ROUND((X61+W64)*X9/12,2))</f>
        <v>0.7</v>
      </c>
      <c r="Y62" s="9">
        <f t="shared" ref="Y62" si="127">IF(OR(Y9="",Y61=""),"",ROUND((Y61+X64)*Y9/12,2))</f>
        <v>3.5</v>
      </c>
      <c r="Z62" s="9">
        <f>IF(OR(Z9="",Z61=""),"",ROUND((Z59+Z61+Y64+Z56)*Z9/12,2))+Z56</f>
        <v>98.469999999999914</v>
      </c>
      <c r="AA62" s="9">
        <f>IF(OR(AA9="",AA61=""),"",ROUND((AA59+AA61+Z64)*AA9/12,2))</f>
        <v>14.34</v>
      </c>
      <c r="AB62" s="9">
        <f>IF(OR(AB9="",AB61=""),"",ROUND((AB59+AB61+AA64)*AB9/12,2))</f>
        <v>19.079999999999998</v>
      </c>
      <c r="AC62" s="9">
        <f t="shared" ref="AC62:AN62" si="128">IF(OR(AC9="",AC61=""),"",ROUND((AC59+AC61+AB64)*AC9/12,2))</f>
        <v>13.15</v>
      </c>
      <c r="AD62" s="9">
        <f t="shared" si="128"/>
        <v>-7.53</v>
      </c>
      <c r="AE62" s="9">
        <f t="shared" si="128"/>
        <v>-28.99</v>
      </c>
      <c r="AF62" s="9">
        <f t="shared" si="128"/>
        <v>-45.23</v>
      </c>
      <c r="AG62" s="9">
        <f t="shared" si="128"/>
        <v>-28.46</v>
      </c>
      <c r="AH62" s="9">
        <f t="shared" si="128"/>
        <v>-11.11</v>
      </c>
      <c r="AI62" s="9">
        <f t="shared" si="128"/>
        <v>-1.9</v>
      </c>
      <c r="AJ62" s="9">
        <f t="shared" si="128"/>
        <v>-6.24</v>
      </c>
      <c r="AK62" s="9">
        <f t="shared" si="128"/>
        <v>-15.62</v>
      </c>
      <c r="AL62" s="9">
        <f t="shared" si="128"/>
        <v>-28.61</v>
      </c>
      <c r="AM62" s="9">
        <f t="shared" si="128"/>
        <v>-40.56</v>
      </c>
      <c r="AN62" s="9">
        <f t="shared" si="128"/>
        <v>-49.09</v>
      </c>
    </row>
    <row r="63" spans="1:40" s="5" customFormat="1" hidden="1" outlineLevel="1" x14ac:dyDescent="0.3">
      <c r="A63" s="255"/>
      <c r="B63" s="18" t="s">
        <v>14</v>
      </c>
      <c r="C63" s="97"/>
      <c r="D63" s="97"/>
      <c r="E63" s="97"/>
      <c r="F63" s="9">
        <f t="shared" ref="F63:M63" si="129">IF(OR(F61="",F62=""),"",F61+F62)</f>
        <v>0</v>
      </c>
      <c r="G63" s="9">
        <f t="shared" si="129"/>
        <v>9.4964517045030004</v>
      </c>
      <c r="H63" s="9">
        <f t="shared" si="129"/>
        <v>-1391.8276725055421</v>
      </c>
      <c r="I63" s="9">
        <f t="shared" si="129"/>
        <v>-33866.304873838781</v>
      </c>
      <c r="J63" s="9">
        <f t="shared" si="129"/>
        <v>-30767.732694978902</v>
      </c>
      <c r="K63" s="9">
        <f t="shared" si="129"/>
        <v>-31820.11776913585</v>
      </c>
      <c r="L63" s="9">
        <f t="shared" si="129"/>
        <v>-28328.079085728914</v>
      </c>
      <c r="M63" s="9">
        <f t="shared" si="129"/>
        <v>-32151.657504636692</v>
      </c>
      <c r="N63" s="9">
        <f>IF(OR(N61="",N62=""),"",N61+N62)</f>
        <v>-21105.502855911731</v>
      </c>
      <c r="O63" s="9">
        <f t="shared" ref="O63:Y63" si="130">IF(OR(O61="",O62=""),"",O61+O62)</f>
        <v>-23387.590173608987</v>
      </c>
      <c r="P63" s="9">
        <f t="shared" si="130"/>
        <v>-1744.7708784312615</v>
      </c>
      <c r="Q63" s="9">
        <f t="shared" si="130"/>
        <v>-35113.992339868906</v>
      </c>
      <c r="R63" s="9">
        <f t="shared" si="130"/>
        <v>-23717.867893722068</v>
      </c>
      <c r="S63" s="9">
        <f t="shared" si="130"/>
        <v>-33405.99208288933</v>
      </c>
      <c r="T63" s="9">
        <f t="shared" si="130"/>
        <v>-9989.7936834200773</v>
      </c>
      <c r="U63" s="9">
        <f t="shared" si="130"/>
        <v>33004.570506080148</v>
      </c>
      <c r="V63" s="9">
        <f t="shared" si="130"/>
        <v>60897.841644751767</v>
      </c>
      <c r="W63" s="9">
        <f t="shared" si="130"/>
        <v>56668.015454152861</v>
      </c>
      <c r="X63" s="9">
        <f t="shared" si="130"/>
        <v>29808.389967789848</v>
      </c>
      <c r="Y63" s="9">
        <f t="shared" si="130"/>
        <v>-7035.0842809724563</v>
      </c>
      <c r="Z63" s="9">
        <f>IF(OR(Z61="",Z62=""),"",Z61+Z62)</f>
        <v>-8596.5820385658899</v>
      </c>
      <c r="AA63" s="9">
        <f t="shared" ref="AA63:AN63" si="131">IF(OR(AA61="",AA62=""),"",AA61+AA62)</f>
        <v>-9004.34434203622</v>
      </c>
      <c r="AB63" s="9">
        <f t="shared" si="131"/>
        <v>31419.80855901695</v>
      </c>
      <c r="AC63" s="9">
        <f t="shared" si="131"/>
        <v>-37886.869203065362</v>
      </c>
      <c r="AD63" s="9">
        <f t="shared" si="131"/>
        <v>-101576.63620095585</v>
      </c>
      <c r="AE63" s="9">
        <f t="shared" si="131"/>
        <v>-103538.52133303808</v>
      </c>
      <c r="AF63" s="9">
        <f t="shared" si="131"/>
        <v>-78487.243358746418</v>
      </c>
      <c r="AG63" s="9">
        <f t="shared" si="131"/>
        <v>81352.885943949848</v>
      </c>
      <c r="AH63" s="9">
        <f t="shared" si="131"/>
        <v>85463.779288604783</v>
      </c>
      <c r="AI63" s="9">
        <f t="shared" si="131"/>
        <v>95150.535426224233</v>
      </c>
      <c r="AJ63" s="9">
        <f t="shared" si="131"/>
        <v>-16838.250106525444</v>
      </c>
      <c r="AK63" s="9">
        <f t="shared" si="131"/>
        <v>-76873.284936724944</v>
      </c>
      <c r="AL63" s="9">
        <f t="shared" si="131"/>
        <v>-94576.072317978891</v>
      </c>
      <c r="AM63" s="9">
        <f t="shared" si="131"/>
        <v>-85832.075360235031</v>
      </c>
      <c r="AN63" s="9">
        <f t="shared" si="131"/>
        <v>-58342.006806022808</v>
      </c>
    </row>
    <row r="64" spans="1:40" s="5" customFormat="1" hidden="1" outlineLevel="1" x14ac:dyDescent="0.3">
      <c r="A64" s="255"/>
      <c r="B64" s="20" t="s">
        <v>18</v>
      </c>
      <c r="C64" s="97"/>
      <c r="D64" s="97"/>
      <c r="E64" s="97"/>
      <c r="F64" s="9">
        <f>IF(OR(F63=""),"",F63)</f>
        <v>0</v>
      </c>
      <c r="G64" s="9">
        <f t="shared" ref="G64:M64" si="132">IF(OR(G63="",F64=""),"",G63+F64)</f>
        <v>9.4964517045030004</v>
      </c>
      <c r="H64" s="9">
        <f t="shared" si="132"/>
        <v>-1382.3312208010391</v>
      </c>
      <c r="I64" s="9">
        <f t="shared" si="132"/>
        <v>-35248.63609463982</v>
      </c>
      <c r="J64" s="9">
        <f t="shared" si="132"/>
        <v>-66016.368789618718</v>
      </c>
      <c r="K64" s="9">
        <f t="shared" si="132"/>
        <v>-97836.486558754565</v>
      </c>
      <c r="L64" s="9">
        <f t="shared" si="132"/>
        <v>-126164.56564448347</v>
      </c>
      <c r="M64" s="9">
        <f t="shared" si="132"/>
        <v>-158316.22314912017</v>
      </c>
      <c r="N64" s="9">
        <f>IF(OR(N63="",M64=""),"",N63+N59+M64)</f>
        <v>-179421.7260050319</v>
      </c>
      <c r="O64" s="9">
        <f>IF(OR(O63="",N64=""),"",O63+O59+N64+O56)</f>
        <v>-202809.31617864087</v>
      </c>
      <c r="P64" s="9">
        <f t="shared" ref="P64:AN64" si="133">IF(OR(P63="",O64=""),"",P63+P59+O64)</f>
        <v>-204554.08705707215</v>
      </c>
      <c r="Q64" s="9">
        <f t="shared" si="133"/>
        <v>-218959.54939694106</v>
      </c>
      <c r="R64" s="9">
        <f t="shared" si="133"/>
        <v>-224749.58729066313</v>
      </c>
      <c r="S64" s="9">
        <f t="shared" si="133"/>
        <v>-240643.60937355246</v>
      </c>
      <c r="T64" s="9">
        <f t="shared" si="133"/>
        <v>-234147.45305697253</v>
      </c>
      <c r="U64" s="9">
        <f t="shared" si="133"/>
        <v>-181942.84255089238</v>
      </c>
      <c r="V64" s="9">
        <f t="shared" si="133"/>
        <v>-100836.34090614061</v>
      </c>
      <c r="W64" s="9">
        <f t="shared" si="133"/>
        <v>-22986.295451987753</v>
      </c>
      <c r="X64" s="9">
        <f t="shared" si="133"/>
        <v>28009.51451580209</v>
      </c>
      <c r="Y64" s="9">
        <f t="shared" si="133"/>
        <v>39807.280234829632</v>
      </c>
      <c r="Z64" s="9">
        <f t="shared" si="133"/>
        <v>49910.158196263743</v>
      </c>
      <c r="AA64" s="9">
        <f t="shared" si="133"/>
        <v>60471.653854227523</v>
      </c>
      <c r="AB64" s="9">
        <f t="shared" si="133"/>
        <v>111102.48241324448</v>
      </c>
      <c r="AC64" s="9">
        <f t="shared" si="133"/>
        <v>67990.083210179117</v>
      </c>
      <c r="AD64" s="9">
        <f t="shared" si="133"/>
        <v>-42275.142990776731</v>
      </c>
      <c r="AE64" s="9">
        <f t="shared" si="133"/>
        <v>-154532.43432381481</v>
      </c>
      <c r="AF64" s="9">
        <f t="shared" si="133"/>
        <v>-242051.88768256124</v>
      </c>
      <c r="AG64" s="9">
        <f t="shared" si="133"/>
        <v>-169399.5317386114</v>
      </c>
      <c r="AH64" s="9">
        <f t="shared" si="133"/>
        <v>-95567.492450006626</v>
      </c>
      <c r="AI64" s="9">
        <f t="shared" si="133"/>
        <v>-11096.407023782391</v>
      </c>
      <c r="AJ64" s="9">
        <f t="shared" si="133"/>
        <v>-38749.657130307838</v>
      </c>
      <c r="AK64" s="9">
        <f t="shared" si="133"/>
        <v>-124961.54206703279</v>
      </c>
      <c r="AL64" s="9">
        <f t="shared" si="133"/>
        <v>-228938.94438501168</v>
      </c>
      <c r="AM64" s="9">
        <f t="shared" si="133"/>
        <v>-324529.0397452467</v>
      </c>
      <c r="AN64" s="9">
        <f t="shared" si="133"/>
        <v>-392800.60655126953</v>
      </c>
    </row>
    <row r="65" spans="1:40" s="5" customFormat="1" ht="8.25" hidden="1" customHeight="1" outlineLevel="1" x14ac:dyDescent="0.3">
      <c r="A65" s="44"/>
      <c r="B65" s="13"/>
      <c r="C65" s="102"/>
      <c r="D65" s="102"/>
      <c r="E65" s="102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</row>
    <row r="66" spans="1:40" s="5" customFormat="1" ht="15" hidden="1" customHeight="1" outlineLevel="1" x14ac:dyDescent="0.3">
      <c r="A66" s="255" t="s">
        <v>24</v>
      </c>
      <c r="B66" s="17"/>
      <c r="C66" s="97"/>
      <c r="D66" s="97"/>
      <c r="E66" s="97"/>
      <c r="F66" s="9"/>
      <c r="G66" s="9"/>
      <c r="H66" s="9"/>
      <c r="I66" s="9"/>
      <c r="J66" s="9"/>
      <c r="K66" s="9"/>
      <c r="L66" s="9"/>
      <c r="M66" s="9"/>
      <c r="N66" s="144">
        <f>'MEEIA 3 adjs'!L52</f>
        <v>15.680000000000007</v>
      </c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144">
        <f>'MEEIA 3 adjs'!AA74</f>
        <v>10.880000000000024</v>
      </c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</row>
    <row r="67" spans="1:40" s="3" customFormat="1" ht="15" hidden="1" customHeight="1" outlineLevel="1" x14ac:dyDescent="0.3">
      <c r="A67" s="255"/>
      <c r="B67" s="17" t="s">
        <v>28</v>
      </c>
      <c r="C67" s="97"/>
      <c r="D67" s="97"/>
      <c r="E67" s="97"/>
      <c r="F67" s="22">
        <f>IF('M3 Allocations - TD'!D9="","",'M3 Allocations - TD'!D35)</f>
        <v>0</v>
      </c>
      <c r="G67" s="22">
        <f>IF('M3 Allocations - TD'!E9="","",'M3 Allocations - TD'!E35)</f>
        <v>0</v>
      </c>
      <c r="H67" s="22">
        <f>IF('M3 Allocations - TD'!F9="","",'M3 Allocations - TD'!F35)</f>
        <v>158.37627524588399</v>
      </c>
      <c r="I67" s="22">
        <f>IF('M3 Allocations - TD'!G9="","",'M3 Allocations - TD'!G35)</f>
        <v>597.17310476301054</v>
      </c>
      <c r="J67" s="22">
        <f>IF('M3 Allocations - TD'!H9="","",'M3 Allocations - TD'!H35)</f>
        <v>0</v>
      </c>
      <c r="K67" s="22">
        <f>IF('M3 Allocations - TD'!I9="","",'M3 Allocations - TD'!I35)</f>
        <v>224.30843760020062</v>
      </c>
      <c r="L67" s="22">
        <f>IF('M3 Allocations - TD'!J9="","",'M3 Allocations - TD'!J35)</f>
        <v>578.11242788452876</v>
      </c>
      <c r="M67" s="22">
        <f>IF('M3 Allocations - TD'!K9="","",'M3 Allocations - TD'!K35)</f>
        <v>553.72176658848127</v>
      </c>
      <c r="N67" s="22">
        <f>IF('M3 Allocations - TD'!L9="","",'M3 Allocations - TD'!L35)</f>
        <v>4498.45610981133</v>
      </c>
      <c r="O67" s="22">
        <f>IF('M3 Allocations - TD'!M9="","",'M3 Allocations - TD'!M35)</f>
        <v>2468.5744882877784</v>
      </c>
      <c r="P67" s="22">
        <f>IF('M3 Allocations - TD'!N9="","",'M3 Allocations - TD'!N35)</f>
        <v>6482.3323978120161</v>
      </c>
      <c r="Q67" s="22">
        <f>IF('M3 Allocations - TD'!O9="","",'M3 Allocations - TD'!O35)</f>
        <v>4714.4220035550234</v>
      </c>
      <c r="R67" s="22">
        <f>IF('M3 Allocations - TD'!P9="","",'M3 Allocations - TD'!P35)</f>
        <v>4933.2233077077817</v>
      </c>
      <c r="S67" s="22">
        <f>IF('M3 Allocations - TD'!Q9="","",'M3 Allocations - TD'!Q35)</f>
        <v>4340.5509347173938</v>
      </c>
      <c r="T67" s="22">
        <f>IF('M3 Allocations - TD'!R9="","",'M3 Allocations - TD'!R35)</f>
        <v>11799.946486826884</v>
      </c>
      <c r="U67" s="22">
        <f>IF('M3 Allocations - TD'!S9="","",'M3 Allocations - TD'!S35)</f>
        <v>38257.943252341713</v>
      </c>
      <c r="V67" s="22">
        <f>IF('M3 Allocations - TD'!T9="","",'M3 Allocations - TD'!T35)</f>
        <v>40690.592006909494</v>
      </c>
      <c r="W67" s="22">
        <f>IF('M3 Allocations - TD'!U9="","",'M3 Allocations - TD'!U35)</f>
        <v>41885.585703975645</v>
      </c>
      <c r="X67" s="22">
        <f>IF('M3 Allocations - TD'!V9="","",'M3 Allocations - TD'!V35)</f>
        <v>26780.761635291285</v>
      </c>
      <c r="Y67" s="22">
        <f>IF('M3 Allocations - TD'!W9="","",'M3 Allocations - TD'!W35)</f>
        <v>10597.262650374174</v>
      </c>
      <c r="Z67" s="22">
        <f>IF('M3 Allocations - TD'!X9="","",'M3 Allocations - TD'!X35)</f>
        <v>10543.327297722915</v>
      </c>
      <c r="AA67" s="22">
        <f>IF('M3 Allocations - TD'!Y9="","",'M3 Allocations - TD'!Y35)</f>
        <v>12471.245557264963</v>
      </c>
      <c r="AB67" s="22">
        <f>IF('M3 Allocations - TD'!Z9="","",'M3 Allocations - TD'!Z35)</f>
        <v>12960.956487818141</v>
      </c>
      <c r="AC67" s="22">
        <f>IF('M3 Allocations - TD'!AA9="","",'M3 Allocations - TD'!AA35)</f>
        <v>11180.008563256184</v>
      </c>
      <c r="AD67" s="22">
        <f>IF('M3 Allocations - TD'!AB9="","",'M3 Allocations - TD'!AB35)</f>
        <v>10723.724250200386</v>
      </c>
      <c r="AE67" s="22">
        <f>IF('M3 Allocations - TD'!AC9="","",'M3 Allocations - TD'!AC35)</f>
        <v>12186.584798764601</v>
      </c>
      <c r="AF67" s="22">
        <f>IF('M3 Allocations - TD'!AD9="","",'M3 Allocations - TD'!AD35)</f>
        <v>21281.154475581399</v>
      </c>
      <c r="AG67" s="22">
        <f>IF('M3 Allocations - TD'!AE9="","",'M3 Allocations - TD'!AE35)</f>
        <v>66612.208134140514</v>
      </c>
      <c r="AH67" s="22">
        <f>IF('M3 Allocations - TD'!AF9="","",'M3 Allocations - TD'!AF35)</f>
        <v>73408.187300820806</v>
      </c>
      <c r="AI67" s="22">
        <f>IF('M3 Allocations - TD'!AG9="","",'M3 Allocations - TD'!AG35)</f>
        <v>73181.995355948209</v>
      </c>
      <c r="AJ67" s="22">
        <f>IF('M3 Allocations - TD'!AH9="","",'M3 Allocations - TD'!AH35)</f>
        <v>44682.245754003154</v>
      </c>
      <c r="AK67" s="22">
        <f>IF('M3 Allocations - TD'!AI9="","",'M3 Allocations - TD'!AI35)</f>
        <v>19447.902145822471</v>
      </c>
      <c r="AL67" s="22">
        <f>IF('M3 Allocations - TD'!AJ9="","",'M3 Allocations - TD'!AJ35)</f>
        <v>17420.51686723897</v>
      </c>
      <c r="AM67" s="22">
        <f>IF('M3 Allocations - TD'!AK9="","",'M3 Allocations - TD'!AK35)</f>
        <v>19422.601412828109</v>
      </c>
      <c r="AN67" s="22">
        <f>IF('M3 Allocations - TD'!AL9="","",'M3 Allocations - TD'!AL35)</f>
        <v>21200.509694285087</v>
      </c>
    </row>
    <row r="68" spans="1:40" s="5" customFormat="1" ht="15" hidden="1" customHeight="1" outlineLevel="1" x14ac:dyDescent="0.3">
      <c r="A68" s="255"/>
      <c r="B68" s="18" t="s">
        <v>26</v>
      </c>
      <c r="C68" s="97"/>
      <c r="D68" s="97"/>
      <c r="E68" s="97"/>
      <c r="F68" s="22">
        <f>IF('M3 Allocations - TD'!D55="","",'M3 Allocations - TD'!D73)</f>
        <v>0</v>
      </c>
      <c r="G68" s="22">
        <f>IF('M3 Allocations - TD'!E55="","",'M3 Allocations - TD'!E73)</f>
        <v>0</v>
      </c>
      <c r="H68" s="22">
        <f>IF('M3 Allocations - TD'!F55="","",'M3 Allocations - TD'!F73)</f>
        <v>-48.583419353926594</v>
      </c>
      <c r="I68" s="22">
        <f>IF('M3 Allocations - TD'!G55="","",'M3 Allocations - TD'!G73)</f>
        <v>4125.9071778961579</v>
      </c>
      <c r="J68" s="22">
        <f>IF('M3 Allocations - TD'!H55="","",'M3 Allocations - TD'!H73)</f>
        <v>6806.3797850987785</v>
      </c>
      <c r="K68" s="22">
        <f>IF('M3 Allocations - TD'!I55="","",'M3 Allocations - TD'!I73)</f>
        <v>7524.9044581782691</v>
      </c>
      <c r="L68" s="22">
        <f>IF('M3 Allocations - TD'!J55="","",'M3 Allocations - TD'!J73)</f>
        <v>7658.4495072300715</v>
      </c>
      <c r="M68" s="22">
        <f>IF('M3 Allocations - TD'!K55="","",'M3 Allocations - TD'!K73)</f>
        <v>7241.6490844376849</v>
      </c>
      <c r="N68" s="22">
        <f>IF('M3 Allocations - TD'!L55="","",'M3 Allocations - TD'!L73)</f>
        <v>6323.5939077382554</v>
      </c>
      <c r="O68" s="22">
        <f>IF('M3 Allocations - TD'!M55="","",'M3 Allocations - TD'!M73)</f>
        <v>5864.7707264215042</v>
      </c>
      <c r="P68" s="22">
        <f>IF('M3 Allocations - TD'!N55="","",'M3 Allocations - TD'!N73)</f>
        <v>6186.9939477675571</v>
      </c>
      <c r="Q68" s="22">
        <f>IF('M3 Allocations - TD'!O55="","",'M3 Allocations - TD'!O73)</f>
        <v>10792.766596240668</v>
      </c>
      <c r="R68" s="22">
        <f>IF('M3 Allocations - TD'!P55="","",'M3 Allocations - TD'!P73)</f>
        <v>19312.38401960209</v>
      </c>
      <c r="S68" s="22">
        <f>IF('M3 Allocations - TD'!Q55="","",'M3 Allocations - TD'!Q73)</f>
        <v>21254.31297935671</v>
      </c>
      <c r="T68" s="22">
        <f>IF('M3 Allocations - TD'!R55="","",'M3 Allocations - TD'!R73)</f>
        <v>21637.663415217026</v>
      </c>
      <c r="U68" s="22">
        <f>IF('M3 Allocations - TD'!S55="","",'M3 Allocations - TD'!S73)</f>
        <v>16834.533975023267</v>
      </c>
      <c r="V68" s="22">
        <f>IF('M3 Allocations - TD'!T55="","",'M3 Allocations - TD'!T73)</f>
        <v>24355.538593432568</v>
      </c>
      <c r="W68" s="22">
        <f>IF('M3 Allocations - TD'!U55="","",'M3 Allocations - TD'!U73)</f>
        <v>25113.656296491379</v>
      </c>
      <c r="X68" s="22">
        <f>IF('M3 Allocations - TD'!V55="","",'M3 Allocations - TD'!V73)</f>
        <v>25507.793919774442</v>
      </c>
      <c r="Y68" s="22">
        <f>IF('M3 Allocations - TD'!W55="","",'M3 Allocations - TD'!W73)</f>
        <v>22463.576853042847</v>
      </c>
      <c r="Z68" s="22">
        <f>IF('M3 Allocations - TD'!X55="","",'M3 Allocations - TD'!X73)</f>
        <v>21960.458267222853</v>
      </c>
      <c r="AA68" s="22">
        <f>IF('M3 Allocations - TD'!Y55="","",'M3 Allocations - TD'!Y73)</f>
        <v>22338.840952659717</v>
      </c>
      <c r="AB68" s="22">
        <f>IF('M3 Allocations - TD'!Z55="","",'M3 Allocations - TD'!Z73)</f>
        <v>20382.980401475455</v>
      </c>
      <c r="AC68" s="22">
        <f>IF('M3 Allocations - TD'!AA55="","",'M3 Allocations - TD'!AA73)</f>
        <v>32953.904164207008</v>
      </c>
      <c r="AD68" s="22">
        <f>IF('M3 Allocations - TD'!AB55="","",'M3 Allocations - TD'!AB73)</f>
        <v>23500.247497740351</v>
      </c>
      <c r="AE68" s="22">
        <f>IF('M3 Allocations - TD'!AC55="","",'M3 Allocations - TD'!AC73)</f>
        <v>40293.609086971141</v>
      </c>
      <c r="AF68" s="22">
        <f>IF('M3 Allocations - TD'!AD55="","",'M3 Allocations - TD'!AD73)</f>
        <v>41000.534789952151</v>
      </c>
      <c r="AG68" s="22">
        <f>IF('M3 Allocations - TD'!AE55="","",'M3 Allocations - TD'!AE73)</f>
        <v>39665.300517775315</v>
      </c>
      <c r="AH68" s="22">
        <f>IF('M3 Allocations - TD'!AF55="","",'M3 Allocations - TD'!AF73)</f>
        <v>50592.172457307752</v>
      </c>
      <c r="AI68" s="22">
        <f>IF('M3 Allocations - TD'!AG55="","",'M3 Allocations - TD'!AG73)</f>
        <v>48111.888839753803</v>
      </c>
      <c r="AJ68" s="22">
        <f>IF('M3 Allocations - TD'!AH55="","",'M3 Allocations - TD'!AH73)</f>
        <v>52046.073170238742</v>
      </c>
      <c r="AK68" s="22">
        <f>IF('M3 Allocations - TD'!AI55="","",'M3 Allocations - TD'!AI73)</f>
        <v>47917.124744080225</v>
      </c>
      <c r="AL68" s="22">
        <f>IF('M3 Allocations - TD'!AJ55="","",'M3 Allocations - TD'!AJ73)</f>
        <v>43720.552766144901</v>
      </c>
      <c r="AM68" s="22">
        <f>IF('M3 Allocations - TD'!AK55="","",'M3 Allocations - TD'!AK73)</f>
        <v>42463.42775737754</v>
      </c>
      <c r="AN68" s="22">
        <f>IF('M3 Allocations - TD'!AL55="","",'M3 Allocations - TD'!AL73)</f>
        <v>42080.142950696478</v>
      </c>
    </row>
    <row r="69" spans="1:40" s="5" customFormat="1" ht="15" hidden="1" customHeight="1" outlineLevel="1" x14ac:dyDescent="0.3">
      <c r="A69" s="255"/>
      <c r="B69" s="18" t="s">
        <v>47</v>
      </c>
      <c r="C69" s="97"/>
      <c r="D69" s="97"/>
      <c r="E69" s="97"/>
      <c r="F69" s="22">
        <f>IF(F68="","",0)</f>
        <v>0</v>
      </c>
      <c r="G69" s="22">
        <f t="shared" ref="G69" si="134">IF(G68="","",0)</f>
        <v>0</v>
      </c>
      <c r="H69" s="22">
        <f t="shared" ref="H69" si="135">IF(H68="","",0)</f>
        <v>0</v>
      </c>
      <c r="I69" s="22">
        <f t="shared" ref="I69" si="136">IF(I68="","",0)</f>
        <v>0</v>
      </c>
      <c r="J69" s="22">
        <f t="shared" ref="J69" si="137">IF(J68="","",0)</f>
        <v>0</v>
      </c>
      <c r="K69" s="22">
        <f t="shared" ref="K69" si="138">IF(K68="","",0)</f>
        <v>0</v>
      </c>
      <c r="L69" s="22">
        <f t="shared" ref="L69" si="139">IF(L68="","",0)</f>
        <v>0</v>
      </c>
      <c r="M69" s="22">
        <f t="shared" ref="M69" si="140">IF(M68="","",0)</f>
        <v>0</v>
      </c>
      <c r="N69" s="22">
        <f t="shared" ref="N69" si="141">IF(N68="","",0)</f>
        <v>0</v>
      </c>
      <c r="O69" s="22">
        <f t="shared" ref="O69" si="142">IF(O68="","",0)</f>
        <v>0</v>
      </c>
      <c r="P69" s="22">
        <f t="shared" ref="P69" si="143">IF(P68="","",0)</f>
        <v>0</v>
      </c>
      <c r="Q69" s="22">
        <f>IF(Q68="","",-'M3 TD amort'!C36)</f>
        <v>1504.68</v>
      </c>
      <c r="R69" s="22">
        <f>IF(R68="","",-'M3 TD amort'!D36)</f>
        <v>2591.88</v>
      </c>
      <c r="S69" s="22">
        <f>IF(S68="","",-'M3 TD amort'!E36)</f>
        <v>2838.35</v>
      </c>
      <c r="T69" s="22">
        <f>IF(T68="","",-'M3 TD amort'!F36)</f>
        <v>2881.77</v>
      </c>
      <c r="U69" s="22">
        <f>IF(U68="","",-'M3 TD amort'!G36)</f>
        <v>2250.5100000000002</v>
      </c>
      <c r="V69" s="22">
        <f>IF(V68="","",-'M3 TD amort'!H36)</f>
        <v>3239.4</v>
      </c>
      <c r="W69" s="22">
        <f>IF(W68="","",-'M3 TD amort'!I36)</f>
        <v>3336.64</v>
      </c>
      <c r="X69" s="22">
        <f>IF(X68="","",-'M3 TD amort'!J36)</f>
        <v>3384.12</v>
      </c>
      <c r="Y69" s="22">
        <f>IF(Y68="","",-'M3 TD amort'!K36)</f>
        <v>2980.87</v>
      </c>
      <c r="Z69" s="22">
        <f>IF(Z68="","",-'M3 TD amort'!L36)</f>
        <v>2923.68</v>
      </c>
      <c r="AA69" s="22">
        <f>IF(AA68="","",-'M3 TD amort'!M36)</f>
        <v>2985.57</v>
      </c>
      <c r="AB69" s="22">
        <f>IF(AB68="","",-'M3 TD amort'!N36)</f>
        <v>2730.44</v>
      </c>
      <c r="AC69" s="22">
        <f>IF(AC68="","",-'M3 TD amort'!O36)</f>
        <v>3897.15</v>
      </c>
      <c r="AD69" s="22">
        <f>IF(AD68="","",-'M3 TD amort'!P36)</f>
        <v>2784.02</v>
      </c>
      <c r="AE69" s="22">
        <f>IF(AE68="","",-'M3 TD amort'!Q36)</f>
        <v>4719.3</v>
      </c>
      <c r="AF69" s="22">
        <f>IF(AF68="","",-'M3 TD amort'!R36)</f>
        <v>4794.6000000000004</v>
      </c>
      <c r="AG69" s="22">
        <f>IF(AG68="","",-'M3 TD amort'!S36)</f>
        <v>4627.3500000000004</v>
      </c>
      <c r="AH69" s="22">
        <f>IF(AH68="","",-'M3 TD amort'!T36)</f>
        <v>5905.37</v>
      </c>
      <c r="AI69" s="22">
        <f>IF(AI68="","",-'M3 TD amort'!U36)</f>
        <v>5621.67</v>
      </c>
      <c r="AJ69" s="22">
        <f>IF(AJ68="","",-'M3 TD amort'!V36)</f>
        <v>6078.73</v>
      </c>
      <c r="AK69" s="22">
        <f>IF(AK68="","",-'M3 TD amort'!W36)</f>
        <v>5571.58</v>
      </c>
      <c r="AL69" s="22">
        <f>IF(AL68="","",-'M3 TD amort'!X36)</f>
        <v>5097.55</v>
      </c>
      <c r="AM69" s="22">
        <f>IF(AM68="","",-'M3 TD amort'!Y36)</f>
        <v>4988.63</v>
      </c>
      <c r="AN69" s="22">
        <f>IF(AN68="","",-'M3 TD amort'!Z36)</f>
        <v>4964.5</v>
      </c>
    </row>
    <row r="70" spans="1:40" s="5" customFormat="1" ht="15" hidden="1" customHeight="1" outlineLevel="1" x14ac:dyDescent="0.3">
      <c r="A70" s="255"/>
      <c r="B70" s="18" t="s">
        <v>48</v>
      </c>
      <c r="C70" s="97"/>
      <c r="D70" s="97"/>
      <c r="E70" s="97"/>
      <c r="F70" s="9">
        <f t="shared" ref="F70:M70" si="144">IF(OR(F69="",F68=""),"",F68+F69)</f>
        <v>0</v>
      </c>
      <c r="G70" s="9">
        <f t="shared" si="144"/>
        <v>0</v>
      </c>
      <c r="H70" s="9">
        <f t="shared" si="144"/>
        <v>-48.583419353926594</v>
      </c>
      <c r="I70" s="9">
        <f t="shared" si="144"/>
        <v>4125.9071778961579</v>
      </c>
      <c r="J70" s="9">
        <f t="shared" si="144"/>
        <v>6806.3797850987785</v>
      </c>
      <c r="K70" s="9">
        <f t="shared" si="144"/>
        <v>7524.9044581782691</v>
      </c>
      <c r="L70" s="9">
        <f t="shared" si="144"/>
        <v>7658.4495072300715</v>
      </c>
      <c r="M70" s="9">
        <f t="shared" si="144"/>
        <v>7241.6490844376849</v>
      </c>
      <c r="N70" s="9">
        <f>IF(OR(N69="",N68=""),"",N68+N69)</f>
        <v>6323.5939077382554</v>
      </c>
      <c r="O70" s="9">
        <f t="shared" ref="O70:Z70" si="145">IF(OR(O69="",O68=""),"",O68+O69)</f>
        <v>5864.7707264215042</v>
      </c>
      <c r="P70" s="9">
        <f t="shared" si="145"/>
        <v>6186.9939477675571</v>
      </c>
      <c r="Q70" s="9">
        <f t="shared" si="145"/>
        <v>12297.446596240668</v>
      </c>
      <c r="R70" s="9">
        <f t="shared" si="145"/>
        <v>21904.264019602091</v>
      </c>
      <c r="S70" s="9">
        <f t="shared" si="145"/>
        <v>24092.662979356708</v>
      </c>
      <c r="T70" s="9">
        <f t="shared" si="145"/>
        <v>24519.433415217027</v>
      </c>
      <c r="U70" s="9">
        <f t="shared" si="145"/>
        <v>19085.043975023269</v>
      </c>
      <c r="V70" s="9">
        <f t="shared" si="145"/>
        <v>27594.938593432569</v>
      </c>
      <c r="W70" s="9">
        <f t="shared" si="145"/>
        <v>28450.296296491379</v>
      </c>
      <c r="X70" s="9">
        <f t="shared" si="145"/>
        <v>28891.913919774441</v>
      </c>
      <c r="Y70" s="9">
        <f t="shared" si="145"/>
        <v>25444.446853042846</v>
      </c>
      <c r="Z70" s="9">
        <f t="shared" si="145"/>
        <v>24884.138267222854</v>
      </c>
      <c r="AA70" s="9">
        <f>IF(OR(AA69="",AA68=""),"",AA68+AA69)</f>
        <v>25324.410952659717</v>
      </c>
      <c r="AB70" s="9">
        <f t="shared" ref="AB70:AN70" si="146">IF(OR(AB69="",AB68=""),"",AB68+AB69)</f>
        <v>23113.420401475454</v>
      </c>
      <c r="AC70" s="9">
        <f t="shared" si="146"/>
        <v>36851.054164207009</v>
      </c>
      <c r="AD70" s="9">
        <f t="shared" si="146"/>
        <v>26284.267497740351</v>
      </c>
      <c r="AE70" s="9">
        <f t="shared" si="146"/>
        <v>45012.909086971144</v>
      </c>
      <c r="AF70" s="9">
        <f t="shared" si="146"/>
        <v>45795.13478995215</v>
      </c>
      <c r="AG70" s="9">
        <f t="shared" si="146"/>
        <v>44292.650517775313</v>
      </c>
      <c r="AH70" s="9">
        <f t="shared" si="146"/>
        <v>56497.542457307754</v>
      </c>
      <c r="AI70" s="9">
        <f t="shared" si="146"/>
        <v>53733.558839753801</v>
      </c>
      <c r="AJ70" s="9">
        <f t="shared" si="146"/>
        <v>58124.803170238738</v>
      </c>
      <c r="AK70" s="9">
        <f t="shared" si="146"/>
        <v>53488.704744080227</v>
      </c>
      <c r="AL70" s="9">
        <f t="shared" si="146"/>
        <v>48818.102766144904</v>
      </c>
      <c r="AM70" s="9">
        <f t="shared" si="146"/>
        <v>47452.057757377537</v>
      </c>
      <c r="AN70" s="9">
        <f t="shared" si="146"/>
        <v>47044.642950696478</v>
      </c>
    </row>
    <row r="71" spans="1:40" s="5" customFormat="1" hidden="1" outlineLevel="1" x14ac:dyDescent="0.3">
      <c r="A71" s="255"/>
      <c r="B71" s="18" t="s">
        <v>13</v>
      </c>
      <c r="C71" s="97"/>
      <c r="D71" s="97"/>
      <c r="E71" s="97"/>
      <c r="F71" s="9">
        <f t="shared" ref="F71:L71" si="147">IF(OR(F68="",F67=""),"",F67-F68)</f>
        <v>0</v>
      </c>
      <c r="G71" s="9">
        <f t="shared" si="147"/>
        <v>0</v>
      </c>
      <c r="H71" s="9">
        <f t="shared" si="147"/>
        <v>206.95969459981058</v>
      </c>
      <c r="I71" s="9">
        <f t="shared" si="147"/>
        <v>-3528.7340731331474</v>
      </c>
      <c r="J71" s="9">
        <f t="shared" si="147"/>
        <v>-6806.3797850987785</v>
      </c>
      <c r="K71" s="9">
        <f t="shared" si="147"/>
        <v>-7300.5960205780684</v>
      </c>
      <c r="L71" s="9">
        <f t="shared" si="147"/>
        <v>-7080.3370793455424</v>
      </c>
      <c r="M71" s="9">
        <f>IF(OR(M68="",M67=""),"",M67-M68)</f>
        <v>-6687.927317849204</v>
      </c>
      <c r="N71" s="9">
        <f>IF(OR(N70="",N67=""),"",N67-N70)</f>
        <v>-1825.1377979269255</v>
      </c>
      <c r="O71" s="9">
        <f t="shared" ref="O71:AN71" si="148">IF(OR(O70="",O67=""),"",O67-O70)</f>
        <v>-3396.1962381337257</v>
      </c>
      <c r="P71" s="9">
        <f t="shared" si="148"/>
        <v>295.33845004445902</v>
      </c>
      <c r="Q71" s="9">
        <f t="shared" si="148"/>
        <v>-7583.0245926856451</v>
      </c>
      <c r="R71" s="9">
        <f t="shared" si="148"/>
        <v>-16971.040711894311</v>
      </c>
      <c r="S71" s="9">
        <f t="shared" si="148"/>
        <v>-19752.112044639314</v>
      </c>
      <c r="T71" s="9">
        <f t="shared" si="148"/>
        <v>-12719.486928390143</v>
      </c>
      <c r="U71" s="9">
        <f t="shared" si="148"/>
        <v>19172.899277318444</v>
      </c>
      <c r="V71" s="9">
        <f t="shared" si="148"/>
        <v>13095.653413476924</v>
      </c>
      <c r="W71" s="9">
        <f t="shared" si="148"/>
        <v>13435.289407484266</v>
      </c>
      <c r="X71" s="9">
        <f t="shared" si="148"/>
        <v>-2111.1522844831561</v>
      </c>
      <c r="Y71" s="9">
        <f t="shared" si="148"/>
        <v>-14847.184202668672</v>
      </c>
      <c r="Z71" s="9">
        <f t="shared" si="148"/>
        <v>-14340.810969499938</v>
      </c>
      <c r="AA71" s="9">
        <f t="shared" si="148"/>
        <v>-12853.165395394753</v>
      </c>
      <c r="AB71" s="9">
        <f t="shared" si="148"/>
        <v>-10152.463913657313</v>
      </c>
      <c r="AC71" s="9">
        <f t="shared" si="148"/>
        <v>-25671.045600950827</v>
      </c>
      <c r="AD71" s="9">
        <f t="shared" si="148"/>
        <v>-15560.543247539965</v>
      </c>
      <c r="AE71" s="9">
        <f t="shared" si="148"/>
        <v>-32826.324288206539</v>
      </c>
      <c r="AF71" s="9">
        <f t="shared" si="148"/>
        <v>-24513.98031437075</v>
      </c>
      <c r="AG71" s="9">
        <f t="shared" si="148"/>
        <v>22319.5576163652</v>
      </c>
      <c r="AH71" s="9">
        <f t="shared" si="148"/>
        <v>16910.644843513051</v>
      </c>
      <c r="AI71" s="9">
        <f t="shared" si="148"/>
        <v>19448.436516194408</v>
      </c>
      <c r="AJ71" s="9">
        <f t="shared" si="148"/>
        <v>-13442.557416235584</v>
      </c>
      <c r="AK71" s="9">
        <f t="shared" si="148"/>
        <v>-34040.802598257753</v>
      </c>
      <c r="AL71" s="9">
        <f t="shared" si="148"/>
        <v>-31397.585898905934</v>
      </c>
      <c r="AM71" s="9">
        <f t="shared" si="148"/>
        <v>-28029.456344549428</v>
      </c>
      <c r="AN71" s="9">
        <f t="shared" si="148"/>
        <v>-25844.133256411391</v>
      </c>
    </row>
    <row r="72" spans="1:40" s="5" customFormat="1" hidden="1" outlineLevel="1" x14ac:dyDescent="0.3">
      <c r="A72" s="255"/>
      <c r="B72" s="19" t="s">
        <v>8</v>
      </c>
      <c r="C72" s="97"/>
      <c r="D72" s="97"/>
      <c r="E72" s="97"/>
      <c r="F72" s="9">
        <f>IF(OR(F9="",F71=""),"",ROUND((F71+E74)*F9/12,2))</f>
        <v>0</v>
      </c>
      <c r="G72" s="9">
        <f t="shared" ref="G72:L72" si="149">IF(OR(G9="",G71=""),"",ROUND((G71+F74)*G9/12,2))</f>
        <v>0</v>
      </c>
      <c r="H72" s="9">
        <f t="shared" si="149"/>
        <v>0.46</v>
      </c>
      <c r="I72" s="9">
        <f t="shared" si="149"/>
        <v>-7.33</v>
      </c>
      <c r="J72" s="9">
        <f t="shared" si="149"/>
        <v>-21.92</v>
      </c>
      <c r="K72" s="9">
        <f t="shared" si="149"/>
        <v>-34.200000000000003</v>
      </c>
      <c r="L72" s="9">
        <f t="shared" si="149"/>
        <v>-45.39</v>
      </c>
      <c r="M72" s="9">
        <f t="shared" ref="M72" si="150">IF(OR(M9="",M71=""),"",ROUND((M71+L74)*M9/12,2))</f>
        <v>-55.15</v>
      </c>
      <c r="N72" s="9">
        <f>IF(OR(N9="",N71=""),"",ROUND((N71+M74)*N9/12,2))+N66</f>
        <v>-34.539999999999992</v>
      </c>
      <c r="O72" s="9">
        <f t="shared" ref="O72" si="151">IF(OR(O9="",O71=""),"",ROUND((O71+N74)*O9/12,2))</f>
        <v>-58.44</v>
      </c>
      <c r="P72" s="9">
        <f t="shared" ref="P72" si="152">IF(OR(P9="",P71=""),"",ROUND((P71+O74)*P9/12,2))</f>
        <v>-57.27</v>
      </c>
      <c r="Q72" s="9">
        <f>IF(OR(Q9="",Q71=""),"",ROUND((Q71+P74)*Q9/12,2))</f>
        <v>-66.16</v>
      </c>
      <c r="R72" s="9">
        <f t="shared" ref="R72:Y72" si="153">IF(OR(R9="",R71=""),"",ROUND((R71+Q74)*R9/12,2))</f>
        <v>-93.73</v>
      </c>
      <c r="S72" s="9">
        <f t="shared" si="153"/>
        <v>-60.07</v>
      </c>
      <c r="T72" s="9">
        <f t="shared" si="153"/>
        <v>-9.33</v>
      </c>
      <c r="U72" s="9">
        <f t="shared" si="153"/>
        <v>-6.77</v>
      </c>
      <c r="V72" s="9">
        <f t="shared" si="153"/>
        <v>-7.97</v>
      </c>
      <c r="W72" s="9">
        <f t="shared" si="153"/>
        <v>-3.72</v>
      </c>
      <c r="X72" s="9">
        <f t="shared" si="153"/>
        <v>-3.25</v>
      </c>
      <c r="Y72" s="9">
        <f t="shared" si="153"/>
        <v>-7.16</v>
      </c>
      <c r="Z72" s="9">
        <f>IF(OR(Z9="",Z71=""),"",ROUND((Z69+Z71+Y74+Z66)*Z9/12,2))+Z66</f>
        <v>7.0000000000023377E-2</v>
      </c>
      <c r="AA72" s="9">
        <f>IF(OR(AA9="",AA71=""),"",ROUND((AA69+AA71+Z74)*AA9/12,2))</f>
        <v>-14.53</v>
      </c>
      <c r="AB72" s="9">
        <f>IF(OR(AB9="",AB71=""),"",ROUND((AB69+AB71+AA74)*AB9/12,2))</f>
        <v>-11.8</v>
      </c>
      <c r="AC72" s="9">
        <f t="shared" ref="AC72:AN72" si="154">IF(OR(AC9="",AC71=""),"",ROUND((AC69+AC71+AB74)*AC9/12,2))</f>
        <v>-17.510000000000002</v>
      </c>
      <c r="AD72" s="9">
        <f t="shared" si="154"/>
        <v>-18.39</v>
      </c>
      <c r="AE72" s="9">
        <f t="shared" si="154"/>
        <v>-24.65</v>
      </c>
      <c r="AF72" s="9">
        <f t="shared" si="154"/>
        <v>-28.25</v>
      </c>
      <c r="AG72" s="9">
        <f t="shared" si="154"/>
        <v>-20.87</v>
      </c>
      <c r="AH72" s="9">
        <f t="shared" si="154"/>
        <v>-11.79</v>
      </c>
      <c r="AI72" s="9">
        <f t="shared" si="154"/>
        <v>-13.05</v>
      </c>
      <c r="AJ72" s="9">
        <f t="shared" si="154"/>
        <v>-13.48</v>
      </c>
      <c r="AK72" s="9">
        <f t="shared" si="154"/>
        <v>-14.03</v>
      </c>
      <c r="AL72" s="9">
        <f t="shared" si="154"/>
        <v>-17.32</v>
      </c>
      <c r="AM72" s="9">
        <f t="shared" si="154"/>
        <v>-20.2</v>
      </c>
      <c r="AN72" s="9">
        <f t="shared" si="154"/>
        <v>-22.81</v>
      </c>
    </row>
    <row r="73" spans="1:40" s="5" customFormat="1" hidden="1" outlineLevel="1" x14ac:dyDescent="0.3">
      <c r="A73" s="255"/>
      <c r="B73" s="18" t="s">
        <v>14</v>
      </c>
      <c r="C73" s="97"/>
      <c r="D73" s="97"/>
      <c r="E73" s="97"/>
      <c r="F73" s="9">
        <f t="shared" ref="F73:M73" si="155">IF(OR(F71="",F72=""),"",F71+F72)</f>
        <v>0</v>
      </c>
      <c r="G73" s="9">
        <f t="shared" si="155"/>
        <v>0</v>
      </c>
      <c r="H73" s="9">
        <f t="shared" si="155"/>
        <v>207.41969459981058</v>
      </c>
      <c r="I73" s="9">
        <f t="shared" si="155"/>
        <v>-3536.0640731331473</v>
      </c>
      <c r="J73" s="9">
        <f t="shared" si="155"/>
        <v>-6828.2997850987786</v>
      </c>
      <c r="K73" s="9">
        <f t="shared" si="155"/>
        <v>-7334.7960205780682</v>
      </c>
      <c r="L73" s="9">
        <f t="shared" si="155"/>
        <v>-7125.7270793455427</v>
      </c>
      <c r="M73" s="9">
        <f t="shared" si="155"/>
        <v>-6743.0773178492036</v>
      </c>
      <c r="N73" s="9">
        <f>IF(OR(N71="",N72=""),"",N71+N72)</f>
        <v>-1859.6777979269255</v>
      </c>
      <c r="O73" s="9">
        <f t="shared" ref="O73:Y73" si="156">IF(OR(O71="",O72=""),"",O71+O72)</f>
        <v>-3454.6362381337258</v>
      </c>
      <c r="P73" s="9">
        <f t="shared" si="156"/>
        <v>238.06845004445901</v>
      </c>
      <c r="Q73" s="9">
        <f t="shared" si="156"/>
        <v>-7649.1845926856449</v>
      </c>
      <c r="R73" s="9">
        <f t="shared" si="156"/>
        <v>-17064.770711894311</v>
      </c>
      <c r="S73" s="9">
        <f t="shared" si="156"/>
        <v>-19812.182044639314</v>
      </c>
      <c r="T73" s="9">
        <f t="shared" si="156"/>
        <v>-12728.816928390142</v>
      </c>
      <c r="U73" s="9">
        <f t="shared" si="156"/>
        <v>19166.129277318443</v>
      </c>
      <c r="V73" s="9">
        <f t="shared" si="156"/>
        <v>13087.683413476925</v>
      </c>
      <c r="W73" s="9">
        <f t="shared" si="156"/>
        <v>13431.569407484267</v>
      </c>
      <c r="X73" s="9">
        <f t="shared" si="156"/>
        <v>-2114.4022844831561</v>
      </c>
      <c r="Y73" s="9">
        <f t="shared" si="156"/>
        <v>-14854.344202668672</v>
      </c>
      <c r="Z73" s="9">
        <f>IF(OR(Z71="",Z72=""),"",Z71+Z72)</f>
        <v>-14340.740969499939</v>
      </c>
      <c r="AA73" s="9">
        <f t="shared" ref="AA73:AN73" si="157">IF(OR(AA71="",AA72=""),"",AA71+AA72)</f>
        <v>-12867.695395394754</v>
      </c>
      <c r="AB73" s="9">
        <f t="shared" si="157"/>
        <v>-10164.263913657313</v>
      </c>
      <c r="AC73" s="9">
        <f t="shared" si="157"/>
        <v>-25688.555600950825</v>
      </c>
      <c r="AD73" s="9">
        <f t="shared" si="157"/>
        <v>-15578.933247539964</v>
      </c>
      <c r="AE73" s="9">
        <f t="shared" si="157"/>
        <v>-32850.97428820654</v>
      </c>
      <c r="AF73" s="9">
        <f t="shared" si="157"/>
        <v>-24542.23031437075</v>
      </c>
      <c r="AG73" s="9">
        <f t="shared" si="157"/>
        <v>22298.687616365201</v>
      </c>
      <c r="AH73" s="9">
        <f t="shared" si="157"/>
        <v>16898.854843513051</v>
      </c>
      <c r="AI73" s="9">
        <f t="shared" si="157"/>
        <v>19435.386516194409</v>
      </c>
      <c r="AJ73" s="9">
        <f t="shared" si="157"/>
        <v>-13456.037416235584</v>
      </c>
      <c r="AK73" s="9">
        <f t="shared" si="157"/>
        <v>-34054.832598257752</v>
      </c>
      <c r="AL73" s="9">
        <f t="shared" si="157"/>
        <v>-31414.905898905934</v>
      </c>
      <c r="AM73" s="9">
        <f t="shared" si="157"/>
        <v>-28049.656344549428</v>
      </c>
      <c r="AN73" s="9">
        <f t="shared" si="157"/>
        <v>-25866.943256411392</v>
      </c>
    </row>
    <row r="74" spans="1:40" s="5" customFormat="1" hidden="1" outlineLevel="1" x14ac:dyDescent="0.3">
      <c r="A74" s="255"/>
      <c r="B74" s="20" t="s">
        <v>19</v>
      </c>
      <c r="C74" s="101"/>
      <c r="D74" s="101"/>
      <c r="E74" s="101"/>
      <c r="F74" s="9">
        <f>IF(OR(F73=""),"",F73)</f>
        <v>0</v>
      </c>
      <c r="G74" s="9">
        <f t="shared" ref="G74:M74" si="158">IF(OR(G73="",F74=""),"",G73+F74)</f>
        <v>0</v>
      </c>
      <c r="H74" s="9">
        <f t="shared" si="158"/>
        <v>207.41969459981058</v>
      </c>
      <c r="I74" s="9">
        <f t="shared" si="158"/>
        <v>-3328.6443785333367</v>
      </c>
      <c r="J74" s="9">
        <f t="shared" si="158"/>
        <v>-10156.944163632115</v>
      </c>
      <c r="K74" s="9">
        <f t="shared" si="158"/>
        <v>-17491.740184210183</v>
      </c>
      <c r="L74" s="9">
        <f t="shared" si="158"/>
        <v>-24617.467263555725</v>
      </c>
      <c r="M74" s="9">
        <f t="shared" si="158"/>
        <v>-31360.544581404931</v>
      </c>
      <c r="N74" s="9">
        <f>IF(OR(N73="",M74=""),"",N73+N69+M74)</f>
        <v>-33220.222379331855</v>
      </c>
      <c r="O74" s="9">
        <f>IF(OR(O73="",N74=""),"",O73+O69+N74+O66)</f>
        <v>-36674.858617465579</v>
      </c>
      <c r="P74" s="9">
        <f t="shared" ref="P74:AN74" si="159">IF(OR(P73="",O74=""),"",P73+P69+O74)</f>
        <v>-36436.790167421117</v>
      </c>
      <c r="Q74" s="9">
        <f t="shared" si="159"/>
        <v>-42581.294760106764</v>
      </c>
      <c r="R74" s="9">
        <f t="shared" si="159"/>
        <v>-57054.185472001074</v>
      </c>
      <c r="S74" s="9">
        <f t="shared" si="159"/>
        <v>-74028.017516640393</v>
      </c>
      <c r="T74" s="9">
        <f t="shared" si="159"/>
        <v>-83875.064445030541</v>
      </c>
      <c r="U74" s="9">
        <f t="shared" si="159"/>
        <v>-62458.425167712099</v>
      </c>
      <c r="V74" s="9">
        <f t="shared" si="159"/>
        <v>-46131.341754235174</v>
      </c>
      <c r="W74" s="9">
        <f t="shared" si="159"/>
        <v>-29363.132346750906</v>
      </c>
      <c r="X74" s="9">
        <f t="shared" si="159"/>
        <v>-28093.414631234064</v>
      </c>
      <c r="Y74" s="9">
        <f t="shared" si="159"/>
        <v>-39966.888833902733</v>
      </c>
      <c r="Z74" s="9">
        <f t="shared" si="159"/>
        <v>-51383.949803402669</v>
      </c>
      <c r="AA74" s="9">
        <f t="shared" si="159"/>
        <v>-61266.075198797422</v>
      </c>
      <c r="AB74" s="9">
        <f t="shared" si="159"/>
        <v>-68699.899112454732</v>
      </c>
      <c r="AC74" s="9">
        <f t="shared" si="159"/>
        <v>-90491.304713405552</v>
      </c>
      <c r="AD74" s="9">
        <f t="shared" si="159"/>
        <v>-103286.21796094552</v>
      </c>
      <c r="AE74" s="9">
        <f t="shared" si="159"/>
        <v>-131417.89224915206</v>
      </c>
      <c r="AF74" s="9">
        <f t="shared" si="159"/>
        <v>-151165.5225635228</v>
      </c>
      <c r="AG74" s="9">
        <f t="shared" si="159"/>
        <v>-124239.48494715759</v>
      </c>
      <c r="AH74" s="9">
        <f t="shared" si="159"/>
        <v>-101435.26010364454</v>
      </c>
      <c r="AI74" s="9">
        <f t="shared" si="159"/>
        <v>-76378.203587450131</v>
      </c>
      <c r="AJ74" s="9">
        <f t="shared" si="159"/>
        <v>-83755.511003685708</v>
      </c>
      <c r="AK74" s="9">
        <f t="shared" si="159"/>
        <v>-112238.76360194346</v>
      </c>
      <c r="AL74" s="9">
        <f t="shared" si="159"/>
        <v>-138556.1195008494</v>
      </c>
      <c r="AM74" s="9">
        <f t="shared" si="159"/>
        <v>-161617.14584539883</v>
      </c>
      <c r="AN74" s="9">
        <f t="shared" si="159"/>
        <v>-182519.58910181021</v>
      </c>
    </row>
    <row r="75" spans="1:40" s="5" customFormat="1" ht="8.25" hidden="1" customHeight="1" outlineLevel="1" x14ac:dyDescent="0.3">
      <c r="A75" s="44"/>
      <c r="B75" s="13"/>
      <c r="C75" s="102"/>
      <c r="D75" s="102"/>
      <c r="E75" s="102"/>
      <c r="F75" s="100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</row>
    <row r="76" spans="1:40" s="2" customFormat="1" ht="15" customHeight="1" collapsed="1" x14ac:dyDescent="0.3">
      <c r="A76" s="256" t="s">
        <v>61</v>
      </c>
      <c r="B76" s="85"/>
      <c r="C76" s="34"/>
      <c r="D76" s="34"/>
      <c r="E76" s="34"/>
      <c r="F76" s="31"/>
      <c r="G76" s="31"/>
      <c r="H76" s="31"/>
      <c r="I76" s="31"/>
      <c r="J76" s="31"/>
      <c r="K76" s="110"/>
      <c r="L76" s="31"/>
      <c r="M76" s="31"/>
      <c r="N76" s="31"/>
      <c r="O76" s="9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167"/>
      <c r="AB76" s="167"/>
      <c r="AC76" s="166">
        <v>-50000</v>
      </c>
      <c r="AD76" s="31"/>
      <c r="AE76" s="31"/>
      <c r="AF76" s="31"/>
      <c r="AG76" s="178"/>
      <c r="AH76" s="31"/>
      <c r="AI76" s="31"/>
      <c r="AJ76" s="31"/>
      <c r="AK76" s="166">
        <v>-153732.06</v>
      </c>
      <c r="AL76" s="166">
        <f>'[115]OAR.1B (M3)'!$Q$9</f>
        <v>-31.022527238338242</v>
      </c>
      <c r="AM76" s="31"/>
      <c r="AN76" s="31"/>
    </row>
    <row r="77" spans="1:40" s="4" customFormat="1" x14ac:dyDescent="0.3">
      <c r="A77" s="256"/>
      <c r="B77" s="85" t="s">
        <v>62</v>
      </c>
      <c r="C77" s="97"/>
      <c r="D77" s="97"/>
      <c r="E77" s="97"/>
      <c r="F77" s="24"/>
      <c r="G77" s="24"/>
      <c r="H77" s="24"/>
      <c r="I77" s="24"/>
      <c r="J77" s="24"/>
      <c r="K77" s="24"/>
      <c r="L77" s="23"/>
      <c r="M77" s="24"/>
      <c r="N77" s="24"/>
      <c r="O77" s="23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>
        <v>0</v>
      </c>
      <c r="AC77" s="24">
        <v>0</v>
      </c>
      <c r="AD77" s="24">
        <v>0</v>
      </c>
      <c r="AE77" s="24">
        <v>0</v>
      </c>
      <c r="AF77" s="24">
        <v>0</v>
      </c>
      <c r="AG77" s="24">
        <v>0</v>
      </c>
      <c r="AH77" s="24">
        <v>0</v>
      </c>
      <c r="AI77" s="24">
        <v>0</v>
      </c>
      <c r="AJ77" s="24">
        <v>0</v>
      </c>
      <c r="AK77" s="24">
        <v>0</v>
      </c>
      <c r="AL77" s="116">
        <v>0</v>
      </c>
      <c r="AM77" s="116">
        <v>0</v>
      </c>
      <c r="AN77" s="116">
        <v>0</v>
      </c>
    </row>
    <row r="78" spans="1:40" s="4" customFormat="1" x14ac:dyDescent="0.3">
      <c r="A78" s="256"/>
      <c r="B78" s="85" t="s">
        <v>63</v>
      </c>
      <c r="C78" s="97"/>
      <c r="D78" s="97"/>
      <c r="E78" s="97"/>
      <c r="F78" s="9"/>
      <c r="G78" s="9"/>
      <c r="H78" s="9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>
        <f>IF(OR(AB77=""),"",AB76-AB77)</f>
        <v>0</v>
      </c>
      <c r="AC78" s="10">
        <f>IF(OR(AC77=""),"",AC76-AC77)</f>
        <v>-50000</v>
      </c>
      <c r="AD78" s="10">
        <f>IF(OR(AD77=""),"",AD76-AD77)</f>
        <v>0</v>
      </c>
      <c r="AE78" s="10">
        <f t="shared" ref="AE78:AN78" si="160">IF(OR(AE77=""),"",AE76-AE77)</f>
        <v>0</v>
      </c>
      <c r="AF78" s="10">
        <f t="shared" si="160"/>
        <v>0</v>
      </c>
      <c r="AG78" s="10">
        <f t="shared" si="160"/>
        <v>0</v>
      </c>
      <c r="AH78" s="10">
        <f t="shared" si="160"/>
        <v>0</v>
      </c>
      <c r="AI78" s="10">
        <f t="shared" si="160"/>
        <v>0</v>
      </c>
      <c r="AJ78" s="10">
        <f t="shared" si="160"/>
        <v>0</v>
      </c>
      <c r="AK78" s="10">
        <f>IF(OR(AK77=""),"",AK76-AK77)</f>
        <v>-153732.06</v>
      </c>
      <c r="AL78" s="10">
        <v>0</v>
      </c>
      <c r="AM78" s="10">
        <f>IF(OR(AM77=""),"",AM76-AM77)</f>
        <v>0</v>
      </c>
      <c r="AN78" s="10">
        <f t="shared" si="160"/>
        <v>0</v>
      </c>
    </row>
    <row r="79" spans="1:40" s="4" customFormat="1" x14ac:dyDescent="0.3">
      <c r="A79" s="256"/>
      <c r="B79" s="86" t="s">
        <v>8</v>
      </c>
      <c r="C79" s="97"/>
      <c r="D79" s="97"/>
      <c r="E79" s="97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 t="str">
        <f>IF(OR(X9="",X78=""),"",((X78)*X9)/12)</f>
        <v/>
      </c>
      <c r="Y79" s="10" t="str">
        <f>IF(OR(Y9="",Y78=""),"",((Y78+X82)*Y9)/12)</f>
        <v/>
      </c>
      <c r="Z79" s="10" t="str">
        <f t="shared" ref="Z79:AA79" si="161">IF(OR(Z9="",Z78=""),"",((Z78+Y82)*Z9)/12)</f>
        <v/>
      </c>
      <c r="AA79" s="10" t="str">
        <f t="shared" si="161"/>
        <v/>
      </c>
      <c r="AB79" s="10">
        <f>IF(OR(AB9="",AB78=""),"",((AB78)*AB9)/12)</f>
        <v>0</v>
      </c>
      <c r="AC79" s="10">
        <f>IF(OR(AC9="",AC78=""),"",((AC78+AB82)*AC9)/12)</f>
        <v>-9.6757083333333345</v>
      </c>
      <c r="AD79" s="10">
        <f>IF(OR(AD9="",AD78=""),"",((AD78+AC82)*AD9)/12)</f>
        <v>-8.9048062060853468</v>
      </c>
      <c r="AE79" s="10">
        <f t="shared" ref="AE79:AN79" si="162">IF(OR(AE9="",AE78=""),"",((AE78+AD82)*AE9)/12)</f>
        <v>-9.38361075097888</v>
      </c>
      <c r="AF79" s="10">
        <f t="shared" si="162"/>
        <v>-9.3498929752559405</v>
      </c>
      <c r="AG79" s="10">
        <f t="shared" si="162"/>
        <v>-8.4087289230078603</v>
      </c>
      <c r="AH79" s="10">
        <f t="shared" si="162"/>
        <v>-5.8198588030395255</v>
      </c>
      <c r="AI79" s="10">
        <f t="shared" si="162"/>
        <v>-8.55460111412191</v>
      </c>
      <c r="AJ79" s="10">
        <f t="shared" si="162"/>
        <v>-8.0610523030172327</v>
      </c>
      <c r="AK79" s="10">
        <f>IF(OR(AK9="",AK78=""),"",((AK78+AJ82)*AK9)/12)</f>
        <v>-25.475027282426108</v>
      </c>
      <c r="AL79" s="116">
        <f>IF(OR(AL9="",AL76=""),"",((AL76+AK82)*AL9)/12)+AL76</f>
        <v>-56.504616715079436</v>
      </c>
      <c r="AM79" s="116">
        <f>IF(OR(AM9="",AM78=""),"",((AM78+AL82)*AM9)/12)</f>
        <v>-25.485274737925792</v>
      </c>
      <c r="AN79" s="116">
        <f t="shared" si="162"/>
        <v>-25.488460397268032</v>
      </c>
    </row>
    <row r="80" spans="1:40" s="4" customFormat="1" x14ac:dyDescent="0.3">
      <c r="A80" s="256"/>
      <c r="B80" s="86" t="s">
        <v>6</v>
      </c>
      <c r="C80" s="97"/>
      <c r="D80" s="97"/>
      <c r="E80" s="97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 t="str">
        <f>IF(OR(X79=""),"",X79)</f>
        <v/>
      </c>
      <c r="Y80" s="10" t="str">
        <f>IF(OR(X80="",Y79=""),"",X80+Y79)</f>
        <v/>
      </c>
      <c r="Z80" s="10" t="str">
        <f t="shared" ref="Z80:AA80" si="163">IF(OR(Y80="",Z79=""),"",Y80+Z79)</f>
        <v/>
      </c>
      <c r="AA80" s="10" t="str">
        <f t="shared" si="163"/>
        <v/>
      </c>
      <c r="AB80" s="10">
        <f>IF(OR(AB79=""),"",AB79)</f>
        <v>0</v>
      </c>
      <c r="AC80" s="10">
        <f>IF(OR(AB80="",AC79=""),"",AB80+AC79)</f>
        <v>-9.6757083333333345</v>
      </c>
      <c r="AD80" s="10">
        <f>IF(OR(AC80="",AD79=""),"",AC80+AD79)</f>
        <v>-18.580514539418679</v>
      </c>
      <c r="AE80" s="10">
        <f t="shared" ref="AE80:AN80" si="164">IF(OR(AD80="",AE79=""),"",AD80+AE79)</f>
        <v>-27.964125290397561</v>
      </c>
      <c r="AF80" s="10">
        <f t="shared" si="164"/>
        <v>-37.314018265653502</v>
      </c>
      <c r="AG80" s="10">
        <f t="shared" si="164"/>
        <v>-45.722747188661359</v>
      </c>
      <c r="AH80" s="10">
        <f t="shared" si="164"/>
        <v>-51.542605991700881</v>
      </c>
      <c r="AI80" s="10">
        <f t="shared" si="164"/>
        <v>-60.09720710582279</v>
      </c>
      <c r="AJ80" s="10">
        <f t="shared" si="164"/>
        <v>-68.158259408840024</v>
      </c>
      <c r="AK80" s="10">
        <f>IF(OR(AJ80="",AK79=""),"",AJ80+AK79)</f>
        <v>-93.633286691266136</v>
      </c>
      <c r="AL80" s="10">
        <f>IF(OR(AK80="",AL79=""),"",AK80+AL79)</f>
        <v>-150.13790340634557</v>
      </c>
      <c r="AM80" s="9">
        <f t="shared" si="164"/>
        <v>-175.62317814427138</v>
      </c>
      <c r="AN80" s="9">
        <f t="shared" si="164"/>
        <v>-201.11163854153941</v>
      </c>
    </row>
    <row r="81" spans="1:44" s="4" customFormat="1" x14ac:dyDescent="0.3">
      <c r="A81" s="256"/>
      <c r="B81" s="85" t="s">
        <v>65</v>
      </c>
      <c r="C81" s="97"/>
      <c r="D81" s="97"/>
      <c r="E81" s="97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 t="str">
        <f>IF(OR(X79="",X78=""),"",X78+X79)</f>
        <v/>
      </c>
      <c r="Y81" s="10" t="str">
        <f>IF(OR(Y79="",Y78=""),"",Y78+Y79)</f>
        <v/>
      </c>
      <c r="Z81" s="10" t="str">
        <f>IF(OR(Z79="",Z78=""),"",Z78+Z79)</f>
        <v/>
      </c>
      <c r="AA81" s="10" t="str">
        <f t="shared" ref="AA81" si="165">IF(OR(AA79="",AA78=""),"",AA78+AA79)</f>
        <v/>
      </c>
      <c r="AB81" s="10">
        <f>IF(OR(AB79="",AB78=""),"",AB78+AB79)</f>
        <v>0</v>
      </c>
      <c r="AC81" s="10">
        <f>IF(OR(AC79="",AC78=""),"",AC78+AC79)</f>
        <v>-50009.675708333336</v>
      </c>
      <c r="AD81" s="10">
        <f>IF(OR(AD79="",AD78=""),"",AD78+AD79)</f>
        <v>-8.9048062060853468</v>
      </c>
      <c r="AE81" s="10">
        <f t="shared" ref="AE81:AN81" si="166">IF(OR(AE79="",AE78=""),"",AE78+AE79)</f>
        <v>-9.38361075097888</v>
      </c>
      <c r="AF81" s="10">
        <f t="shared" si="166"/>
        <v>-9.3498929752559405</v>
      </c>
      <c r="AG81" s="10">
        <f t="shared" si="166"/>
        <v>-8.4087289230078603</v>
      </c>
      <c r="AH81" s="10">
        <f t="shared" si="166"/>
        <v>-5.8198588030395255</v>
      </c>
      <c r="AI81" s="10">
        <f t="shared" si="166"/>
        <v>-8.55460111412191</v>
      </c>
      <c r="AJ81" s="10">
        <f t="shared" si="166"/>
        <v>-8.0610523030172327</v>
      </c>
      <c r="AK81" s="10">
        <f>IF(OR(AK79="",AK78=""),"",AK78+AK79)</f>
        <v>-153757.53502728243</v>
      </c>
      <c r="AL81" s="10">
        <f>IF(OR(AL79="",AL78=""),"",AL78+AL79)</f>
        <v>-56.504616715079436</v>
      </c>
      <c r="AM81" s="10">
        <f t="shared" si="166"/>
        <v>-25.485274737925792</v>
      </c>
      <c r="AN81" s="10">
        <f t="shared" si="166"/>
        <v>-25.488460397268032</v>
      </c>
    </row>
    <row r="82" spans="1:44" s="4" customFormat="1" x14ac:dyDescent="0.3">
      <c r="A82" s="256"/>
      <c r="B82" s="87" t="s">
        <v>66</v>
      </c>
      <c r="C82" s="101"/>
      <c r="D82" s="101"/>
      <c r="E82" s="101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 t="str">
        <f>IF(OR(X81=""),"",X81)</f>
        <v/>
      </c>
      <c r="Y82" s="10" t="str">
        <f>IF(OR(Y81="",X82=""),"",Y81+X82)</f>
        <v/>
      </c>
      <c r="Z82" s="10" t="str">
        <f t="shared" ref="Z82" si="167">IF(OR(Z81="",Y82=""),"",Z81+Y82)</f>
        <v/>
      </c>
      <c r="AA82" s="10">
        <v>0</v>
      </c>
      <c r="AB82" s="10">
        <f>IF(OR(AB81=""),"",AB81)</f>
        <v>0</v>
      </c>
      <c r="AC82" s="10">
        <f>IF(OR(AC81="",AB82=""),"",AC81+AB82)</f>
        <v>-50009.675708333336</v>
      </c>
      <c r="AD82" s="10">
        <f>IF(OR(AD81="",AC82=""),"",AD81+AC82)</f>
        <v>-50018.580514539419</v>
      </c>
      <c r="AE82" s="10">
        <f t="shared" ref="AE82:AN82" si="168">IF(OR(AE81="",AD82=""),"",AE81+AD82)</f>
        <v>-50027.964125290397</v>
      </c>
      <c r="AF82" s="10">
        <f t="shared" si="168"/>
        <v>-50037.31401826565</v>
      </c>
      <c r="AG82" s="10">
        <f t="shared" si="168"/>
        <v>-50045.722747188658</v>
      </c>
      <c r="AH82" s="10">
        <f t="shared" si="168"/>
        <v>-50051.542605991701</v>
      </c>
      <c r="AI82" s="10">
        <f t="shared" si="168"/>
        <v>-50060.09720710582</v>
      </c>
      <c r="AJ82" s="10">
        <f t="shared" si="168"/>
        <v>-50068.15825940884</v>
      </c>
      <c r="AK82" s="10">
        <f>IF(OR(AK81="",AJ82=""),"",AK81+AJ82)</f>
        <v>-203825.69328669127</v>
      </c>
      <c r="AL82" s="10">
        <f>IF(OR(AL81="",AK82=""),"",AL81+AK82)</f>
        <v>-203882.19790340634</v>
      </c>
      <c r="AM82" s="10">
        <f t="shared" si="168"/>
        <v>-203907.68317814427</v>
      </c>
      <c r="AN82" s="10">
        <f t="shared" si="168"/>
        <v>-203933.17163854153</v>
      </c>
    </row>
    <row r="83" spans="1:44" s="5" customFormat="1" ht="8.25" customHeight="1" x14ac:dyDescent="0.3">
      <c r="A83" s="44"/>
      <c r="B83" s="13"/>
      <c r="C83" s="102"/>
      <c r="D83" s="102"/>
      <c r="E83" s="102"/>
      <c r="F83" s="100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</row>
    <row r="84" spans="1:44" s="5" customFormat="1" x14ac:dyDescent="0.3">
      <c r="A84" s="124"/>
      <c r="B84" s="55"/>
      <c r="C84" s="146"/>
      <c r="D84" s="146"/>
      <c r="E84" s="146"/>
      <c r="F84" s="147"/>
      <c r="G84" s="9"/>
      <c r="H84" s="9"/>
      <c r="I84" s="9"/>
      <c r="J84" s="9"/>
      <c r="K84" s="9"/>
      <c r="L84" s="9"/>
      <c r="M84" s="9"/>
      <c r="N84" s="9"/>
      <c r="O84" s="9"/>
      <c r="P84" s="9"/>
      <c r="Q84" s="67">
        <v>0</v>
      </c>
      <c r="R84" s="9"/>
      <c r="S84" s="9"/>
      <c r="T84" s="9"/>
      <c r="U84" s="9"/>
      <c r="V84" s="9"/>
      <c r="W84" s="145">
        <f>6583255-343874</f>
        <v>6239381</v>
      </c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144">
        <f>10195155.1942426-100000-613446.594539144</f>
        <v>9481708.5997034572</v>
      </c>
      <c r="AK84" s="9"/>
      <c r="AL84" s="9"/>
      <c r="AM84" s="9"/>
      <c r="AN84" s="9"/>
    </row>
    <row r="85" spans="1:44" x14ac:dyDescent="0.3">
      <c r="A85" s="257" t="s">
        <v>77</v>
      </c>
      <c r="B85" s="55" t="s">
        <v>68</v>
      </c>
      <c r="C85" s="98"/>
      <c r="D85" s="98"/>
      <c r="E85" s="98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C85" s="149">
        <f t="shared" ref="AC85:AN85" si="169">6239380.68/12</f>
        <v>519948.38999999996</v>
      </c>
      <c r="AD85" s="59">
        <f t="shared" si="169"/>
        <v>519948.38999999996</v>
      </c>
      <c r="AE85" s="59">
        <f t="shared" si="169"/>
        <v>519948.38999999996</v>
      </c>
      <c r="AF85" s="59">
        <f t="shared" si="169"/>
        <v>519948.38999999996</v>
      </c>
      <c r="AG85" s="59">
        <f t="shared" si="169"/>
        <v>519948.38999999996</v>
      </c>
      <c r="AH85" s="59">
        <f t="shared" si="169"/>
        <v>519948.38999999996</v>
      </c>
      <c r="AI85" s="59">
        <f t="shared" si="169"/>
        <v>519948.38999999996</v>
      </c>
      <c r="AJ85" s="59">
        <f t="shared" si="169"/>
        <v>519948.38999999996</v>
      </c>
      <c r="AK85" s="59">
        <f t="shared" si="169"/>
        <v>519948.38999999996</v>
      </c>
      <c r="AL85" s="252">
        <f t="shared" si="169"/>
        <v>519948.38999999996</v>
      </c>
      <c r="AM85" s="252">
        <f t="shared" si="169"/>
        <v>519948.38999999996</v>
      </c>
      <c r="AN85" s="252">
        <f t="shared" si="169"/>
        <v>519948.38999999996</v>
      </c>
    </row>
    <row r="86" spans="1:44" x14ac:dyDescent="0.3">
      <c r="A86" s="257"/>
      <c r="B86" s="55" t="s">
        <v>69</v>
      </c>
      <c r="C86" s="97"/>
      <c r="D86" s="97"/>
      <c r="E86" s="97"/>
      <c r="F86" s="24"/>
      <c r="G86" s="24"/>
      <c r="H86" s="24"/>
      <c r="I86" s="24"/>
      <c r="J86" s="24"/>
      <c r="K86" s="24"/>
      <c r="L86" s="24"/>
      <c r="M86" s="24"/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  <c r="U86" s="24">
        <v>0</v>
      </c>
      <c r="V86" s="24">
        <v>0</v>
      </c>
      <c r="W86" s="24">
        <v>0</v>
      </c>
      <c r="X86" s="24">
        <v>0</v>
      </c>
      <c r="Y86" s="24">
        <v>0</v>
      </c>
      <c r="Z86" s="24">
        <v>0</v>
      </c>
      <c r="AA86" s="24">
        <v>0</v>
      </c>
      <c r="AB86" s="24">
        <v>0</v>
      </c>
      <c r="AC86" s="24">
        <v>285104.73</v>
      </c>
      <c r="AD86" s="24">
        <v>522237.53</v>
      </c>
      <c r="AE86" s="24">
        <v>417802.47</v>
      </c>
      <c r="AF86" s="24">
        <v>410351.7</v>
      </c>
      <c r="AG86" s="24">
        <v>482532.64</v>
      </c>
      <c r="AH86" s="24">
        <v>608996.41</v>
      </c>
      <c r="AI86" s="24">
        <v>606777.69999999995</v>
      </c>
      <c r="AJ86" s="24">
        <v>608116.79</v>
      </c>
      <c r="AK86" s="24">
        <v>477518.56</v>
      </c>
      <c r="AL86" s="116">
        <f>SUM('[116]EOR (M3)'!L29:L33)</f>
        <v>432481.2056023184</v>
      </c>
      <c r="AM86" s="116">
        <f>SUM('[116]EOR (M3)'!M29:M33)</f>
        <v>534374.73600171192</v>
      </c>
      <c r="AN86" s="116">
        <f>SUM('[116]EOR (M3)'!N29:N33)</f>
        <v>630246.45907546615</v>
      </c>
      <c r="AP86" s="146"/>
      <c r="AQ86" s="146"/>
      <c r="AR86" s="146"/>
    </row>
    <row r="87" spans="1:44" x14ac:dyDescent="0.3">
      <c r="A87" s="257"/>
      <c r="B87" s="55" t="s">
        <v>70</v>
      </c>
      <c r="C87" s="97"/>
      <c r="D87" s="97"/>
      <c r="E87" s="97"/>
      <c r="F87" s="10"/>
      <c r="G87" s="10"/>
      <c r="H87" s="10"/>
      <c r="I87" s="10"/>
      <c r="J87" s="10"/>
      <c r="K87" s="10"/>
      <c r="L87" s="10"/>
      <c r="M87" s="10"/>
      <c r="N87" s="10" t="str">
        <f>IF(OR(N85="",N86=""),"",N85-N86)</f>
        <v/>
      </c>
      <c r="O87" s="10" t="str">
        <f>IF(OR(O85="",O86=""),"",O85-O86)</f>
        <v/>
      </c>
      <c r="P87" s="10" t="str">
        <f>IF(OR(P85="",P86=""),"",P85-P86)</f>
        <v/>
      </c>
      <c r="Q87" s="10" t="str">
        <f t="shared" ref="Q87:AA87" si="170">IF(OR(Q85="",Q86=""),"",Q85-Q86)</f>
        <v/>
      </c>
      <c r="R87" s="10" t="str">
        <f t="shared" si="170"/>
        <v/>
      </c>
      <c r="S87" s="10" t="str">
        <f t="shared" si="170"/>
        <v/>
      </c>
      <c r="T87" s="10" t="str">
        <f t="shared" si="170"/>
        <v/>
      </c>
      <c r="U87" s="10" t="str">
        <f t="shared" si="170"/>
        <v/>
      </c>
      <c r="V87" s="10" t="str">
        <f t="shared" si="170"/>
        <v/>
      </c>
      <c r="W87" s="10" t="str">
        <f t="shared" si="170"/>
        <v/>
      </c>
      <c r="X87" s="10" t="str">
        <f t="shared" si="170"/>
        <v/>
      </c>
      <c r="Y87" s="10" t="str">
        <f t="shared" si="170"/>
        <v/>
      </c>
      <c r="Z87" s="10" t="str">
        <f t="shared" si="170"/>
        <v/>
      </c>
      <c r="AA87" s="10" t="str">
        <f t="shared" si="170"/>
        <v/>
      </c>
      <c r="AB87" s="10" t="str">
        <f>IF(OR(AB85="",AB86=""),"",AB85-AB86)</f>
        <v/>
      </c>
      <c r="AC87" s="9">
        <f>IF(OR(AC85="",AC86=""),"",AC85-AC86)</f>
        <v>234843.65999999997</v>
      </c>
      <c r="AD87" s="9">
        <f>IF(OR(AD85="",AD86=""),"",AD85-AD86)</f>
        <v>-2289.1400000000722</v>
      </c>
      <c r="AE87" s="9">
        <f t="shared" ref="AE87:AN87" si="171">IF(OR(AE85="",AE86=""),"",AE85-AE86)</f>
        <v>102145.91999999998</v>
      </c>
      <c r="AF87" s="9">
        <f t="shared" si="171"/>
        <v>109596.68999999994</v>
      </c>
      <c r="AG87" s="9">
        <f t="shared" si="171"/>
        <v>37415.749999999942</v>
      </c>
      <c r="AH87" s="9">
        <f t="shared" si="171"/>
        <v>-89048.020000000077</v>
      </c>
      <c r="AI87" s="9">
        <f t="shared" si="171"/>
        <v>-86829.31</v>
      </c>
      <c r="AJ87" s="9">
        <f>IF(OR(AJ85="",AJ86=""),"",AJ85-AJ86)</f>
        <v>-88168.400000000081</v>
      </c>
      <c r="AK87" s="9">
        <f>IF(OR(AK85="",AK86=""),"",AK85-AK86)</f>
        <v>42429.829999999958</v>
      </c>
      <c r="AL87" s="9">
        <f t="shared" si="171"/>
        <v>87467.184397681558</v>
      </c>
      <c r="AM87" s="9">
        <f t="shared" si="171"/>
        <v>-14426.346001711965</v>
      </c>
      <c r="AN87" s="9">
        <f t="shared" si="171"/>
        <v>-110298.06907546619</v>
      </c>
    </row>
    <row r="88" spans="1:44" x14ac:dyDescent="0.3">
      <c r="A88" s="257"/>
      <c r="B88" s="55" t="s">
        <v>4</v>
      </c>
      <c r="C88" s="99"/>
      <c r="D88" s="99"/>
      <c r="E88" s="99"/>
      <c r="F88" s="60"/>
      <c r="G88" s="60"/>
      <c r="H88" s="60"/>
      <c r="I88" s="60"/>
      <c r="J88" s="60"/>
      <c r="K88" s="111"/>
      <c r="L88" s="60"/>
      <c r="M88" s="60"/>
      <c r="N88" s="60"/>
      <c r="O88" s="60" t="str">
        <f t="shared" ref="O88:AA88" si="172">IF(O87="","",O19)</f>
        <v/>
      </c>
      <c r="P88" s="60" t="str">
        <f t="shared" si="172"/>
        <v/>
      </c>
      <c r="Q88" s="60" t="str">
        <f t="shared" si="172"/>
        <v/>
      </c>
      <c r="R88" s="60" t="str">
        <f t="shared" si="172"/>
        <v/>
      </c>
      <c r="S88" s="60" t="str">
        <f t="shared" si="172"/>
        <v/>
      </c>
      <c r="T88" s="60" t="str">
        <f t="shared" si="172"/>
        <v/>
      </c>
      <c r="U88" s="60" t="str">
        <f t="shared" si="172"/>
        <v/>
      </c>
      <c r="V88" s="60" t="str">
        <f t="shared" si="172"/>
        <v/>
      </c>
      <c r="W88" s="60" t="str">
        <f t="shared" si="172"/>
        <v/>
      </c>
      <c r="X88" s="60" t="str">
        <f t="shared" si="172"/>
        <v/>
      </c>
      <c r="Y88" s="60" t="str">
        <f t="shared" si="172"/>
        <v/>
      </c>
      <c r="Z88" s="60" t="str">
        <f t="shared" si="172"/>
        <v/>
      </c>
      <c r="AA88" s="60" t="str">
        <f t="shared" si="172"/>
        <v/>
      </c>
      <c r="AB88" s="60" t="str">
        <f>IF(AB87="","",AB19)</f>
        <v/>
      </c>
      <c r="AC88" s="60">
        <f>IF(AC87="","",AC9)</f>
        <v>2.3221700000000001E-3</v>
      </c>
      <c r="AD88" s="60">
        <f>IF(AD87="","",AD9)</f>
        <v>2.1367399999999998E-3</v>
      </c>
      <c r="AE88" s="60">
        <f t="shared" ref="AE88:AN88" si="173">IF(AE87="","",AE9)</f>
        <v>2.2512299999999999E-3</v>
      </c>
      <c r="AF88" s="60">
        <f t="shared" si="173"/>
        <v>2.2427200000000001E-3</v>
      </c>
      <c r="AG88" s="60">
        <f t="shared" si="173"/>
        <v>2.01659E-3</v>
      </c>
      <c r="AH88" s="60">
        <f t="shared" si="173"/>
        <v>1.3954900000000001E-3</v>
      </c>
      <c r="AI88" s="60">
        <f t="shared" si="173"/>
        <v>2.0509899999999999E-3</v>
      </c>
      <c r="AJ88" s="60">
        <f>IF(AJ87="","",AJ9)</f>
        <v>1.9323299999999999E-3</v>
      </c>
      <c r="AK88" s="60">
        <f>IF(AK87="","",AK9)</f>
        <v>1.5E-3</v>
      </c>
      <c r="AL88" s="60">
        <f t="shared" si="173"/>
        <v>1.5E-3</v>
      </c>
      <c r="AM88" s="60">
        <f t="shared" si="173"/>
        <v>1.5E-3</v>
      </c>
      <c r="AN88" s="60">
        <f t="shared" si="173"/>
        <v>1.5E-3</v>
      </c>
    </row>
    <row r="89" spans="1:44" x14ac:dyDescent="0.3">
      <c r="A89" s="257"/>
      <c r="B89" s="55" t="s">
        <v>45</v>
      </c>
      <c r="C89" s="97"/>
      <c r="D89" s="97"/>
      <c r="E89" s="97"/>
      <c r="F89" s="10"/>
      <c r="G89" s="10"/>
      <c r="H89" s="10"/>
      <c r="I89" s="10"/>
      <c r="J89" s="10"/>
      <c r="K89" s="10"/>
      <c r="L89" s="10"/>
      <c r="M89" s="10"/>
      <c r="N89" s="10" t="str">
        <f>IF(OR(N88="",N87=""),"",(N87*N88)/12)</f>
        <v/>
      </c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>
        <f>IF(OR(AC88="",AC87=""),"",(AC87*AC88)/12)</f>
        <v>45.445575161850002</v>
      </c>
      <c r="AD89" s="10">
        <f>IF(OR(AD88="",AD87="",AC92=""),"",((AC92+AD87)*AD88)/12)</f>
        <v>41.417137536922588</v>
      </c>
      <c r="AE89" s="10">
        <f t="shared" ref="AE89:AI89" si="174">IF(OR(AE88="",AE87="",AD92=""),"",((AD92+AE87)*AE88)/12)</f>
        <v>62.806934957159051</v>
      </c>
      <c r="AF89" s="10">
        <f t="shared" si="174"/>
        <v>83.064143875482543</v>
      </c>
      <c r="AG89" s="10">
        <f t="shared" si="174"/>
        <v>80.99055877632199</v>
      </c>
      <c r="AH89" s="10">
        <f t="shared" si="174"/>
        <v>45.699807056250876</v>
      </c>
      <c r="AI89" s="10">
        <f t="shared" si="174"/>
        <v>52.333569170584276</v>
      </c>
      <c r="AJ89" s="10">
        <f>IF(OR(AJ88="",AJ87="",AI92=""),"",((AI92+AJ87)*AJ88)/12)</f>
        <v>35.116701313934492</v>
      </c>
      <c r="AK89" s="10">
        <f>IF(OR(AK88="",AK87="",AJ92=""),"",((AJ92+AK87)*AK88)/12)</f>
        <v>32.567981803481018</v>
      </c>
      <c r="AL89" s="116">
        <f t="shared" ref="AL89:AN89" si="175">IF(OR(AL88="",AL87="",AK92=""),"",((AK92+AL87)*AL88)/12)</f>
        <v>43.505450850916645</v>
      </c>
      <c r="AM89" s="116">
        <f t="shared" si="175"/>
        <v>41.707595782059023</v>
      </c>
      <c r="AN89" s="116">
        <f t="shared" si="175"/>
        <v>27.925550597098503</v>
      </c>
    </row>
    <row r="90" spans="1:44" x14ac:dyDescent="0.3">
      <c r="A90" s="257"/>
      <c r="B90" s="56" t="s">
        <v>6</v>
      </c>
      <c r="C90" s="97"/>
      <c r="D90" s="97"/>
      <c r="E90" s="97"/>
      <c r="F90" s="10"/>
      <c r="G90" s="10"/>
      <c r="H90" s="10"/>
      <c r="I90" s="10"/>
      <c r="J90" s="10"/>
      <c r="K90" s="10"/>
      <c r="L90" s="10"/>
      <c r="M90" s="10"/>
      <c r="N90" s="10" t="str">
        <f>N89</f>
        <v/>
      </c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>
        <f>AC89</f>
        <v>45.445575161850002</v>
      </c>
      <c r="AD90" s="10">
        <f>IF(OR(AC90="",AD89=""),"",AC90+AD89)</f>
        <v>86.862712698772583</v>
      </c>
      <c r="AE90" s="10">
        <f t="shared" ref="AE90:AI90" si="176">IF(OR(AD90="",AE89=""),"",AD90+AE89)</f>
        <v>149.66964765593164</v>
      </c>
      <c r="AF90" s="10">
        <f t="shared" si="176"/>
        <v>232.73379153141417</v>
      </c>
      <c r="AG90" s="10">
        <f t="shared" si="176"/>
        <v>313.72435030773613</v>
      </c>
      <c r="AH90" s="10">
        <f t="shared" si="176"/>
        <v>359.42415736398698</v>
      </c>
      <c r="AI90" s="10">
        <f t="shared" si="176"/>
        <v>411.75772653457125</v>
      </c>
      <c r="AJ90" s="10">
        <f>IF(OR(AI90="",AJ89=""),"",AI90+AJ89)</f>
        <v>446.87442784850572</v>
      </c>
      <c r="AK90" s="10">
        <f>IF(OR(AJ90="",AK89=""),"",AJ90+AK89)</f>
        <v>479.44240965198674</v>
      </c>
      <c r="AL90" s="10">
        <f t="shared" ref="AL90:AN90" si="177">IF(OR(AK90="",AL89=""),"",AK90+AL89)</f>
        <v>522.94786050290338</v>
      </c>
      <c r="AM90" s="10">
        <f t="shared" si="177"/>
        <v>564.65545628496238</v>
      </c>
      <c r="AN90" s="10">
        <f t="shared" si="177"/>
        <v>592.58100688206093</v>
      </c>
    </row>
    <row r="91" spans="1:44" x14ac:dyDescent="0.3">
      <c r="A91" s="257"/>
      <c r="B91" s="69" t="s">
        <v>71</v>
      </c>
      <c r="C91" s="97"/>
      <c r="D91" s="97"/>
      <c r="E91" s="97"/>
      <c r="F91" s="10"/>
      <c r="G91" s="10"/>
      <c r="H91" s="10"/>
      <c r="I91" s="10"/>
      <c r="J91" s="10"/>
      <c r="K91" s="10"/>
      <c r="L91" s="10"/>
      <c r="M91" s="10"/>
      <c r="N91" s="10" t="str">
        <f>IF(OR(N89="",N87=""),"",N87+N89)</f>
        <v/>
      </c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>
        <f>IF(OR(AC89="",AC87=""),"",AC87+AC89)</f>
        <v>234889.10557516181</v>
      </c>
      <c r="AD91" s="10">
        <f>IF(OR(AD89="",AD87=""),"",AD87+AD89)</f>
        <v>-2247.7228624631498</v>
      </c>
      <c r="AE91" s="10">
        <f t="shared" ref="AE91:AF91" si="178">IF(OR(AE89="",AE87=""),"",AE87+AE89)</f>
        <v>102208.72693495714</v>
      </c>
      <c r="AF91" s="10">
        <f t="shared" si="178"/>
        <v>109679.75414387543</v>
      </c>
      <c r="AG91" s="10">
        <f>IF(OR(AG89="",AG87=""),"",AG87+AG89)</f>
        <v>37496.740558776262</v>
      </c>
      <c r="AH91" s="10">
        <f t="shared" ref="AH91:AN91" si="179">IF(OR(AH89="",AH87=""),"",AH87+AH89)</f>
        <v>-89002.320192943822</v>
      </c>
      <c r="AI91" s="10">
        <f t="shared" si="179"/>
        <v>-86776.976430829411</v>
      </c>
      <c r="AJ91" s="10">
        <f>IF(OR(AJ89="",AJ87=""),"",AJ87+AJ89)</f>
        <v>-88133.283298686147</v>
      </c>
      <c r="AK91" s="10">
        <f>IF(OR(AK89="",AK87=""),"",AK87+AK89)</f>
        <v>42462.397981803442</v>
      </c>
      <c r="AL91" s="10">
        <f t="shared" si="179"/>
        <v>87510.689848532478</v>
      </c>
      <c r="AM91" s="10">
        <f t="shared" si="179"/>
        <v>-14384.638405929905</v>
      </c>
      <c r="AN91" s="10">
        <f t="shared" si="179"/>
        <v>-110270.1435248691</v>
      </c>
    </row>
    <row r="92" spans="1:44" x14ac:dyDescent="0.3">
      <c r="A92" s="257"/>
      <c r="B92" s="55" t="s">
        <v>72</v>
      </c>
      <c r="C92" s="97"/>
      <c r="D92" s="97"/>
      <c r="E92" s="97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>
        <f>AB92+AC91</f>
        <v>234889.10557516181</v>
      </c>
      <c r="AD92" s="10">
        <f>IF(OR(AD91="",AC92=""),"",AC92+AD91)</f>
        <v>232641.38271269866</v>
      </c>
      <c r="AE92" s="10">
        <f t="shared" ref="AE92:AF92" si="180">IF(OR(AE91="",AD92=""),"",AD92+AE91)</f>
        <v>334850.1096476558</v>
      </c>
      <c r="AF92" s="10">
        <f t="shared" si="180"/>
        <v>444529.86379153124</v>
      </c>
      <c r="AG92" s="10">
        <f>IF(OR(AG91="",AF92=""),"",AF92+AG91)</f>
        <v>482026.60435030749</v>
      </c>
      <c r="AH92" s="10">
        <f t="shared" ref="AH92:AI92" si="181">IF(OR(AH91="",AG92=""),"",AG92+AH91)</f>
        <v>393024.2841573637</v>
      </c>
      <c r="AI92" s="10">
        <f t="shared" si="181"/>
        <v>306247.30772653432</v>
      </c>
      <c r="AJ92" s="10">
        <f>IF(OR(AJ91="",AI92=""),"",AI92+AJ91)</f>
        <v>218114.02442784817</v>
      </c>
      <c r="AK92" s="10">
        <f>IF(OR(AK91="",AJ92=""),"",AJ92+AK91)</f>
        <v>260576.42240965163</v>
      </c>
      <c r="AL92" s="10">
        <f t="shared" ref="AL92:AN92" si="182">IF(OR(AL91="",AK92=""),"",AK92+AL91)</f>
        <v>348087.11225818412</v>
      </c>
      <c r="AM92" s="10">
        <f t="shared" si="182"/>
        <v>333702.47385225422</v>
      </c>
      <c r="AN92" s="10">
        <f t="shared" si="182"/>
        <v>223432.33032738511</v>
      </c>
    </row>
    <row r="93" spans="1:44" x14ac:dyDescent="0.3">
      <c r="A93" s="257"/>
      <c r="B93" s="57" t="s">
        <v>73</v>
      </c>
      <c r="C93" s="97"/>
      <c r="D93" s="97"/>
      <c r="E93" s="97"/>
      <c r="F93" s="10"/>
      <c r="G93" s="10"/>
      <c r="H93" s="10"/>
      <c r="I93" s="10"/>
      <c r="J93" s="10"/>
      <c r="K93" s="10"/>
      <c r="L93" s="10"/>
      <c r="M93" s="10"/>
      <c r="N93" s="10"/>
      <c r="O93" s="10">
        <f t="shared" ref="O93:AB93" si="183">IF(O86="","",N93-O86+O89)</f>
        <v>0</v>
      </c>
      <c r="P93" s="10">
        <f t="shared" si="183"/>
        <v>0</v>
      </c>
      <c r="Q93" s="10">
        <f t="shared" si="183"/>
        <v>0</v>
      </c>
      <c r="R93" s="10">
        <f t="shared" si="183"/>
        <v>0</v>
      </c>
      <c r="S93" s="10">
        <f t="shared" si="183"/>
        <v>0</v>
      </c>
      <c r="T93" s="10">
        <f t="shared" si="183"/>
        <v>0</v>
      </c>
      <c r="U93" s="10">
        <f t="shared" si="183"/>
        <v>0</v>
      </c>
      <c r="V93" s="10">
        <f t="shared" si="183"/>
        <v>0</v>
      </c>
      <c r="W93" s="10">
        <f>IF(W86="","",V93-W86+W89+W84)</f>
        <v>6239381</v>
      </c>
      <c r="X93" s="10">
        <f t="shared" si="183"/>
        <v>6239381</v>
      </c>
      <c r="Y93" s="10">
        <f t="shared" si="183"/>
        <v>6239381</v>
      </c>
      <c r="Z93" s="10">
        <f t="shared" si="183"/>
        <v>6239381</v>
      </c>
      <c r="AA93" s="10">
        <f t="shared" si="183"/>
        <v>6239381</v>
      </c>
      <c r="AB93" s="10">
        <f t="shared" si="183"/>
        <v>6239381</v>
      </c>
      <c r="AC93" s="10">
        <f>AB93-AC86+AC89</f>
        <v>5954321.7155751614</v>
      </c>
      <c r="AD93" s="10">
        <f>IF(AD86="","",AC93-AD86+AD89)</f>
        <v>5432125.6027126983</v>
      </c>
      <c r="AE93" s="10">
        <f t="shared" ref="AE93:AI93" si="184">IF(AE86="","",AD93-AE86+AE89)</f>
        <v>5014385.9396476559</v>
      </c>
      <c r="AF93" s="10">
        <f t="shared" si="184"/>
        <v>4604117.3037915314</v>
      </c>
      <c r="AG93" s="10">
        <f t="shared" si="184"/>
        <v>4121665.6543503078</v>
      </c>
      <c r="AH93" s="10">
        <f t="shared" si="184"/>
        <v>3512714.9441573638</v>
      </c>
      <c r="AI93" s="10">
        <f t="shared" si="184"/>
        <v>2905989.5777265341</v>
      </c>
      <c r="AJ93" s="10">
        <f>IF(AJ86="","",AI93-AJ86+AJ89+AJ84)</f>
        <v>11779616.504131306</v>
      </c>
      <c r="AK93" s="10">
        <f>IF(AK86="","",AJ93-AK86+AK89)</f>
        <v>11302130.512113109</v>
      </c>
      <c r="AL93" s="10">
        <f t="shared" ref="AL93:AN93" si="185">IF(AL86="","",AK93-AL86+AL89)</f>
        <v>10869692.811961642</v>
      </c>
      <c r="AM93" s="10">
        <f t="shared" si="185"/>
        <v>10335359.783555713</v>
      </c>
      <c r="AN93" s="10">
        <f t="shared" si="185"/>
        <v>9705141.2500308435</v>
      </c>
    </row>
    <row r="94" spans="1:44" s="5" customFormat="1" ht="8.25" customHeight="1" x14ac:dyDescent="0.3">
      <c r="A94" s="44"/>
      <c r="B94" s="13"/>
      <c r="C94" s="102"/>
      <c r="D94" s="102"/>
      <c r="E94" s="102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</row>
    <row r="95" spans="1:44" x14ac:dyDescent="0.3">
      <c r="A95" s="40"/>
      <c r="K95" s="43"/>
    </row>
    <row r="96" spans="1:44" x14ac:dyDescent="0.3">
      <c r="A96" s="40"/>
      <c r="K96" s="43"/>
    </row>
    <row r="97" spans="1:11" x14ac:dyDescent="0.3">
      <c r="A97" s="40"/>
      <c r="K97" s="43"/>
    </row>
    <row r="98" spans="1:11" x14ac:dyDescent="0.3">
      <c r="A98" s="40"/>
      <c r="K98" s="43"/>
    </row>
    <row r="99" spans="1:11" x14ac:dyDescent="0.3">
      <c r="A99" s="40"/>
      <c r="K99" s="43"/>
    </row>
    <row r="100" spans="1:11" x14ac:dyDescent="0.3">
      <c r="A100" s="40"/>
      <c r="K100" s="43"/>
    </row>
    <row r="101" spans="1:11" x14ac:dyDescent="0.3">
      <c r="A101" s="40"/>
      <c r="K101" s="43"/>
    </row>
    <row r="102" spans="1:11" x14ac:dyDescent="0.3">
      <c r="A102" s="40"/>
      <c r="K102" s="43"/>
    </row>
    <row r="103" spans="1:11" x14ac:dyDescent="0.3">
      <c r="A103" s="40"/>
      <c r="K103" s="43"/>
    </row>
    <row r="104" spans="1:11" x14ac:dyDescent="0.3">
      <c r="A104" s="40"/>
      <c r="K104" s="43"/>
    </row>
    <row r="105" spans="1:11" x14ac:dyDescent="0.3">
      <c r="A105" s="40"/>
      <c r="K105" s="43"/>
    </row>
    <row r="106" spans="1:11" x14ac:dyDescent="0.3">
      <c r="A106" s="40"/>
      <c r="K106" s="43"/>
    </row>
    <row r="107" spans="1:11" x14ac:dyDescent="0.3">
      <c r="A107" s="40"/>
      <c r="K107" s="43"/>
    </row>
    <row r="108" spans="1:11" x14ac:dyDescent="0.3">
      <c r="A108" s="40"/>
      <c r="K108" s="43"/>
    </row>
    <row r="109" spans="1:11" x14ac:dyDescent="0.3">
      <c r="A109" s="40"/>
      <c r="K109" s="43"/>
    </row>
    <row r="110" spans="1:11" x14ac:dyDescent="0.3">
      <c r="A110" s="40"/>
      <c r="K110" s="43"/>
    </row>
    <row r="111" spans="1:11" x14ac:dyDescent="0.3">
      <c r="A111" s="40"/>
      <c r="K111" s="43"/>
    </row>
    <row r="112" spans="1:11" x14ac:dyDescent="0.3">
      <c r="A112" s="40"/>
      <c r="K112" s="43"/>
    </row>
    <row r="113" spans="1:11" x14ac:dyDescent="0.3">
      <c r="A113" s="40"/>
      <c r="K113" s="43"/>
    </row>
    <row r="114" spans="1:11" x14ac:dyDescent="0.3">
      <c r="A114" s="40"/>
      <c r="K114" s="43"/>
    </row>
    <row r="115" spans="1:11" x14ac:dyDescent="0.3">
      <c r="A115" s="40"/>
      <c r="K115" s="43"/>
    </row>
    <row r="116" spans="1:11" x14ac:dyDescent="0.3">
      <c r="A116" s="40"/>
      <c r="K116" s="43"/>
    </row>
    <row r="117" spans="1:11" x14ac:dyDescent="0.3">
      <c r="A117" s="40"/>
      <c r="K117" s="43"/>
    </row>
    <row r="118" spans="1:11" x14ac:dyDescent="0.3">
      <c r="A118" s="40"/>
      <c r="K118" s="43"/>
    </row>
    <row r="119" spans="1:11" x14ac:dyDescent="0.3">
      <c r="A119" s="40"/>
      <c r="K119" s="43"/>
    </row>
    <row r="120" spans="1:11" x14ac:dyDescent="0.3">
      <c r="A120" s="40"/>
      <c r="K120" s="43"/>
    </row>
    <row r="121" spans="1:11" x14ac:dyDescent="0.3">
      <c r="A121" s="40"/>
      <c r="K121" s="43"/>
    </row>
    <row r="122" spans="1:11" x14ac:dyDescent="0.3">
      <c r="A122" s="40"/>
      <c r="K122" s="43"/>
    </row>
    <row r="123" spans="1:11" x14ac:dyDescent="0.3">
      <c r="A123" s="40"/>
      <c r="K123" s="43"/>
    </row>
    <row r="124" spans="1:11" x14ac:dyDescent="0.3">
      <c r="A124" s="40"/>
      <c r="K124" s="43"/>
    </row>
    <row r="125" spans="1:11" x14ac:dyDescent="0.3">
      <c r="A125" s="40"/>
      <c r="K125" s="43"/>
    </row>
    <row r="126" spans="1:11" x14ac:dyDescent="0.3">
      <c r="A126" s="40"/>
    </row>
    <row r="127" spans="1:11" x14ac:dyDescent="0.3">
      <c r="A127" s="40"/>
    </row>
    <row r="128" spans="1:11" x14ac:dyDescent="0.3">
      <c r="A128" s="40"/>
    </row>
    <row r="129" spans="1:1" x14ac:dyDescent="0.3">
      <c r="A129" s="40"/>
    </row>
    <row r="130" spans="1:1" x14ac:dyDescent="0.3">
      <c r="A130" s="40"/>
    </row>
    <row r="131" spans="1:1" x14ac:dyDescent="0.3">
      <c r="A131" s="40"/>
    </row>
    <row r="132" spans="1:1" x14ac:dyDescent="0.3">
      <c r="A132" s="40"/>
    </row>
    <row r="133" spans="1:1" x14ac:dyDescent="0.3">
      <c r="A133" s="40"/>
    </row>
    <row r="134" spans="1:1" x14ac:dyDescent="0.3">
      <c r="A134" s="40"/>
    </row>
    <row r="135" spans="1:1" x14ac:dyDescent="0.3">
      <c r="A135" s="40"/>
    </row>
    <row r="136" spans="1:1" x14ac:dyDescent="0.3">
      <c r="A136" s="40"/>
    </row>
    <row r="137" spans="1:1" x14ac:dyDescent="0.3">
      <c r="A137" s="40"/>
    </row>
    <row r="138" spans="1:1" x14ac:dyDescent="0.3">
      <c r="A138" s="40"/>
    </row>
    <row r="139" spans="1:1" x14ac:dyDescent="0.3">
      <c r="A139" s="40"/>
    </row>
    <row r="140" spans="1:1" x14ac:dyDescent="0.3">
      <c r="A140" s="40"/>
    </row>
    <row r="141" spans="1:1" x14ac:dyDescent="0.3">
      <c r="A141" s="40"/>
    </row>
    <row r="142" spans="1:1" x14ac:dyDescent="0.3">
      <c r="A142" s="40"/>
    </row>
    <row r="143" spans="1:1" x14ac:dyDescent="0.3">
      <c r="A143" s="40"/>
    </row>
    <row r="144" spans="1:1" x14ac:dyDescent="0.3">
      <c r="A144" s="40"/>
    </row>
    <row r="145" spans="1:1" x14ac:dyDescent="0.3">
      <c r="A145" s="40"/>
    </row>
    <row r="146" spans="1:1" x14ac:dyDescent="0.3">
      <c r="A146" s="40"/>
    </row>
    <row r="147" spans="1:1" x14ac:dyDescent="0.3">
      <c r="A147" s="40"/>
    </row>
    <row r="148" spans="1:1" x14ac:dyDescent="0.3">
      <c r="A148" s="40"/>
    </row>
    <row r="149" spans="1:1" x14ac:dyDescent="0.3">
      <c r="A149" s="40"/>
    </row>
    <row r="150" spans="1:1" x14ac:dyDescent="0.3">
      <c r="A150" s="40"/>
    </row>
    <row r="151" spans="1:1" x14ac:dyDescent="0.3">
      <c r="A151" s="40"/>
    </row>
    <row r="152" spans="1:1" x14ac:dyDescent="0.3">
      <c r="A152" s="40"/>
    </row>
    <row r="153" spans="1:1" x14ac:dyDescent="0.3">
      <c r="A153" s="40"/>
    </row>
    <row r="154" spans="1:1" x14ac:dyDescent="0.3">
      <c r="A154" s="40"/>
    </row>
    <row r="155" spans="1:1" x14ac:dyDescent="0.3">
      <c r="A155" s="40"/>
    </row>
    <row r="156" spans="1:1" x14ac:dyDescent="0.3">
      <c r="A156" s="40"/>
    </row>
    <row r="157" spans="1:1" x14ac:dyDescent="0.3">
      <c r="A157" s="40"/>
    </row>
    <row r="158" spans="1:1" x14ac:dyDescent="0.3">
      <c r="A158" s="40"/>
    </row>
    <row r="159" spans="1:1" x14ac:dyDescent="0.3">
      <c r="A159" s="40"/>
    </row>
    <row r="160" spans="1:1" x14ac:dyDescent="0.3">
      <c r="A160" s="40"/>
    </row>
    <row r="161" spans="1:1" x14ac:dyDescent="0.3">
      <c r="A161" s="40"/>
    </row>
    <row r="162" spans="1:1" x14ac:dyDescent="0.3">
      <c r="A162" s="40"/>
    </row>
    <row r="163" spans="1:1" x14ac:dyDescent="0.3">
      <c r="A163" s="40"/>
    </row>
    <row r="164" spans="1:1" x14ac:dyDescent="0.3">
      <c r="A164" s="40"/>
    </row>
    <row r="165" spans="1:1" x14ac:dyDescent="0.3">
      <c r="A165" s="40"/>
    </row>
    <row r="166" spans="1:1" x14ac:dyDescent="0.3">
      <c r="A166" s="40"/>
    </row>
    <row r="167" spans="1:1" x14ac:dyDescent="0.3">
      <c r="A167" s="40"/>
    </row>
    <row r="168" spans="1:1" x14ac:dyDescent="0.3">
      <c r="A168" s="40"/>
    </row>
    <row r="169" spans="1:1" x14ac:dyDescent="0.3">
      <c r="A169" s="40"/>
    </row>
    <row r="170" spans="1:1" x14ac:dyDescent="0.3">
      <c r="A170" s="40"/>
    </row>
    <row r="171" spans="1:1" x14ac:dyDescent="0.3">
      <c r="A171" s="40"/>
    </row>
    <row r="172" spans="1:1" x14ac:dyDescent="0.3">
      <c r="A172" s="40"/>
    </row>
    <row r="173" spans="1:1" x14ac:dyDescent="0.3">
      <c r="A173" s="40"/>
    </row>
    <row r="174" spans="1:1" x14ac:dyDescent="0.3"/>
    <row r="175" spans="1:1" x14ac:dyDescent="0.3"/>
    <row r="176" spans="1:1" x14ac:dyDescent="0.3"/>
    <row r="177" x14ac:dyDescent="0.3"/>
    <row r="178" x14ac:dyDescent="0.3"/>
    <row r="179" x14ac:dyDescent="0.3"/>
    <row r="180" x14ac:dyDescent="0.3"/>
    <row r="181" x14ac:dyDescent="0.3"/>
    <row r="182" x14ac:dyDescent="0.3"/>
    <row r="183" x14ac:dyDescent="0.3"/>
  </sheetData>
  <mergeCells count="9">
    <mergeCell ref="A66:A74"/>
    <mergeCell ref="A76:A82"/>
    <mergeCell ref="A85:A93"/>
    <mergeCell ref="A5:A13"/>
    <mergeCell ref="A15:A24"/>
    <mergeCell ref="A26:A34"/>
    <mergeCell ref="A36:A44"/>
    <mergeCell ref="A46:A54"/>
    <mergeCell ref="A56:A64"/>
  </mergeCells>
  <printOptions headings="1"/>
  <pageMargins left="0.2" right="0.2" top="0.5" bottom="0.5" header="0.3" footer="0.3"/>
  <pageSetup scale="47" orientation="landscape" cellComments="asDisplayed" r:id="rId1"/>
  <headerFooter>
    <oddHeader>&amp;C&amp;A</oddHeader>
    <oddFooter>&amp;R&amp;12Schedule CPA-D3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K22"/>
  <sheetViews>
    <sheetView workbookViewId="0">
      <selection sqref="A1:L19"/>
    </sheetView>
  </sheetViews>
  <sheetFormatPr defaultColWidth="9.109375" defaultRowHeight="14.4" x14ac:dyDescent="0.3"/>
  <cols>
    <col min="1" max="1" width="9.109375" style="58"/>
    <col min="2" max="2" width="31.33203125" style="58" bestFit="1" customWidth="1"/>
    <col min="3" max="7" width="12.33203125" style="58" bestFit="1" customWidth="1"/>
    <col min="8" max="9" width="12.5546875" style="58" bestFit="1" customWidth="1"/>
    <col min="10" max="16384" width="9.109375" style="58"/>
  </cols>
  <sheetData>
    <row r="1" spans="1:11" x14ac:dyDescent="0.3">
      <c r="A1" s="35" t="s">
        <v>109</v>
      </c>
    </row>
    <row r="2" spans="1:11" x14ac:dyDescent="0.3">
      <c r="A2" s="35"/>
    </row>
    <row r="3" spans="1:11" x14ac:dyDescent="0.3">
      <c r="C3" s="218">
        <v>44287</v>
      </c>
      <c r="D3" s="218">
        <v>44317</v>
      </c>
      <c r="E3" s="219">
        <v>44348</v>
      </c>
      <c r="F3" s="218">
        <v>44378</v>
      </c>
      <c r="G3" s="219">
        <v>44409</v>
      </c>
      <c r="H3" s="218">
        <v>44440</v>
      </c>
      <c r="I3" s="219">
        <v>44470</v>
      </c>
      <c r="J3" s="218"/>
      <c r="K3" s="219"/>
    </row>
    <row r="4" spans="1:11" x14ac:dyDescent="0.3">
      <c r="B4" s="220" t="s">
        <v>97</v>
      </c>
      <c r="C4" s="221">
        <v>0</v>
      </c>
      <c r="D4" s="221">
        <v>21888.48</v>
      </c>
      <c r="E4" s="128">
        <v>52914.49</v>
      </c>
      <c r="F4" s="128">
        <v>54673.489087036651</v>
      </c>
      <c r="G4" s="128">
        <v>68952.514240276621</v>
      </c>
      <c r="H4" s="128">
        <v>118293.25199272293</v>
      </c>
      <c r="I4" s="128">
        <v>184805.58830074637</v>
      </c>
    </row>
    <row r="5" spans="1:11" x14ac:dyDescent="0.3">
      <c r="B5" s="220" t="s">
        <v>98</v>
      </c>
      <c r="C5" s="222">
        <v>21888.48</v>
      </c>
      <c r="D5" s="222">
        <v>31026.01</v>
      </c>
      <c r="E5" s="223">
        <v>1912.94</v>
      </c>
      <c r="F5" s="224">
        <v>14641.79</v>
      </c>
      <c r="G5" s="223">
        <v>49815.659999999996</v>
      </c>
      <c r="H5" s="223">
        <v>67154.759999999995</v>
      </c>
      <c r="I5" s="223">
        <v>81496.11</v>
      </c>
    </row>
    <row r="6" spans="1:11" x14ac:dyDescent="0.3">
      <c r="B6" s="220" t="s">
        <v>99</v>
      </c>
      <c r="C6" s="225">
        <v>0</v>
      </c>
      <c r="D6" s="225">
        <v>0</v>
      </c>
      <c r="E6" s="226">
        <v>153.94091296334616</v>
      </c>
      <c r="F6" s="226">
        <v>362.76484676002565</v>
      </c>
      <c r="G6" s="226">
        <v>474.92224755367641</v>
      </c>
      <c r="H6" s="226">
        <v>642.42369197655432</v>
      </c>
      <c r="I6" s="226">
        <v>950.150055050226</v>
      </c>
    </row>
    <row r="7" spans="1:11" x14ac:dyDescent="0.3">
      <c r="B7" s="220" t="s">
        <v>100</v>
      </c>
      <c r="C7" s="221">
        <v>21888.48</v>
      </c>
      <c r="D7" s="221">
        <v>52914.49</v>
      </c>
      <c r="E7" s="223">
        <v>54673.489087036651</v>
      </c>
      <c r="F7" s="223">
        <v>68952.514240276621</v>
      </c>
      <c r="G7" s="223">
        <v>118293.25199272294</v>
      </c>
      <c r="H7" s="223">
        <v>184805.58830074637</v>
      </c>
      <c r="I7" s="223">
        <v>265351.54824569618</v>
      </c>
    </row>
    <row r="8" spans="1:11" x14ac:dyDescent="0.3">
      <c r="B8" s="220" t="s">
        <v>101</v>
      </c>
      <c r="C8" s="227">
        <v>-5191.2544667231996</v>
      </c>
      <c r="D8" s="227">
        <v>-12549.641755246599</v>
      </c>
      <c r="E8" s="228">
        <v>-12966.820648780598</v>
      </c>
      <c r="F8" s="226">
        <v>-16353.353341192767</v>
      </c>
      <c r="G8" s="226">
        <v>-28055.414208315793</v>
      </c>
      <c r="H8" s="226">
        <v>-43830.034600011437</v>
      </c>
      <c r="I8" s="228">
        <v>-62932.986213861674</v>
      </c>
    </row>
    <row r="9" spans="1:11" x14ac:dyDescent="0.3">
      <c r="B9" s="220" t="s">
        <v>102</v>
      </c>
      <c r="C9" s="221">
        <v>16697.2255332768</v>
      </c>
      <c r="D9" s="221">
        <v>40364.848244753397</v>
      </c>
      <c r="E9" s="132">
        <v>41706.668438256049</v>
      </c>
      <c r="F9" s="132">
        <v>52599.160899083858</v>
      </c>
      <c r="G9" s="132">
        <v>90237.837784407151</v>
      </c>
      <c r="H9" s="132">
        <v>140975.55370073492</v>
      </c>
      <c r="I9" s="132">
        <v>202418.5620318345</v>
      </c>
    </row>
    <row r="10" spans="1:11" x14ac:dyDescent="0.3">
      <c r="B10" s="220" t="s">
        <v>103</v>
      </c>
      <c r="C10" s="229">
        <v>9.0399999999999994E-2</v>
      </c>
      <c r="D10" s="229">
        <v>9.0399999999999994E-2</v>
      </c>
      <c r="E10" s="230">
        <v>9.0399999999999994E-2</v>
      </c>
      <c r="F10" s="231">
        <v>9.0399999999999994E-2</v>
      </c>
      <c r="G10" s="231">
        <v>9.0399999999999994E-2</v>
      </c>
      <c r="H10" s="231">
        <v>9.0399999999999994E-2</v>
      </c>
      <c r="I10" s="230">
        <v>9.0399999999999994E-2</v>
      </c>
    </row>
    <row r="11" spans="1:11" x14ac:dyDescent="0.3">
      <c r="B11" s="220" t="s">
        <v>104</v>
      </c>
      <c r="C11" s="232">
        <v>0.04</v>
      </c>
      <c r="D11" s="232">
        <v>0.04</v>
      </c>
      <c r="E11" s="233">
        <v>0.04</v>
      </c>
      <c r="F11" s="232">
        <v>0.04</v>
      </c>
      <c r="G11" s="232">
        <v>0.04</v>
      </c>
      <c r="H11" s="232">
        <v>0.04</v>
      </c>
      <c r="I11" s="233">
        <v>0.04</v>
      </c>
    </row>
    <row r="12" spans="1:11" x14ac:dyDescent="0.3">
      <c r="B12" s="220" t="s">
        <v>105</v>
      </c>
      <c r="C12" s="234">
        <v>5.0399999999999993E-2</v>
      </c>
      <c r="D12" s="234">
        <v>5.0399999999999993E-2</v>
      </c>
      <c r="E12" s="233">
        <v>5.0399999999999993E-2</v>
      </c>
      <c r="F12" s="233">
        <v>5.0399999999999993E-2</v>
      </c>
      <c r="G12" s="233">
        <v>5.0399999999999993E-2</v>
      </c>
      <c r="H12" s="233">
        <v>5.0399999999999993E-2</v>
      </c>
      <c r="I12" s="233">
        <v>5.0399999999999993E-2</v>
      </c>
    </row>
    <row r="13" spans="1:11" x14ac:dyDescent="0.3">
      <c r="B13" s="220" t="s">
        <v>106</v>
      </c>
      <c r="C13" s="221">
        <v>70.128347239762562</v>
      </c>
      <c r="D13" s="221">
        <v>169.53236262796426</v>
      </c>
      <c r="E13" s="128">
        <v>175.16800744067538</v>
      </c>
      <c r="F13" s="128">
        <v>220.9164757761522</v>
      </c>
      <c r="G13" s="128">
        <v>378.99891869451</v>
      </c>
      <c r="H13" s="128">
        <v>592.09732554308664</v>
      </c>
      <c r="I13" s="128">
        <v>850.15796053370491</v>
      </c>
    </row>
    <row r="14" spans="1:11" x14ac:dyDescent="0.3">
      <c r="B14" s="175"/>
      <c r="C14" s="224"/>
    </row>
    <row r="17" spans="2:3" x14ac:dyDescent="0.3">
      <c r="B17" s="175"/>
      <c r="C17" s="49"/>
    </row>
    <row r="18" spans="2:3" x14ac:dyDescent="0.3">
      <c r="C18" s="49"/>
    </row>
    <row r="20" spans="2:3" x14ac:dyDescent="0.3">
      <c r="C20" s="175"/>
    </row>
    <row r="21" spans="2:3" x14ac:dyDescent="0.3">
      <c r="C21" s="224"/>
    </row>
    <row r="22" spans="2:3" x14ac:dyDescent="0.3">
      <c r="B22" s="175"/>
      <c r="C22" s="224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BF267"/>
  <sheetViews>
    <sheetView topLeftCell="A76" zoomScale="85" zoomScaleNormal="85" zoomScaleSheetLayoutView="80" workbookViewId="0">
      <selection activeCell="I96" sqref="I96"/>
    </sheetView>
  </sheetViews>
  <sheetFormatPr defaultColWidth="9.109375" defaultRowHeight="15" customHeight="1" zeroHeight="1" outlineLevelRow="1" x14ac:dyDescent="0.3"/>
  <cols>
    <col min="1" max="1" width="3.109375" style="1" customWidth="1"/>
    <col min="2" max="2" width="50" style="40" customWidth="1"/>
    <col min="3" max="10" width="15.33203125" style="40" bestFit="1" customWidth="1"/>
    <col min="11" max="11" width="14" style="40" bestFit="1" customWidth="1"/>
    <col min="12" max="12" width="18.5546875" style="40" bestFit="1" customWidth="1"/>
    <col min="13" max="14" width="9.109375" style="179"/>
    <col min="15" max="15" width="9.109375" style="40"/>
    <col min="16" max="16" width="52.5546875" style="40" bestFit="1" customWidth="1"/>
    <col min="17" max="17" width="14.109375" style="40" bestFit="1" customWidth="1"/>
    <col min="18" max="19" width="12.6640625" style="40" bestFit="1" customWidth="1"/>
    <col min="20" max="20" width="14.109375" style="40" bestFit="1" customWidth="1"/>
    <col min="21" max="25" width="13.5546875" style="40" bestFit="1" customWidth="1"/>
    <col min="26" max="26" width="11.44140625" style="40" bestFit="1" customWidth="1"/>
    <col min="27" max="27" width="9.109375" style="40"/>
    <col min="28" max="28" width="9.109375" style="215"/>
    <col min="29" max="29" width="9.109375" style="40"/>
    <col min="30" max="30" width="48.109375" style="40" bestFit="1" customWidth="1"/>
    <col min="31" max="31" width="13.6640625" style="40" customWidth="1"/>
    <col min="32" max="34" width="12.6640625" style="40" bestFit="1" customWidth="1"/>
    <col min="35" max="40" width="13.5546875" style="40" bestFit="1" customWidth="1"/>
    <col min="41" max="42" width="13.88671875" style="40" bestFit="1" customWidth="1"/>
    <col min="43" max="48" width="13.5546875" style="40" bestFit="1" customWidth="1"/>
    <col min="49" max="49" width="14.5546875" style="40" bestFit="1" customWidth="1"/>
    <col min="50" max="52" width="13.5546875" style="40" bestFit="1" customWidth="1"/>
    <col min="53" max="54" width="13.88671875" style="40" bestFit="1" customWidth="1"/>
    <col min="55" max="55" width="16.33203125" style="40" bestFit="1" customWidth="1"/>
    <col min="56" max="56" width="12.6640625" style="40" bestFit="1" customWidth="1"/>
    <col min="57" max="57" width="14.6640625" style="40" bestFit="1" customWidth="1"/>
    <col min="58" max="16384" width="9.109375" style="40"/>
  </cols>
  <sheetData>
    <row r="1" spans="1:58" s="2" customFormat="1" ht="15.6" x14ac:dyDescent="0.3">
      <c r="A1" s="50" t="s">
        <v>76</v>
      </c>
      <c r="M1" s="179"/>
      <c r="N1" s="179"/>
      <c r="Z1" s="130"/>
      <c r="AA1" s="130"/>
      <c r="AB1" s="180"/>
      <c r="AC1" s="50" t="s">
        <v>76</v>
      </c>
      <c r="AE1" s="84" t="s">
        <v>91</v>
      </c>
      <c r="AF1" s="84"/>
      <c r="AP1" s="181"/>
      <c r="AR1" s="181"/>
      <c r="AV1" s="181"/>
      <c r="BB1" s="182">
        <f>BB2-BB3</f>
        <v>-21490.439999997616</v>
      </c>
      <c r="BC1" s="183" t="s">
        <v>92</v>
      </c>
    </row>
    <row r="2" spans="1:58" ht="15.6" x14ac:dyDescent="0.3">
      <c r="A2" s="50" t="s">
        <v>60</v>
      </c>
      <c r="B2" s="36"/>
      <c r="Z2" s="130"/>
      <c r="AA2" s="130"/>
      <c r="AB2" s="180"/>
      <c r="AC2" s="50" t="s">
        <v>7</v>
      </c>
      <c r="AD2" s="36"/>
      <c r="AE2" s="84" t="s">
        <v>93</v>
      </c>
      <c r="AF2" s="84"/>
      <c r="AG2" s="53"/>
      <c r="AH2" s="53"/>
      <c r="AI2" s="53"/>
      <c r="AJ2" s="53"/>
      <c r="AK2" s="53"/>
      <c r="AO2" s="43"/>
      <c r="AP2" s="43"/>
      <c r="AR2" s="43"/>
      <c r="AS2" s="43"/>
      <c r="AU2" s="43"/>
      <c r="AV2" s="43"/>
      <c r="AW2" s="43"/>
      <c r="AX2" s="43"/>
      <c r="BA2" s="43"/>
      <c r="BB2" s="43">
        <f>SUM(AF6:AX6)</f>
        <v>89531221.039999992</v>
      </c>
      <c r="BC2" s="40" t="s">
        <v>94</v>
      </c>
    </row>
    <row r="3" spans="1:58" ht="14.4" x14ac:dyDescent="0.3">
      <c r="P3" s="94" t="s">
        <v>107</v>
      </c>
      <c r="Z3" s="130"/>
      <c r="AA3" s="130"/>
      <c r="AB3" s="180"/>
      <c r="AC3" s="94"/>
      <c r="AP3" s="43"/>
      <c r="BB3" s="43">
        <f>SUM('MEEIA 3 calcs'!F6:X6)</f>
        <v>89552711.479999989</v>
      </c>
      <c r="BC3" s="40" t="s">
        <v>95</v>
      </c>
    </row>
    <row r="4" spans="1:58" ht="15.6" x14ac:dyDescent="0.3">
      <c r="A4" s="84" t="s">
        <v>108</v>
      </c>
      <c r="O4" s="50"/>
      <c r="P4" s="94"/>
      <c r="Q4" s="53"/>
      <c r="R4" s="53"/>
      <c r="S4" s="53"/>
      <c r="T4" s="53"/>
      <c r="U4" s="53"/>
      <c r="V4" s="53"/>
      <c r="Z4" s="130"/>
      <c r="AA4" s="130"/>
      <c r="AB4" s="180"/>
      <c r="AC4" s="6"/>
      <c r="AE4" s="12">
        <v>43497</v>
      </c>
      <c r="AF4" s="12">
        <v>43525</v>
      </c>
      <c r="AG4" s="12">
        <v>43556</v>
      </c>
      <c r="AH4" s="12">
        <v>43586</v>
      </c>
      <c r="AI4" s="12">
        <v>43617</v>
      </c>
      <c r="AJ4" s="12">
        <v>43647</v>
      </c>
      <c r="AK4" s="12">
        <v>43678</v>
      </c>
      <c r="AL4" s="12">
        <v>43709</v>
      </c>
      <c r="AM4" s="12">
        <v>43739</v>
      </c>
      <c r="AN4" s="12">
        <v>43770</v>
      </c>
      <c r="AO4" s="12">
        <v>43800</v>
      </c>
      <c r="AP4" s="12">
        <v>43831</v>
      </c>
      <c r="AQ4" s="12">
        <v>43862</v>
      </c>
      <c r="AR4" s="12">
        <v>43891</v>
      </c>
      <c r="AS4" s="12">
        <v>43922</v>
      </c>
      <c r="AT4" s="12">
        <v>43952</v>
      </c>
      <c r="AU4" s="12">
        <v>43983</v>
      </c>
      <c r="AV4" s="12">
        <v>44013</v>
      </c>
      <c r="AW4" s="12">
        <v>44044</v>
      </c>
      <c r="AX4" s="12">
        <v>44075</v>
      </c>
      <c r="AY4" s="12">
        <v>44105</v>
      </c>
      <c r="AZ4" s="12">
        <v>44136</v>
      </c>
      <c r="BA4" s="12">
        <v>44166</v>
      </c>
      <c r="BB4" s="12">
        <v>44197</v>
      </c>
      <c r="BC4" s="12">
        <v>44228</v>
      </c>
      <c r="BD4" s="12">
        <v>44256</v>
      </c>
    </row>
    <row r="5" spans="1:58" ht="15" customHeight="1" x14ac:dyDescent="0.3">
      <c r="A5" s="6"/>
      <c r="C5" s="12">
        <v>43525</v>
      </c>
      <c r="D5" s="12">
        <v>43556</v>
      </c>
      <c r="E5" s="12">
        <v>43586</v>
      </c>
      <c r="F5" s="12">
        <v>43617</v>
      </c>
      <c r="G5" s="12">
        <v>43677</v>
      </c>
      <c r="H5" s="12">
        <v>43708</v>
      </c>
      <c r="I5" s="12">
        <v>43738</v>
      </c>
      <c r="J5" s="12">
        <v>43769</v>
      </c>
      <c r="O5" s="94"/>
      <c r="Z5" s="130"/>
      <c r="AA5" s="130"/>
      <c r="AB5" s="180"/>
      <c r="AC5" s="258" t="s">
        <v>0</v>
      </c>
      <c r="AD5" s="7"/>
      <c r="AE5" s="189"/>
      <c r="AF5" s="31"/>
      <c r="AG5" s="31"/>
      <c r="AH5" s="31"/>
      <c r="AI5" s="31"/>
      <c r="AJ5" s="31"/>
      <c r="AK5" s="31"/>
      <c r="AL5" s="31"/>
      <c r="AM5" s="31"/>
      <c r="AN5" s="31"/>
      <c r="AO5" s="9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</row>
    <row r="6" spans="1:58" s="5" customFormat="1" ht="15" customHeight="1" outlineLevel="1" x14ac:dyDescent="0.3">
      <c r="A6" s="255" t="s">
        <v>20</v>
      </c>
      <c r="B6" s="17"/>
      <c r="C6" s="9"/>
      <c r="D6" s="9"/>
      <c r="E6" s="9"/>
      <c r="F6" s="9"/>
      <c r="G6" s="9"/>
      <c r="H6" s="9"/>
      <c r="I6" s="9"/>
      <c r="J6" s="9"/>
      <c r="M6" s="184"/>
      <c r="N6" s="184"/>
      <c r="O6" s="6"/>
      <c r="P6" s="40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185"/>
      <c r="AC6" s="258"/>
      <c r="AD6" s="7" t="s">
        <v>9</v>
      </c>
      <c r="AE6" s="23">
        <v>306057.09999999998</v>
      </c>
      <c r="AF6" s="149">
        <v>3252815.75</v>
      </c>
      <c r="AG6" s="149">
        <v>1422986.87</v>
      </c>
      <c r="AH6" s="149">
        <v>2645551.35</v>
      </c>
      <c r="AI6" s="149">
        <v>3088690.25</v>
      </c>
      <c r="AJ6" s="149">
        <v>3806682.5</v>
      </c>
      <c r="AK6" s="23">
        <v>5667444.0099999998</v>
      </c>
      <c r="AL6" s="186">
        <v>4672438.71</v>
      </c>
      <c r="AM6" s="24">
        <v>4693766.1500000032</v>
      </c>
      <c r="AN6" s="149">
        <v>7981786.4500000002</v>
      </c>
      <c r="AO6" s="186">
        <v>14291134.550000001</v>
      </c>
      <c r="AP6" s="186">
        <v>2300283.0099999998</v>
      </c>
      <c r="AQ6" s="149">
        <v>3259237</v>
      </c>
      <c r="AR6" s="23">
        <v>4668387.1399999997</v>
      </c>
      <c r="AS6" s="149">
        <v>3350399.73</v>
      </c>
      <c r="AT6" s="149">
        <v>3508689.71</v>
      </c>
      <c r="AU6" s="23">
        <v>4570550.08</v>
      </c>
      <c r="AV6" s="149">
        <v>4337315.05</v>
      </c>
      <c r="AW6" s="149">
        <v>5131582.76</v>
      </c>
      <c r="AX6" s="149">
        <v>6881479.9699999997</v>
      </c>
      <c r="AY6" s="23">
        <v>5075926.8299999991</v>
      </c>
      <c r="AZ6" s="23">
        <v>8226323.5899999999</v>
      </c>
      <c r="BA6" s="23">
        <v>17050986.669999998</v>
      </c>
      <c r="BB6" s="23">
        <v>3390691.4000000004</v>
      </c>
      <c r="BC6" s="23">
        <v>3040542.4899999993</v>
      </c>
      <c r="BD6" s="23">
        <v>6776151.4500000002</v>
      </c>
    </row>
    <row r="7" spans="1:58" s="3" customFormat="1" ht="15" customHeight="1" outlineLevel="1" x14ac:dyDescent="0.3">
      <c r="A7" s="255"/>
      <c r="B7" s="17" t="s">
        <v>28</v>
      </c>
      <c r="C7" s="22">
        <v>0</v>
      </c>
      <c r="D7" s="22">
        <v>3542.7066619947968</v>
      </c>
      <c r="E7" s="22">
        <v>26593.748856903429</v>
      </c>
      <c r="F7" s="22">
        <v>243363.92907678595</v>
      </c>
      <c r="G7" s="22">
        <v>441129.8099540461</v>
      </c>
      <c r="H7" s="22">
        <v>538094.32023088727</v>
      </c>
      <c r="I7" s="22">
        <v>374963.26089269412</v>
      </c>
      <c r="J7" s="22">
        <v>137835.66546242539</v>
      </c>
      <c r="M7" s="187"/>
      <c r="N7" s="187"/>
      <c r="O7" s="188" t="s">
        <v>0</v>
      </c>
      <c r="P7" s="189"/>
      <c r="Q7" s="31"/>
      <c r="R7" s="31"/>
      <c r="S7" s="31"/>
      <c r="T7" s="31"/>
      <c r="U7" s="31"/>
      <c r="V7" s="31"/>
      <c r="W7" s="31"/>
      <c r="X7" s="31"/>
      <c r="Y7" s="31"/>
      <c r="Z7" s="146"/>
      <c r="AA7" s="31"/>
      <c r="AB7" s="185"/>
      <c r="AC7" s="258"/>
      <c r="AD7" s="7" t="s">
        <v>10</v>
      </c>
      <c r="AE7" s="24">
        <v>0</v>
      </c>
      <c r="AF7" s="24">
        <v>0</v>
      </c>
      <c r="AG7" s="24">
        <v>0</v>
      </c>
      <c r="AH7" s="24">
        <v>453008.63</v>
      </c>
      <c r="AI7" s="24">
        <v>6131398.7699999996</v>
      </c>
      <c r="AJ7" s="24">
        <v>7440020.2300000004</v>
      </c>
      <c r="AK7" s="24">
        <v>7787637.1200000001</v>
      </c>
      <c r="AL7" s="23">
        <v>7415530.5499999998</v>
      </c>
      <c r="AM7" s="24">
        <v>6393806.0300000003</v>
      </c>
      <c r="AN7" s="24">
        <v>5729648.6699999999</v>
      </c>
      <c r="AO7" s="23">
        <v>7016994.2000000002</v>
      </c>
      <c r="AP7" s="24">
        <v>7580344.1500000004</v>
      </c>
      <c r="AQ7" s="24">
        <v>6780583.4199999999</v>
      </c>
      <c r="AR7" s="24">
        <v>5258818.8899999997</v>
      </c>
      <c r="AS7" s="24">
        <v>4379338.6900000004</v>
      </c>
      <c r="AT7" s="24">
        <v>4010923.17</v>
      </c>
      <c r="AU7" s="24">
        <v>4897738.25</v>
      </c>
      <c r="AV7" s="24">
        <v>6248757.4000000004</v>
      </c>
      <c r="AW7" s="24">
        <v>6053644.0300000003</v>
      </c>
      <c r="AX7" s="24">
        <v>5708518.8099999996</v>
      </c>
      <c r="AY7" s="24">
        <v>4362797.6900000004</v>
      </c>
      <c r="AZ7" s="24">
        <v>4453895.6900000004</v>
      </c>
      <c r="BA7" s="24">
        <v>5320333.05</v>
      </c>
      <c r="BB7" s="24">
        <v>6316759.2699999996</v>
      </c>
      <c r="BC7" s="24">
        <v>7583892.4100000001</v>
      </c>
      <c r="BD7" s="24">
        <v>7418563.8899999997</v>
      </c>
    </row>
    <row r="8" spans="1:58" s="5" customFormat="1" ht="15" customHeight="1" outlineLevel="1" x14ac:dyDescent="0.3">
      <c r="A8" s="255"/>
      <c r="B8" s="18" t="s">
        <v>26</v>
      </c>
      <c r="C8" s="22">
        <v>0</v>
      </c>
      <c r="D8" s="22">
        <v>0</v>
      </c>
      <c r="E8" s="22">
        <v>28636.335868779192</v>
      </c>
      <c r="F8" s="22">
        <v>344669.92129031231</v>
      </c>
      <c r="G8" s="22">
        <v>437739.69493695599</v>
      </c>
      <c r="H8" s="22">
        <v>461093.89388914994</v>
      </c>
      <c r="I8" s="22">
        <v>425531.99443758972</v>
      </c>
      <c r="J8" s="22">
        <v>350101.97926152864</v>
      </c>
      <c r="M8" s="184"/>
      <c r="N8" s="184"/>
      <c r="O8" s="188"/>
      <c r="P8" s="189"/>
      <c r="Q8" s="150"/>
      <c r="R8" s="150"/>
      <c r="S8" s="150"/>
      <c r="T8" s="150"/>
      <c r="U8" s="150"/>
      <c r="V8" s="150"/>
      <c r="W8" s="146"/>
      <c r="X8" s="146"/>
      <c r="Y8" s="150"/>
      <c r="Z8" s="146"/>
      <c r="AA8" s="146"/>
      <c r="AB8" s="190"/>
      <c r="AC8" s="258"/>
      <c r="AD8" s="7" t="s">
        <v>11</v>
      </c>
      <c r="AE8" s="9">
        <v>306057.09999999998</v>
      </c>
      <c r="AF8" s="9">
        <f t="shared" ref="AF8:BD8" si="0">IF(OR(AF6="",AF7=""),"",AF6-AF7)</f>
        <v>3252815.75</v>
      </c>
      <c r="AG8" s="9">
        <f t="shared" si="0"/>
        <v>1422986.87</v>
      </c>
      <c r="AH8" s="9">
        <f>IF(OR(AH6="",AH7=""),"",AH6-AH7)</f>
        <v>2192542.7200000002</v>
      </c>
      <c r="AI8" s="10">
        <f t="shared" si="0"/>
        <v>-3042708.5199999996</v>
      </c>
      <c r="AJ8" s="10">
        <f t="shared" si="0"/>
        <v>-3633337.7300000004</v>
      </c>
      <c r="AK8" s="10">
        <f t="shared" si="0"/>
        <v>-2120193.1100000003</v>
      </c>
      <c r="AL8" s="10">
        <f t="shared" si="0"/>
        <v>-2743091.84</v>
      </c>
      <c r="AM8" s="10">
        <f t="shared" si="0"/>
        <v>-1700039.8799999971</v>
      </c>
      <c r="AN8" s="10">
        <f t="shared" si="0"/>
        <v>2252137.7800000003</v>
      </c>
      <c r="AO8" s="10">
        <f>IF(OR(AO6="",AO7=""),"",AO6-AO7)</f>
        <v>7274140.3500000006</v>
      </c>
      <c r="AP8" s="10">
        <f t="shared" si="0"/>
        <v>-5280061.1400000006</v>
      </c>
      <c r="AQ8" s="10">
        <f t="shared" si="0"/>
        <v>-3521346.42</v>
      </c>
      <c r="AR8" s="10">
        <f t="shared" si="0"/>
        <v>-590431.75</v>
      </c>
      <c r="AS8" s="10">
        <f t="shared" si="0"/>
        <v>-1028938.9600000004</v>
      </c>
      <c r="AT8" s="10">
        <f>IF(OR(AT6="",AT7=""),"",AT6-AT7)</f>
        <v>-502233.45999999996</v>
      </c>
      <c r="AU8" s="10">
        <f t="shared" si="0"/>
        <v>-327188.16999999993</v>
      </c>
      <c r="AV8" s="10">
        <f t="shared" si="0"/>
        <v>-1911442.3500000006</v>
      </c>
      <c r="AW8" s="10">
        <f>IF(OR(AW6="",AW7=""),"",AW6-AW7)</f>
        <v>-922061.27000000048</v>
      </c>
      <c r="AX8" s="10">
        <f>IF(OR(AX6="",AX7=""),"",AX6-AX7)</f>
        <v>1172961.1600000001</v>
      </c>
      <c r="AY8" s="10">
        <f t="shared" si="0"/>
        <v>713129.13999999873</v>
      </c>
      <c r="AZ8" s="10">
        <f t="shared" si="0"/>
        <v>3772427.8999999994</v>
      </c>
      <c r="BA8" s="10">
        <f t="shared" si="0"/>
        <v>11730653.619999997</v>
      </c>
      <c r="BB8" s="10">
        <f t="shared" si="0"/>
        <v>-2926067.8699999992</v>
      </c>
      <c r="BC8" s="10">
        <f t="shared" si="0"/>
        <v>-4543349.9200000009</v>
      </c>
      <c r="BD8" s="10">
        <f t="shared" si="0"/>
        <v>-642412.43999999948</v>
      </c>
    </row>
    <row r="9" spans="1:58" s="5" customFormat="1" ht="15" customHeight="1" outlineLevel="1" x14ac:dyDescent="0.3">
      <c r="A9" s="255"/>
      <c r="B9" s="18" t="s">
        <v>47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M9" s="184"/>
      <c r="N9" s="184"/>
      <c r="O9" s="188"/>
      <c r="P9" s="189"/>
      <c r="Q9" s="146"/>
      <c r="R9" s="146"/>
      <c r="S9" s="146"/>
      <c r="T9" s="146"/>
      <c r="U9" s="146"/>
      <c r="V9" s="146"/>
      <c r="W9" s="150"/>
      <c r="X9" s="146"/>
      <c r="Y9" s="146"/>
      <c r="Z9" s="150"/>
      <c r="AA9" s="146"/>
      <c r="AB9" s="191"/>
      <c r="AC9" s="258"/>
      <c r="AD9" s="7" t="s">
        <v>4</v>
      </c>
      <c r="AE9" s="25">
        <v>0</v>
      </c>
      <c r="AF9" s="25">
        <v>2.7878150000000001E-2</v>
      </c>
      <c r="AG9" s="25">
        <v>2.6622739999999999E-2</v>
      </c>
      <c r="AH9" s="25">
        <v>2.677361E-2</v>
      </c>
      <c r="AI9" s="25">
        <v>2.6500570000000001E-2</v>
      </c>
      <c r="AJ9" s="25">
        <v>2.594869E-2</v>
      </c>
      <c r="AK9" s="25">
        <v>2.3511899999999999E-2</v>
      </c>
      <c r="AL9" s="25">
        <v>2.21687E-2</v>
      </c>
      <c r="AM9" s="25">
        <v>2.113932E-2</v>
      </c>
      <c r="AN9" s="25">
        <v>1.8159890000000001E-2</v>
      </c>
      <c r="AO9" s="25">
        <v>1.9151990000000001E-2</v>
      </c>
      <c r="AP9" s="25">
        <v>1.8890779999999999E-2</v>
      </c>
      <c r="AQ9" s="25">
        <v>1.8035829999999999E-2</v>
      </c>
      <c r="AR9" s="25">
        <v>1.888592E-2</v>
      </c>
      <c r="AS9" s="25">
        <v>9.3845999999999999E-3</v>
      </c>
      <c r="AT9" s="25">
        <v>1.2906700000000001E-3</v>
      </c>
      <c r="AU9" s="25">
        <v>1.2563100000000001E-3</v>
      </c>
      <c r="AV9" s="25">
        <v>1.9366299999999999E-3</v>
      </c>
      <c r="AW9" s="25">
        <v>1.3658500000000001E-3</v>
      </c>
      <c r="AX9" s="25">
        <v>1.23916E-3</v>
      </c>
      <c r="AY9" s="25">
        <v>2E-3</v>
      </c>
      <c r="AZ9" s="25">
        <v>2.5244400000000002E-3</v>
      </c>
      <c r="BA9" s="25">
        <v>2.8469900000000002E-3</v>
      </c>
      <c r="BB9" s="25">
        <v>2.0613900000000002E-3</v>
      </c>
      <c r="BC9" s="25">
        <v>2.3221700000000001E-3</v>
      </c>
      <c r="BD9" s="25">
        <v>2.1367399999999998E-3</v>
      </c>
    </row>
    <row r="10" spans="1:58" s="5" customFormat="1" ht="15" customHeight="1" outlineLevel="1" x14ac:dyDescent="0.3">
      <c r="A10" s="255"/>
      <c r="B10" s="18" t="s">
        <v>48</v>
      </c>
      <c r="C10" s="9">
        <v>0</v>
      </c>
      <c r="D10" s="9">
        <v>0</v>
      </c>
      <c r="E10" s="9">
        <v>28636.335868779192</v>
      </c>
      <c r="F10" s="9">
        <v>344669.92129031231</v>
      </c>
      <c r="G10" s="9">
        <v>437739.69493695599</v>
      </c>
      <c r="H10" s="9">
        <v>461093.89388914994</v>
      </c>
      <c r="I10" s="9">
        <v>425531.99443758972</v>
      </c>
      <c r="J10" s="9">
        <v>350101.97926152864</v>
      </c>
      <c r="M10" s="184"/>
      <c r="N10" s="184"/>
      <c r="O10" s="188"/>
      <c r="P10" s="189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91"/>
      <c r="AC10" s="258"/>
      <c r="AD10" s="7" t="s">
        <v>5</v>
      </c>
      <c r="AE10" s="10">
        <v>0</v>
      </c>
      <c r="AF10" s="10">
        <f t="shared" ref="AF10:AZ10" si="1">IF(OR(AF9="",AF8="",AE13=""),"",ROUND(((AE13+AF8)*AF9)/12,2))</f>
        <v>9649.86</v>
      </c>
      <c r="AG10" s="10">
        <f t="shared" si="1"/>
        <v>12393.7</v>
      </c>
      <c r="AH10" s="10">
        <f t="shared" si="1"/>
        <v>17383.439999999999</v>
      </c>
      <c r="AI10" s="10">
        <f t="shared" si="1"/>
        <v>10525.09</v>
      </c>
      <c r="AJ10" s="10">
        <f t="shared" si="1"/>
        <v>2471.9699999999998</v>
      </c>
      <c r="AK10" s="10">
        <f t="shared" si="1"/>
        <v>-1909.47</v>
      </c>
      <c r="AL10" s="10">
        <f t="shared" si="1"/>
        <v>-6871.48</v>
      </c>
      <c r="AM10" s="10">
        <f t="shared" si="1"/>
        <v>-9559.32</v>
      </c>
      <c r="AN10" s="10">
        <f t="shared" si="1"/>
        <v>-4818.26</v>
      </c>
      <c r="AO10" s="10">
        <f t="shared" si="1"/>
        <v>6520.35</v>
      </c>
      <c r="AP10" s="10">
        <f t="shared" si="1"/>
        <v>-1870.36</v>
      </c>
      <c r="AQ10" s="10">
        <f t="shared" si="1"/>
        <v>-7081.06</v>
      </c>
      <c r="AR10" s="10">
        <f t="shared" si="1"/>
        <v>-8355.19</v>
      </c>
      <c r="AS10" s="10">
        <f t="shared" si="1"/>
        <v>-4962.99</v>
      </c>
      <c r="AT10" s="10">
        <f t="shared" si="1"/>
        <v>-737.12</v>
      </c>
      <c r="AU10" s="10">
        <f t="shared" si="1"/>
        <v>-751.82</v>
      </c>
      <c r="AV10" s="10">
        <f t="shared" si="1"/>
        <v>-1467.55</v>
      </c>
      <c r="AW10" s="10">
        <f t="shared" si="1"/>
        <v>-1140.1400000000001</v>
      </c>
      <c r="AX10" s="10">
        <f t="shared" si="1"/>
        <v>-913.38</v>
      </c>
      <c r="AY10" s="10">
        <f t="shared" si="1"/>
        <v>-1355.49</v>
      </c>
      <c r="AZ10" s="10">
        <f t="shared" si="1"/>
        <v>-917.61</v>
      </c>
      <c r="BA10" s="10">
        <f>IF(OR(BA9="",BA8="",AZ13=""),"",ROUND(((AZ13+BA8)*BA9)/12,2))</f>
        <v>1748.02</v>
      </c>
      <c r="BB10" s="10">
        <f>IF(OR(BB9="",BB8="",BA13=""),"",ROUND(((BA13+BB8)*BB9)/12,2))</f>
        <v>763.32</v>
      </c>
      <c r="BC10" s="10">
        <f t="shared" ref="BC10:BD10" si="2">IF(OR(BC9="",BC8="",BB13=""),"",ROUND(((BB13+BC8)*BC9)/12,2))</f>
        <v>-19.170000000000002</v>
      </c>
      <c r="BD10" s="10">
        <f t="shared" si="2"/>
        <v>-132.03</v>
      </c>
      <c r="BE10" s="106" t="s">
        <v>96</v>
      </c>
      <c r="BF10" s="106" t="s">
        <v>92</v>
      </c>
    </row>
    <row r="11" spans="1:58" s="5" customFormat="1" ht="14.4" outlineLevel="1" x14ac:dyDescent="0.3">
      <c r="A11" s="255"/>
      <c r="B11" s="18" t="s">
        <v>13</v>
      </c>
      <c r="C11" s="9">
        <v>0</v>
      </c>
      <c r="D11" s="9">
        <v>3542.7066619947968</v>
      </c>
      <c r="E11" s="9">
        <v>-2042.587011875763</v>
      </c>
      <c r="F11" s="9">
        <v>-101305.99221352636</v>
      </c>
      <c r="G11" s="9">
        <v>3390.1150170901092</v>
      </c>
      <c r="H11" s="9">
        <v>77000.426341737329</v>
      </c>
      <c r="I11" s="9">
        <v>-50568.7335448956</v>
      </c>
      <c r="J11" s="9">
        <v>-212266.31379910326</v>
      </c>
      <c r="K11" s="106" t="s">
        <v>80</v>
      </c>
      <c r="L11" s="106" t="s">
        <v>81</v>
      </c>
      <c r="M11" s="184"/>
      <c r="N11" s="184"/>
      <c r="O11" s="188"/>
      <c r="P11" s="189"/>
      <c r="Q11" s="170"/>
      <c r="R11" s="170"/>
      <c r="S11" s="170"/>
      <c r="T11" s="170"/>
      <c r="U11" s="170"/>
      <c r="V11" s="170"/>
      <c r="W11" s="170"/>
      <c r="X11" s="170"/>
      <c r="Y11" s="170"/>
      <c r="Z11" s="170"/>
      <c r="AA11" s="170"/>
      <c r="AB11" s="192"/>
      <c r="AC11" s="258"/>
      <c r="AD11" s="8" t="s">
        <v>6</v>
      </c>
      <c r="AE11" s="10">
        <v>0</v>
      </c>
      <c r="AF11" s="10">
        <f t="shared" ref="AF11:BD11" si="3">IF(OR(AE11="",AF10=""),"",AE11+AF10)</f>
        <v>9649.86</v>
      </c>
      <c r="AG11" s="10">
        <f t="shared" si="3"/>
        <v>22043.56</v>
      </c>
      <c r="AH11" s="10">
        <f t="shared" si="3"/>
        <v>39427</v>
      </c>
      <c r="AI11" s="10">
        <f t="shared" si="3"/>
        <v>49952.09</v>
      </c>
      <c r="AJ11" s="10">
        <f t="shared" si="3"/>
        <v>52424.06</v>
      </c>
      <c r="AK11" s="10">
        <f t="shared" si="3"/>
        <v>50514.59</v>
      </c>
      <c r="AL11" s="10">
        <f t="shared" si="3"/>
        <v>43643.11</v>
      </c>
      <c r="AM11" s="10">
        <f t="shared" si="3"/>
        <v>34083.79</v>
      </c>
      <c r="AN11" s="10">
        <f t="shared" si="3"/>
        <v>29265.53</v>
      </c>
      <c r="AO11" s="10">
        <f>IF(OR(AN11="",AO10=""),"",AN11+AO10)</f>
        <v>35785.879999999997</v>
      </c>
      <c r="AP11" s="10">
        <f t="shared" si="3"/>
        <v>33915.519999999997</v>
      </c>
      <c r="AQ11" s="10">
        <f t="shared" si="3"/>
        <v>26834.459999999995</v>
      </c>
      <c r="AR11" s="10">
        <f t="shared" si="3"/>
        <v>18479.269999999997</v>
      </c>
      <c r="AS11" s="10">
        <f t="shared" si="3"/>
        <v>13516.279999999997</v>
      </c>
      <c r="AT11" s="10">
        <f>IF(OR(AS11="",AT10=""),"",AS11+AT10)</f>
        <v>12779.159999999996</v>
      </c>
      <c r="AU11" s="10">
        <f t="shared" si="3"/>
        <v>12027.339999999997</v>
      </c>
      <c r="AV11" s="10">
        <f t="shared" si="3"/>
        <v>10559.789999999997</v>
      </c>
      <c r="AW11" s="10">
        <f t="shared" si="3"/>
        <v>9419.6499999999978</v>
      </c>
      <c r="AX11" s="10">
        <f>IF(OR(AW11="",AX10=""),"",AW11+AX10+AX5)</f>
        <v>8506.2699999999986</v>
      </c>
      <c r="AY11" s="10">
        <f t="shared" si="3"/>
        <v>7150.7799999999988</v>
      </c>
      <c r="AZ11" s="10">
        <f t="shared" si="3"/>
        <v>6233.1699999999992</v>
      </c>
      <c r="BA11" s="10">
        <f t="shared" si="3"/>
        <v>7981.1899999999987</v>
      </c>
      <c r="BB11" s="10">
        <f t="shared" si="3"/>
        <v>8744.5099999999984</v>
      </c>
      <c r="BC11" s="10">
        <f t="shared" si="3"/>
        <v>8725.3399999999983</v>
      </c>
      <c r="BD11" s="10">
        <f t="shared" si="3"/>
        <v>8593.3099999999977</v>
      </c>
      <c r="BE11" s="193">
        <f>'MEEIA 3 calcs'!AC11</f>
        <v>9217.2999999999938</v>
      </c>
      <c r="BF11" s="194">
        <f>BC11-BE11</f>
        <v>-491.95999999999549</v>
      </c>
    </row>
    <row r="12" spans="1:58" s="5" customFormat="1" ht="14.4" outlineLevel="1" x14ac:dyDescent="0.3">
      <c r="A12" s="255"/>
      <c r="B12" s="19" t="s">
        <v>8</v>
      </c>
      <c r="C12" s="9">
        <v>0</v>
      </c>
      <c r="D12" s="9">
        <v>7.86</v>
      </c>
      <c r="E12" s="9">
        <v>3.36</v>
      </c>
      <c r="F12" s="9">
        <v>-220.38</v>
      </c>
      <c r="G12" s="9">
        <v>-208.94</v>
      </c>
      <c r="H12" s="9">
        <v>-38.86</v>
      </c>
      <c r="I12" s="9">
        <v>-130.13</v>
      </c>
      <c r="J12" s="9">
        <v>-498.25</v>
      </c>
      <c r="K12" s="143">
        <v>-1085.43</v>
      </c>
      <c r="L12" s="143">
        <f>SUM(C12:J12)-K12</f>
        <v>8.9999999999918145E-2</v>
      </c>
      <c r="M12" s="184"/>
      <c r="N12" s="184"/>
      <c r="O12" s="188"/>
      <c r="P12" s="189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91"/>
      <c r="AC12" s="258"/>
      <c r="AD12" s="7" t="s">
        <v>12</v>
      </c>
      <c r="AE12" s="10">
        <v>306057.09999999998</v>
      </c>
      <c r="AF12" s="10">
        <f t="shared" ref="AF12" si="4">IF(OR(AF10="",AF8=""),"",AF8+AF10)</f>
        <v>3262465.61</v>
      </c>
      <c r="AG12" s="10">
        <f>IF(OR(AG10="",AG8=""),"",AG8+AG10)</f>
        <v>1435380.57</v>
      </c>
      <c r="AH12" s="10">
        <f t="shared" ref="AH12" si="5">IF(OR(AH10="",AH8=""),"",AH8+AH10)</f>
        <v>2209926.16</v>
      </c>
      <c r="AI12" s="10">
        <f>IF(OR(AI10="",AI8=""),"",AI8+AI10)</f>
        <v>-3032183.4299999997</v>
      </c>
      <c r="AJ12" s="10">
        <f t="shared" ref="AJ12:AM12" si="6">IF(OR(AJ10="",AJ8=""),"",AJ8+AJ10)</f>
        <v>-3630865.7600000002</v>
      </c>
      <c r="AK12" s="10">
        <f>IF(OR(AK10="",AK8=""),"",AK8+AK10)</f>
        <v>-2122102.5800000005</v>
      </c>
      <c r="AL12" s="10">
        <f t="shared" si="6"/>
        <v>-2749963.32</v>
      </c>
      <c r="AM12" s="10">
        <f t="shared" si="6"/>
        <v>-1709599.1999999972</v>
      </c>
      <c r="AN12" s="10">
        <f>IF(OR(AN10="",AN8=""),"",AN8+AN10)</f>
        <v>2247319.5200000005</v>
      </c>
      <c r="AO12" s="10">
        <f>IF(OR(AO10="",AO8=""),"",AO8+AO10)</f>
        <v>7280660.7000000002</v>
      </c>
      <c r="AP12" s="10">
        <f t="shared" ref="AP12:AX12" si="7">IF(OR(AP10="",AP8=""),"",AP8+AP10)</f>
        <v>-5281931.5000000009</v>
      </c>
      <c r="AQ12" s="10">
        <f t="shared" si="7"/>
        <v>-3528427.48</v>
      </c>
      <c r="AR12" s="10">
        <f t="shared" si="7"/>
        <v>-598786.93999999994</v>
      </c>
      <c r="AS12" s="10">
        <f t="shared" si="7"/>
        <v>-1033901.9500000004</v>
      </c>
      <c r="AT12" s="10">
        <f>IF(OR(AT10="",AT8=""),"",AT8+AT10)</f>
        <v>-502970.57999999996</v>
      </c>
      <c r="AU12" s="10">
        <f t="shared" si="7"/>
        <v>-327939.98999999993</v>
      </c>
      <c r="AV12" s="10">
        <f>IF(OR(AV10="",AV8=""),"",AV8+AV10)</f>
        <v>-1912909.9000000006</v>
      </c>
      <c r="AW12" s="10">
        <f t="shared" si="7"/>
        <v>-923201.4100000005</v>
      </c>
      <c r="AX12" s="10">
        <f t="shared" si="7"/>
        <v>1172047.7800000003</v>
      </c>
      <c r="AY12" s="10">
        <f>IF(OR(AY10="",AY8=""),"",AY8+AY10)</f>
        <v>711773.64999999874</v>
      </c>
      <c r="AZ12" s="10">
        <f t="shared" ref="AZ12:BC12" si="8">IF(OR(AZ10="",AZ8=""),"",AZ8+AZ10)</f>
        <v>3771510.2899999996</v>
      </c>
      <c r="BA12" s="10">
        <f t="shared" si="8"/>
        <v>11732401.639999997</v>
      </c>
      <c r="BB12" s="10">
        <f t="shared" si="8"/>
        <v>-2925304.5499999993</v>
      </c>
      <c r="BC12" s="10">
        <f t="shared" si="8"/>
        <v>-4543369.0900000008</v>
      </c>
      <c r="BD12" s="10">
        <f t="shared" ref="BD12" si="9">IF(OR(BD10="",BD8=""),"",BD8+BD10)</f>
        <v>-642544.46999999951</v>
      </c>
    </row>
    <row r="13" spans="1:58" s="5" customFormat="1" ht="14.4" outlineLevel="1" x14ac:dyDescent="0.3">
      <c r="A13" s="255"/>
      <c r="B13" s="18" t="s">
        <v>14</v>
      </c>
      <c r="C13" s="9">
        <v>0</v>
      </c>
      <c r="D13" s="9">
        <v>3550.566661994797</v>
      </c>
      <c r="E13" s="9">
        <v>-2039.2270118757631</v>
      </c>
      <c r="F13" s="9">
        <v>-101526.37221352637</v>
      </c>
      <c r="G13" s="9">
        <v>3181.1750170901091</v>
      </c>
      <c r="H13" s="9">
        <v>76961.566341737329</v>
      </c>
      <c r="I13" s="9">
        <v>-50698.863544895597</v>
      </c>
      <c r="J13" s="9">
        <v>-212764.56379910326</v>
      </c>
      <c r="M13" s="184"/>
      <c r="N13" s="184"/>
      <c r="O13" s="188"/>
      <c r="P13" s="94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91"/>
      <c r="AC13" s="258"/>
      <c r="AD13" s="11" t="s">
        <v>3</v>
      </c>
      <c r="AE13" s="10">
        <v>900914.26</v>
      </c>
      <c r="AF13" s="10">
        <f>IF(OR(AF12="",AE13=""),"",AF12+AE13)</f>
        <v>4163379.87</v>
      </c>
      <c r="AG13" s="10">
        <f t="shared" ref="AG13:BD13" si="10">IF(OR(AG12="",AF13=""),"",AG12+AF13)</f>
        <v>5598760.4400000004</v>
      </c>
      <c r="AH13" s="10">
        <f t="shared" si="10"/>
        <v>7808686.6000000006</v>
      </c>
      <c r="AI13" s="10">
        <f t="shared" si="10"/>
        <v>4776503.1700000009</v>
      </c>
      <c r="AJ13" s="10">
        <f t="shared" si="10"/>
        <v>1145637.4100000006</v>
      </c>
      <c r="AK13" s="10">
        <f>IF(OR(AK12="",AJ13=""),"",AK12+AJ13)</f>
        <v>-976465.16999999993</v>
      </c>
      <c r="AL13" s="10">
        <f t="shared" si="10"/>
        <v>-3726428.4899999998</v>
      </c>
      <c r="AM13" s="10">
        <f t="shared" si="10"/>
        <v>-5436027.6899999967</v>
      </c>
      <c r="AN13" s="10">
        <f>IF(OR(AN12="",AM13=""),"",AN12+AM13)</f>
        <v>-3188708.1699999962</v>
      </c>
      <c r="AO13" s="10">
        <f>IF(OR(AO12="",AN13=""),"",AO12+AN13+AO5)</f>
        <v>4091952.530000004</v>
      </c>
      <c r="AP13" s="10">
        <f t="shared" si="10"/>
        <v>-1189978.9699999969</v>
      </c>
      <c r="AQ13" s="10">
        <f t="shared" si="10"/>
        <v>-4718406.4499999974</v>
      </c>
      <c r="AR13" s="10">
        <f t="shared" si="10"/>
        <v>-5317193.3899999969</v>
      </c>
      <c r="AS13" s="10">
        <f t="shared" si="10"/>
        <v>-6351095.3399999971</v>
      </c>
      <c r="AT13" s="10">
        <f>IF(OR(AT12="",AS13=""),"",AT12+AS13)</f>
        <v>-6854065.9199999971</v>
      </c>
      <c r="AU13" s="10">
        <f t="shared" si="10"/>
        <v>-7182005.9099999974</v>
      </c>
      <c r="AV13" s="10">
        <f>IF(OR(AV12="",AU13=""),"",AV12+AU13)</f>
        <v>-9094915.8099999987</v>
      </c>
      <c r="AW13" s="10">
        <f t="shared" si="10"/>
        <v>-10018117.219999999</v>
      </c>
      <c r="AX13" s="10">
        <f>IF(OR(AX12="",AW13=""),"",AX12+AW13+AX5)</f>
        <v>-8846069.4399999976</v>
      </c>
      <c r="AY13" s="10">
        <f t="shared" si="10"/>
        <v>-8134295.7899999991</v>
      </c>
      <c r="AZ13" s="10">
        <f t="shared" si="10"/>
        <v>-4362785.5</v>
      </c>
      <c r="BA13" s="10">
        <f t="shared" si="10"/>
        <v>7369616.1399999969</v>
      </c>
      <c r="BB13" s="10">
        <f t="shared" si="10"/>
        <v>4444311.589999998</v>
      </c>
      <c r="BC13" s="10">
        <f t="shared" si="10"/>
        <v>-99057.500000002794</v>
      </c>
      <c r="BD13" s="10">
        <f t="shared" si="10"/>
        <v>-741601.9700000023</v>
      </c>
    </row>
    <row r="14" spans="1:58" s="5" customFormat="1" ht="14.4" outlineLevel="1" x14ac:dyDescent="0.3">
      <c r="A14" s="255"/>
      <c r="B14" s="20" t="s">
        <v>15</v>
      </c>
      <c r="C14" s="9">
        <v>0</v>
      </c>
      <c r="D14" s="9">
        <v>3550.566661994797</v>
      </c>
      <c r="E14" s="9">
        <v>1511.3396501190339</v>
      </c>
      <c r="F14" s="9">
        <v>-100015.03256340734</v>
      </c>
      <c r="G14" s="9">
        <v>-96833.857546317231</v>
      </c>
      <c r="H14" s="9">
        <v>-19872.291204579902</v>
      </c>
      <c r="I14" s="9">
        <v>-70571.154749475507</v>
      </c>
      <c r="J14" s="9">
        <v>-283335.71854857879</v>
      </c>
      <c r="M14" s="184"/>
      <c r="N14" s="184"/>
      <c r="O14" s="188"/>
      <c r="P14" s="189"/>
      <c r="Q14" s="174">
        <v>43862</v>
      </c>
      <c r="R14" s="174">
        <v>43891</v>
      </c>
      <c r="S14" s="174">
        <v>43922</v>
      </c>
      <c r="T14" s="174">
        <v>43952</v>
      </c>
      <c r="U14" s="174">
        <v>43983</v>
      </c>
      <c r="V14" s="174">
        <v>44013</v>
      </c>
      <c r="W14" s="174">
        <v>44044</v>
      </c>
      <c r="X14" s="174">
        <v>44075</v>
      </c>
      <c r="Y14" s="195">
        <v>44105</v>
      </c>
      <c r="Z14" s="146"/>
      <c r="AA14" s="146"/>
      <c r="AB14" s="191"/>
      <c r="AC14" s="146"/>
      <c r="AD14" s="146"/>
      <c r="AE14" s="146"/>
      <c r="AF14" s="146"/>
      <c r="AG14" s="146"/>
      <c r="AH14" s="146"/>
      <c r="AI14" s="146"/>
      <c r="AJ14" s="146"/>
      <c r="AK14" s="146"/>
      <c r="AL14" s="169"/>
    </row>
    <row r="15" spans="1:58" s="5" customFormat="1" ht="8.25" customHeight="1" outlineLevel="1" x14ac:dyDescent="0.3">
      <c r="A15" s="44"/>
      <c r="B15" s="13"/>
      <c r="C15" s="14"/>
      <c r="D15" s="14"/>
      <c r="E15" s="14"/>
      <c r="F15" s="14"/>
      <c r="G15" s="14"/>
      <c r="H15" s="14"/>
      <c r="I15" s="14"/>
      <c r="J15" s="14"/>
      <c r="M15" s="184"/>
      <c r="N15" s="184"/>
      <c r="O15" s="188"/>
      <c r="P15" s="95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91"/>
      <c r="AC15" s="146"/>
      <c r="AD15" s="146"/>
      <c r="AE15" s="146"/>
      <c r="AF15" s="146"/>
      <c r="AG15" s="146"/>
      <c r="AH15" s="146"/>
      <c r="AI15" s="146"/>
      <c r="AJ15" s="146"/>
      <c r="AK15" s="146"/>
      <c r="AL15" s="169"/>
    </row>
    <row r="16" spans="1:58" s="5" customFormat="1" ht="15" customHeight="1" outlineLevel="1" x14ac:dyDescent="0.3">
      <c r="A16" s="255" t="s">
        <v>21</v>
      </c>
      <c r="B16" s="17"/>
      <c r="C16" s="9"/>
      <c r="D16" s="9"/>
      <c r="E16" s="9"/>
      <c r="F16" s="9"/>
      <c r="G16" s="9"/>
      <c r="H16" s="9"/>
      <c r="I16" s="9"/>
      <c r="J16" s="9"/>
      <c r="M16" s="184"/>
      <c r="N16" s="184"/>
      <c r="O16" s="44"/>
      <c r="P16" s="13"/>
      <c r="Q16" s="196"/>
      <c r="R16" s="197"/>
      <c r="S16" s="197"/>
      <c r="T16" s="197"/>
      <c r="U16" s="197"/>
      <c r="V16" s="197"/>
      <c r="W16" s="197"/>
      <c r="X16" s="197"/>
      <c r="Y16" s="198"/>
      <c r="Z16" s="146"/>
      <c r="AA16" s="146"/>
      <c r="AB16" s="191"/>
      <c r="AC16" s="146"/>
      <c r="AD16" s="146"/>
      <c r="AE16" s="146"/>
      <c r="AF16" s="146"/>
      <c r="AG16" s="146"/>
      <c r="AH16" s="146"/>
      <c r="AI16" s="146"/>
      <c r="AJ16" s="146"/>
      <c r="AK16" s="146"/>
      <c r="AL16" s="199"/>
    </row>
    <row r="17" spans="1:38" s="3" customFormat="1" ht="15" customHeight="1" outlineLevel="1" x14ac:dyDescent="0.3">
      <c r="A17" s="255"/>
      <c r="B17" s="17" t="s">
        <v>28</v>
      </c>
      <c r="C17" s="22">
        <v>0.34412602678174997</v>
      </c>
      <c r="D17" s="22">
        <v>593.85341007321881</v>
      </c>
      <c r="E17" s="22">
        <v>8368.5225960071712</v>
      </c>
      <c r="F17" s="22">
        <v>23641.814181406706</v>
      </c>
      <c r="G17" s="22">
        <v>47663.861231335664</v>
      </c>
      <c r="H17" s="22">
        <v>53423.137293371561</v>
      </c>
      <c r="I17" s="22">
        <v>71954.397236201956</v>
      </c>
      <c r="J17" s="22">
        <v>61965.752554031846</v>
      </c>
      <c r="M17" s="187"/>
      <c r="N17" s="187"/>
      <c r="O17" s="255" t="s">
        <v>25</v>
      </c>
      <c r="P17" s="17"/>
      <c r="Q17" s="9"/>
      <c r="R17" s="9"/>
      <c r="S17" s="9"/>
      <c r="T17" s="9"/>
      <c r="U17" s="9"/>
      <c r="V17" s="9"/>
      <c r="W17" s="9"/>
      <c r="X17" s="9"/>
      <c r="Y17" s="200"/>
      <c r="Z17" s="199"/>
      <c r="AA17" s="199"/>
      <c r="AB17" s="191"/>
      <c r="AC17" s="146"/>
      <c r="AD17" s="146"/>
      <c r="AE17" s="146"/>
      <c r="AF17" s="146"/>
      <c r="AG17" s="146"/>
      <c r="AH17" s="146"/>
      <c r="AI17" s="146"/>
      <c r="AJ17" s="146"/>
      <c r="AK17" s="146"/>
      <c r="AL17" s="199"/>
    </row>
    <row r="18" spans="1:38" s="5" customFormat="1" ht="15" customHeight="1" outlineLevel="1" x14ac:dyDescent="0.3">
      <c r="A18" s="255"/>
      <c r="B18" s="18" t="s">
        <v>26</v>
      </c>
      <c r="C18" s="22">
        <v>0</v>
      </c>
      <c r="D18" s="22">
        <v>0</v>
      </c>
      <c r="E18" s="22">
        <v>4662.874879564878</v>
      </c>
      <c r="F18" s="22">
        <v>60575.806014450071</v>
      </c>
      <c r="G18" s="22">
        <v>69235.226705339766</v>
      </c>
      <c r="H18" s="22">
        <v>71132.268141530934</v>
      </c>
      <c r="I18" s="22">
        <v>68766.003213137257</v>
      </c>
      <c r="J18" s="22">
        <v>61936.863591354115</v>
      </c>
      <c r="M18" s="184"/>
      <c r="N18" s="184"/>
      <c r="O18" s="255"/>
      <c r="P18" s="17" t="s">
        <v>28</v>
      </c>
      <c r="Q18" s="21">
        <v>921069.68539476907</v>
      </c>
      <c r="R18" s="21">
        <v>727242.36549864151</v>
      </c>
      <c r="S18" s="21">
        <v>330495.27100759087</v>
      </c>
      <c r="T18" s="21">
        <v>448514.38010054693</v>
      </c>
      <c r="U18" s="21">
        <v>1166466.8526526124</v>
      </c>
      <c r="V18" s="21">
        <v>1596902.1714481553</v>
      </c>
      <c r="W18" s="21">
        <v>1748272.4117888492</v>
      </c>
      <c r="X18" s="21">
        <v>1519471.01623757</v>
      </c>
      <c r="Y18" s="201">
        <v>764880.45368540613</v>
      </c>
      <c r="Z18" s="202"/>
      <c r="AA18" s="202"/>
      <c r="AB18" s="190"/>
      <c r="AC18" s="150"/>
      <c r="AD18" s="150"/>
      <c r="AE18" s="150"/>
      <c r="AF18" s="150"/>
      <c r="AG18" s="150"/>
      <c r="AH18" s="150"/>
      <c r="AI18" s="150"/>
      <c r="AJ18" s="150"/>
      <c r="AK18" s="150"/>
      <c r="AL18" s="202"/>
    </row>
    <row r="19" spans="1:38" s="5" customFormat="1" ht="15" customHeight="1" outlineLevel="1" x14ac:dyDescent="0.3">
      <c r="A19" s="255"/>
      <c r="B19" s="18" t="s">
        <v>47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M19" s="184"/>
      <c r="N19" s="184"/>
      <c r="O19" s="255"/>
      <c r="P19" s="18" t="s">
        <v>26</v>
      </c>
      <c r="Q19" s="21">
        <v>705379.12999999989</v>
      </c>
      <c r="R19" s="21">
        <v>656045.5</v>
      </c>
      <c r="S19" s="21">
        <v>537519.55000000005</v>
      </c>
      <c r="T19" s="21">
        <v>488973.88</v>
      </c>
      <c r="U19" s="21">
        <v>614590.80000000005</v>
      </c>
      <c r="V19" s="21">
        <v>791820.69</v>
      </c>
      <c r="W19" s="21">
        <v>759797.67</v>
      </c>
      <c r="X19" s="21">
        <v>707202.3</v>
      </c>
      <c r="Y19" s="201">
        <v>523078.24999999994</v>
      </c>
      <c r="Z19" s="199"/>
      <c r="AA19" s="199"/>
      <c r="AB19" s="190"/>
      <c r="AC19" s="150"/>
      <c r="AD19" s="150"/>
      <c r="AE19" s="150"/>
      <c r="AF19" s="150"/>
      <c r="AG19" s="150"/>
      <c r="AH19" s="150"/>
      <c r="AI19" s="150"/>
      <c r="AJ19" s="150"/>
      <c r="AK19" s="150"/>
      <c r="AL19" s="199"/>
    </row>
    <row r="20" spans="1:38" s="5" customFormat="1" ht="15" customHeight="1" outlineLevel="1" x14ac:dyDescent="0.3">
      <c r="A20" s="255"/>
      <c r="B20" s="18" t="s">
        <v>48</v>
      </c>
      <c r="C20" s="9">
        <v>0</v>
      </c>
      <c r="D20" s="9">
        <v>0</v>
      </c>
      <c r="E20" s="9">
        <v>4662.874879564878</v>
      </c>
      <c r="F20" s="9">
        <v>60575.806014450071</v>
      </c>
      <c r="G20" s="9">
        <v>69235.226705339766</v>
      </c>
      <c r="H20" s="9">
        <v>71132.268141530934</v>
      </c>
      <c r="I20" s="9">
        <v>68766.003213137257</v>
      </c>
      <c r="J20" s="9">
        <v>61936.863591354115</v>
      </c>
      <c r="M20" s="184"/>
      <c r="N20" s="184"/>
      <c r="O20" s="255"/>
      <c r="P20" s="18" t="s">
        <v>47</v>
      </c>
      <c r="Q20" s="21">
        <v>196554.22</v>
      </c>
      <c r="R20" s="21">
        <v>181274.15000000002</v>
      </c>
      <c r="S20" s="21">
        <v>149642.01999999999</v>
      </c>
      <c r="T20" s="21">
        <v>136362.22</v>
      </c>
      <c r="U20" s="21">
        <v>171212.22</v>
      </c>
      <c r="V20" s="21">
        <v>216757.82</v>
      </c>
      <c r="W20" s="21">
        <v>209115.01</v>
      </c>
      <c r="X20" s="21">
        <v>195955.65999999997</v>
      </c>
      <c r="Y20" s="201">
        <v>147507.93</v>
      </c>
      <c r="Z20" s="199"/>
      <c r="AA20" s="199"/>
      <c r="AB20" s="190"/>
      <c r="AC20" s="150"/>
      <c r="AD20" s="150"/>
      <c r="AE20" s="150"/>
      <c r="AF20" s="150"/>
      <c r="AG20" s="150"/>
      <c r="AH20" s="150"/>
      <c r="AI20" s="150"/>
      <c r="AJ20" s="150"/>
      <c r="AK20" s="150"/>
      <c r="AL20" s="199"/>
    </row>
    <row r="21" spans="1:38" s="5" customFormat="1" ht="14.4" outlineLevel="1" x14ac:dyDescent="0.3">
      <c r="A21" s="255"/>
      <c r="B21" s="18" t="s">
        <v>13</v>
      </c>
      <c r="C21" s="9">
        <v>0.34412602678174997</v>
      </c>
      <c r="D21" s="9">
        <v>593.85341007321881</v>
      </c>
      <c r="E21" s="9">
        <v>3705.6477164422931</v>
      </c>
      <c r="F21" s="9">
        <v>-36933.991833043365</v>
      </c>
      <c r="G21" s="9">
        <v>-21571.365474004102</v>
      </c>
      <c r="H21" s="9">
        <v>-17709.130848159373</v>
      </c>
      <c r="I21" s="9">
        <v>3188.3940230646986</v>
      </c>
      <c r="J21" s="9">
        <v>28.888962677730888</v>
      </c>
      <c r="K21" s="106" t="s">
        <v>80</v>
      </c>
      <c r="L21" s="106" t="s">
        <v>89</v>
      </c>
      <c r="M21" s="184"/>
      <c r="N21" s="184"/>
      <c r="O21" s="255"/>
      <c r="P21" s="18" t="s">
        <v>48</v>
      </c>
      <c r="Q21" s="21">
        <v>901933.35</v>
      </c>
      <c r="R21" s="21">
        <v>837319.65</v>
      </c>
      <c r="S21" s="21">
        <v>687161.57000000007</v>
      </c>
      <c r="T21" s="21">
        <v>625336.1</v>
      </c>
      <c r="U21" s="21">
        <v>785803.02</v>
      </c>
      <c r="V21" s="21">
        <v>1008578.51</v>
      </c>
      <c r="W21" s="21">
        <v>968912.67999999993</v>
      </c>
      <c r="X21" s="21">
        <v>903157.96</v>
      </c>
      <c r="Y21" s="201">
        <v>670586.17999999993</v>
      </c>
      <c r="Z21" s="199"/>
      <c r="AA21" s="199"/>
      <c r="AB21" s="190"/>
      <c r="AC21" s="150"/>
      <c r="AD21" s="150"/>
      <c r="AE21" s="150"/>
      <c r="AF21" s="150"/>
      <c r="AG21" s="150"/>
      <c r="AH21" s="150"/>
      <c r="AI21" s="150"/>
      <c r="AJ21" s="150"/>
      <c r="AK21" s="150"/>
      <c r="AL21" s="199"/>
    </row>
    <row r="22" spans="1:38" s="5" customFormat="1" ht="14.4" outlineLevel="1" x14ac:dyDescent="0.3">
      <c r="A22" s="255"/>
      <c r="B22" s="19" t="s">
        <v>8</v>
      </c>
      <c r="C22" s="9">
        <v>0</v>
      </c>
      <c r="D22" s="9">
        <v>1.32</v>
      </c>
      <c r="E22" s="9">
        <v>9.6</v>
      </c>
      <c r="F22" s="9">
        <v>-72.040000000000006</v>
      </c>
      <c r="G22" s="9">
        <v>-117.35</v>
      </c>
      <c r="H22" s="9">
        <v>-141.25</v>
      </c>
      <c r="I22" s="9">
        <v>-127.55</v>
      </c>
      <c r="J22" s="9">
        <v>-121.81</v>
      </c>
      <c r="K22" s="143">
        <v>-569.1</v>
      </c>
      <c r="L22" s="143">
        <f>SUM(C22:J22)-K22</f>
        <v>1.999999999998181E-2</v>
      </c>
      <c r="M22" s="184"/>
      <c r="N22" s="184"/>
      <c r="O22" s="255"/>
      <c r="P22" s="18" t="s">
        <v>13</v>
      </c>
      <c r="Q22" s="21">
        <v>19136.33539476915</v>
      </c>
      <c r="R22" s="21">
        <v>-110077.28450135858</v>
      </c>
      <c r="S22" s="21">
        <v>-356666.29899240914</v>
      </c>
      <c r="T22" s="21">
        <v>-176821.71989945308</v>
      </c>
      <c r="U22" s="21">
        <v>380663.8326526123</v>
      </c>
      <c r="V22" s="21">
        <v>588323.66144815541</v>
      </c>
      <c r="W22" s="21">
        <v>779359.73178884923</v>
      </c>
      <c r="X22" s="21">
        <v>616313.05623756989</v>
      </c>
      <c r="Y22" s="201">
        <v>94294.273685406195</v>
      </c>
      <c r="Z22" s="199"/>
      <c r="AA22" s="199"/>
      <c r="AB22" s="190"/>
      <c r="AC22" s="150"/>
      <c r="AD22" s="150"/>
      <c r="AE22" s="150"/>
      <c r="AF22" s="150"/>
      <c r="AG22" s="150"/>
      <c r="AH22" s="150"/>
      <c r="AI22" s="150"/>
      <c r="AJ22" s="150"/>
      <c r="AK22" s="150"/>
      <c r="AL22" s="199"/>
    </row>
    <row r="23" spans="1:38" s="5" customFormat="1" ht="14.4" outlineLevel="1" x14ac:dyDescent="0.3">
      <c r="A23" s="255"/>
      <c r="B23" s="18" t="s">
        <v>14</v>
      </c>
      <c r="C23" s="9">
        <v>0.34412602678174997</v>
      </c>
      <c r="D23" s="9">
        <v>595.17341007321886</v>
      </c>
      <c r="E23" s="9">
        <v>3715.247716442293</v>
      </c>
      <c r="F23" s="9">
        <v>-37006.031833043366</v>
      </c>
      <c r="G23" s="9">
        <v>-21688.715474004101</v>
      </c>
      <c r="H23" s="9">
        <v>-17850.380848159373</v>
      </c>
      <c r="I23" s="9">
        <v>3060.8440230646984</v>
      </c>
      <c r="J23" s="9">
        <v>-92.921037322269115</v>
      </c>
      <c r="M23" s="184"/>
      <c r="N23" s="184"/>
      <c r="O23" s="255"/>
      <c r="P23" s="19" t="s">
        <v>8</v>
      </c>
      <c r="Q23" s="21">
        <v>-788.05</v>
      </c>
      <c r="R23" s="21">
        <v>-714.39</v>
      </c>
      <c r="S23" s="21">
        <v>-517.45000000000005</v>
      </c>
      <c r="T23" s="21">
        <v>-75.570000000000007</v>
      </c>
      <c r="U23" s="21">
        <v>-15.789999999999996</v>
      </c>
      <c r="V23" s="21">
        <v>105.58999999999999</v>
      </c>
      <c r="W23" s="21">
        <v>186.98</v>
      </c>
      <c r="X23" s="21">
        <v>253.54000000000002</v>
      </c>
      <c r="Y23" s="201">
        <v>449.55</v>
      </c>
      <c r="Z23" s="199"/>
      <c r="AA23" s="199"/>
      <c r="AB23" s="190"/>
      <c r="AC23" s="150"/>
      <c r="AD23" s="150"/>
      <c r="AE23" s="150"/>
      <c r="AF23" s="150"/>
      <c r="AG23" s="150"/>
      <c r="AH23" s="150"/>
      <c r="AI23" s="150"/>
      <c r="AJ23" s="150"/>
      <c r="AK23" s="150"/>
      <c r="AL23" s="199"/>
    </row>
    <row r="24" spans="1:38" s="5" customFormat="1" ht="14.4" outlineLevel="1" x14ac:dyDescent="0.3">
      <c r="A24" s="255"/>
      <c r="B24" s="20" t="s">
        <v>16</v>
      </c>
      <c r="C24" s="9">
        <v>0.34412602678174997</v>
      </c>
      <c r="D24" s="9">
        <v>595.5175361000006</v>
      </c>
      <c r="E24" s="9">
        <v>4310.7652525422936</v>
      </c>
      <c r="F24" s="9">
        <v>-32695.266580501073</v>
      </c>
      <c r="G24" s="9">
        <v>-54383.982054505177</v>
      </c>
      <c r="H24" s="9">
        <v>-72234.36290266455</v>
      </c>
      <c r="I24" s="9">
        <v>-69173.518879599855</v>
      </c>
      <c r="J24" s="9">
        <v>-69266.439916922129</v>
      </c>
      <c r="M24" s="184"/>
      <c r="N24" s="184"/>
      <c r="O24" s="255"/>
      <c r="P24" s="19" t="s">
        <v>27</v>
      </c>
      <c r="Q24" s="16">
        <v>-9510.0399999999991</v>
      </c>
      <c r="R24" s="16">
        <v>-10224.429999999998</v>
      </c>
      <c r="S24" s="16">
        <v>-10741.88</v>
      </c>
      <c r="T24" s="16">
        <v>-10817.449999999999</v>
      </c>
      <c r="U24" s="16">
        <v>-10833.24</v>
      </c>
      <c r="V24" s="16">
        <v>-10727.65</v>
      </c>
      <c r="W24" s="16">
        <v>-10540.67</v>
      </c>
      <c r="X24" s="16">
        <v>-10287.129999999999</v>
      </c>
      <c r="Y24" s="203">
        <v>-9837.58</v>
      </c>
      <c r="Z24" s="199"/>
      <c r="AA24" s="199"/>
      <c r="AB24" s="191"/>
      <c r="AC24" s="146"/>
      <c r="AD24" s="146"/>
      <c r="AE24" s="146"/>
      <c r="AF24" s="146"/>
      <c r="AG24" s="146"/>
      <c r="AH24" s="146"/>
      <c r="AI24" s="146"/>
      <c r="AJ24" s="146"/>
      <c r="AK24" s="146"/>
      <c r="AL24" s="199"/>
    </row>
    <row r="25" spans="1:38" s="5" customFormat="1" ht="18.75" customHeight="1" outlineLevel="1" x14ac:dyDescent="0.3">
      <c r="A25" s="44"/>
      <c r="B25" s="13"/>
      <c r="C25" s="14"/>
      <c r="D25" s="14"/>
      <c r="E25" s="14"/>
      <c r="F25" s="14"/>
      <c r="G25" s="14"/>
      <c r="H25" s="14"/>
      <c r="I25" s="14"/>
      <c r="J25" s="14"/>
      <c r="M25" s="184"/>
      <c r="N25" s="184"/>
      <c r="O25" s="255"/>
      <c r="P25" s="18" t="s">
        <v>14</v>
      </c>
      <c r="Q25" s="21">
        <v>18348.285394769147</v>
      </c>
      <c r="R25" s="21">
        <v>-110791.67450135859</v>
      </c>
      <c r="S25" s="21">
        <v>-357183.74899240915</v>
      </c>
      <c r="T25" s="21">
        <v>-176897.28989945308</v>
      </c>
      <c r="U25" s="21">
        <v>380648.04265261232</v>
      </c>
      <c r="V25" s="21">
        <v>588429.25144815538</v>
      </c>
      <c r="W25" s="21">
        <v>779546.71178884932</v>
      </c>
      <c r="X25" s="21">
        <v>616566.59623756993</v>
      </c>
      <c r="Y25" s="201">
        <v>94743.823685406212</v>
      </c>
      <c r="Z25" s="199"/>
      <c r="AA25" s="199"/>
      <c r="AB25" s="190"/>
      <c r="AC25" s="150"/>
      <c r="AD25" s="150"/>
      <c r="AE25" s="150"/>
      <c r="AF25" s="150"/>
      <c r="AG25" s="150"/>
      <c r="AH25" s="150"/>
      <c r="AI25" s="150"/>
      <c r="AJ25" s="150"/>
      <c r="AK25" s="150"/>
      <c r="AL25" s="199"/>
    </row>
    <row r="26" spans="1:38" s="5" customFormat="1" ht="15" customHeight="1" outlineLevel="1" x14ac:dyDescent="0.3">
      <c r="A26" s="255" t="s">
        <v>22</v>
      </c>
      <c r="B26" s="17"/>
      <c r="C26" s="9"/>
      <c r="D26" s="9"/>
      <c r="E26" s="9"/>
      <c r="F26" s="9"/>
      <c r="G26" s="9"/>
      <c r="H26" s="9"/>
      <c r="I26" s="9"/>
      <c r="J26" s="9"/>
      <c r="M26" s="184"/>
      <c r="N26" s="184"/>
      <c r="O26" s="255"/>
      <c r="P26" s="20" t="s">
        <v>2</v>
      </c>
      <c r="Q26" s="21">
        <v>-525113.90717548993</v>
      </c>
      <c r="R26" s="21">
        <v>-454631.4316768485</v>
      </c>
      <c r="S26" s="21">
        <v>-662173.16066925763</v>
      </c>
      <c r="T26" s="21">
        <v>-702708.23056871083</v>
      </c>
      <c r="U26" s="21">
        <v>-150847.96791609848</v>
      </c>
      <c r="V26" s="21">
        <v>654339.10353205702</v>
      </c>
      <c r="W26" s="21">
        <v>1643000.8253209062</v>
      </c>
      <c r="X26" s="21">
        <v>2455523.0815584762</v>
      </c>
      <c r="Y26" s="201">
        <v>2697774.8352438826</v>
      </c>
      <c r="Z26" s="199"/>
      <c r="AA26" s="199"/>
      <c r="AB26" s="190"/>
      <c r="AC26" s="150"/>
      <c r="AD26" s="150"/>
      <c r="AE26" s="150"/>
      <c r="AF26" s="150"/>
      <c r="AG26" s="150"/>
      <c r="AH26" s="150"/>
      <c r="AI26" s="150"/>
      <c r="AJ26" s="150"/>
      <c r="AK26" s="150"/>
      <c r="AL26" s="199"/>
    </row>
    <row r="27" spans="1:38" s="3" customFormat="1" ht="15" customHeight="1" outlineLevel="1" x14ac:dyDescent="0.3">
      <c r="A27" s="255"/>
      <c r="B27" s="17" t="s">
        <v>28</v>
      </c>
      <c r="C27" s="22">
        <v>0.38250960519337501</v>
      </c>
      <c r="D27" s="22">
        <v>592.84700439506275</v>
      </c>
      <c r="E27" s="22">
        <v>3788.6582603776305</v>
      </c>
      <c r="F27" s="22">
        <v>18535.810544392894</v>
      </c>
      <c r="G27" s="22">
        <v>43757.113824202133</v>
      </c>
      <c r="H27" s="22">
        <v>59086.939884825857</v>
      </c>
      <c r="I27" s="22">
        <v>83744.849905232913</v>
      </c>
      <c r="J27" s="22">
        <v>59946.023885732408</v>
      </c>
      <c r="M27" s="187"/>
      <c r="N27" s="187"/>
      <c r="O27" s="44"/>
      <c r="P27" s="13"/>
      <c r="Q27" s="14"/>
      <c r="R27" s="14"/>
      <c r="S27" s="14"/>
      <c r="T27" s="14"/>
      <c r="U27" s="14"/>
      <c r="V27" s="14"/>
      <c r="W27" s="14"/>
      <c r="X27" s="14"/>
      <c r="Y27" s="204"/>
      <c r="Z27" s="199"/>
      <c r="AA27" s="199"/>
      <c r="AB27" s="191"/>
      <c r="AC27" s="146"/>
      <c r="AD27" s="146"/>
      <c r="AE27" s="146"/>
      <c r="AF27" s="146"/>
      <c r="AG27" s="146"/>
      <c r="AH27" s="146"/>
      <c r="AI27" s="146"/>
      <c r="AJ27" s="146"/>
      <c r="AK27" s="146"/>
      <c r="AL27" s="199"/>
    </row>
    <row r="28" spans="1:38" s="5" customFormat="1" ht="15" customHeight="1" outlineLevel="1" x14ac:dyDescent="0.3">
      <c r="A28" s="255"/>
      <c r="B28" s="18" t="s">
        <v>26</v>
      </c>
      <c r="C28" s="22">
        <v>0</v>
      </c>
      <c r="D28" s="22">
        <v>0</v>
      </c>
      <c r="E28" s="22">
        <v>6753.6701978728988</v>
      </c>
      <c r="F28" s="22">
        <v>107151.44580605239</v>
      </c>
      <c r="G28" s="22">
        <v>115634.5208649429</v>
      </c>
      <c r="H28" s="22">
        <v>118331.81312804784</v>
      </c>
      <c r="I28" s="22">
        <v>119601.33814288217</v>
      </c>
      <c r="J28" s="22">
        <v>109968.9574924099</v>
      </c>
      <c r="M28" s="184"/>
      <c r="N28" s="184"/>
      <c r="O28" s="255" t="s">
        <v>20</v>
      </c>
      <c r="P28" s="17"/>
      <c r="Q28" s="9"/>
      <c r="R28" s="9"/>
      <c r="S28" s="9"/>
      <c r="T28" s="9"/>
      <c r="U28" s="9"/>
      <c r="V28" s="9"/>
      <c r="W28" s="9"/>
      <c r="X28" s="9"/>
      <c r="Y28" s="200"/>
      <c r="Z28" s="199"/>
      <c r="AA28" s="199"/>
      <c r="AB28" s="191"/>
      <c r="AC28" s="146"/>
      <c r="AD28" s="146"/>
      <c r="AE28" s="146"/>
      <c r="AF28" s="146"/>
      <c r="AG28" s="146"/>
      <c r="AH28" s="146"/>
      <c r="AI28" s="146"/>
      <c r="AJ28" s="146"/>
      <c r="AK28" s="146"/>
      <c r="AL28" s="199"/>
    </row>
    <row r="29" spans="1:38" s="5" customFormat="1" ht="15" customHeight="1" outlineLevel="1" x14ac:dyDescent="0.3">
      <c r="A29" s="255"/>
      <c r="B29" s="18" t="s">
        <v>47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M29" s="184"/>
      <c r="N29" s="184"/>
      <c r="O29" s="255"/>
      <c r="P29" s="17" t="s">
        <v>28</v>
      </c>
      <c r="Q29" s="22">
        <v>676189.22029010952</v>
      </c>
      <c r="R29" s="22">
        <v>463090.51540533279</v>
      </c>
      <c r="S29" s="22">
        <v>212999.83668866704</v>
      </c>
      <c r="T29" s="22">
        <v>239315.41925638349</v>
      </c>
      <c r="U29" s="22">
        <v>745964.63979628112</v>
      </c>
      <c r="V29" s="22">
        <v>1021961.1417325244</v>
      </c>
      <c r="W29" s="22">
        <v>1221140.287913003</v>
      </c>
      <c r="X29" s="22">
        <v>1038934.5439936385</v>
      </c>
      <c r="Y29" s="205">
        <v>456853.18990942289</v>
      </c>
      <c r="Z29" s="202"/>
      <c r="AA29" s="202"/>
      <c r="AB29" s="191"/>
      <c r="AC29" s="146"/>
      <c r="AD29" s="146"/>
      <c r="AE29" s="146"/>
      <c r="AF29" s="146"/>
      <c r="AG29" s="146"/>
      <c r="AH29" s="146"/>
      <c r="AI29" s="146"/>
      <c r="AJ29" s="146"/>
      <c r="AK29" s="146"/>
      <c r="AL29" s="202"/>
    </row>
    <row r="30" spans="1:38" s="5" customFormat="1" ht="15" customHeight="1" outlineLevel="1" x14ac:dyDescent="0.3">
      <c r="A30" s="255"/>
      <c r="B30" s="18" t="s">
        <v>48</v>
      </c>
      <c r="C30" s="9">
        <v>0</v>
      </c>
      <c r="D30" s="9">
        <v>0</v>
      </c>
      <c r="E30" s="9">
        <v>6753.6701978728988</v>
      </c>
      <c r="F30" s="9">
        <v>107151.44580605239</v>
      </c>
      <c r="G30" s="9">
        <v>115634.5208649429</v>
      </c>
      <c r="H30" s="9">
        <v>118331.81312804784</v>
      </c>
      <c r="I30" s="9">
        <v>119601.33814288217</v>
      </c>
      <c r="J30" s="9">
        <v>109968.9574924099</v>
      </c>
      <c r="M30" s="184"/>
      <c r="N30" s="184"/>
      <c r="O30" s="255"/>
      <c r="P30" s="18" t="s">
        <v>26</v>
      </c>
      <c r="Q30" s="22">
        <v>474323.05163473397</v>
      </c>
      <c r="R30" s="22">
        <v>428810.25716296653</v>
      </c>
      <c r="S30" s="22">
        <v>339346.33491655142</v>
      </c>
      <c r="T30" s="22">
        <v>302925.05162387801</v>
      </c>
      <c r="U30" s="22">
        <v>399589.74786578171</v>
      </c>
      <c r="V30" s="22">
        <v>536049.73122413771</v>
      </c>
      <c r="W30" s="22">
        <v>503311.04413038632</v>
      </c>
      <c r="X30" s="22">
        <v>453730.11803544633</v>
      </c>
      <c r="Y30" s="205">
        <v>307694.93026905361</v>
      </c>
      <c r="Z30" s="199"/>
      <c r="AA30" s="199"/>
      <c r="AB30" s="191"/>
      <c r="AC30" s="146"/>
      <c r="AD30" s="146"/>
      <c r="AE30" s="146"/>
      <c r="AF30" s="146"/>
      <c r="AG30" s="146"/>
      <c r="AH30" s="146"/>
      <c r="AI30" s="146"/>
      <c r="AJ30" s="146"/>
      <c r="AK30" s="146"/>
      <c r="AL30" s="199"/>
    </row>
    <row r="31" spans="1:38" s="5" customFormat="1" ht="14.4" outlineLevel="1" x14ac:dyDescent="0.3">
      <c r="A31" s="255"/>
      <c r="B31" s="18" t="s">
        <v>13</v>
      </c>
      <c r="C31" s="9">
        <v>0.38250960519337501</v>
      </c>
      <c r="D31" s="9">
        <v>592.84700439506275</v>
      </c>
      <c r="E31" s="9">
        <v>-2965.0119374952683</v>
      </c>
      <c r="F31" s="9">
        <v>-88615.635261659496</v>
      </c>
      <c r="G31" s="9">
        <v>-71877.407040740771</v>
      </c>
      <c r="H31" s="9">
        <v>-59244.873243221984</v>
      </c>
      <c r="I31" s="9">
        <v>-35856.488237649261</v>
      </c>
      <c r="J31" s="9">
        <v>-50022.933606677492</v>
      </c>
      <c r="K31" s="106" t="s">
        <v>80</v>
      </c>
      <c r="L31" s="106" t="s">
        <v>90</v>
      </c>
      <c r="M31" s="184"/>
      <c r="N31" s="184"/>
      <c r="O31" s="255"/>
      <c r="P31" s="18" t="s">
        <v>47</v>
      </c>
      <c r="Q31" s="22">
        <v>115732.97</v>
      </c>
      <c r="R31" s="22">
        <v>104574.51</v>
      </c>
      <c r="S31" s="22">
        <v>82818.98</v>
      </c>
      <c r="T31" s="22">
        <v>74005.649999999994</v>
      </c>
      <c r="U31" s="22">
        <v>97941.18</v>
      </c>
      <c r="V31" s="22">
        <v>131594.67000000001</v>
      </c>
      <c r="W31" s="22">
        <v>123527.13</v>
      </c>
      <c r="X31" s="22">
        <v>111322.95</v>
      </c>
      <c r="Y31" s="205">
        <v>75219.710000000006</v>
      </c>
      <c r="Z31" s="199"/>
      <c r="AA31" s="199"/>
      <c r="AB31" s="191"/>
      <c r="AC31" s="146"/>
      <c r="AD31" s="146"/>
      <c r="AE31" s="146"/>
      <c r="AF31" s="146"/>
      <c r="AG31" s="146"/>
      <c r="AH31" s="146"/>
      <c r="AI31" s="146"/>
      <c r="AJ31" s="146"/>
      <c r="AK31" s="146"/>
      <c r="AL31" s="199"/>
    </row>
    <row r="32" spans="1:38" s="5" customFormat="1" ht="14.4" outlineLevel="1" x14ac:dyDescent="0.3">
      <c r="A32" s="255"/>
      <c r="B32" s="19" t="s">
        <v>8</v>
      </c>
      <c r="C32" s="9">
        <v>0</v>
      </c>
      <c r="D32" s="9">
        <v>1.32</v>
      </c>
      <c r="E32" s="9">
        <v>-5.29</v>
      </c>
      <c r="F32" s="9">
        <v>-200.94</v>
      </c>
      <c r="G32" s="9">
        <v>-352.62</v>
      </c>
      <c r="H32" s="9">
        <v>-436.28</v>
      </c>
      <c r="I32" s="9">
        <v>-478.4</v>
      </c>
      <c r="J32" s="9">
        <v>-545.15</v>
      </c>
      <c r="K32" s="143">
        <v>-2112.7799999999997</v>
      </c>
      <c r="L32" s="143">
        <f>SUM(C32:J32)-K32</f>
        <v>95.419999999999618</v>
      </c>
      <c r="M32" s="184"/>
      <c r="N32" s="184"/>
      <c r="O32" s="255"/>
      <c r="P32" s="18" t="s">
        <v>48</v>
      </c>
      <c r="Q32" s="9">
        <v>590056.021634734</v>
      </c>
      <c r="R32" s="9">
        <v>533384.76716296654</v>
      </c>
      <c r="S32" s="9">
        <v>422165.3149165514</v>
      </c>
      <c r="T32" s="9">
        <v>376930.70162387798</v>
      </c>
      <c r="U32" s="9">
        <v>497530.9278657817</v>
      </c>
      <c r="V32" s="9">
        <v>667644.40122413775</v>
      </c>
      <c r="W32" s="9">
        <v>626838.17413038632</v>
      </c>
      <c r="X32" s="9">
        <v>565053.06803544634</v>
      </c>
      <c r="Y32" s="9">
        <v>382914.64026905363</v>
      </c>
      <c r="AB32" s="191"/>
      <c r="AC32" s="146"/>
      <c r="AD32" s="146"/>
      <c r="AE32" s="146"/>
      <c r="AF32" s="146"/>
      <c r="AG32" s="146"/>
      <c r="AH32" s="146"/>
      <c r="AI32" s="146"/>
      <c r="AJ32" s="146"/>
      <c r="AK32" s="146"/>
      <c r="AL32" s="199"/>
    </row>
    <row r="33" spans="1:38" s="5" customFormat="1" ht="14.4" outlineLevel="1" x14ac:dyDescent="0.3">
      <c r="A33" s="255"/>
      <c r="B33" s="18" t="s">
        <v>14</v>
      </c>
      <c r="C33" s="9">
        <v>0.38250960519337501</v>
      </c>
      <c r="D33" s="9">
        <v>594.1670043950628</v>
      </c>
      <c r="E33" s="9">
        <v>-2970.3019374952682</v>
      </c>
      <c r="F33" s="9">
        <v>-88816.575261659498</v>
      </c>
      <c r="G33" s="9">
        <v>-72230.027040740766</v>
      </c>
      <c r="H33" s="9">
        <v>-59681.153243221983</v>
      </c>
      <c r="I33" s="9">
        <v>-36334.888237649262</v>
      </c>
      <c r="J33" s="9">
        <v>-50568.083606677494</v>
      </c>
      <c r="M33" s="184"/>
      <c r="N33" s="184"/>
      <c r="O33" s="255"/>
      <c r="P33" s="18" t="s">
        <v>13</v>
      </c>
      <c r="Q33" s="9">
        <v>86133.198655375512</v>
      </c>
      <c r="R33" s="9">
        <v>-70294.251757633756</v>
      </c>
      <c r="S33" s="9">
        <v>-209165.47822788436</v>
      </c>
      <c r="T33" s="9">
        <v>-137615.28236749448</v>
      </c>
      <c r="U33" s="9">
        <v>248433.71193049941</v>
      </c>
      <c r="V33" s="9">
        <v>354316.74050838663</v>
      </c>
      <c r="W33" s="9">
        <v>594302.11378261668</v>
      </c>
      <c r="X33" s="9">
        <v>473881.47595819214</v>
      </c>
      <c r="Y33" s="9">
        <v>73938.549640369252</v>
      </c>
      <c r="Z33" s="106" t="s">
        <v>80</v>
      </c>
      <c r="AA33" s="106" t="s">
        <v>90</v>
      </c>
      <c r="AB33" s="191"/>
      <c r="AC33" s="146"/>
      <c r="AD33" s="146"/>
      <c r="AE33" s="146"/>
      <c r="AF33" s="146"/>
      <c r="AG33" s="146"/>
      <c r="AH33" s="146"/>
      <c r="AI33" s="146"/>
      <c r="AJ33" s="146"/>
      <c r="AK33" s="146"/>
      <c r="AL33" s="206"/>
    </row>
    <row r="34" spans="1:38" s="5" customFormat="1" ht="14.4" outlineLevel="1" x14ac:dyDescent="0.3">
      <c r="A34" s="255"/>
      <c r="B34" s="20" t="s">
        <v>17</v>
      </c>
      <c r="C34" s="9">
        <v>0.38250960519337501</v>
      </c>
      <c r="D34" s="9">
        <v>594.54951400025618</v>
      </c>
      <c r="E34" s="9">
        <v>-2375.752423495012</v>
      </c>
      <c r="F34" s="9">
        <v>-91192.327685154509</v>
      </c>
      <c r="G34" s="9">
        <v>-163422.35472589527</v>
      </c>
      <c r="H34" s="9">
        <v>-223103.50796911726</v>
      </c>
      <c r="I34" s="9">
        <v>-259438.39620676651</v>
      </c>
      <c r="J34" s="9">
        <v>-310006.47981344402</v>
      </c>
      <c r="M34" s="184"/>
      <c r="N34" s="184"/>
      <c r="O34" s="255"/>
      <c r="P34" s="19" t="s">
        <v>8</v>
      </c>
      <c r="Q34" s="9">
        <v>-2.91</v>
      </c>
      <c r="R34" s="9">
        <v>50.9</v>
      </c>
      <c r="S34" s="9">
        <v>-73.48</v>
      </c>
      <c r="T34" s="9">
        <v>-16.95</v>
      </c>
      <c r="U34" s="9">
        <v>19.760000000000002</v>
      </c>
      <c r="V34" s="9">
        <v>108.88</v>
      </c>
      <c r="W34" s="9">
        <v>158.51</v>
      </c>
      <c r="X34" s="9">
        <v>204.25</v>
      </c>
      <c r="Y34" s="9">
        <v>354.55</v>
      </c>
      <c r="Z34" s="107">
        <v>321.81</v>
      </c>
      <c r="AA34" s="143">
        <v>481.7</v>
      </c>
      <c r="AB34" s="191"/>
      <c r="AC34" s="146"/>
      <c r="AD34" s="146"/>
      <c r="AE34" s="146"/>
      <c r="AF34" s="146"/>
      <c r="AG34" s="146"/>
      <c r="AH34" s="146"/>
      <c r="AI34" s="146"/>
      <c r="AJ34" s="146"/>
      <c r="AK34" s="146"/>
      <c r="AL34" s="207"/>
    </row>
    <row r="35" spans="1:38" s="5" customFormat="1" ht="16.5" customHeight="1" outlineLevel="1" x14ac:dyDescent="0.3">
      <c r="A35" s="44"/>
      <c r="B35" s="13"/>
      <c r="C35" s="14"/>
      <c r="D35" s="14"/>
      <c r="E35" s="14"/>
      <c r="F35" s="14"/>
      <c r="G35" s="14"/>
      <c r="H35" s="14"/>
      <c r="I35" s="14"/>
      <c r="J35" s="14"/>
      <c r="M35" s="184"/>
      <c r="N35" s="184"/>
      <c r="O35" s="255"/>
      <c r="P35" s="18" t="s">
        <v>14</v>
      </c>
      <c r="Q35" s="9">
        <v>86130.288655375509</v>
      </c>
      <c r="R35" s="9">
        <v>-70243.351757633762</v>
      </c>
      <c r="S35" s="9">
        <v>-209238.95822788437</v>
      </c>
      <c r="T35" s="9">
        <v>-137632.23236749449</v>
      </c>
      <c r="U35" s="9">
        <v>248453.47193049942</v>
      </c>
      <c r="V35" s="9">
        <v>354425.62050838664</v>
      </c>
      <c r="W35" s="9">
        <v>594460.62378261669</v>
      </c>
      <c r="X35" s="9">
        <v>474085.72595819214</v>
      </c>
      <c r="Y35" s="9">
        <v>74293.099640369255</v>
      </c>
      <c r="AB35" s="191"/>
      <c r="AC35" s="146"/>
      <c r="AD35" s="146"/>
      <c r="AE35" s="146"/>
      <c r="AF35" s="146"/>
      <c r="AG35" s="146"/>
      <c r="AH35" s="146"/>
      <c r="AI35" s="146"/>
      <c r="AJ35" s="146"/>
      <c r="AK35" s="146"/>
      <c r="AL35" s="199"/>
    </row>
    <row r="36" spans="1:38" s="5" customFormat="1" ht="15" customHeight="1" outlineLevel="1" x14ac:dyDescent="0.3">
      <c r="A36" s="255" t="s">
        <v>23</v>
      </c>
      <c r="B36" s="17"/>
      <c r="C36" s="9"/>
      <c r="D36" s="9"/>
      <c r="E36" s="9"/>
      <c r="F36" s="9"/>
      <c r="G36" s="9"/>
      <c r="H36" s="9"/>
      <c r="I36" s="9"/>
      <c r="J36" s="9"/>
      <c r="M36" s="184"/>
      <c r="N36" s="184"/>
      <c r="O36" s="255"/>
      <c r="P36" s="20" t="s">
        <v>15</v>
      </c>
      <c r="Q36" s="9">
        <v>-1937.7221135914442</v>
      </c>
      <c r="R36" s="9">
        <v>32393.436128774789</v>
      </c>
      <c r="S36" s="9">
        <v>-94026.542099109589</v>
      </c>
      <c r="T36" s="9">
        <v>-157653.12446660409</v>
      </c>
      <c r="U36" s="9">
        <v>188741.52746389533</v>
      </c>
      <c r="V36" s="9">
        <v>674761.81797228195</v>
      </c>
      <c r="W36" s="9">
        <v>1392749.5717548986</v>
      </c>
      <c r="X36" s="9">
        <v>1978158.2477130909</v>
      </c>
      <c r="Y36" s="9">
        <v>2127671.0573534602</v>
      </c>
      <c r="AB36" s="191"/>
      <c r="AC36" s="146"/>
      <c r="AD36" s="146"/>
      <c r="AE36" s="146"/>
      <c r="AF36" s="146"/>
      <c r="AG36" s="146"/>
      <c r="AH36" s="146"/>
      <c r="AI36" s="146"/>
      <c r="AJ36" s="146"/>
      <c r="AK36" s="146"/>
      <c r="AL36" s="199"/>
    </row>
    <row r="37" spans="1:38" s="3" customFormat="1" ht="15" customHeight="1" outlineLevel="1" x14ac:dyDescent="0.3">
      <c r="A37" s="255"/>
      <c r="B37" s="17" t="s">
        <v>28</v>
      </c>
      <c r="C37" s="22">
        <v>0</v>
      </c>
      <c r="D37" s="22">
        <v>10.498979963866001</v>
      </c>
      <c r="E37" s="22">
        <v>1076.2976856366847</v>
      </c>
      <c r="F37" s="22">
        <v>8208.8465748072213</v>
      </c>
      <c r="G37" s="22">
        <v>17844.087336984448</v>
      </c>
      <c r="H37" s="22">
        <v>19824.195520493558</v>
      </c>
      <c r="I37" s="22">
        <v>22243.951069283008</v>
      </c>
      <c r="J37" s="22">
        <v>14376.331615218623</v>
      </c>
      <c r="M37" s="187"/>
      <c r="N37" s="187"/>
      <c r="O37" s="44"/>
      <c r="P37" s="13"/>
      <c r="Q37" s="14"/>
      <c r="R37" s="14"/>
      <c r="S37" s="14"/>
      <c r="T37" s="14"/>
      <c r="U37" s="14"/>
      <c r="V37" s="14"/>
      <c r="W37" s="14"/>
      <c r="X37" s="14"/>
      <c r="Y37" s="14"/>
      <c r="Z37" s="5"/>
      <c r="AA37" s="5"/>
      <c r="AB37" s="191"/>
      <c r="AC37" s="146"/>
      <c r="AD37" s="146"/>
      <c r="AE37" s="146"/>
      <c r="AF37" s="146"/>
      <c r="AG37" s="146"/>
      <c r="AH37" s="146"/>
      <c r="AI37" s="146"/>
      <c r="AJ37" s="146"/>
      <c r="AK37" s="146"/>
      <c r="AL37" s="199"/>
    </row>
    <row r="38" spans="1:38" s="5" customFormat="1" ht="15" customHeight="1" outlineLevel="1" x14ac:dyDescent="0.3">
      <c r="A38" s="255"/>
      <c r="B38" s="18" t="s">
        <v>26</v>
      </c>
      <c r="C38" s="22">
        <v>0</v>
      </c>
      <c r="D38" s="22">
        <v>0</v>
      </c>
      <c r="E38" s="22">
        <v>2381.1324731369587</v>
      </c>
      <c r="F38" s="22">
        <v>41080.759711289073</v>
      </c>
      <c r="G38" s="22">
        <v>46620.227707662583</v>
      </c>
      <c r="H38" s="22">
        <v>48915.290383093015</v>
      </c>
      <c r="I38" s="22">
        <v>48689.064699160743</v>
      </c>
      <c r="J38" s="22">
        <v>45154.720570269681</v>
      </c>
      <c r="M38" s="184"/>
      <c r="N38" s="184"/>
      <c r="O38" s="255" t="s">
        <v>21</v>
      </c>
      <c r="P38" s="17"/>
      <c r="Q38" s="9"/>
      <c r="R38" s="9"/>
      <c r="S38" s="9"/>
      <c r="T38" s="9"/>
      <c r="U38" s="9"/>
      <c r="V38" s="9"/>
      <c r="W38" s="9"/>
      <c r="X38" s="9"/>
      <c r="Y38" s="9"/>
      <c r="AB38" s="191"/>
      <c r="AC38" s="146"/>
      <c r="AD38" s="146"/>
      <c r="AE38" s="146"/>
      <c r="AF38" s="146"/>
      <c r="AG38" s="146"/>
      <c r="AH38" s="146"/>
      <c r="AI38" s="146"/>
      <c r="AJ38" s="146"/>
      <c r="AK38" s="146"/>
      <c r="AL38" s="199"/>
    </row>
    <row r="39" spans="1:38" s="5" customFormat="1" ht="15" customHeight="1" outlineLevel="1" x14ac:dyDescent="0.3">
      <c r="A39" s="255"/>
      <c r="B39" s="18" t="s">
        <v>47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M39" s="184"/>
      <c r="N39" s="184"/>
      <c r="O39" s="255"/>
      <c r="P39" s="17" t="s">
        <v>28</v>
      </c>
      <c r="Q39" s="22">
        <v>88043.147483850829</v>
      </c>
      <c r="R39" s="22">
        <v>103641.60510926238</v>
      </c>
      <c r="S39" s="22">
        <v>44495.668454394727</v>
      </c>
      <c r="T39" s="22">
        <v>72447.479306892477</v>
      </c>
      <c r="U39" s="22">
        <v>100242.14080653639</v>
      </c>
      <c r="V39" s="22">
        <v>144814.88878280437</v>
      </c>
      <c r="W39" s="22">
        <v>113846.66455304027</v>
      </c>
      <c r="X39" s="22">
        <v>127713.0610159208</v>
      </c>
      <c r="Y39" s="22">
        <v>102944.20736329375</v>
      </c>
      <c r="Z39" s="3"/>
      <c r="AA39" s="3"/>
      <c r="AB39" s="191"/>
      <c r="AC39" s="146"/>
      <c r="AD39" s="146"/>
      <c r="AE39" s="146"/>
      <c r="AF39" s="146"/>
      <c r="AG39" s="146"/>
      <c r="AH39" s="146"/>
      <c r="AI39" s="146"/>
      <c r="AJ39" s="146"/>
      <c r="AK39" s="146"/>
      <c r="AL39" s="202"/>
    </row>
    <row r="40" spans="1:38" s="5" customFormat="1" ht="15" customHeight="1" outlineLevel="1" x14ac:dyDescent="0.3">
      <c r="A40" s="255"/>
      <c r="B40" s="18" t="s">
        <v>48</v>
      </c>
      <c r="C40" s="9">
        <v>0</v>
      </c>
      <c r="D40" s="9">
        <v>0</v>
      </c>
      <c r="E40" s="9">
        <v>2381.1324731369587</v>
      </c>
      <c r="F40" s="9">
        <v>41080.759711289073</v>
      </c>
      <c r="G40" s="9">
        <v>46620.227707662583</v>
      </c>
      <c r="H40" s="9">
        <v>48915.290383093015</v>
      </c>
      <c r="I40" s="9">
        <v>48689.064699160743</v>
      </c>
      <c r="J40" s="9">
        <v>45154.720570269681</v>
      </c>
      <c r="M40" s="184"/>
      <c r="N40" s="184"/>
      <c r="O40" s="255"/>
      <c r="P40" s="18" t="s">
        <v>26</v>
      </c>
      <c r="Q40" s="22">
        <v>72477.677451482814</v>
      </c>
      <c r="R40" s="22">
        <v>71928.028717536567</v>
      </c>
      <c r="S40" s="22">
        <v>55453.451619799707</v>
      </c>
      <c r="T40" s="22">
        <v>50391.746026202469</v>
      </c>
      <c r="U40" s="22">
        <v>63389.498728401399</v>
      </c>
      <c r="V40" s="22">
        <v>78881.855890584935</v>
      </c>
      <c r="W40" s="22">
        <v>76955.02703194521</v>
      </c>
      <c r="X40" s="22">
        <v>73755.388306573834</v>
      </c>
      <c r="Y40" s="22">
        <v>59772.834718849517</v>
      </c>
      <c r="AB40" s="191"/>
      <c r="AC40" s="146"/>
      <c r="AD40" s="146"/>
      <c r="AE40" s="146"/>
      <c r="AF40" s="146"/>
      <c r="AG40" s="146"/>
      <c r="AH40" s="146"/>
      <c r="AI40" s="146"/>
      <c r="AJ40" s="146"/>
      <c r="AK40" s="146"/>
      <c r="AL40" s="199"/>
    </row>
    <row r="41" spans="1:38" s="5" customFormat="1" ht="14.4" outlineLevel="1" x14ac:dyDescent="0.3">
      <c r="A41" s="255"/>
      <c r="B41" s="18" t="s">
        <v>13</v>
      </c>
      <c r="C41" s="9">
        <v>0</v>
      </c>
      <c r="D41" s="9">
        <v>10.498979963866001</v>
      </c>
      <c r="E41" s="9">
        <v>-1304.8347875002739</v>
      </c>
      <c r="F41" s="9">
        <v>-32871.913136481853</v>
      </c>
      <c r="G41" s="9">
        <v>-28776.140370678135</v>
      </c>
      <c r="H41" s="9">
        <v>-29091.094862599457</v>
      </c>
      <c r="I41" s="9">
        <v>-26445.113629877735</v>
      </c>
      <c r="J41" s="9">
        <v>-30778.388955051058</v>
      </c>
      <c r="K41" s="106" t="s">
        <v>80</v>
      </c>
      <c r="L41" s="106" t="s">
        <v>90</v>
      </c>
      <c r="M41" s="184"/>
      <c r="N41" s="184"/>
      <c r="O41" s="255"/>
      <c r="P41" s="18" t="s">
        <v>47</v>
      </c>
      <c r="Q41" s="22">
        <v>17996.03</v>
      </c>
      <c r="R41" s="22">
        <v>17828.82</v>
      </c>
      <c r="S41" s="22">
        <v>13698.34</v>
      </c>
      <c r="T41" s="22">
        <v>12419.68</v>
      </c>
      <c r="U41" s="22">
        <v>15595.43</v>
      </c>
      <c r="V41" s="22">
        <v>19419.18</v>
      </c>
      <c r="W41" s="22">
        <v>18927.88</v>
      </c>
      <c r="X41" s="22">
        <v>18118.43</v>
      </c>
      <c r="Y41" s="22">
        <v>14686.23</v>
      </c>
      <c r="AB41" s="191"/>
      <c r="AC41" s="146"/>
      <c r="AD41" s="146"/>
      <c r="AE41" s="146"/>
      <c r="AF41" s="146"/>
      <c r="AG41" s="146"/>
      <c r="AH41" s="146"/>
      <c r="AI41" s="146"/>
      <c r="AJ41" s="146"/>
      <c r="AK41" s="146"/>
      <c r="AL41" s="199"/>
    </row>
    <row r="42" spans="1:38" s="5" customFormat="1" ht="14.4" outlineLevel="1" x14ac:dyDescent="0.3">
      <c r="A42" s="255"/>
      <c r="B42" s="19" t="s">
        <v>8</v>
      </c>
      <c r="C42" s="9">
        <v>0</v>
      </c>
      <c r="D42" s="9">
        <v>0.02</v>
      </c>
      <c r="E42" s="9">
        <v>-2.89</v>
      </c>
      <c r="F42" s="9">
        <v>-75.459999999999994</v>
      </c>
      <c r="G42" s="9">
        <v>-136.28</v>
      </c>
      <c r="H42" s="9">
        <v>-180.74</v>
      </c>
      <c r="I42" s="9">
        <v>-219.61</v>
      </c>
      <c r="J42" s="9">
        <v>-264.02</v>
      </c>
      <c r="K42" s="143">
        <v>-925.55</v>
      </c>
      <c r="L42" s="143">
        <f>SUM(C42:J42)-K42</f>
        <v>46.569999999999936</v>
      </c>
      <c r="M42" s="184"/>
      <c r="N42" s="184"/>
      <c r="O42" s="255"/>
      <c r="P42" s="18" t="s">
        <v>48</v>
      </c>
      <c r="Q42" s="9">
        <v>90473.707451482813</v>
      </c>
      <c r="R42" s="9">
        <v>89756.848717536574</v>
      </c>
      <c r="S42" s="9">
        <v>69151.791619799711</v>
      </c>
      <c r="T42" s="9">
        <v>62811.426026202469</v>
      </c>
      <c r="U42" s="9">
        <v>78984.928728401399</v>
      </c>
      <c r="V42" s="9">
        <v>98301.035890584928</v>
      </c>
      <c r="W42" s="9">
        <v>95882.907031945215</v>
      </c>
      <c r="X42" s="9">
        <v>91873.818306573841</v>
      </c>
      <c r="Y42" s="9">
        <v>74459.06471884952</v>
      </c>
      <c r="AB42" s="191"/>
      <c r="AC42" s="146"/>
      <c r="AD42" s="146"/>
      <c r="AE42" s="146"/>
      <c r="AF42" s="146"/>
      <c r="AG42" s="146"/>
      <c r="AH42" s="146"/>
      <c r="AI42" s="146"/>
      <c r="AJ42" s="146"/>
      <c r="AK42" s="146"/>
      <c r="AL42" s="199"/>
    </row>
    <row r="43" spans="1:38" s="5" customFormat="1" ht="14.4" outlineLevel="1" x14ac:dyDescent="0.3">
      <c r="A43" s="255"/>
      <c r="B43" s="18" t="s">
        <v>14</v>
      </c>
      <c r="C43" s="9">
        <v>0</v>
      </c>
      <c r="D43" s="9">
        <v>10.518979963866</v>
      </c>
      <c r="E43" s="9">
        <v>-1307.724787500274</v>
      </c>
      <c r="F43" s="9">
        <v>-32947.373136481852</v>
      </c>
      <c r="G43" s="9">
        <v>-28912.420370678134</v>
      </c>
      <c r="H43" s="9">
        <v>-29271.834862599459</v>
      </c>
      <c r="I43" s="9">
        <v>-26664.723629877735</v>
      </c>
      <c r="J43" s="9">
        <v>-31042.408955051058</v>
      </c>
      <c r="M43" s="184"/>
      <c r="N43" s="184"/>
      <c r="O43" s="255"/>
      <c r="P43" s="18" t="s">
        <v>13</v>
      </c>
      <c r="Q43" s="9">
        <v>-2430.5599676319835</v>
      </c>
      <c r="R43" s="9">
        <v>13884.756391725808</v>
      </c>
      <c r="S43" s="9">
        <v>-24656.123165404984</v>
      </c>
      <c r="T43" s="9">
        <v>9636.0532806900083</v>
      </c>
      <c r="U43" s="9">
        <v>21257.212078134995</v>
      </c>
      <c r="V43" s="9">
        <v>46513.852892219438</v>
      </c>
      <c r="W43" s="9">
        <v>17963.75752109506</v>
      </c>
      <c r="X43" s="9">
        <v>35839.24270934696</v>
      </c>
      <c r="Y43" s="9">
        <v>28485.142644444233</v>
      </c>
      <c r="Z43" s="106" t="s">
        <v>80</v>
      </c>
      <c r="AA43" s="106" t="s">
        <v>89</v>
      </c>
      <c r="AB43" s="191"/>
      <c r="AC43" s="146"/>
      <c r="AD43" s="146"/>
      <c r="AE43" s="146"/>
      <c r="AF43" s="146"/>
      <c r="AG43" s="146"/>
      <c r="AH43" s="146"/>
      <c r="AI43" s="146"/>
      <c r="AJ43" s="146"/>
      <c r="AK43" s="146"/>
      <c r="AL43" s="206"/>
    </row>
    <row r="44" spans="1:38" s="5" customFormat="1" ht="14.4" outlineLevel="1" x14ac:dyDescent="0.3">
      <c r="A44" s="255"/>
      <c r="B44" s="20" t="s">
        <v>18</v>
      </c>
      <c r="C44" s="9">
        <v>0</v>
      </c>
      <c r="D44" s="9">
        <v>10.518979963866</v>
      </c>
      <c r="E44" s="9">
        <v>-1297.205807536408</v>
      </c>
      <c r="F44" s="9">
        <v>-34244.578944018263</v>
      </c>
      <c r="G44" s="9">
        <v>-63156.999314696397</v>
      </c>
      <c r="H44" s="9">
        <v>-92428.834177295852</v>
      </c>
      <c r="I44" s="9">
        <v>-119093.55780717358</v>
      </c>
      <c r="J44" s="9">
        <v>-150135.96676222465</v>
      </c>
      <c r="M44" s="184"/>
      <c r="N44" s="184"/>
      <c r="O44" s="255"/>
      <c r="P44" s="19" t="s">
        <v>8</v>
      </c>
      <c r="Q44" s="9">
        <v>26.58</v>
      </c>
      <c r="R44" s="9">
        <v>77.78</v>
      </c>
      <c r="S44" s="9">
        <v>30.14</v>
      </c>
      <c r="T44" s="9">
        <v>6.52</v>
      </c>
      <c r="U44" s="9">
        <v>10.210000000000001</v>
      </c>
      <c r="V44" s="9">
        <v>26.38</v>
      </c>
      <c r="W44" s="9">
        <v>22.8</v>
      </c>
      <c r="X44" s="9">
        <v>26.26</v>
      </c>
      <c r="Y44" s="9">
        <v>49.59</v>
      </c>
      <c r="Z44" s="107">
        <v>197.73</v>
      </c>
      <c r="AA44" s="143">
        <v>78.53</v>
      </c>
      <c r="AB44" s="191"/>
      <c r="AC44" s="146"/>
      <c r="AD44" s="146"/>
      <c r="AE44" s="146"/>
      <c r="AF44" s="146"/>
      <c r="AG44" s="146"/>
      <c r="AH44" s="146"/>
      <c r="AI44" s="146"/>
      <c r="AJ44" s="146"/>
      <c r="AK44" s="146"/>
      <c r="AL44" s="207"/>
    </row>
    <row r="45" spans="1:38" s="5" customFormat="1" ht="20.25" customHeight="1" outlineLevel="1" x14ac:dyDescent="0.3">
      <c r="A45" s="44"/>
      <c r="B45" s="13"/>
      <c r="C45" s="14"/>
      <c r="D45" s="14"/>
      <c r="E45" s="14"/>
      <c r="F45" s="14"/>
      <c r="G45" s="14"/>
      <c r="H45" s="14"/>
      <c r="I45" s="14"/>
      <c r="J45" s="14"/>
      <c r="M45" s="184"/>
      <c r="N45" s="184"/>
      <c r="O45" s="255"/>
      <c r="P45" s="18" t="s">
        <v>14</v>
      </c>
      <c r="Q45" s="9">
        <v>-2403.9799676319835</v>
      </c>
      <c r="R45" s="9">
        <v>13962.536391725809</v>
      </c>
      <c r="S45" s="9">
        <v>-24625.983165404985</v>
      </c>
      <c r="T45" s="9">
        <v>9642.5732806900087</v>
      </c>
      <c r="U45" s="9">
        <v>21267.422078134994</v>
      </c>
      <c r="V45" s="9">
        <v>46540.232892219436</v>
      </c>
      <c r="W45" s="9">
        <v>17986.557521095059</v>
      </c>
      <c r="X45" s="9">
        <v>35865.502709346962</v>
      </c>
      <c r="Y45" s="9">
        <v>28534.732644444233</v>
      </c>
      <c r="AB45" s="191"/>
      <c r="AC45" s="146"/>
      <c r="AD45" s="146"/>
      <c r="AE45" s="146"/>
      <c r="AF45" s="146"/>
      <c r="AG45" s="146"/>
      <c r="AH45" s="146"/>
      <c r="AI45" s="146"/>
      <c r="AJ45" s="146"/>
      <c r="AK45" s="146"/>
      <c r="AL45" s="199"/>
    </row>
    <row r="46" spans="1:38" s="5" customFormat="1" ht="15" customHeight="1" outlineLevel="1" x14ac:dyDescent="0.3">
      <c r="A46" s="255" t="s">
        <v>24</v>
      </c>
      <c r="B46" s="17"/>
      <c r="C46" s="9"/>
      <c r="D46" s="9"/>
      <c r="E46" s="9"/>
      <c r="F46" s="9"/>
      <c r="G46" s="9"/>
      <c r="H46" s="9"/>
      <c r="I46" s="9"/>
      <c r="J46" s="9"/>
      <c r="M46" s="184"/>
      <c r="N46" s="184"/>
      <c r="O46" s="255"/>
      <c r="P46" s="20" t="s">
        <v>16</v>
      </c>
      <c r="Q46" s="9">
        <v>17709.387711885101</v>
      </c>
      <c r="R46" s="9">
        <v>49500.744103610908</v>
      </c>
      <c r="S46" s="9">
        <v>38573.100938205927</v>
      </c>
      <c r="T46" s="9">
        <v>60635.35421889594</v>
      </c>
      <c r="U46" s="9">
        <v>97498.206297030934</v>
      </c>
      <c r="V46" s="9">
        <v>163457.61918925037</v>
      </c>
      <c r="W46" s="9">
        <v>200372.05671034544</v>
      </c>
      <c r="X46" s="9">
        <v>254355.9894196924</v>
      </c>
      <c r="Y46" s="9">
        <v>297576.95206413663</v>
      </c>
      <c r="AB46" s="191"/>
      <c r="AC46" s="146"/>
      <c r="AD46" s="146"/>
      <c r="AE46" s="146"/>
      <c r="AF46" s="146"/>
      <c r="AG46" s="146"/>
      <c r="AH46" s="146"/>
      <c r="AI46" s="146"/>
      <c r="AJ46" s="146"/>
      <c r="AK46" s="146"/>
      <c r="AL46" s="199"/>
    </row>
    <row r="47" spans="1:38" s="3" customFormat="1" ht="15" customHeight="1" outlineLevel="1" x14ac:dyDescent="0.3">
      <c r="A47" s="255"/>
      <c r="B47" s="17" t="s">
        <v>28</v>
      </c>
      <c r="C47" s="22">
        <v>0</v>
      </c>
      <c r="D47" s="22">
        <v>0</v>
      </c>
      <c r="E47" s="22">
        <v>178.04544936482247</v>
      </c>
      <c r="F47" s="22">
        <v>661.15950808601849</v>
      </c>
      <c r="G47" s="22">
        <v>877.99265710747466</v>
      </c>
      <c r="H47" s="22">
        <v>967.48184726463296</v>
      </c>
      <c r="I47" s="22">
        <v>1381.2114306574015</v>
      </c>
      <c r="J47" s="22">
        <v>1095.1994877590121</v>
      </c>
      <c r="M47" s="187"/>
      <c r="N47" s="187"/>
      <c r="O47" s="44"/>
      <c r="P47" s="13"/>
      <c r="Q47" s="14"/>
      <c r="R47" s="14"/>
      <c r="S47" s="14"/>
      <c r="T47" s="14"/>
      <c r="U47" s="14"/>
      <c r="V47" s="14"/>
      <c r="W47" s="14"/>
      <c r="X47" s="14"/>
      <c r="Y47" s="14"/>
      <c r="Z47" s="5"/>
      <c r="AA47" s="5"/>
      <c r="AB47" s="191"/>
      <c r="AC47" s="146"/>
      <c r="AD47" s="146"/>
      <c r="AE47" s="146"/>
      <c r="AF47" s="146"/>
      <c r="AG47" s="146"/>
      <c r="AH47" s="146"/>
      <c r="AI47" s="146"/>
      <c r="AJ47" s="146"/>
      <c r="AK47" s="146"/>
      <c r="AL47" s="199"/>
    </row>
    <row r="48" spans="1:38" s="5" customFormat="1" ht="15" customHeight="1" outlineLevel="1" x14ac:dyDescent="0.3">
      <c r="A48" s="255"/>
      <c r="B48" s="18" t="s">
        <v>26</v>
      </c>
      <c r="C48" s="22">
        <v>0</v>
      </c>
      <c r="D48" s="22">
        <v>0</v>
      </c>
      <c r="E48" s="22">
        <v>-48.583419353926594</v>
      </c>
      <c r="F48" s="22">
        <v>4125.9071778961579</v>
      </c>
      <c r="G48" s="22">
        <v>6806.3797850987785</v>
      </c>
      <c r="H48" s="22">
        <v>7524.9044581782691</v>
      </c>
      <c r="I48" s="22">
        <v>7658.4495072300715</v>
      </c>
      <c r="J48" s="22">
        <v>7241.6490844376849</v>
      </c>
      <c r="M48" s="184"/>
      <c r="N48" s="184"/>
      <c r="O48" s="255" t="s">
        <v>22</v>
      </c>
      <c r="P48" s="17"/>
      <c r="Q48" s="9"/>
      <c r="R48" s="9"/>
      <c r="S48" s="9"/>
      <c r="T48" s="9"/>
      <c r="U48" s="9"/>
      <c r="V48" s="9"/>
      <c r="W48" s="9"/>
      <c r="X48" s="9"/>
      <c r="Y48" s="9"/>
      <c r="AB48" s="191"/>
      <c r="AC48" s="146"/>
      <c r="AD48" s="146"/>
      <c r="AE48" s="146"/>
      <c r="AF48" s="146"/>
      <c r="AG48" s="146"/>
      <c r="AH48" s="146"/>
      <c r="AI48" s="146"/>
      <c r="AJ48" s="146"/>
      <c r="AK48" s="146"/>
      <c r="AL48" s="199"/>
    </row>
    <row r="49" spans="1:38" s="5" customFormat="1" ht="15" customHeight="1" outlineLevel="1" x14ac:dyDescent="0.3">
      <c r="A49" s="255"/>
      <c r="B49" s="18" t="s">
        <v>47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M49" s="184"/>
      <c r="N49" s="184"/>
      <c r="O49" s="255"/>
      <c r="P49" s="17" t="s">
        <v>28</v>
      </c>
      <c r="Q49" s="22">
        <v>122696.92137199735</v>
      </c>
      <c r="R49" s="22">
        <v>123411.87388052933</v>
      </c>
      <c r="S49" s="22">
        <v>47446.211556775474</v>
      </c>
      <c r="T49" s="22">
        <v>83556.534245541465</v>
      </c>
      <c r="U49" s="22">
        <v>189049.36683437167</v>
      </c>
      <c r="V49" s="22">
        <v>265484.4397628404</v>
      </c>
      <c r="W49" s="22">
        <v>248590.59560852987</v>
      </c>
      <c r="X49" s="22">
        <v>229992.78825383674</v>
      </c>
      <c r="Y49" s="22">
        <v>142655.78999924072</v>
      </c>
      <c r="Z49" s="3"/>
      <c r="AA49" s="3"/>
      <c r="AB49" s="191"/>
      <c r="AC49" s="146"/>
      <c r="AD49" s="146"/>
      <c r="AE49" s="146"/>
      <c r="AF49" s="146"/>
      <c r="AG49" s="146"/>
      <c r="AH49" s="146"/>
      <c r="AI49" s="146"/>
      <c r="AJ49" s="146"/>
      <c r="AK49" s="146"/>
      <c r="AL49" s="202"/>
    </row>
    <row r="50" spans="1:38" s="5" customFormat="1" ht="15" customHeight="1" outlineLevel="1" x14ac:dyDescent="0.3">
      <c r="A50" s="255"/>
      <c r="B50" s="18" t="s">
        <v>48</v>
      </c>
      <c r="C50" s="9">
        <v>0</v>
      </c>
      <c r="D50" s="9">
        <v>0</v>
      </c>
      <c r="E50" s="9">
        <v>-48.583419353926594</v>
      </c>
      <c r="F50" s="9">
        <v>4125.9071778961579</v>
      </c>
      <c r="G50" s="9">
        <v>6806.3797850987785</v>
      </c>
      <c r="H50" s="9">
        <v>7524.9044581782691</v>
      </c>
      <c r="I50" s="9">
        <v>7658.4495072300715</v>
      </c>
      <c r="J50" s="9">
        <v>7241.6490844376849</v>
      </c>
      <c r="M50" s="184"/>
      <c r="N50" s="184"/>
      <c r="O50" s="255"/>
      <c r="P50" s="18" t="s">
        <v>26</v>
      </c>
      <c r="Q50" s="22">
        <v>104313.87773241718</v>
      </c>
      <c r="R50" s="22">
        <v>98420.974410363575</v>
      </c>
      <c r="S50" s="22">
        <v>84560.155028366615</v>
      </c>
      <c r="T50" s="22">
        <v>79147.524446379844</v>
      </c>
      <c r="U50" s="22">
        <v>94049.927973792379</v>
      </c>
      <c r="V50" s="22">
        <v>109708.48677351972</v>
      </c>
      <c r="W50" s="22">
        <v>109463.73998502946</v>
      </c>
      <c r="X50" s="22">
        <v>109154.24836711264</v>
      </c>
      <c r="Y50" s="22">
        <v>93111.170115006884</v>
      </c>
      <c r="AB50" s="191"/>
      <c r="AC50" s="146"/>
      <c r="AD50" s="146"/>
      <c r="AE50" s="146"/>
      <c r="AF50" s="146"/>
      <c r="AG50" s="146"/>
      <c r="AH50" s="146"/>
      <c r="AI50" s="146"/>
      <c r="AJ50" s="146"/>
      <c r="AK50" s="146"/>
      <c r="AL50" s="199"/>
    </row>
    <row r="51" spans="1:38" s="5" customFormat="1" ht="14.4" outlineLevel="1" x14ac:dyDescent="0.3">
      <c r="A51" s="255"/>
      <c r="B51" s="18" t="s">
        <v>13</v>
      </c>
      <c r="C51" s="9">
        <v>0</v>
      </c>
      <c r="D51" s="9">
        <v>0</v>
      </c>
      <c r="E51" s="9">
        <v>226.62886871874906</v>
      </c>
      <c r="F51" s="9">
        <v>-3464.7476698101395</v>
      </c>
      <c r="G51" s="9">
        <v>-5928.3871279913037</v>
      </c>
      <c r="H51" s="9">
        <v>-6557.4226109136362</v>
      </c>
      <c r="I51" s="9">
        <v>-6277.2380765726703</v>
      </c>
      <c r="J51" s="9">
        <v>-6146.4495966786726</v>
      </c>
      <c r="K51" s="106" t="s">
        <v>80</v>
      </c>
      <c r="L51" s="106" t="s">
        <v>90</v>
      </c>
      <c r="M51" s="184"/>
      <c r="N51" s="184"/>
      <c r="O51" s="255"/>
      <c r="P51" s="18" t="s">
        <v>47</v>
      </c>
      <c r="Q51" s="22">
        <v>40612.01</v>
      </c>
      <c r="R51" s="22">
        <v>38351.11</v>
      </c>
      <c r="S51" s="22">
        <v>32774.379999999997</v>
      </c>
      <c r="T51" s="22">
        <v>30569.17</v>
      </c>
      <c r="U51" s="22">
        <v>36225.06</v>
      </c>
      <c r="V51" s="22">
        <v>42295.91</v>
      </c>
      <c r="W51" s="22">
        <v>42141.33</v>
      </c>
      <c r="X51" s="22">
        <v>41942.74</v>
      </c>
      <c r="Y51" s="22">
        <v>35788.269999999997</v>
      </c>
      <c r="AB51" s="191"/>
      <c r="AC51" s="146"/>
      <c r="AD51" s="146"/>
      <c r="AE51" s="146"/>
      <c r="AF51" s="146"/>
      <c r="AG51" s="146"/>
      <c r="AH51" s="146"/>
      <c r="AI51" s="146"/>
      <c r="AJ51" s="146"/>
      <c r="AK51" s="146"/>
      <c r="AL51" s="199"/>
    </row>
    <row r="52" spans="1:38" s="5" customFormat="1" ht="14.4" outlineLevel="1" x14ac:dyDescent="0.3">
      <c r="A52" s="255"/>
      <c r="B52" s="19" t="s">
        <v>8</v>
      </c>
      <c r="C52" s="9">
        <v>0</v>
      </c>
      <c r="D52" s="9">
        <v>0</v>
      </c>
      <c r="E52" s="9">
        <v>0.51</v>
      </c>
      <c r="F52" s="9">
        <v>-7.15</v>
      </c>
      <c r="G52" s="9">
        <v>-19.84</v>
      </c>
      <c r="H52" s="9">
        <v>-30.86</v>
      </c>
      <c r="I52" s="9">
        <v>-40.75</v>
      </c>
      <c r="J52" s="9">
        <v>-49.76</v>
      </c>
      <c r="K52" s="143">
        <v>-163.53</v>
      </c>
      <c r="L52" s="143">
        <f>SUM(C52:J52)-K52</f>
        <v>15.680000000000007</v>
      </c>
      <c r="M52" s="184"/>
      <c r="N52" s="184"/>
      <c r="O52" s="255"/>
      <c r="P52" s="18" t="s">
        <v>48</v>
      </c>
      <c r="Q52" s="9">
        <v>144925.88773241718</v>
      </c>
      <c r="R52" s="9">
        <v>136772.08441036358</v>
      </c>
      <c r="S52" s="9">
        <v>117334.5350283666</v>
      </c>
      <c r="T52" s="9">
        <v>109716.69444637984</v>
      </c>
      <c r="U52" s="9">
        <v>130274.98797379238</v>
      </c>
      <c r="V52" s="9">
        <v>152004.39677351972</v>
      </c>
      <c r="W52" s="9">
        <v>151605.06998502946</v>
      </c>
      <c r="X52" s="9">
        <v>151096.98836711264</v>
      </c>
      <c r="Y52" s="9">
        <v>128899.44011500687</v>
      </c>
      <c r="AB52" s="191"/>
      <c r="AC52" s="146"/>
      <c r="AD52" s="146"/>
      <c r="AE52" s="146"/>
      <c r="AF52" s="146"/>
      <c r="AG52" s="146"/>
      <c r="AH52" s="146"/>
      <c r="AI52" s="146"/>
      <c r="AJ52" s="146"/>
      <c r="AK52" s="146"/>
      <c r="AL52" s="199"/>
    </row>
    <row r="53" spans="1:38" s="5" customFormat="1" ht="14.4" outlineLevel="1" x14ac:dyDescent="0.3">
      <c r="A53" s="255"/>
      <c r="B53" s="18" t="s">
        <v>14</v>
      </c>
      <c r="C53" s="9">
        <v>0</v>
      </c>
      <c r="D53" s="9">
        <v>0</v>
      </c>
      <c r="E53" s="9">
        <v>227.13886871874905</v>
      </c>
      <c r="F53" s="9">
        <v>-3471.8976698101396</v>
      </c>
      <c r="G53" s="9">
        <v>-5948.2271279913039</v>
      </c>
      <c r="H53" s="9">
        <v>-6588.2826109136358</v>
      </c>
      <c r="I53" s="9">
        <v>-6317.9880765726703</v>
      </c>
      <c r="J53" s="9">
        <v>-6196.2095966786728</v>
      </c>
      <c r="M53" s="184"/>
      <c r="N53" s="184"/>
      <c r="O53" s="255"/>
      <c r="P53" s="18" t="s">
        <v>13</v>
      </c>
      <c r="Q53" s="9">
        <v>-22228.966360419829</v>
      </c>
      <c r="R53" s="9">
        <v>-13360.21052983425</v>
      </c>
      <c r="S53" s="9">
        <v>-69888.323471591139</v>
      </c>
      <c r="T53" s="9">
        <v>-26160.160200838378</v>
      </c>
      <c r="U53" s="9">
        <v>58774.378860579294</v>
      </c>
      <c r="V53" s="9">
        <v>113480.04298932067</v>
      </c>
      <c r="W53" s="9">
        <v>96985.525623500405</v>
      </c>
      <c r="X53" s="9">
        <v>78895.799886724097</v>
      </c>
      <c r="Y53" s="9">
        <v>13756.349884233845</v>
      </c>
      <c r="Z53" s="106" t="s">
        <v>80</v>
      </c>
      <c r="AA53" s="106" t="s">
        <v>90</v>
      </c>
      <c r="AB53" s="191"/>
      <c r="AC53" s="146"/>
      <c r="AD53" s="146"/>
      <c r="AE53" s="146"/>
      <c r="AF53" s="146"/>
      <c r="AG53" s="146"/>
      <c r="AH53" s="146"/>
      <c r="AI53" s="146"/>
      <c r="AJ53" s="146"/>
      <c r="AK53" s="146"/>
      <c r="AL53" s="206"/>
    </row>
    <row r="54" spans="1:38" s="5" customFormat="1" ht="14.4" outlineLevel="1" x14ac:dyDescent="0.3">
      <c r="A54" s="255"/>
      <c r="B54" s="20" t="s">
        <v>19</v>
      </c>
      <c r="C54" s="9">
        <v>0</v>
      </c>
      <c r="D54" s="9">
        <v>0</v>
      </c>
      <c r="E54" s="9">
        <v>227.13886871874905</v>
      </c>
      <c r="F54" s="9">
        <v>-3244.7588010913905</v>
      </c>
      <c r="G54" s="9">
        <v>-9192.9859290826935</v>
      </c>
      <c r="H54" s="9">
        <v>-15781.26853999633</v>
      </c>
      <c r="I54" s="9">
        <v>-22099.256616569</v>
      </c>
      <c r="J54" s="9">
        <v>-28295.466213247673</v>
      </c>
      <c r="M54" s="184"/>
      <c r="N54" s="184"/>
      <c r="O54" s="255"/>
      <c r="P54" s="19" t="s">
        <v>8</v>
      </c>
      <c r="Q54" s="9">
        <v>-419.27</v>
      </c>
      <c r="R54" s="9">
        <v>-400.36</v>
      </c>
      <c r="S54" s="9">
        <v>-228.28</v>
      </c>
      <c r="T54" s="9">
        <v>-30.95</v>
      </c>
      <c r="U54" s="9">
        <v>-20.18</v>
      </c>
      <c r="V54" s="9">
        <v>-5.97</v>
      </c>
      <c r="W54" s="9">
        <v>11.62</v>
      </c>
      <c r="X54" s="9">
        <v>23.03</v>
      </c>
      <c r="Y54" s="9">
        <v>45.42</v>
      </c>
      <c r="Z54" s="107">
        <v>-1201.2799999999997</v>
      </c>
      <c r="AA54" s="143">
        <v>176.33999999999946</v>
      </c>
      <c r="AB54" s="191"/>
      <c r="AC54" s="146"/>
      <c r="AD54" s="146"/>
      <c r="AE54" s="146"/>
      <c r="AF54" s="146"/>
      <c r="AG54" s="146"/>
      <c r="AH54" s="146"/>
      <c r="AI54" s="146"/>
      <c r="AJ54" s="146"/>
      <c r="AK54" s="146"/>
      <c r="AL54" s="207"/>
    </row>
    <row r="55" spans="1:38" s="5" customFormat="1" ht="16.5" customHeight="1" outlineLevel="1" x14ac:dyDescent="0.3">
      <c r="A55" s="44"/>
      <c r="B55" s="13"/>
      <c r="C55" s="100"/>
      <c r="D55" s="14"/>
      <c r="E55" s="14"/>
      <c r="F55" s="14"/>
      <c r="G55" s="14"/>
      <c r="H55" s="14"/>
      <c r="I55" s="14"/>
      <c r="J55" s="14"/>
      <c r="M55" s="184"/>
      <c r="N55" s="184"/>
      <c r="O55" s="255"/>
      <c r="P55" s="18" t="s">
        <v>14</v>
      </c>
      <c r="Q55" s="9">
        <v>-22648.236360419829</v>
      </c>
      <c r="R55" s="9">
        <v>-13760.570529834251</v>
      </c>
      <c r="S55" s="9">
        <v>-70116.603471591137</v>
      </c>
      <c r="T55" s="9">
        <v>-26191.110200838379</v>
      </c>
      <c r="U55" s="9">
        <v>58754.198860579294</v>
      </c>
      <c r="V55" s="9">
        <v>113474.07298932067</v>
      </c>
      <c r="W55" s="9">
        <v>96997.145623500401</v>
      </c>
      <c r="X55" s="9">
        <v>78918.829886724096</v>
      </c>
      <c r="Y55" s="9">
        <v>13801.769884233845</v>
      </c>
      <c r="AB55" s="191"/>
      <c r="AC55" s="146"/>
      <c r="AD55" s="146"/>
      <c r="AE55" s="146"/>
      <c r="AF55" s="146"/>
      <c r="AG55" s="146"/>
      <c r="AH55" s="146"/>
      <c r="AI55" s="146"/>
      <c r="AJ55" s="146"/>
      <c r="AK55" s="146"/>
      <c r="AL55" s="199"/>
    </row>
    <row r="56" spans="1:38" ht="14.4" x14ac:dyDescent="0.3">
      <c r="O56" s="255"/>
      <c r="P56" s="20" t="s">
        <v>17</v>
      </c>
      <c r="Q56" s="9">
        <v>-279378.1186167358</v>
      </c>
      <c r="R56" s="9">
        <v>-254787.57914657006</v>
      </c>
      <c r="S56" s="9">
        <v>-292129.80261816119</v>
      </c>
      <c r="T56" s="9">
        <v>-287751.74281899957</v>
      </c>
      <c r="U56" s="9">
        <v>-192772.48395842029</v>
      </c>
      <c r="V56" s="9">
        <v>-37002.500969099608</v>
      </c>
      <c r="W56" s="9">
        <v>102135.97465440081</v>
      </c>
      <c r="X56" s="9">
        <v>222997.54454112489</v>
      </c>
      <c r="Y56" s="9">
        <v>272587.58442535874</v>
      </c>
      <c r="Z56" s="5"/>
      <c r="AA56" s="5"/>
      <c r="AB56" s="191"/>
      <c r="AC56" s="146"/>
      <c r="AD56" s="146"/>
      <c r="AE56" s="146"/>
      <c r="AF56" s="146"/>
      <c r="AG56" s="146"/>
      <c r="AH56" s="146"/>
      <c r="AI56" s="146"/>
      <c r="AJ56" s="146"/>
      <c r="AK56" s="146"/>
      <c r="AL56" s="199"/>
    </row>
    <row r="57" spans="1:38" ht="14.4" x14ac:dyDescent="0.3">
      <c r="O57" s="44"/>
      <c r="P57" s="13"/>
      <c r="Q57" s="14"/>
      <c r="R57" s="14"/>
      <c r="S57" s="14"/>
      <c r="T57" s="14"/>
      <c r="U57" s="14"/>
      <c r="V57" s="14"/>
      <c r="W57" s="14"/>
      <c r="X57" s="14"/>
      <c r="Y57" s="14"/>
      <c r="Z57" s="5"/>
      <c r="AA57" s="5"/>
      <c r="AB57" s="191"/>
      <c r="AC57" s="146"/>
      <c r="AD57" s="146"/>
      <c r="AE57" s="146"/>
      <c r="AF57" s="146"/>
      <c r="AG57" s="146"/>
      <c r="AH57" s="146"/>
      <c r="AI57" s="146"/>
      <c r="AJ57" s="146"/>
      <c r="AK57" s="146"/>
      <c r="AL57" s="199"/>
    </row>
    <row r="58" spans="1:38" s="1" customFormat="1" ht="14.4" x14ac:dyDescent="0.3"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179"/>
      <c r="N58" s="179"/>
      <c r="O58" s="255" t="s">
        <v>23</v>
      </c>
      <c r="P58" s="17"/>
      <c r="Q58" s="9"/>
      <c r="R58" s="9"/>
      <c r="S58" s="9"/>
      <c r="T58" s="9"/>
      <c r="U58" s="9"/>
      <c r="V58" s="9"/>
      <c r="W58" s="9"/>
      <c r="X58" s="9"/>
      <c r="Y58" s="9"/>
      <c r="Z58" s="5"/>
      <c r="AA58" s="5"/>
      <c r="AB58" s="191"/>
      <c r="AC58" s="146"/>
      <c r="AD58" s="146"/>
      <c r="AE58" s="146"/>
      <c r="AF58" s="146"/>
      <c r="AG58" s="146"/>
      <c r="AH58" s="146"/>
      <c r="AI58" s="146"/>
      <c r="AJ58" s="146"/>
      <c r="AK58" s="146"/>
      <c r="AL58" s="199"/>
    </row>
    <row r="59" spans="1:38" ht="14.4" x14ac:dyDescent="0.3">
      <c r="C59" s="12">
        <v>43525</v>
      </c>
      <c r="D59" s="12">
        <v>43556</v>
      </c>
      <c r="E59" s="12">
        <v>43586</v>
      </c>
      <c r="F59" s="12">
        <v>43617</v>
      </c>
      <c r="G59" s="12">
        <v>43677</v>
      </c>
      <c r="H59" s="12">
        <v>43708</v>
      </c>
      <c r="I59" s="12">
        <v>43738</v>
      </c>
      <c r="J59" s="12">
        <v>43769</v>
      </c>
      <c r="O59" s="255"/>
      <c r="P59" s="17" t="s">
        <v>28</v>
      </c>
      <c r="Q59" s="22">
        <v>29425.974245256413</v>
      </c>
      <c r="R59" s="22">
        <v>32165.147795809222</v>
      </c>
      <c r="S59" s="22">
        <v>21213.003373036219</v>
      </c>
      <c r="T59" s="22">
        <v>41395.000804902586</v>
      </c>
      <c r="U59" s="22">
        <v>92952.761963081415</v>
      </c>
      <c r="V59" s="22">
        <v>123951.10916307675</v>
      </c>
      <c r="W59" s="22">
        <v>122809.27801030048</v>
      </c>
      <c r="X59" s="22">
        <v>96049.861338882605</v>
      </c>
      <c r="Y59" s="22">
        <v>51830.00376307463</v>
      </c>
      <c r="Z59" s="3"/>
      <c r="AA59" s="3"/>
      <c r="AB59" s="191"/>
      <c r="AC59" s="146"/>
      <c r="AD59" s="146"/>
      <c r="AE59" s="146"/>
      <c r="AF59" s="146"/>
      <c r="AG59" s="146"/>
      <c r="AH59" s="146"/>
      <c r="AI59" s="146"/>
      <c r="AJ59" s="146"/>
      <c r="AK59" s="146"/>
      <c r="AL59" s="202"/>
    </row>
    <row r="60" spans="1:38" ht="14.4" x14ac:dyDescent="0.3">
      <c r="B60" s="39" t="s">
        <v>38</v>
      </c>
      <c r="C60" s="31"/>
      <c r="D60" s="31"/>
      <c r="E60" s="31"/>
      <c r="F60" s="31"/>
      <c r="G60" s="31"/>
      <c r="H60" s="31"/>
      <c r="I60" s="31"/>
      <c r="J60" s="31"/>
      <c r="O60" s="255"/>
      <c r="P60" s="18" t="s">
        <v>26</v>
      </c>
      <c r="Q60" s="22">
        <v>43471.756585125317</v>
      </c>
      <c r="R60" s="22">
        <v>37573.855689531287</v>
      </c>
      <c r="S60" s="22">
        <v>36905.295455925545</v>
      </c>
      <c r="T60" s="22">
        <v>34871.894488322658</v>
      </c>
      <c r="U60" s="22">
        <v>40727.091457001268</v>
      </c>
      <c r="V60" s="22">
        <v>42825.077518324979</v>
      </c>
      <c r="W60" s="22">
        <v>44954.202556147626</v>
      </c>
      <c r="X60" s="22">
        <v>45054.75137109276</v>
      </c>
      <c r="Y60" s="22">
        <v>40035.738044047088</v>
      </c>
      <c r="Z60" s="5"/>
      <c r="AA60" s="5"/>
      <c r="AB60" s="191"/>
      <c r="AC60" s="146"/>
      <c r="AD60" s="146"/>
      <c r="AE60" s="146"/>
      <c r="AF60" s="146"/>
      <c r="AG60" s="146"/>
      <c r="AH60" s="146"/>
      <c r="AI60" s="146"/>
      <c r="AJ60" s="146"/>
      <c r="AK60" s="146"/>
      <c r="AL60" s="199"/>
    </row>
    <row r="61" spans="1:38" ht="14.4" x14ac:dyDescent="0.3">
      <c r="B61" s="40" t="s">
        <v>33</v>
      </c>
      <c r="C61" s="45">
        <v>0</v>
      </c>
      <c r="D61" s="45">
        <v>3542.7066619947968</v>
      </c>
      <c r="E61" s="45">
        <v>30136.455518898227</v>
      </c>
      <c r="F61" s="45">
        <v>273500.38459568418</v>
      </c>
      <c r="G61" s="45">
        <v>714630.19454973028</v>
      </c>
      <c r="H61" s="45">
        <v>1252115.2720556506</v>
      </c>
      <c r="I61" s="45">
        <v>1625934.6179925092</v>
      </c>
      <c r="J61" s="45">
        <v>1762960.5580065004</v>
      </c>
      <c r="O61" s="255"/>
      <c r="P61" s="18" t="s">
        <v>47</v>
      </c>
      <c r="Q61" s="22">
        <v>20708.53</v>
      </c>
      <c r="R61" s="22">
        <v>17927.830000000002</v>
      </c>
      <c r="S61" s="22">
        <v>17511.97</v>
      </c>
      <c r="T61" s="22">
        <v>16485.95</v>
      </c>
      <c r="U61" s="22">
        <v>19200.04</v>
      </c>
      <c r="V61" s="22">
        <v>20208.66</v>
      </c>
      <c r="W61" s="22">
        <v>21182.03</v>
      </c>
      <c r="X61" s="22">
        <v>21187.42</v>
      </c>
      <c r="Y61" s="22">
        <v>18832.849999999999</v>
      </c>
      <c r="Z61" s="5"/>
      <c r="AA61" s="5"/>
      <c r="AB61" s="191"/>
      <c r="AC61" s="146"/>
      <c r="AD61" s="146"/>
      <c r="AE61" s="146"/>
      <c r="AF61" s="146"/>
      <c r="AG61" s="146"/>
      <c r="AH61" s="146"/>
      <c r="AI61" s="146"/>
      <c r="AJ61" s="146"/>
      <c r="AK61" s="146"/>
      <c r="AL61" s="199"/>
    </row>
    <row r="62" spans="1:38" ht="14.4" x14ac:dyDescent="0.3">
      <c r="B62" s="40" t="s">
        <v>34</v>
      </c>
      <c r="C62" s="45">
        <v>0.34412602678174997</v>
      </c>
      <c r="D62" s="45">
        <v>594.19753610000055</v>
      </c>
      <c r="E62" s="45">
        <v>8962.7201321071716</v>
      </c>
      <c r="F62" s="45">
        <v>32604.534313513876</v>
      </c>
      <c r="G62" s="45">
        <v>80268.39554484954</v>
      </c>
      <c r="H62" s="45">
        <v>133550.07117798761</v>
      </c>
      <c r="I62" s="45">
        <v>205226.49945065699</v>
      </c>
      <c r="J62" s="45">
        <v>266976.49556192581</v>
      </c>
      <c r="O62" s="255"/>
      <c r="P62" s="18" t="s">
        <v>48</v>
      </c>
      <c r="Q62" s="9">
        <v>64180.286585125315</v>
      </c>
      <c r="R62" s="9">
        <v>55501.685689531289</v>
      </c>
      <c r="S62" s="9">
        <v>54417.265455925546</v>
      </c>
      <c r="T62" s="9">
        <v>51357.844488322662</v>
      </c>
      <c r="U62" s="9">
        <v>59927.131457001269</v>
      </c>
      <c r="V62" s="9">
        <v>63033.737518324982</v>
      </c>
      <c r="W62" s="9">
        <v>66136.232556147617</v>
      </c>
      <c r="X62" s="9">
        <v>66242.171371092758</v>
      </c>
      <c r="Y62" s="9">
        <v>58868.588044047086</v>
      </c>
      <c r="Z62" s="5"/>
      <c r="AA62" s="5"/>
      <c r="AB62" s="191"/>
      <c r="AC62" s="146"/>
      <c r="AD62" s="146"/>
      <c r="AE62" s="146"/>
      <c r="AF62" s="146"/>
      <c r="AG62" s="146"/>
      <c r="AH62" s="146"/>
      <c r="AI62" s="146"/>
      <c r="AJ62" s="146"/>
      <c r="AK62" s="146"/>
      <c r="AL62" s="199"/>
    </row>
    <row r="63" spans="1:38" ht="14.4" x14ac:dyDescent="0.3">
      <c r="B63" s="40" t="s">
        <v>35</v>
      </c>
      <c r="C63" s="45">
        <v>0.38250960519337501</v>
      </c>
      <c r="D63" s="45">
        <v>592.84700439506275</v>
      </c>
      <c r="E63" s="45">
        <v>3788.6582603776305</v>
      </c>
      <c r="F63" s="45">
        <v>18535.810544392894</v>
      </c>
      <c r="G63" s="45">
        <v>43757.113824202133</v>
      </c>
      <c r="H63" s="45">
        <v>58774.468786924044</v>
      </c>
      <c r="I63" s="45">
        <v>83102.627859122615</v>
      </c>
      <c r="J63" s="45">
        <v>59438.654651636796</v>
      </c>
      <c r="O63" s="255"/>
      <c r="P63" s="18" t="s">
        <v>13</v>
      </c>
      <c r="Q63" s="9">
        <v>-34754.312339868906</v>
      </c>
      <c r="R63" s="9">
        <v>-23336.537893722067</v>
      </c>
      <c r="S63" s="9">
        <v>-33204.262082889327</v>
      </c>
      <c r="T63" s="9">
        <v>-9962.8436834200766</v>
      </c>
      <c r="U63" s="9">
        <v>33025.630506080146</v>
      </c>
      <c r="V63" s="9">
        <v>60917.371644751765</v>
      </c>
      <c r="W63" s="9">
        <v>56673.04545415286</v>
      </c>
      <c r="X63" s="9">
        <v>29807.689967789847</v>
      </c>
      <c r="Y63" s="9">
        <v>-7038.5842809724563</v>
      </c>
      <c r="Z63" s="106" t="s">
        <v>80</v>
      </c>
      <c r="AA63" s="106" t="s">
        <v>90</v>
      </c>
      <c r="AB63" s="191"/>
      <c r="AC63" s="146"/>
      <c r="AD63" s="146"/>
      <c r="AE63" s="146"/>
      <c r="AF63" s="146"/>
      <c r="AG63" s="146"/>
      <c r="AH63" s="146"/>
      <c r="AI63" s="146"/>
      <c r="AJ63" s="146"/>
      <c r="AK63" s="146"/>
      <c r="AL63" s="206"/>
    </row>
    <row r="64" spans="1:38" ht="14.4" x14ac:dyDescent="0.3">
      <c r="B64" s="40" t="s">
        <v>36</v>
      </c>
      <c r="C64" s="45">
        <v>0</v>
      </c>
      <c r="D64" s="45">
        <v>10.498979963866001</v>
      </c>
      <c r="E64" s="45">
        <v>1076.2976856366847</v>
      </c>
      <c r="F64" s="45">
        <v>8208.8465748072213</v>
      </c>
      <c r="G64" s="45">
        <v>17844.087336984448</v>
      </c>
      <c r="H64" s="45">
        <v>19693.510444666666</v>
      </c>
      <c r="I64" s="45">
        <v>21979.473223835281</v>
      </c>
      <c r="J64" s="45">
        <v>14165.40710660777</v>
      </c>
      <c r="O64" s="255"/>
      <c r="P64" s="19" t="s">
        <v>8</v>
      </c>
      <c r="Q64" s="9">
        <v>-328.55</v>
      </c>
      <c r="R64" s="9">
        <v>-353.07</v>
      </c>
      <c r="S64" s="9">
        <v>-187.99</v>
      </c>
      <c r="T64" s="9">
        <v>-25.17</v>
      </c>
      <c r="U64" s="9">
        <v>-19.04</v>
      </c>
      <c r="V64" s="9">
        <v>-16.260000000000002</v>
      </c>
      <c r="W64" s="9">
        <v>-2.61</v>
      </c>
      <c r="X64" s="9">
        <v>2.9</v>
      </c>
      <c r="Y64" s="9">
        <v>6.65</v>
      </c>
      <c r="Z64" s="107">
        <v>-1011.1099999999999</v>
      </c>
      <c r="AA64" s="143">
        <v>87.969999999999914</v>
      </c>
      <c r="AB64" s="191"/>
      <c r="AC64" s="146"/>
      <c r="AD64" s="146"/>
      <c r="AE64" s="146"/>
      <c r="AF64" s="146"/>
      <c r="AG64" s="146"/>
      <c r="AH64" s="146"/>
      <c r="AI64" s="146"/>
      <c r="AJ64" s="146"/>
      <c r="AK64" s="146"/>
      <c r="AL64" s="207"/>
    </row>
    <row r="65" spans="2:45" ht="14.4" x14ac:dyDescent="0.3">
      <c r="B65" s="40" t="s">
        <v>37</v>
      </c>
      <c r="C65" s="45">
        <v>0</v>
      </c>
      <c r="D65" s="45">
        <v>0</v>
      </c>
      <c r="E65" s="45">
        <v>178.04544936482247</v>
      </c>
      <c r="F65" s="45">
        <v>661.15950808601849</v>
      </c>
      <c r="G65" s="45">
        <v>877.99265710747466</v>
      </c>
      <c r="H65" s="45">
        <v>909.22642550037904</v>
      </c>
      <c r="I65" s="45">
        <v>1261.0041997151543</v>
      </c>
      <c r="J65" s="45">
        <v>997.60306748635742</v>
      </c>
      <c r="O65" s="255"/>
      <c r="P65" s="18" t="s">
        <v>14</v>
      </c>
      <c r="Q65" s="9">
        <v>-35082.862339868909</v>
      </c>
      <c r="R65" s="9">
        <v>-23689.607893722066</v>
      </c>
      <c r="S65" s="9">
        <v>-33392.252082889325</v>
      </c>
      <c r="T65" s="9">
        <v>-9988.0136834200766</v>
      </c>
      <c r="U65" s="9">
        <v>33006.590506080145</v>
      </c>
      <c r="V65" s="9">
        <v>60901.111644751763</v>
      </c>
      <c r="W65" s="9">
        <v>56670.435454152859</v>
      </c>
      <c r="X65" s="9">
        <v>29810.589967789849</v>
      </c>
      <c r="Y65" s="9">
        <v>-7031.9342809724567</v>
      </c>
      <c r="Z65" s="5"/>
      <c r="AA65" s="5"/>
      <c r="AB65" s="191"/>
      <c r="AC65" s="146"/>
      <c r="AD65" s="146"/>
      <c r="AE65" s="146"/>
      <c r="AF65" s="146"/>
      <c r="AG65" s="146"/>
      <c r="AH65" s="146"/>
      <c r="AI65" s="146"/>
      <c r="AJ65" s="146"/>
      <c r="AK65" s="146"/>
      <c r="AL65" s="199"/>
    </row>
    <row r="66" spans="2:45" ht="14.4" x14ac:dyDescent="0.3">
      <c r="B66" s="40" t="s">
        <v>29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  <c r="H66" s="45">
        <v>1171.3068451326408</v>
      </c>
      <c r="I66" s="45">
        <v>3700.907022561827</v>
      </c>
      <c r="J66" s="45">
        <v>5539.3571582453487</v>
      </c>
      <c r="O66" s="255"/>
      <c r="P66" s="20" t="s">
        <v>18</v>
      </c>
      <c r="Q66" s="9">
        <v>-218928.41939694106</v>
      </c>
      <c r="R66" s="9">
        <v>-224690.19729066311</v>
      </c>
      <c r="S66" s="9">
        <v>-240570.47937355243</v>
      </c>
      <c r="T66" s="9">
        <v>-234072.5430569725</v>
      </c>
      <c r="U66" s="9">
        <v>-181865.91255089236</v>
      </c>
      <c r="V66" s="9">
        <v>-100756.1409061406</v>
      </c>
      <c r="W66" s="9">
        <v>-22903.675451987743</v>
      </c>
      <c r="X66" s="9">
        <v>28094.334515802104</v>
      </c>
      <c r="Y66" s="9">
        <v>39895.250234829648</v>
      </c>
      <c r="Z66" s="5"/>
      <c r="AA66" s="5"/>
      <c r="AB66" s="191"/>
      <c r="AC66" s="146"/>
      <c r="AD66" s="146"/>
      <c r="AE66" s="146"/>
      <c r="AF66" s="146"/>
      <c r="AG66" s="146"/>
      <c r="AH66" s="146"/>
      <c r="AI66" s="146"/>
      <c r="AJ66" s="146"/>
      <c r="AK66" s="146"/>
      <c r="AL66" s="199"/>
    </row>
    <row r="67" spans="2:45" ht="14.4" x14ac:dyDescent="0.3">
      <c r="B67" s="35" t="s">
        <v>31</v>
      </c>
      <c r="C67" s="48">
        <v>0.72663563197512504</v>
      </c>
      <c r="D67" s="48">
        <v>4740.2501824537267</v>
      </c>
      <c r="E67" s="48">
        <v>44142.177046384539</v>
      </c>
      <c r="F67" s="48">
        <v>333510.73553648428</v>
      </c>
      <c r="G67" s="48">
        <v>857377.78391287383</v>
      </c>
      <c r="H67" s="48">
        <v>1466213.8557358622</v>
      </c>
      <c r="I67" s="48">
        <v>1941205.129748401</v>
      </c>
      <c r="J67" s="48">
        <v>2110078.0755524025</v>
      </c>
      <c r="O67" s="44"/>
      <c r="P67" s="13"/>
      <c r="Q67" s="14"/>
      <c r="R67" s="14"/>
      <c r="S67" s="14"/>
      <c r="T67" s="14"/>
      <c r="U67" s="14"/>
      <c r="V67" s="14"/>
      <c r="W67" s="14"/>
      <c r="X67" s="14"/>
      <c r="Y67" s="14"/>
      <c r="Z67" s="5"/>
      <c r="AA67" s="5"/>
      <c r="AB67" s="191"/>
      <c r="AC67" s="146"/>
      <c r="AD67" s="146"/>
      <c r="AE67" s="146"/>
      <c r="AF67" s="146"/>
      <c r="AG67" s="146"/>
      <c r="AH67" s="146"/>
      <c r="AI67" s="146"/>
      <c r="AJ67" s="146"/>
      <c r="AK67" s="146"/>
      <c r="AL67" s="199"/>
    </row>
    <row r="68" spans="2:45" ht="14.4" x14ac:dyDescent="0.3">
      <c r="C68" s="49"/>
      <c r="D68" s="49"/>
      <c r="E68" s="49"/>
      <c r="F68" s="49"/>
      <c r="G68" s="49"/>
      <c r="H68" s="49"/>
      <c r="I68" s="49"/>
      <c r="J68" s="49"/>
      <c r="O68" s="255" t="s">
        <v>24</v>
      </c>
      <c r="P68" s="17"/>
      <c r="Q68" s="9"/>
      <c r="R68" s="9"/>
      <c r="S68" s="9"/>
      <c r="T68" s="9"/>
      <c r="U68" s="9"/>
      <c r="V68" s="9"/>
      <c r="W68" s="9"/>
      <c r="X68" s="9"/>
      <c r="Y68" s="9"/>
      <c r="Z68" s="5"/>
      <c r="AA68" s="5"/>
      <c r="AB68" s="191"/>
      <c r="AC68" s="146"/>
      <c r="AD68" s="146"/>
      <c r="AE68" s="146"/>
      <c r="AF68" s="146"/>
      <c r="AG68" s="146"/>
      <c r="AH68" s="146"/>
      <c r="AI68" s="146"/>
      <c r="AJ68" s="146"/>
      <c r="AK68" s="146"/>
      <c r="AL68" s="199"/>
    </row>
    <row r="69" spans="2:45" ht="14.4" x14ac:dyDescent="0.3">
      <c r="B69" s="39" t="s">
        <v>39</v>
      </c>
      <c r="C69" s="49"/>
      <c r="D69" s="49"/>
      <c r="E69" s="49"/>
      <c r="F69" s="49"/>
      <c r="G69" s="49"/>
      <c r="H69" s="49"/>
      <c r="I69" s="49"/>
      <c r="J69" s="49"/>
      <c r="O69" s="255"/>
      <c r="P69" s="17" t="s">
        <v>28</v>
      </c>
      <c r="Q69" s="22">
        <v>4714.4220035550234</v>
      </c>
      <c r="R69" s="22">
        <v>4933.2233077077817</v>
      </c>
      <c r="S69" s="22">
        <v>4340.5509347173938</v>
      </c>
      <c r="T69" s="22">
        <v>11799.946486826884</v>
      </c>
      <c r="U69" s="22">
        <v>38257.943252341713</v>
      </c>
      <c r="V69" s="22">
        <v>40690.592006909494</v>
      </c>
      <c r="W69" s="22">
        <v>41885.585703975645</v>
      </c>
      <c r="X69" s="22">
        <v>26780.761635291285</v>
      </c>
      <c r="Y69" s="22">
        <v>10597.262650374174</v>
      </c>
      <c r="Z69" s="3"/>
      <c r="AA69" s="3"/>
      <c r="AB69" s="191"/>
      <c r="AC69" s="146"/>
      <c r="AD69" s="146"/>
      <c r="AE69" s="146"/>
      <c r="AF69" s="146"/>
      <c r="AG69" s="146"/>
      <c r="AH69" s="146"/>
      <c r="AI69" s="146"/>
      <c r="AJ69" s="146"/>
      <c r="AK69" s="146"/>
      <c r="AL69" s="202"/>
    </row>
    <row r="70" spans="2:45" ht="14.4" x14ac:dyDescent="0.3">
      <c r="B70" s="42" t="s">
        <v>33</v>
      </c>
      <c r="C70" s="49">
        <v>0</v>
      </c>
      <c r="D70" s="49">
        <v>3542.7066619947968</v>
      </c>
      <c r="E70" s="49">
        <v>26593.748856903429</v>
      </c>
      <c r="F70" s="49">
        <v>243363.92907678595</v>
      </c>
      <c r="G70" s="49">
        <v>441129.8099540461</v>
      </c>
      <c r="H70" s="49">
        <v>537485.07750592032</v>
      </c>
      <c r="I70" s="49">
        <v>373819.34593685856</v>
      </c>
      <c r="J70" s="49">
        <v>137025.9400139912</v>
      </c>
      <c r="O70" s="255"/>
      <c r="P70" s="18" t="s">
        <v>26</v>
      </c>
      <c r="Q70" s="22">
        <v>10792.766596240668</v>
      </c>
      <c r="R70" s="22">
        <v>19312.38401960209</v>
      </c>
      <c r="S70" s="22">
        <v>21254.31297935671</v>
      </c>
      <c r="T70" s="22">
        <v>21637.663415217026</v>
      </c>
      <c r="U70" s="22">
        <v>16834.533975023267</v>
      </c>
      <c r="V70" s="22">
        <v>24355.538593432568</v>
      </c>
      <c r="W70" s="22">
        <v>25113.656296491379</v>
      </c>
      <c r="X70" s="22">
        <v>25507.793919774442</v>
      </c>
      <c r="Y70" s="22">
        <v>22463.576853042847</v>
      </c>
      <c r="Z70" s="5"/>
      <c r="AA70" s="5"/>
      <c r="AB70" s="191"/>
      <c r="AC70" s="146"/>
      <c r="AD70" s="146"/>
      <c r="AE70" s="146"/>
      <c r="AF70" s="146"/>
      <c r="AG70" s="146"/>
      <c r="AH70" s="146"/>
      <c r="AI70" s="146"/>
      <c r="AJ70" s="146"/>
      <c r="AK70" s="146"/>
      <c r="AL70" s="199"/>
      <c r="AM70" s="2"/>
      <c r="AN70" s="2"/>
      <c r="AO70" s="2"/>
      <c r="AP70" s="2"/>
      <c r="AQ70" s="2"/>
      <c r="AR70" s="2"/>
    </row>
    <row r="71" spans="2:45" ht="14.4" x14ac:dyDescent="0.3">
      <c r="B71" s="42" t="s">
        <v>34</v>
      </c>
      <c r="C71" s="49">
        <v>0.34412602678174997</v>
      </c>
      <c r="D71" s="49">
        <v>593.85341007321881</v>
      </c>
      <c r="E71" s="49">
        <v>8368.5225960071712</v>
      </c>
      <c r="F71" s="49">
        <v>23641.814181406706</v>
      </c>
      <c r="G71" s="49">
        <v>47663.861231335664</v>
      </c>
      <c r="H71" s="49">
        <v>53281.675633138075</v>
      </c>
      <c r="I71" s="49">
        <v>71676.428272669378</v>
      </c>
      <c r="J71" s="49">
        <v>61749.996111268818</v>
      </c>
      <c r="O71" s="255"/>
      <c r="P71" s="18" t="s">
        <v>47</v>
      </c>
      <c r="Q71" s="22">
        <v>1504.68</v>
      </c>
      <c r="R71" s="22">
        <v>2591.88</v>
      </c>
      <c r="S71" s="22">
        <v>2838.35</v>
      </c>
      <c r="T71" s="22">
        <v>2881.77</v>
      </c>
      <c r="U71" s="22">
        <v>2250.5100000000002</v>
      </c>
      <c r="V71" s="22">
        <v>3239.4</v>
      </c>
      <c r="W71" s="22">
        <v>3336.64</v>
      </c>
      <c r="X71" s="22">
        <v>3384.12</v>
      </c>
      <c r="Y71" s="22">
        <v>2980.87</v>
      </c>
      <c r="Z71" s="5"/>
      <c r="AA71" s="5"/>
      <c r="AB71" s="191"/>
      <c r="AC71" s="146"/>
      <c r="AD71" s="146"/>
      <c r="AE71" s="146"/>
      <c r="AF71" s="146"/>
      <c r="AG71" s="146"/>
      <c r="AH71" s="146"/>
      <c r="AI71" s="146"/>
      <c r="AJ71" s="146"/>
      <c r="AK71" s="146"/>
      <c r="AL71" s="199"/>
      <c r="AM71" s="2"/>
      <c r="AN71" s="2"/>
      <c r="AO71" s="2"/>
      <c r="AP71" s="2"/>
      <c r="AQ71" s="2"/>
      <c r="AR71" s="2"/>
    </row>
    <row r="72" spans="2:45" ht="14.4" x14ac:dyDescent="0.3">
      <c r="B72" s="42" t="s">
        <v>35</v>
      </c>
      <c r="C72" s="49">
        <v>0.38250960519337501</v>
      </c>
      <c r="D72" s="49">
        <v>592.84700439506275</v>
      </c>
      <c r="E72" s="49">
        <v>3788.6582603776305</v>
      </c>
      <c r="F72" s="49">
        <v>18535.810544392894</v>
      </c>
      <c r="G72" s="49">
        <v>43757.113824202133</v>
      </c>
      <c r="H72" s="49">
        <v>58774.468786924044</v>
      </c>
      <c r="I72" s="49">
        <v>83102.627859122615</v>
      </c>
      <c r="J72" s="49">
        <v>59438.654651636796</v>
      </c>
      <c r="O72" s="255"/>
      <c r="P72" s="18" t="s">
        <v>48</v>
      </c>
      <c r="Q72" s="9">
        <v>12297.446596240668</v>
      </c>
      <c r="R72" s="9">
        <v>21904.264019602091</v>
      </c>
      <c r="S72" s="9">
        <v>24092.662979356708</v>
      </c>
      <c r="T72" s="9">
        <v>24519.433415217027</v>
      </c>
      <c r="U72" s="9">
        <v>19085.043975023269</v>
      </c>
      <c r="V72" s="9">
        <v>27594.938593432569</v>
      </c>
      <c r="W72" s="9">
        <v>28450.296296491379</v>
      </c>
      <c r="X72" s="9">
        <v>28891.913919774441</v>
      </c>
      <c r="Y72" s="9">
        <v>25444.446853042846</v>
      </c>
      <c r="Z72" s="5"/>
      <c r="AA72" s="5"/>
      <c r="AB72" s="191"/>
      <c r="AC72" s="146"/>
      <c r="AD72" s="146"/>
      <c r="AE72" s="146"/>
      <c r="AF72" s="146"/>
      <c r="AG72" s="146"/>
      <c r="AH72" s="146"/>
      <c r="AI72" s="146"/>
      <c r="AJ72" s="146"/>
      <c r="AK72" s="146"/>
      <c r="AL72" s="199"/>
      <c r="AM72" s="2"/>
      <c r="AN72" s="2"/>
      <c r="AO72" s="2"/>
      <c r="AP72" s="2"/>
      <c r="AQ72" s="2"/>
      <c r="AR72" s="2"/>
    </row>
    <row r="73" spans="2:45" ht="14.4" x14ac:dyDescent="0.3">
      <c r="B73" s="42" t="s">
        <v>35</v>
      </c>
      <c r="C73" s="49">
        <v>0</v>
      </c>
      <c r="D73" s="49">
        <v>10.498979963866001</v>
      </c>
      <c r="E73" s="49">
        <v>1076.2976856366847</v>
      </c>
      <c r="F73" s="49">
        <v>8208.8465748072213</v>
      </c>
      <c r="G73" s="49">
        <v>17844.087336984448</v>
      </c>
      <c r="H73" s="49">
        <v>19693.510444666666</v>
      </c>
      <c r="I73" s="49">
        <v>21979.473223835281</v>
      </c>
      <c r="J73" s="49">
        <v>14165.40710660777</v>
      </c>
      <c r="O73" s="255"/>
      <c r="P73" s="18" t="s">
        <v>13</v>
      </c>
      <c r="Q73" s="9">
        <v>-7583.0245926856451</v>
      </c>
      <c r="R73" s="9">
        <v>-16971.040711894311</v>
      </c>
      <c r="S73" s="9">
        <v>-19752.112044639314</v>
      </c>
      <c r="T73" s="9">
        <v>-12719.486928390143</v>
      </c>
      <c r="U73" s="9">
        <v>19172.899277318444</v>
      </c>
      <c r="V73" s="9">
        <v>13095.653413476924</v>
      </c>
      <c r="W73" s="9">
        <v>13435.289407484266</v>
      </c>
      <c r="X73" s="9">
        <v>-2111.1522844831561</v>
      </c>
      <c r="Y73" s="9">
        <v>-14847.184202668672</v>
      </c>
      <c r="Z73" s="106" t="s">
        <v>80</v>
      </c>
      <c r="AA73" s="106" t="s">
        <v>90</v>
      </c>
      <c r="AB73" s="191"/>
      <c r="AC73" s="146"/>
      <c r="AD73" s="146"/>
      <c r="AE73" s="146"/>
      <c r="AF73" s="146"/>
      <c r="AG73" s="146"/>
      <c r="AH73" s="146"/>
      <c r="AI73" s="146"/>
      <c r="AJ73" s="146"/>
      <c r="AK73" s="146"/>
      <c r="AL73" s="206"/>
      <c r="AM73" s="2"/>
      <c r="AN73" s="2"/>
      <c r="AO73" s="2"/>
      <c r="AP73" s="2"/>
      <c r="AQ73" s="2"/>
      <c r="AR73" s="2"/>
    </row>
    <row r="74" spans="2:45" ht="14.4" x14ac:dyDescent="0.3">
      <c r="B74" s="42" t="s">
        <v>35</v>
      </c>
      <c r="C74" s="49">
        <v>0</v>
      </c>
      <c r="D74" s="49">
        <v>0</v>
      </c>
      <c r="E74" s="49">
        <v>178.04544936482247</v>
      </c>
      <c r="F74" s="49">
        <v>661.15950808601849</v>
      </c>
      <c r="G74" s="49">
        <v>877.99265710747466</v>
      </c>
      <c r="H74" s="49">
        <v>909.22642550037904</v>
      </c>
      <c r="I74" s="49">
        <v>1261.0041997151543</v>
      </c>
      <c r="J74" s="49">
        <v>997.60306748635742</v>
      </c>
      <c r="O74" s="255"/>
      <c r="P74" s="19" t="s">
        <v>8</v>
      </c>
      <c r="Q74" s="9">
        <v>-63.9</v>
      </c>
      <c r="R74" s="9">
        <v>-89.64</v>
      </c>
      <c r="S74" s="9">
        <v>-57.84</v>
      </c>
      <c r="T74" s="9">
        <v>-9.02</v>
      </c>
      <c r="U74" s="9">
        <v>-6.54</v>
      </c>
      <c r="V74" s="9">
        <v>-7.44</v>
      </c>
      <c r="W74" s="9">
        <v>-3.34</v>
      </c>
      <c r="X74" s="9">
        <v>-2.9</v>
      </c>
      <c r="Y74" s="9">
        <v>-6.66</v>
      </c>
      <c r="Z74" s="107">
        <v>-258.16000000000003</v>
      </c>
      <c r="AA74" s="143">
        <v>10.880000000000024</v>
      </c>
      <c r="AB74" s="191"/>
      <c r="AC74" s="146"/>
      <c r="AD74" s="146"/>
      <c r="AE74" s="146"/>
      <c r="AF74" s="146"/>
      <c r="AG74" s="146"/>
      <c r="AH74" s="146"/>
      <c r="AI74" s="146"/>
      <c r="AJ74" s="146"/>
      <c r="AK74" s="146"/>
      <c r="AL74" s="207"/>
      <c r="AM74" s="2"/>
      <c r="AN74" s="2"/>
      <c r="AO74" s="2"/>
      <c r="AP74" s="2"/>
      <c r="AQ74" s="2"/>
      <c r="AR74" s="2"/>
    </row>
    <row r="75" spans="2:45" ht="14.4" x14ac:dyDescent="0.3">
      <c r="B75" s="42" t="s">
        <v>35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1252.115980693439</v>
      </c>
      <c r="I75" s="49">
        <v>2448.7910418683878</v>
      </c>
      <c r="J75" s="49">
        <v>1841.3720541763271</v>
      </c>
      <c r="O75" s="255"/>
      <c r="P75" s="18" t="s">
        <v>14</v>
      </c>
      <c r="Q75" s="9">
        <v>-7646.9245926856447</v>
      </c>
      <c r="R75" s="9">
        <v>-17060.680711894311</v>
      </c>
      <c r="S75" s="9">
        <v>-19809.952044639314</v>
      </c>
      <c r="T75" s="9">
        <v>-12728.506928390143</v>
      </c>
      <c r="U75" s="9">
        <v>19166.359277318443</v>
      </c>
      <c r="V75" s="9">
        <v>13088.213413476924</v>
      </c>
      <c r="W75" s="9">
        <v>13431.949407484266</v>
      </c>
      <c r="X75" s="9">
        <v>-2114.0522844831562</v>
      </c>
      <c r="Y75" s="9">
        <v>-14853.844202668672</v>
      </c>
      <c r="Z75" s="5"/>
      <c r="AA75" s="5"/>
      <c r="AB75" s="191"/>
      <c r="AC75" s="146"/>
      <c r="AD75" s="146"/>
      <c r="AE75" s="146"/>
      <c r="AF75" s="146"/>
      <c r="AG75" s="146"/>
      <c r="AH75" s="146"/>
      <c r="AI75" s="146"/>
      <c r="AJ75" s="146"/>
      <c r="AK75" s="146"/>
      <c r="AL75" s="199"/>
      <c r="AM75" s="2"/>
      <c r="AN75" s="2"/>
      <c r="AO75" s="2"/>
      <c r="AP75" s="2"/>
      <c r="AQ75" s="2"/>
      <c r="AR75" s="2"/>
    </row>
    <row r="76" spans="2:45" ht="14.4" x14ac:dyDescent="0.3">
      <c r="B76" s="38" t="s">
        <v>31</v>
      </c>
      <c r="C76" s="48">
        <v>0.72663563197512504</v>
      </c>
      <c r="D76" s="48">
        <v>4739.9060564269448</v>
      </c>
      <c r="E76" s="48">
        <v>40005.272848289744</v>
      </c>
      <c r="F76" s="48">
        <v>294411.55988547887</v>
      </c>
      <c r="G76" s="48">
        <v>551272.8650036758</v>
      </c>
      <c r="H76" s="48">
        <v>671396.07477684284</v>
      </c>
      <c r="I76" s="48">
        <v>554287.6705340693</v>
      </c>
      <c r="J76" s="48">
        <v>275218.97300516727</v>
      </c>
      <c r="O76" s="255"/>
      <c r="P76" s="20" t="s">
        <v>19</v>
      </c>
      <c r="Q76" s="9">
        <v>-42579.034760106762</v>
      </c>
      <c r="R76" s="9">
        <v>-57047.835472001068</v>
      </c>
      <c r="S76" s="9">
        <v>-74019.437516640377</v>
      </c>
      <c r="T76" s="9">
        <v>-83866.174445030512</v>
      </c>
      <c r="U76" s="9">
        <v>-62449.305167712067</v>
      </c>
      <c r="V76" s="9">
        <v>-46121.691754235144</v>
      </c>
      <c r="W76" s="9">
        <v>-29353.102346750878</v>
      </c>
      <c r="X76" s="9">
        <v>-28083.034631234033</v>
      </c>
      <c r="Y76" s="9">
        <v>-39956.008833902706</v>
      </c>
      <c r="Z76" s="5"/>
      <c r="AA76" s="5"/>
      <c r="AB76" s="191"/>
      <c r="AC76" s="146"/>
      <c r="AD76" s="146"/>
      <c r="AE76" s="146"/>
      <c r="AF76" s="146"/>
      <c r="AG76" s="146"/>
      <c r="AH76" s="146"/>
      <c r="AI76" s="146"/>
      <c r="AJ76" s="146"/>
      <c r="AK76" s="146"/>
      <c r="AL76" s="199"/>
      <c r="AM76" s="2"/>
      <c r="AN76" s="2"/>
      <c r="AO76" s="2"/>
      <c r="AP76" s="2"/>
      <c r="AQ76" s="2"/>
      <c r="AR76" s="2"/>
    </row>
    <row r="77" spans="2:45" ht="14.4" x14ac:dyDescent="0.3">
      <c r="B77" s="38"/>
      <c r="O77" s="44"/>
      <c r="P77" s="13"/>
      <c r="Q77" s="208"/>
      <c r="R77" s="208"/>
      <c r="S77" s="208"/>
      <c r="T77" s="208"/>
      <c r="U77" s="208"/>
      <c r="V77" s="208"/>
      <c r="W77" s="208"/>
      <c r="X77" s="208"/>
      <c r="Y77" s="208"/>
      <c r="Z77" s="5"/>
      <c r="AA77" s="5"/>
      <c r="AB77" s="191"/>
      <c r="AC77" s="146"/>
      <c r="AD77" s="146"/>
      <c r="AE77" s="146"/>
      <c r="AF77" s="146"/>
      <c r="AG77" s="146"/>
      <c r="AH77" s="146"/>
      <c r="AI77" s="146"/>
      <c r="AJ77" s="146"/>
      <c r="AK77" s="146"/>
      <c r="AL77" s="199"/>
      <c r="AM77" s="2"/>
      <c r="AN77" s="2"/>
      <c r="AO77" s="2"/>
      <c r="AP77" s="2"/>
      <c r="AQ77" s="2"/>
      <c r="AR77" s="2"/>
    </row>
    <row r="78" spans="2:45" ht="14.4" x14ac:dyDescent="0.3">
      <c r="B78" s="29" t="s">
        <v>32</v>
      </c>
      <c r="O78" s="188"/>
      <c r="P78" s="189"/>
      <c r="Q78" s="31"/>
      <c r="R78" s="31"/>
      <c r="S78" s="31"/>
      <c r="T78" s="31"/>
      <c r="U78" s="31"/>
      <c r="V78" s="110"/>
      <c r="W78" s="31"/>
      <c r="X78" s="31"/>
      <c r="Y78" s="31"/>
      <c r="Z78" s="146"/>
      <c r="AA78" s="31"/>
      <c r="AB78" s="185"/>
      <c r="AC78" s="31"/>
      <c r="AD78" s="31"/>
      <c r="AE78" s="31"/>
      <c r="AF78" s="31"/>
      <c r="AG78" s="31"/>
      <c r="AH78" s="31"/>
      <c r="AI78" s="31"/>
      <c r="AJ78" s="31"/>
      <c r="AK78" s="31"/>
      <c r="AL78" s="130"/>
      <c r="AM78" s="130"/>
      <c r="AN78" s="130"/>
      <c r="AO78" s="130"/>
      <c r="AP78" s="130"/>
      <c r="AQ78" s="130"/>
      <c r="AR78" s="130"/>
      <c r="AS78" s="130"/>
    </row>
    <row r="79" spans="2:45" ht="14.4" x14ac:dyDescent="0.3">
      <c r="B79" s="40" t="s">
        <v>33</v>
      </c>
      <c r="C79" s="47">
        <v>1268128455</v>
      </c>
      <c r="D79" s="47">
        <v>872933544</v>
      </c>
      <c r="E79" s="47">
        <v>738196558</v>
      </c>
      <c r="F79" s="47">
        <v>978975302</v>
      </c>
      <c r="G79" s="47">
        <v>1243909773</v>
      </c>
      <c r="H79" s="47">
        <v>1310015315</v>
      </c>
      <c r="I79" s="47">
        <v>1208033233</v>
      </c>
      <c r="J79" s="113">
        <v>993546162</v>
      </c>
      <c r="O79" s="188"/>
      <c r="P79" s="189"/>
      <c r="Q79" s="146"/>
      <c r="R79" s="146"/>
      <c r="S79" s="146"/>
      <c r="T79" s="146"/>
      <c r="U79" s="146"/>
      <c r="V79" s="146"/>
      <c r="W79" s="150"/>
      <c r="X79" s="146"/>
      <c r="Y79" s="146"/>
      <c r="Z79" s="150"/>
      <c r="AA79" s="146"/>
      <c r="AB79" s="191"/>
      <c r="AC79" s="146"/>
      <c r="AD79" s="146"/>
      <c r="AE79" s="146"/>
      <c r="AF79" s="146"/>
      <c r="AG79" s="146"/>
      <c r="AH79" s="146"/>
      <c r="AI79" s="146"/>
      <c r="AJ79" s="146"/>
      <c r="AK79" s="146"/>
      <c r="AL79" s="169"/>
      <c r="AM79" s="130"/>
      <c r="AN79" s="130"/>
      <c r="AO79" s="130"/>
      <c r="AP79" s="130"/>
      <c r="AQ79" s="130"/>
      <c r="AR79" s="130"/>
      <c r="AS79" s="130"/>
    </row>
    <row r="80" spans="2:45" ht="14.4" x14ac:dyDescent="0.3">
      <c r="B80" s="40" t="s">
        <v>34</v>
      </c>
      <c r="C80" s="47">
        <v>290178959</v>
      </c>
      <c r="D80" s="47">
        <v>235096003</v>
      </c>
      <c r="E80" s="47">
        <v>221772499</v>
      </c>
      <c r="F80" s="47">
        <v>258735845</v>
      </c>
      <c r="G80" s="47">
        <v>295975497</v>
      </c>
      <c r="H80" s="47">
        <v>304175879</v>
      </c>
      <c r="I80" s="47">
        <v>293549572</v>
      </c>
      <c r="J80" s="113">
        <v>264736629</v>
      </c>
      <c r="O80" s="188"/>
      <c r="P80" s="189"/>
      <c r="Q80" s="146"/>
      <c r="R80" s="146"/>
      <c r="S80" s="146"/>
      <c r="T80" s="146"/>
      <c r="U80" s="146"/>
      <c r="V80" s="146"/>
      <c r="W80" s="146"/>
      <c r="X80" s="146"/>
      <c r="Y80" s="146"/>
      <c r="Z80" s="146"/>
      <c r="AA80" s="146"/>
      <c r="AB80" s="191"/>
      <c r="AC80" s="146"/>
      <c r="AD80" s="146"/>
      <c r="AE80" s="146"/>
      <c r="AF80" s="146"/>
      <c r="AG80" s="146"/>
      <c r="AH80" s="146"/>
      <c r="AI80" s="146"/>
      <c r="AJ80" s="146"/>
      <c r="AK80" s="146"/>
      <c r="AL80" s="169"/>
      <c r="AM80" s="130"/>
      <c r="AN80" s="130"/>
      <c r="AO80" s="130"/>
      <c r="AP80" s="130"/>
      <c r="AQ80" s="130"/>
      <c r="AR80" s="130"/>
      <c r="AS80" s="130"/>
    </row>
    <row r="81" spans="2:45" ht="14.4" x14ac:dyDescent="0.3">
      <c r="B81" s="40" t="s">
        <v>35</v>
      </c>
      <c r="C81" s="47">
        <v>599641261</v>
      </c>
      <c r="D81" s="47">
        <v>546450417</v>
      </c>
      <c r="E81" s="47">
        <v>548775486</v>
      </c>
      <c r="F81" s="47">
        <v>609609142</v>
      </c>
      <c r="G81" s="47">
        <v>656813642</v>
      </c>
      <c r="H81" s="47">
        <v>671886437</v>
      </c>
      <c r="I81" s="47">
        <v>678219627</v>
      </c>
      <c r="J81" s="113">
        <v>622550219</v>
      </c>
      <c r="O81" s="94"/>
      <c r="P81" s="209"/>
      <c r="Q81" s="146"/>
      <c r="R81" s="146"/>
      <c r="S81" s="146"/>
      <c r="T81" s="146"/>
      <c r="U81" s="146"/>
      <c r="V81" s="146"/>
      <c r="W81" s="146"/>
      <c r="X81" s="146"/>
      <c r="Y81" s="146"/>
      <c r="Z81" s="146"/>
      <c r="AA81" s="146"/>
      <c r="AB81" s="191"/>
      <c r="AC81" s="146"/>
      <c r="AD81" s="146"/>
      <c r="AE81" s="146"/>
      <c r="AF81" s="146"/>
      <c r="AG81" s="146"/>
      <c r="AH81" s="146"/>
      <c r="AI81" s="146"/>
      <c r="AJ81" s="146"/>
      <c r="AK81" s="146"/>
      <c r="AL81" s="169"/>
      <c r="AM81" s="130"/>
      <c r="AN81" s="130"/>
      <c r="AO81" s="130"/>
      <c r="AP81" s="130"/>
      <c r="AQ81" s="130"/>
      <c r="AR81" s="130"/>
      <c r="AS81" s="130"/>
    </row>
    <row r="82" spans="2:45" ht="14.4" x14ac:dyDescent="0.3">
      <c r="B82" s="40" t="s">
        <v>36</v>
      </c>
      <c r="C82" s="47">
        <v>242499726</v>
      </c>
      <c r="D82" s="47">
        <v>232539680</v>
      </c>
      <c r="E82" s="47">
        <v>229224298</v>
      </c>
      <c r="F82" s="47">
        <v>266349220</v>
      </c>
      <c r="G82" s="47">
        <v>267674678</v>
      </c>
      <c r="H82" s="47">
        <v>281003685</v>
      </c>
      <c r="I82" s="47">
        <v>279302255</v>
      </c>
      <c r="J82" s="113">
        <v>258807768</v>
      </c>
      <c r="O82" s="188"/>
      <c r="P82" s="209"/>
      <c r="Q82" s="146"/>
      <c r="R82" s="146"/>
      <c r="S82" s="146"/>
      <c r="T82" s="146"/>
      <c r="U82" s="146"/>
      <c r="V82" s="146"/>
      <c r="W82" s="146"/>
      <c r="X82" s="146"/>
      <c r="Y82" s="146"/>
      <c r="Z82" s="146"/>
      <c r="AA82" s="146"/>
      <c r="AB82" s="191"/>
      <c r="AC82" s="146"/>
      <c r="AD82" s="146"/>
      <c r="AE82" s="146"/>
      <c r="AF82" s="146"/>
      <c r="AG82" s="146"/>
      <c r="AH82" s="146"/>
      <c r="AI82" s="146"/>
      <c r="AJ82" s="146"/>
      <c r="AK82" s="146"/>
      <c r="AL82" s="169"/>
      <c r="AM82" s="130"/>
      <c r="AN82" s="130"/>
      <c r="AO82" s="130"/>
      <c r="AP82" s="130"/>
      <c r="AQ82" s="130"/>
      <c r="AR82" s="130"/>
      <c r="AS82" s="130"/>
    </row>
    <row r="83" spans="2:45" ht="14.4" x14ac:dyDescent="0.3">
      <c r="B83" s="40" t="s">
        <v>37</v>
      </c>
      <c r="C83" s="47">
        <v>99309923</v>
      </c>
      <c r="D83" s="47">
        <v>98876748</v>
      </c>
      <c r="E83" s="47">
        <v>96480454</v>
      </c>
      <c r="F83" s="47">
        <v>121526151</v>
      </c>
      <c r="G83" s="47">
        <v>113123855</v>
      </c>
      <c r="H83" s="47">
        <v>125262874</v>
      </c>
      <c r="I83" s="47">
        <v>126945040</v>
      </c>
      <c r="J83" s="113">
        <v>119752379</v>
      </c>
      <c r="O83" s="188"/>
      <c r="P83" s="189"/>
      <c r="Q83" s="146"/>
      <c r="R83" s="146"/>
      <c r="S83" s="146"/>
      <c r="T83" s="146"/>
      <c r="U83" s="146"/>
      <c r="V83" s="146"/>
      <c r="W83" s="146"/>
      <c r="X83" s="146"/>
      <c r="Y83" s="146"/>
      <c r="Z83" s="146"/>
      <c r="AA83" s="146"/>
      <c r="AB83" s="191"/>
      <c r="AC83" s="146"/>
      <c r="AD83" s="146"/>
      <c r="AE83" s="146"/>
      <c r="AF83" s="146"/>
      <c r="AG83" s="146"/>
      <c r="AH83" s="146"/>
      <c r="AI83" s="146"/>
      <c r="AJ83" s="146"/>
      <c r="AK83" s="146"/>
      <c r="AL83" s="169"/>
      <c r="AM83" s="130"/>
      <c r="AN83" s="130"/>
      <c r="AO83" s="130"/>
      <c r="AP83" s="130"/>
      <c r="AQ83" s="130"/>
      <c r="AR83" s="130"/>
      <c r="AS83" s="130"/>
    </row>
    <row r="84" spans="2:45" s="1" customFormat="1" ht="14.4" x14ac:dyDescent="0.3">
      <c r="B84" s="35" t="s">
        <v>31</v>
      </c>
      <c r="C84" s="37">
        <v>2499758324</v>
      </c>
      <c r="D84" s="37">
        <v>1985896392</v>
      </c>
      <c r="E84" s="37">
        <v>1834449295</v>
      </c>
      <c r="F84" s="37">
        <v>2235195660</v>
      </c>
      <c r="G84" s="37">
        <v>2577497445</v>
      </c>
      <c r="H84" s="37">
        <v>2692344190</v>
      </c>
      <c r="I84" s="37">
        <v>2586049727</v>
      </c>
      <c r="J84" s="37">
        <v>2259393157</v>
      </c>
      <c r="K84" s="40"/>
      <c r="L84" s="40"/>
      <c r="M84" s="179"/>
      <c r="N84" s="179"/>
      <c r="O84" s="239"/>
      <c r="P84" s="95"/>
      <c r="Q84" s="146"/>
      <c r="R84" s="146"/>
      <c r="S84" s="146"/>
      <c r="T84" s="146"/>
      <c r="U84" s="146"/>
      <c r="V84" s="146"/>
      <c r="W84" s="146"/>
      <c r="X84" s="146"/>
      <c r="Y84" s="146"/>
      <c r="Z84" s="146"/>
      <c r="AA84" s="146"/>
      <c r="AB84" s="191"/>
      <c r="AC84" s="146"/>
      <c r="AD84" s="146"/>
      <c r="AE84" s="146"/>
      <c r="AF84" s="146"/>
      <c r="AG84" s="146"/>
      <c r="AH84" s="146"/>
      <c r="AI84" s="146"/>
      <c r="AJ84" s="146"/>
      <c r="AK84" s="146"/>
      <c r="AL84" s="169"/>
      <c r="AM84" s="210"/>
      <c r="AN84" s="210"/>
      <c r="AO84" s="210"/>
      <c r="AP84" s="210"/>
      <c r="AQ84" s="210"/>
      <c r="AR84" s="210"/>
      <c r="AS84" s="210"/>
    </row>
    <row r="85" spans="2:45" s="1" customFormat="1" ht="14.4" x14ac:dyDescent="0.3"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179"/>
      <c r="N85" s="179"/>
      <c r="O85" s="211"/>
      <c r="P85" s="95"/>
      <c r="Q85" s="146"/>
      <c r="R85" s="146"/>
      <c r="S85" s="146"/>
      <c r="T85" s="146"/>
      <c r="U85" s="146"/>
      <c r="V85" s="146"/>
      <c r="W85" s="146"/>
      <c r="X85" s="146"/>
      <c r="Y85" s="146"/>
      <c r="Z85" s="146"/>
      <c r="AA85" s="146"/>
      <c r="AB85" s="191"/>
      <c r="AC85" s="146"/>
      <c r="AD85" s="146"/>
      <c r="AE85" s="146"/>
      <c r="AF85" s="146"/>
      <c r="AG85" s="146"/>
      <c r="AH85" s="146"/>
      <c r="AI85" s="146"/>
      <c r="AJ85" s="146"/>
      <c r="AK85" s="146"/>
      <c r="AL85" s="199"/>
      <c r="AM85" s="210"/>
      <c r="AN85" s="210"/>
      <c r="AO85" s="210"/>
      <c r="AP85" s="210"/>
      <c r="AQ85" s="210"/>
      <c r="AR85" s="210"/>
      <c r="AS85" s="210"/>
    </row>
    <row r="86" spans="2:45" s="1" customFormat="1" ht="14.4" x14ac:dyDescent="0.3">
      <c r="B86" s="29" t="s">
        <v>40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179"/>
      <c r="N86" s="179"/>
      <c r="O86" s="211"/>
      <c r="P86" s="189"/>
      <c r="Q86" s="31"/>
      <c r="R86" s="31"/>
      <c r="S86" s="31"/>
      <c r="T86" s="146"/>
      <c r="U86" s="146"/>
      <c r="V86" s="146"/>
      <c r="W86" s="146"/>
      <c r="X86" s="146"/>
      <c r="Y86" s="146"/>
      <c r="Z86" s="146"/>
      <c r="AA86" s="146"/>
      <c r="AB86" s="191"/>
      <c r="AC86" s="146"/>
      <c r="AD86" s="146"/>
      <c r="AE86" s="146"/>
      <c r="AF86" s="146"/>
      <c r="AG86" s="146"/>
      <c r="AH86" s="146"/>
      <c r="AI86" s="212"/>
      <c r="AJ86" s="146"/>
      <c r="AK86" s="146"/>
      <c r="AL86" s="199"/>
      <c r="AM86" s="210"/>
      <c r="AN86" s="210"/>
      <c r="AO86" s="210"/>
      <c r="AP86" s="210"/>
      <c r="AQ86" s="210"/>
      <c r="AR86" s="210"/>
      <c r="AS86" s="210"/>
    </row>
    <row r="87" spans="2:45" s="1" customFormat="1" ht="14.4" x14ac:dyDescent="0.3">
      <c r="B87" s="40" t="s">
        <v>33</v>
      </c>
      <c r="C87" s="49">
        <v>0</v>
      </c>
      <c r="D87" s="49">
        <v>3542.7066619947968</v>
      </c>
      <c r="E87" s="49">
        <v>26593.748856903429</v>
      </c>
      <c r="F87" s="49">
        <v>243363.92907678595</v>
      </c>
      <c r="G87" s="49">
        <v>441129.8099540461</v>
      </c>
      <c r="H87" s="49">
        <v>538094.32023088727</v>
      </c>
      <c r="I87" s="49">
        <v>374963.26089269412</v>
      </c>
      <c r="J87" s="49">
        <v>137835.66546242539</v>
      </c>
      <c r="K87" s="40"/>
      <c r="L87" s="40"/>
      <c r="M87" s="179"/>
      <c r="N87" s="179"/>
      <c r="O87" s="188"/>
      <c r="P87" s="189"/>
      <c r="Q87" s="150"/>
      <c r="R87" s="150"/>
      <c r="S87" s="150"/>
      <c r="T87" s="150"/>
      <c r="U87" s="150"/>
      <c r="V87" s="150"/>
      <c r="W87" s="150"/>
      <c r="X87" s="150"/>
      <c r="Y87" s="150"/>
      <c r="Z87" s="150"/>
      <c r="AA87" s="150"/>
      <c r="AB87" s="190"/>
      <c r="AC87" s="150"/>
      <c r="AD87" s="150"/>
      <c r="AE87" s="150"/>
      <c r="AF87" s="150"/>
      <c r="AG87" s="150"/>
      <c r="AH87" s="150"/>
      <c r="AI87" s="150"/>
      <c r="AJ87" s="150"/>
      <c r="AK87" s="150"/>
      <c r="AL87" s="130"/>
      <c r="AM87" s="210"/>
      <c r="AN87" s="210"/>
      <c r="AO87" s="210"/>
      <c r="AP87" s="210"/>
      <c r="AQ87" s="210"/>
      <c r="AR87" s="210"/>
      <c r="AS87" s="210"/>
    </row>
    <row r="88" spans="2:45" s="1" customFormat="1" ht="14.4" x14ac:dyDescent="0.3">
      <c r="B88" s="40" t="s">
        <v>34</v>
      </c>
      <c r="C88" s="49">
        <v>0.34412602678174997</v>
      </c>
      <c r="D88" s="49">
        <v>593.85341007321881</v>
      </c>
      <c r="E88" s="49">
        <v>8368.5225960071712</v>
      </c>
      <c r="F88" s="49">
        <v>23641.814181406706</v>
      </c>
      <c r="G88" s="49">
        <v>47663.861231335664</v>
      </c>
      <c r="H88" s="49">
        <v>53423.137293371561</v>
      </c>
      <c r="I88" s="49">
        <v>71954.397236201956</v>
      </c>
      <c r="J88" s="49">
        <v>61965.752554031846</v>
      </c>
      <c r="K88" s="40"/>
      <c r="L88" s="40"/>
      <c r="M88" s="179"/>
      <c r="N88" s="179"/>
      <c r="O88" s="188"/>
      <c r="P88" s="189"/>
      <c r="Q88" s="146"/>
      <c r="R88" s="146"/>
      <c r="S88" s="146"/>
      <c r="T88" s="146"/>
      <c r="U88" s="146"/>
      <c r="V88" s="146"/>
      <c r="W88" s="146"/>
      <c r="X88" s="146"/>
      <c r="Y88" s="146"/>
      <c r="Z88" s="146"/>
      <c r="AA88" s="146"/>
      <c r="AB88" s="191"/>
      <c r="AC88" s="146"/>
      <c r="AD88" s="146"/>
      <c r="AE88" s="146"/>
      <c r="AF88" s="146"/>
      <c r="AG88" s="146"/>
      <c r="AH88" s="146"/>
      <c r="AI88" s="146"/>
      <c r="AJ88" s="146"/>
      <c r="AK88" s="146"/>
      <c r="AL88" s="130"/>
      <c r="AM88" s="210"/>
      <c r="AN88" s="210"/>
      <c r="AO88" s="210"/>
      <c r="AP88" s="210"/>
      <c r="AQ88" s="210"/>
      <c r="AR88" s="210"/>
      <c r="AS88" s="210"/>
    </row>
    <row r="89" spans="2:45" s="1" customFormat="1" ht="14.4" x14ac:dyDescent="0.3">
      <c r="B89" s="40" t="s">
        <v>35</v>
      </c>
      <c r="C89" s="49">
        <v>0.38250960519337501</v>
      </c>
      <c r="D89" s="49">
        <v>592.84700439506275</v>
      </c>
      <c r="E89" s="49">
        <v>3788.6582603776305</v>
      </c>
      <c r="F89" s="49">
        <v>18535.810544392894</v>
      </c>
      <c r="G89" s="49">
        <v>43757.113824202133</v>
      </c>
      <c r="H89" s="49">
        <v>59086.939884825857</v>
      </c>
      <c r="I89" s="49">
        <v>83744.849905232913</v>
      </c>
      <c r="J89" s="49">
        <v>59946.023885732408</v>
      </c>
      <c r="K89" s="40"/>
      <c r="L89" s="40"/>
      <c r="M89" s="179"/>
      <c r="N89" s="179"/>
      <c r="O89" s="188"/>
      <c r="P89" s="189"/>
      <c r="Q89" s="146"/>
      <c r="R89" s="146"/>
      <c r="S89" s="146"/>
      <c r="T89" s="146"/>
      <c r="U89" s="146"/>
      <c r="V89" s="146"/>
      <c r="W89" s="146"/>
      <c r="X89" s="146"/>
      <c r="Y89" s="146"/>
      <c r="Z89" s="146"/>
      <c r="AA89" s="146"/>
      <c r="AB89" s="191"/>
      <c r="AC89" s="146"/>
      <c r="AD89" s="146"/>
      <c r="AE89" s="146"/>
      <c r="AF89" s="146"/>
      <c r="AG89" s="146"/>
      <c r="AH89" s="146"/>
      <c r="AI89" s="146"/>
      <c r="AJ89" s="146"/>
      <c r="AK89" s="146"/>
      <c r="AL89" s="130"/>
      <c r="AM89" s="210"/>
      <c r="AN89" s="210"/>
      <c r="AO89" s="210"/>
      <c r="AP89" s="210"/>
      <c r="AQ89" s="210"/>
      <c r="AR89" s="210"/>
      <c r="AS89" s="210"/>
    </row>
    <row r="90" spans="2:45" s="1" customFormat="1" ht="14.4" x14ac:dyDescent="0.3">
      <c r="B90" s="40" t="s">
        <v>36</v>
      </c>
      <c r="C90" s="49">
        <v>0</v>
      </c>
      <c r="D90" s="49">
        <v>10.498979963866001</v>
      </c>
      <c r="E90" s="49">
        <v>1076.2976856366847</v>
      </c>
      <c r="F90" s="49">
        <v>8208.8465748072213</v>
      </c>
      <c r="G90" s="49">
        <v>17844.087336984448</v>
      </c>
      <c r="H90" s="49">
        <v>19824.195520493558</v>
      </c>
      <c r="I90" s="49">
        <v>22243.951069283008</v>
      </c>
      <c r="J90" s="49">
        <v>14376.331615218623</v>
      </c>
      <c r="K90" s="40"/>
      <c r="L90" s="40"/>
      <c r="M90" s="179"/>
      <c r="N90" s="179"/>
      <c r="O90" s="188"/>
      <c r="P90" s="209"/>
      <c r="Q90" s="213"/>
      <c r="R90" s="213"/>
      <c r="S90" s="213"/>
      <c r="T90" s="216"/>
      <c r="U90" s="217"/>
      <c r="V90" s="214"/>
      <c r="W90" s="170"/>
      <c r="X90" s="170"/>
      <c r="Y90" s="170"/>
      <c r="Z90" s="170"/>
      <c r="AA90" s="170"/>
      <c r="AB90" s="192"/>
      <c r="AC90" s="170"/>
      <c r="AD90" s="170"/>
      <c r="AE90" s="170"/>
      <c r="AF90" s="170"/>
      <c r="AG90" s="170"/>
      <c r="AH90" s="170"/>
      <c r="AI90" s="170"/>
      <c r="AJ90" s="170"/>
      <c r="AK90" s="170"/>
      <c r="AL90" s="130"/>
      <c r="AM90" s="210"/>
      <c r="AN90" s="210"/>
      <c r="AO90" s="210"/>
      <c r="AP90" s="210"/>
      <c r="AQ90" s="210"/>
      <c r="AR90" s="210"/>
      <c r="AS90" s="210"/>
    </row>
    <row r="91" spans="2:45" s="1" customFormat="1" ht="14.4" x14ac:dyDescent="0.3">
      <c r="B91" s="40" t="s">
        <v>37</v>
      </c>
      <c r="C91" s="49">
        <v>0</v>
      </c>
      <c r="D91" s="49">
        <v>0</v>
      </c>
      <c r="E91" s="49">
        <v>178.04544936482247</v>
      </c>
      <c r="F91" s="49">
        <v>661.15950808601849</v>
      </c>
      <c r="G91" s="49">
        <v>877.99265710747466</v>
      </c>
      <c r="H91" s="49">
        <v>967.48184726463296</v>
      </c>
      <c r="I91" s="49">
        <v>1381.2114306574015</v>
      </c>
      <c r="J91" s="49">
        <v>1095.1994877590121</v>
      </c>
      <c r="K91" s="40"/>
      <c r="L91" s="40"/>
      <c r="M91" s="179"/>
      <c r="N91" s="179"/>
      <c r="O91" s="188"/>
      <c r="P91" s="209"/>
      <c r="Q91" s="146"/>
      <c r="R91" s="146"/>
      <c r="S91" s="146"/>
      <c r="T91" s="146"/>
      <c r="U91" s="146"/>
      <c r="V91" s="146"/>
      <c r="W91" s="146"/>
      <c r="X91" s="146"/>
      <c r="Y91" s="146"/>
      <c r="Z91" s="146"/>
      <c r="AA91" s="146"/>
      <c r="AB91" s="191"/>
      <c r="AC91" s="146"/>
      <c r="AD91" s="146"/>
      <c r="AE91" s="146"/>
      <c r="AF91" s="146"/>
      <c r="AG91" s="146"/>
      <c r="AH91" s="146"/>
      <c r="AI91" s="146"/>
      <c r="AJ91" s="146"/>
      <c r="AK91" s="146"/>
      <c r="AL91" s="130"/>
      <c r="AM91" s="210"/>
      <c r="AN91" s="210"/>
      <c r="AO91" s="210"/>
      <c r="AP91" s="210"/>
      <c r="AQ91" s="210"/>
      <c r="AR91" s="210"/>
      <c r="AS91" s="210"/>
    </row>
    <row r="92" spans="2:45" s="1" customFormat="1" ht="14.4" x14ac:dyDescent="0.3">
      <c r="B92" s="35" t="s">
        <v>31</v>
      </c>
      <c r="C92" s="48">
        <v>0.72663563197512504</v>
      </c>
      <c r="D92" s="48">
        <v>4739.9060564269448</v>
      </c>
      <c r="E92" s="48">
        <v>40005.272848289744</v>
      </c>
      <c r="F92" s="48">
        <v>294411.55988547887</v>
      </c>
      <c r="G92" s="48">
        <v>551272.8650036758</v>
      </c>
      <c r="H92" s="48">
        <v>671396.07477684296</v>
      </c>
      <c r="I92" s="48">
        <v>554287.67053406942</v>
      </c>
      <c r="J92" s="48">
        <v>275218.97300516727</v>
      </c>
      <c r="K92" s="40"/>
      <c r="L92" s="40"/>
      <c r="M92" s="179"/>
      <c r="N92" s="179"/>
      <c r="O92" s="188"/>
      <c r="P92" s="189"/>
      <c r="Q92" s="146"/>
      <c r="R92" s="146"/>
      <c r="S92" s="146"/>
      <c r="T92" s="146"/>
      <c r="U92" s="146"/>
      <c r="V92" s="146"/>
      <c r="W92" s="146"/>
      <c r="X92" s="146"/>
      <c r="Y92" s="146"/>
      <c r="Z92" s="146"/>
      <c r="AA92" s="146"/>
      <c r="AB92" s="191"/>
      <c r="AC92" s="146"/>
      <c r="AD92" s="146"/>
      <c r="AE92" s="146"/>
      <c r="AF92" s="146"/>
      <c r="AG92" s="146"/>
      <c r="AH92" s="146"/>
      <c r="AI92" s="146"/>
      <c r="AJ92" s="146"/>
      <c r="AK92" s="146"/>
      <c r="AL92" s="130"/>
      <c r="AM92" s="210"/>
      <c r="AN92" s="210"/>
      <c r="AO92" s="210"/>
      <c r="AP92" s="210"/>
      <c r="AQ92" s="210"/>
      <c r="AR92" s="210"/>
      <c r="AS92" s="210"/>
    </row>
    <row r="93" spans="2:45" s="1" customFormat="1" ht="14.4" x14ac:dyDescent="0.3"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179"/>
      <c r="N93" s="179"/>
      <c r="O93" s="188"/>
      <c r="P93" s="95"/>
      <c r="Q93" s="146"/>
      <c r="R93" s="146"/>
      <c r="S93" s="146"/>
      <c r="T93" s="146"/>
      <c r="U93" s="146"/>
      <c r="V93" s="146"/>
      <c r="W93" s="146"/>
      <c r="X93" s="146"/>
      <c r="Y93" s="146"/>
      <c r="Z93" s="146"/>
      <c r="AA93" s="146"/>
      <c r="AB93" s="191"/>
      <c r="AC93" s="146"/>
      <c r="AD93" s="146"/>
      <c r="AE93" s="146"/>
      <c r="AF93" s="146"/>
      <c r="AG93" s="146"/>
      <c r="AH93" s="146"/>
      <c r="AI93" s="146"/>
      <c r="AJ93" s="146"/>
      <c r="AK93" s="146"/>
      <c r="AL93" s="130"/>
      <c r="AM93" s="210"/>
      <c r="AN93" s="210"/>
      <c r="AO93" s="210"/>
      <c r="AP93" s="210"/>
      <c r="AQ93" s="210"/>
      <c r="AR93" s="210"/>
      <c r="AS93" s="210"/>
    </row>
    <row r="94" spans="2:45" s="1" customFormat="1" ht="14.4" x14ac:dyDescent="0.3"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179"/>
      <c r="N94" s="179"/>
      <c r="O94" s="188"/>
      <c r="P94" s="189"/>
      <c r="Q94" s="146"/>
      <c r="R94" s="146"/>
      <c r="S94" s="146"/>
      <c r="T94" s="146"/>
      <c r="U94" s="146"/>
      <c r="V94" s="146"/>
      <c r="W94" s="146"/>
      <c r="X94" s="146"/>
      <c r="Y94" s="146"/>
      <c r="Z94" s="146"/>
      <c r="AA94" s="146"/>
      <c r="AB94" s="191"/>
      <c r="AC94" s="146"/>
      <c r="AD94" s="146"/>
      <c r="AE94" s="146"/>
      <c r="AF94" s="146"/>
      <c r="AG94" s="146"/>
      <c r="AH94" s="146"/>
      <c r="AI94" s="146"/>
      <c r="AJ94" s="146"/>
      <c r="AK94" s="146"/>
      <c r="AL94" s="130"/>
      <c r="AM94" s="210"/>
      <c r="AN94" s="210"/>
      <c r="AO94" s="210"/>
      <c r="AP94" s="210"/>
      <c r="AQ94" s="210"/>
      <c r="AR94" s="210"/>
      <c r="AS94" s="210"/>
    </row>
    <row r="95" spans="2:45" s="1" customFormat="1" ht="14.4" x14ac:dyDescent="0.3"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179"/>
      <c r="N95" s="179"/>
      <c r="O95" s="188"/>
      <c r="P95" s="95"/>
      <c r="Q95" s="146"/>
      <c r="R95" s="146"/>
      <c r="S95" s="146"/>
      <c r="T95" s="146"/>
      <c r="U95" s="146"/>
      <c r="V95" s="146"/>
      <c r="W95" s="146"/>
      <c r="X95" s="146"/>
      <c r="Y95" s="146"/>
      <c r="Z95" s="146"/>
      <c r="AA95" s="146"/>
      <c r="AB95" s="191"/>
      <c r="AC95" s="146"/>
      <c r="AD95" s="146"/>
      <c r="AE95" s="146"/>
      <c r="AF95" s="146"/>
      <c r="AG95" s="146"/>
      <c r="AH95" s="146"/>
      <c r="AI95" s="146"/>
      <c r="AJ95" s="146"/>
      <c r="AK95" s="146"/>
      <c r="AL95" s="130"/>
      <c r="AM95" s="210"/>
      <c r="AN95" s="210"/>
      <c r="AO95" s="210"/>
      <c r="AP95" s="210"/>
      <c r="AQ95" s="210"/>
      <c r="AR95" s="210"/>
      <c r="AS95" s="210"/>
    </row>
    <row r="96" spans="2:45" s="1" customFormat="1" ht="14.4" x14ac:dyDescent="0.3"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179"/>
      <c r="N96" s="179"/>
      <c r="O96" s="211"/>
      <c r="P96" s="95"/>
      <c r="Q96" s="146"/>
      <c r="R96" s="146"/>
      <c r="S96" s="146"/>
      <c r="T96" s="146"/>
      <c r="U96" s="146"/>
      <c r="V96" s="146"/>
      <c r="W96" s="146"/>
      <c r="X96" s="146"/>
      <c r="Y96" s="146"/>
      <c r="Z96" s="146"/>
      <c r="AA96" s="146"/>
      <c r="AB96" s="191"/>
      <c r="AC96" s="146"/>
      <c r="AD96" s="146"/>
      <c r="AE96" s="146"/>
      <c r="AF96" s="146"/>
      <c r="AG96" s="146"/>
      <c r="AH96" s="146"/>
      <c r="AI96" s="146"/>
      <c r="AJ96" s="146"/>
      <c r="AK96" s="146"/>
      <c r="AL96" s="199"/>
      <c r="AM96" s="210"/>
      <c r="AN96" s="210"/>
      <c r="AO96" s="210"/>
      <c r="AP96" s="210"/>
      <c r="AQ96" s="210"/>
      <c r="AR96" s="210"/>
      <c r="AS96" s="210"/>
    </row>
    <row r="97" spans="3:45" s="1" customFormat="1" ht="14.4" x14ac:dyDescent="0.3"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179"/>
      <c r="N97" s="179"/>
      <c r="O97" s="130"/>
      <c r="P97" s="13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180"/>
      <c r="AC97" s="210"/>
      <c r="AD97" s="210"/>
      <c r="AE97" s="210"/>
      <c r="AF97" s="210"/>
      <c r="AG97" s="210"/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</row>
    <row r="98" spans="3:45" s="1" customFormat="1" ht="14.4" x14ac:dyDescent="0.3"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179"/>
      <c r="N98" s="179"/>
      <c r="O98" s="130"/>
      <c r="P98" s="13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180"/>
      <c r="AC98" s="210"/>
      <c r="AD98" s="210"/>
      <c r="AE98" s="210"/>
      <c r="AF98" s="210"/>
      <c r="AG98" s="210"/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</row>
    <row r="99" spans="3:45" s="1" customFormat="1" ht="14.4" x14ac:dyDescent="0.3"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179"/>
      <c r="N99" s="179"/>
      <c r="O99" s="130"/>
      <c r="P99" s="13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  <c r="AB99" s="180"/>
      <c r="AC99" s="210"/>
      <c r="AD99" s="210"/>
      <c r="AE99" s="210"/>
      <c r="AF99" s="210"/>
      <c r="AG99" s="210"/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</row>
    <row r="100" spans="3:45" s="1" customFormat="1" ht="14.4" x14ac:dyDescent="0.3"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179"/>
      <c r="N100" s="179"/>
      <c r="O100" s="130"/>
      <c r="P100" s="13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180"/>
      <c r="AC100" s="210"/>
      <c r="AD100" s="210"/>
      <c r="AE100" s="210"/>
      <c r="AF100" s="210"/>
      <c r="AG100" s="210"/>
      <c r="AH100" s="210"/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</row>
    <row r="101" spans="3:45" s="1" customFormat="1" ht="14.4" x14ac:dyDescent="0.3"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179"/>
      <c r="N101" s="179"/>
      <c r="O101" s="40"/>
      <c r="P101" s="40"/>
      <c r="AB101" s="215"/>
    </row>
    <row r="102" spans="3:45" s="1" customFormat="1" ht="14.4" x14ac:dyDescent="0.3"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179"/>
      <c r="N102" s="179"/>
      <c r="O102" s="40"/>
      <c r="P102" s="40"/>
      <c r="AB102" s="215"/>
    </row>
    <row r="103" spans="3:45" s="1" customFormat="1" ht="14.4" x14ac:dyDescent="0.3"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179"/>
      <c r="N103" s="179"/>
      <c r="O103" s="40"/>
      <c r="P103" s="40"/>
      <c r="AB103" s="215"/>
    </row>
    <row r="104" spans="3:45" s="1" customFormat="1" ht="14.4" x14ac:dyDescent="0.3"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179"/>
      <c r="N104" s="179"/>
      <c r="O104" s="40"/>
      <c r="P104" s="40"/>
      <c r="AB104" s="215"/>
    </row>
    <row r="105" spans="3:45" s="1" customFormat="1" ht="14.4" x14ac:dyDescent="0.3"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179"/>
      <c r="N105" s="179"/>
      <c r="O105" s="40"/>
      <c r="P105" s="40"/>
      <c r="AB105" s="215"/>
    </row>
    <row r="106" spans="3:45" s="1" customFormat="1" ht="14.4" x14ac:dyDescent="0.3"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179"/>
      <c r="N106" s="179"/>
      <c r="O106" s="40"/>
      <c r="P106" s="40"/>
      <c r="AB106" s="215"/>
    </row>
    <row r="107" spans="3:45" s="1" customFormat="1" ht="14.4" x14ac:dyDescent="0.3"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179"/>
      <c r="N107" s="179"/>
      <c r="O107" s="40"/>
      <c r="P107" s="40"/>
      <c r="AB107" s="215"/>
    </row>
    <row r="108" spans="3:45" s="1" customFormat="1" ht="14.4" x14ac:dyDescent="0.3"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179"/>
      <c r="N108" s="179"/>
      <c r="O108" s="40"/>
      <c r="P108" s="40"/>
      <c r="AB108" s="215"/>
    </row>
    <row r="109" spans="3:45" s="1" customFormat="1" ht="14.4" x14ac:dyDescent="0.3"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179"/>
      <c r="N109" s="179"/>
      <c r="O109" s="40"/>
      <c r="P109" s="40"/>
      <c r="AB109" s="215"/>
    </row>
    <row r="110" spans="3:45" s="1" customFormat="1" ht="14.4" x14ac:dyDescent="0.3"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179"/>
      <c r="N110" s="179"/>
      <c r="O110" s="40"/>
      <c r="P110" s="40"/>
      <c r="AB110" s="215"/>
    </row>
    <row r="111" spans="3:45" s="1" customFormat="1" ht="14.4" x14ac:dyDescent="0.3"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179"/>
      <c r="N111" s="179"/>
      <c r="O111" s="40"/>
      <c r="P111" s="40"/>
      <c r="AB111" s="215"/>
    </row>
    <row r="112" spans="3:45" s="1" customFormat="1" ht="14.4" x14ac:dyDescent="0.3"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179"/>
      <c r="N112" s="179"/>
      <c r="O112" s="40"/>
      <c r="P112" s="40"/>
      <c r="AB112" s="215"/>
    </row>
    <row r="113" spans="3:28" s="1" customFormat="1" ht="14.4" x14ac:dyDescent="0.3"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179"/>
      <c r="N113" s="179"/>
      <c r="O113" s="40"/>
      <c r="P113" s="40"/>
      <c r="AB113" s="215"/>
    </row>
    <row r="114" spans="3:28" s="1" customFormat="1" ht="14.4" x14ac:dyDescent="0.3"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179"/>
      <c r="N114" s="179"/>
      <c r="O114" s="40"/>
      <c r="P114" s="40"/>
      <c r="AB114" s="215"/>
    </row>
    <row r="115" spans="3:28" s="1" customFormat="1" ht="14.4" x14ac:dyDescent="0.3"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179"/>
      <c r="N115" s="179"/>
      <c r="O115" s="40"/>
      <c r="P115" s="40"/>
      <c r="AB115" s="215"/>
    </row>
    <row r="116" spans="3:28" s="1" customFormat="1" ht="14.4" x14ac:dyDescent="0.3"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179"/>
      <c r="N116" s="179"/>
      <c r="O116" s="40"/>
      <c r="P116" s="40"/>
      <c r="AB116" s="215"/>
    </row>
    <row r="117" spans="3:28" s="1" customFormat="1" ht="14.4" x14ac:dyDescent="0.3"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179"/>
      <c r="N117" s="179"/>
      <c r="O117" s="40"/>
      <c r="P117" s="40"/>
      <c r="AB117" s="215"/>
    </row>
    <row r="118" spans="3:28" s="1" customFormat="1" ht="14.4" x14ac:dyDescent="0.3"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179"/>
      <c r="N118" s="179"/>
      <c r="O118" s="40"/>
      <c r="P118" s="40"/>
      <c r="AB118" s="215"/>
    </row>
    <row r="119" spans="3:28" s="1" customFormat="1" ht="14.4" x14ac:dyDescent="0.3"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179"/>
      <c r="N119" s="179"/>
      <c r="O119" s="40"/>
      <c r="P119" s="40"/>
      <c r="AB119" s="215"/>
    </row>
    <row r="120" spans="3:28" s="1" customFormat="1" ht="14.4" x14ac:dyDescent="0.3"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179"/>
      <c r="N120" s="179"/>
      <c r="O120" s="40"/>
      <c r="P120" s="40"/>
      <c r="AB120" s="215"/>
    </row>
    <row r="121" spans="3:28" s="1" customFormat="1" ht="14.4" x14ac:dyDescent="0.3"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179"/>
      <c r="N121" s="179"/>
      <c r="O121" s="40"/>
      <c r="P121" s="40"/>
      <c r="AB121" s="215"/>
    </row>
    <row r="122" spans="3:28" s="1" customFormat="1" ht="14.4" x14ac:dyDescent="0.3"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179"/>
      <c r="N122" s="179"/>
      <c r="O122" s="40"/>
      <c r="P122" s="40"/>
      <c r="AB122" s="215"/>
    </row>
    <row r="123" spans="3:28" s="1" customFormat="1" ht="14.4" x14ac:dyDescent="0.3"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179"/>
      <c r="N123" s="179"/>
      <c r="O123" s="40"/>
      <c r="P123" s="40"/>
      <c r="AB123" s="215"/>
    </row>
    <row r="124" spans="3:28" s="1" customFormat="1" ht="14.4" x14ac:dyDescent="0.3"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179"/>
      <c r="N124" s="179"/>
      <c r="O124" s="40"/>
      <c r="P124" s="40"/>
      <c r="AB124" s="215"/>
    </row>
    <row r="125" spans="3:28" s="1" customFormat="1" ht="15" customHeight="1" x14ac:dyDescent="0.3"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179"/>
      <c r="N125" s="179"/>
      <c r="O125" s="40"/>
      <c r="P125" s="40"/>
      <c r="AB125" s="215"/>
    </row>
    <row r="126" spans="3:28" s="1" customFormat="1" ht="15" customHeight="1" x14ac:dyDescent="0.3"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179"/>
      <c r="N126" s="179"/>
      <c r="O126" s="40"/>
      <c r="P126" s="40"/>
      <c r="AB126" s="215"/>
    </row>
    <row r="127" spans="3:28" s="1" customFormat="1" ht="15" customHeight="1" x14ac:dyDescent="0.3"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179"/>
      <c r="N127" s="179"/>
      <c r="O127" s="40"/>
      <c r="P127" s="40"/>
      <c r="AB127" s="215"/>
    </row>
    <row r="128" spans="3:28" s="1" customFormat="1" ht="15" customHeight="1" x14ac:dyDescent="0.3"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179"/>
      <c r="N128" s="179"/>
      <c r="O128" s="40"/>
      <c r="P128" s="40"/>
      <c r="AB128" s="215"/>
    </row>
    <row r="129" spans="3:28" s="1" customFormat="1" ht="15" customHeight="1" x14ac:dyDescent="0.3"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179"/>
      <c r="N129" s="179"/>
      <c r="O129" s="40"/>
      <c r="P129" s="40"/>
      <c r="AB129" s="215"/>
    </row>
    <row r="130" spans="3:28" s="1" customFormat="1" ht="15" customHeight="1" x14ac:dyDescent="0.3"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179"/>
      <c r="N130" s="179"/>
      <c r="O130" s="40"/>
      <c r="P130" s="40"/>
      <c r="AB130" s="215"/>
    </row>
    <row r="131" spans="3:28" s="1" customFormat="1" ht="15" customHeight="1" x14ac:dyDescent="0.3"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179"/>
      <c r="N131" s="179"/>
      <c r="O131" s="40"/>
      <c r="P131" s="40"/>
      <c r="AB131" s="215"/>
    </row>
    <row r="132" spans="3:28" s="1" customFormat="1" ht="15" customHeight="1" x14ac:dyDescent="0.3"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179"/>
      <c r="N132" s="179"/>
      <c r="O132" s="40"/>
      <c r="P132" s="40"/>
      <c r="AB132" s="215"/>
    </row>
    <row r="133" spans="3:28" s="1" customFormat="1" ht="15" customHeight="1" x14ac:dyDescent="0.3"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179"/>
      <c r="N133" s="179"/>
      <c r="O133" s="40"/>
      <c r="P133" s="40"/>
      <c r="AB133" s="215"/>
    </row>
    <row r="134" spans="3:28" s="1" customFormat="1" ht="15" customHeight="1" x14ac:dyDescent="0.3"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179"/>
      <c r="N134" s="179"/>
      <c r="O134" s="40"/>
      <c r="P134" s="40"/>
      <c r="AB134" s="215"/>
    </row>
    <row r="135" spans="3:28" s="1" customFormat="1" ht="15" customHeight="1" x14ac:dyDescent="0.3"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179"/>
      <c r="N135" s="179"/>
      <c r="O135" s="40"/>
      <c r="P135" s="40"/>
      <c r="AB135" s="215"/>
    </row>
    <row r="136" spans="3:28" s="1" customFormat="1" ht="15" customHeight="1" x14ac:dyDescent="0.3"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179"/>
      <c r="N136" s="179"/>
      <c r="O136" s="40"/>
      <c r="P136" s="40"/>
      <c r="AB136" s="215"/>
    </row>
    <row r="137" spans="3:28" s="1" customFormat="1" ht="15" customHeight="1" x14ac:dyDescent="0.3"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179"/>
      <c r="N137" s="179"/>
      <c r="O137" s="40"/>
      <c r="P137" s="40"/>
      <c r="AB137" s="215"/>
    </row>
    <row r="138" spans="3:28" s="1" customFormat="1" ht="15" customHeight="1" x14ac:dyDescent="0.3"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179"/>
      <c r="N138" s="179"/>
      <c r="O138" s="40"/>
      <c r="P138" s="40"/>
      <c r="AB138" s="215"/>
    </row>
    <row r="139" spans="3:28" s="1" customFormat="1" ht="15" customHeight="1" x14ac:dyDescent="0.3"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179"/>
      <c r="N139" s="179"/>
      <c r="O139" s="40"/>
      <c r="P139" s="40"/>
      <c r="AB139" s="215"/>
    </row>
    <row r="140" spans="3:28" s="1" customFormat="1" ht="15" customHeight="1" x14ac:dyDescent="0.3"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179"/>
      <c r="N140" s="179"/>
      <c r="O140" s="40"/>
      <c r="P140" s="40"/>
      <c r="AB140" s="215"/>
    </row>
    <row r="141" spans="3:28" s="1" customFormat="1" ht="15" customHeight="1" x14ac:dyDescent="0.3"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179"/>
      <c r="N141" s="179"/>
      <c r="O141" s="40"/>
      <c r="P141" s="40"/>
      <c r="AB141" s="215"/>
    </row>
    <row r="142" spans="3:28" s="1" customFormat="1" ht="15" customHeight="1" x14ac:dyDescent="0.3"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179"/>
      <c r="N142" s="179"/>
      <c r="O142" s="40"/>
      <c r="P142" s="40"/>
      <c r="AB142" s="215"/>
    </row>
    <row r="143" spans="3:28" s="1" customFormat="1" ht="15" customHeight="1" x14ac:dyDescent="0.3"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179"/>
      <c r="N143" s="179"/>
      <c r="O143" s="40"/>
      <c r="P143" s="40"/>
      <c r="AB143" s="215"/>
    </row>
    <row r="144" spans="3:28" s="1" customFormat="1" ht="15" customHeight="1" x14ac:dyDescent="0.3"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179"/>
      <c r="N144" s="179"/>
      <c r="O144" s="40"/>
      <c r="P144" s="40"/>
      <c r="AB144" s="215"/>
    </row>
    <row r="145" spans="3:28" s="1" customFormat="1" ht="15" customHeight="1" x14ac:dyDescent="0.3"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179"/>
      <c r="N145" s="179"/>
      <c r="O145" s="40"/>
      <c r="P145" s="40"/>
      <c r="AB145" s="215"/>
    </row>
    <row r="146" spans="3:28" s="1" customFormat="1" ht="15" customHeight="1" x14ac:dyDescent="0.3"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179"/>
      <c r="N146" s="179"/>
      <c r="O146" s="40"/>
      <c r="P146" s="40"/>
      <c r="AB146" s="215"/>
    </row>
    <row r="147" spans="3:28" s="1" customFormat="1" ht="15" customHeight="1" x14ac:dyDescent="0.3"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179"/>
      <c r="N147" s="179"/>
      <c r="O147" s="40"/>
      <c r="P147" s="40"/>
      <c r="AB147" s="215"/>
    </row>
    <row r="148" spans="3:28" s="1" customFormat="1" ht="15" customHeight="1" x14ac:dyDescent="0.3"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179"/>
      <c r="N148" s="179"/>
      <c r="O148" s="40"/>
      <c r="P148" s="40"/>
      <c r="AB148" s="215"/>
    </row>
    <row r="149" spans="3:28" s="1" customFormat="1" ht="15" customHeight="1" x14ac:dyDescent="0.3"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179"/>
      <c r="N149" s="179"/>
      <c r="O149" s="40"/>
      <c r="P149" s="40"/>
      <c r="AB149" s="215"/>
    </row>
    <row r="150" spans="3:28" s="1" customFormat="1" ht="15" customHeight="1" x14ac:dyDescent="0.3"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179"/>
      <c r="N150" s="179"/>
      <c r="O150" s="40"/>
      <c r="P150" s="40"/>
      <c r="AB150" s="215"/>
    </row>
    <row r="151" spans="3:28" s="1" customFormat="1" ht="15" customHeight="1" x14ac:dyDescent="0.3"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179"/>
      <c r="N151" s="179"/>
      <c r="O151" s="40"/>
      <c r="P151" s="40"/>
      <c r="AB151" s="215"/>
    </row>
    <row r="152" spans="3:28" s="1" customFormat="1" ht="15" customHeight="1" x14ac:dyDescent="0.3"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179"/>
      <c r="N152" s="179"/>
      <c r="O152" s="40"/>
      <c r="P152" s="40"/>
      <c r="AB152" s="215"/>
    </row>
    <row r="153" spans="3:28" s="1" customFormat="1" ht="15" customHeight="1" x14ac:dyDescent="0.3"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179"/>
      <c r="N153" s="179"/>
      <c r="O153" s="40"/>
      <c r="P153" s="40"/>
      <c r="AB153" s="215"/>
    </row>
    <row r="154" spans="3:28" s="1" customFormat="1" ht="15" customHeight="1" x14ac:dyDescent="0.3"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179"/>
      <c r="N154" s="179"/>
      <c r="O154" s="40"/>
      <c r="P154" s="40"/>
      <c r="AB154" s="215"/>
    </row>
    <row r="155" spans="3:28" s="1" customFormat="1" ht="15" customHeight="1" x14ac:dyDescent="0.3"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179"/>
      <c r="N155" s="179"/>
      <c r="O155" s="40"/>
      <c r="P155" s="40"/>
      <c r="AB155" s="215"/>
    </row>
    <row r="156" spans="3:28" s="1" customFormat="1" ht="15" customHeight="1" x14ac:dyDescent="0.3"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179"/>
      <c r="N156" s="179"/>
      <c r="O156" s="40"/>
      <c r="P156" s="40"/>
      <c r="AB156" s="215"/>
    </row>
    <row r="157" spans="3:28" s="1" customFormat="1" ht="15" customHeight="1" x14ac:dyDescent="0.3"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179"/>
      <c r="N157" s="179"/>
      <c r="O157" s="40"/>
      <c r="P157" s="40"/>
      <c r="AB157" s="215"/>
    </row>
    <row r="158" spans="3:28" s="1" customFormat="1" ht="15" customHeight="1" x14ac:dyDescent="0.3"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179"/>
      <c r="N158" s="179"/>
      <c r="O158" s="40"/>
      <c r="P158" s="40"/>
      <c r="AB158" s="215"/>
    </row>
    <row r="159" spans="3:28" s="1" customFormat="1" ht="15" customHeight="1" x14ac:dyDescent="0.3"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179"/>
      <c r="N159" s="179"/>
      <c r="O159" s="40"/>
      <c r="P159" s="40"/>
      <c r="AB159" s="215"/>
    </row>
    <row r="160" spans="3:28" s="1" customFormat="1" ht="15" customHeight="1" x14ac:dyDescent="0.3"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179"/>
      <c r="N160" s="179"/>
      <c r="O160" s="40"/>
      <c r="P160" s="40"/>
      <c r="AB160" s="215"/>
    </row>
    <row r="161" spans="3:28" s="1" customFormat="1" ht="15" customHeight="1" x14ac:dyDescent="0.3"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179"/>
      <c r="N161" s="179"/>
      <c r="O161" s="40"/>
      <c r="P161" s="40"/>
      <c r="AB161" s="215"/>
    </row>
    <row r="162" spans="3:28" s="1" customFormat="1" ht="15" customHeight="1" x14ac:dyDescent="0.3"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179"/>
      <c r="N162" s="179"/>
      <c r="O162" s="40"/>
      <c r="P162" s="40"/>
      <c r="AB162" s="215"/>
    </row>
    <row r="163" spans="3:28" s="1" customFormat="1" ht="15" customHeight="1" x14ac:dyDescent="0.3"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179"/>
      <c r="N163" s="179"/>
      <c r="O163" s="40"/>
      <c r="P163" s="40"/>
      <c r="AB163" s="215"/>
    </row>
    <row r="164" spans="3:28" s="1" customFormat="1" ht="15" customHeight="1" x14ac:dyDescent="0.3"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179"/>
      <c r="N164" s="179"/>
      <c r="O164" s="40"/>
      <c r="P164" s="40"/>
      <c r="AB164" s="215"/>
    </row>
    <row r="165" spans="3:28" s="1" customFormat="1" ht="15" customHeight="1" x14ac:dyDescent="0.3"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179"/>
      <c r="N165" s="179"/>
      <c r="O165" s="40"/>
      <c r="P165" s="40"/>
      <c r="AB165" s="215"/>
    </row>
    <row r="166" spans="3:28" s="1" customFormat="1" ht="15" customHeight="1" x14ac:dyDescent="0.3"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179"/>
      <c r="N166" s="179"/>
      <c r="O166" s="40"/>
      <c r="P166" s="40"/>
      <c r="AB166" s="215"/>
    </row>
    <row r="167" spans="3:28" s="1" customFormat="1" ht="15" customHeight="1" x14ac:dyDescent="0.3"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179"/>
      <c r="N167" s="179"/>
      <c r="O167" s="40"/>
      <c r="P167" s="40"/>
      <c r="AB167" s="215"/>
    </row>
    <row r="168" spans="3:28" s="1" customFormat="1" ht="15" customHeight="1" x14ac:dyDescent="0.3"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179"/>
      <c r="N168" s="179"/>
      <c r="O168" s="40"/>
      <c r="P168" s="40"/>
      <c r="AB168" s="215"/>
    </row>
    <row r="169" spans="3:28" s="1" customFormat="1" ht="15" customHeight="1" x14ac:dyDescent="0.3"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179"/>
      <c r="N169" s="179"/>
      <c r="O169" s="40"/>
      <c r="P169" s="40"/>
      <c r="AB169" s="215"/>
    </row>
    <row r="170" spans="3:28" s="1" customFormat="1" ht="15" customHeight="1" x14ac:dyDescent="0.3"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179"/>
      <c r="N170" s="179"/>
      <c r="O170" s="40"/>
      <c r="P170" s="40"/>
      <c r="AB170" s="215"/>
    </row>
    <row r="171" spans="3:28" s="1" customFormat="1" ht="15" customHeight="1" x14ac:dyDescent="0.3"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179"/>
      <c r="N171" s="179"/>
      <c r="O171" s="40"/>
      <c r="P171" s="40"/>
      <c r="AB171" s="215"/>
    </row>
    <row r="172" spans="3:28" s="1" customFormat="1" ht="15" customHeight="1" x14ac:dyDescent="0.3"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179"/>
      <c r="N172" s="179"/>
      <c r="O172" s="40"/>
      <c r="P172" s="40"/>
      <c r="AB172" s="215"/>
    </row>
    <row r="173" spans="3:28" s="1" customFormat="1" ht="15" customHeight="1" x14ac:dyDescent="0.3"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179"/>
      <c r="N173" s="179"/>
      <c r="O173" s="40"/>
      <c r="P173" s="40"/>
      <c r="AB173" s="215"/>
    </row>
    <row r="174" spans="3:28" s="1" customFormat="1" ht="15" customHeight="1" x14ac:dyDescent="0.3"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179"/>
      <c r="N174" s="179"/>
      <c r="O174" s="40"/>
      <c r="P174" s="40"/>
      <c r="AB174" s="215"/>
    </row>
    <row r="175" spans="3:28" s="1" customFormat="1" ht="15" customHeight="1" x14ac:dyDescent="0.3"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179"/>
      <c r="N175" s="179"/>
      <c r="O175" s="40"/>
      <c r="P175" s="40"/>
      <c r="AB175" s="215"/>
    </row>
    <row r="176" spans="3:28" s="1" customFormat="1" ht="15" customHeight="1" x14ac:dyDescent="0.3"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179"/>
      <c r="N176" s="179"/>
      <c r="O176" s="40"/>
      <c r="P176" s="40"/>
      <c r="AB176" s="215"/>
    </row>
    <row r="177" spans="2:28" s="1" customFormat="1" ht="15" customHeight="1" x14ac:dyDescent="0.3"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179"/>
      <c r="N177" s="179"/>
      <c r="O177" s="40"/>
      <c r="P177" s="40"/>
      <c r="AB177" s="215"/>
    </row>
    <row r="178" spans="2:28" s="1" customFormat="1" ht="15" customHeight="1" x14ac:dyDescent="0.3"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179"/>
      <c r="N178" s="179"/>
      <c r="O178" s="40"/>
      <c r="P178" s="40"/>
      <c r="AB178" s="215"/>
    </row>
    <row r="179" spans="2:28" s="1" customFormat="1" ht="15" customHeight="1" x14ac:dyDescent="0.3"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179"/>
      <c r="N179" s="179"/>
      <c r="O179" s="40"/>
      <c r="P179" s="40"/>
      <c r="AB179" s="215"/>
    </row>
    <row r="180" spans="2:28" s="1" customFormat="1" ht="15" customHeight="1" x14ac:dyDescent="0.3"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179"/>
      <c r="N180" s="179"/>
      <c r="O180" s="40"/>
      <c r="P180" s="40"/>
      <c r="AB180" s="215"/>
    </row>
    <row r="181" spans="2:28" s="1" customFormat="1" ht="15" customHeight="1" x14ac:dyDescent="0.3"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179"/>
      <c r="N181" s="179"/>
      <c r="O181" s="40"/>
      <c r="P181" s="40"/>
      <c r="AB181" s="215"/>
    </row>
    <row r="182" spans="2:28" s="1" customFormat="1" ht="15" customHeight="1" x14ac:dyDescent="0.3"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179"/>
      <c r="N182" s="179"/>
      <c r="O182" s="40"/>
      <c r="P182" s="40"/>
      <c r="AB182" s="215"/>
    </row>
    <row r="183" spans="2:28" s="1" customFormat="1" ht="15" customHeight="1" x14ac:dyDescent="0.3"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179"/>
      <c r="N183" s="179"/>
      <c r="O183" s="40"/>
      <c r="P183" s="40"/>
      <c r="AB183" s="215"/>
    </row>
    <row r="184" spans="2:28" s="1" customFormat="1" ht="15" customHeight="1" x14ac:dyDescent="0.3"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179"/>
      <c r="N184" s="179"/>
      <c r="O184" s="40"/>
      <c r="P184" s="40"/>
      <c r="AB184" s="215"/>
    </row>
    <row r="185" spans="2:28" s="1" customFormat="1" ht="15" customHeight="1" x14ac:dyDescent="0.3"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179"/>
      <c r="N185" s="179"/>
      <c r="O185" s="40"/>
      <c r="P185" s="40"/>
      <c r="AB185" s="215"/>
    </row>
    <row r="186" spans="2:28" s="1" customFormat="1" ht="15" customHeight="1" x14ac:dyDescent="0.3"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179"/>
      <c r="N186" s="179"/>
      <c r="O186" s="40"/>
      <c r="P186" s="40"/>
      <c r="AB186" s="215"/>
    </row>
    <row r="187" spans="2:28" s="1" customFormat="1" ht="15" customHeight="1" x14ac:dyDescent="0.3"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179"/>
      <c r="N187" s="179"/>
      <c r="O187" s="40"/>
      <c r="P187" s="40"/>
      <c r="AB187" s="215"/>
    </row>
    <row r="188" spans="2:28" s="1" customFormat="1" ht="15" customHeight="1" x14ac:dyDescent="0.3"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179"/>
      <c r="N188" s="179"/>
      <c r="O188" s="40"/>
      <c r="P188" s="40"/>
      <c r="AB188" s="215"/>
    </row>
    <row r="189" spans="2:28" ht="15" customHeight="1" x14ac:dyDescent="0.3">
      <c r="B189" s="1"/>
    </row>
    <row r="190" spans="2:28" ht="15" customHeight="1" x14ac:dyDescent="0.3">
      <c r="B190" s="1"/>
    </row>
    <row r="191" spans="2:28" ht="15" customHeight="1" x14ac:dyDescent="0.3">
      <c r="B191" s="1"/>
    </row>
    <row r="192" spans="2:28" ht="15" customHeight="1" x14ac:dyDescent="0.3">
      <c r="B192" s="1"/>
    </row>
    <row r="193" ht="15" customHeight="1" x14ac:dyDescent="0.3"/>
    <row r="194" ht="15" customHeight="1" x14ac:dyDescent="0.3"/>
    <row r="195" ht="15" customHeight="1" x14ac:dyDescent="0.3"/>
    <row r="196" ht="15" customHeight="1" x14ac:dyDescent="0.3"/>
    <row r="197" ht="15" customHeight="1" x14ac:dyDescent="0.3"/>
    <row r="198" ht="15" customHeight="1" x14ac:dyDescent="0.3"/>
    <row r="199" ht="15" customHeight="1" x14ac:dyDescent="0.3"/>
    <row r="200" ht="15" customHeight="1" x14ac:dyDescent="0.3"/>
    <row r="201" ht="15" customHeight="1" x14ac:dyDescent="0.3"/>
    <row r="202" ht="15" customHeight="1" x14ac:dyDescent="0.3"/>
    <row r="203" ht="15" customHeight="1" x14ac:dyDescent="0.3"/>
    <row r="204" ht="15" customHeight="1" x14ac:dyDescent="0.3"/>
    <row r="205" ht="15" customHeight="1" x14ac:dyDescent="0.3"/>
    <row r="206" ht="15" customHeight="1" x14ac:dyDescent="0.3"/>
    <row r="207" ht="15" customHeight="1" x14ac:dyDescent="0.3"/>
    <row r="208" ht="15" customHeight="1" x14ac:dyDescent="0.3"/>
    <row r="209" ht="15" customHeight="1" x14ac:dyDescent="0.3"/>
    <row r="210" ht="15" customHeight="1" x14ac:dyDescent="0.3"/>
    <row r="211" ht="15" customHeight="1" x14ac:dyDescent="0.3"/>
    <row r="212" ht="15" customHeight="1" x14ac:dyDescent="0.3"/>
    <row r="213" ht="15" customHeight="1" x14ac:dyDescent="0.3"/>
    <row r="214" ht="15" customHeight="1" x14ac:dyDescent="0.3"/>
    <row r="215" ht="15" customHeight="1" x14ac:dyDescent="0.3"/>
    <row r="216" ht="15" customHeight="1" x14ac:dyDescent="0.3"/>
    <row r="217" ht="15" customHeight="1" x14ac:dyDescent="0.3"/>
    <row r="218" ht="15" customHeight="1" x14ac:dyDescent="0.3"/>
    <row r="219" ht="15" customHeight="1" x14ac:dyDescent="0.3"/>
    <row r="220" ht="15" customHeight="1" x14ac:dyDescent="0.3"/>
    <row r="221" ht="15" customHeight="1" x14ac:dyDescent="0.3"/>
    <row r="222" ht="15" customHeight="1" x14ac:dyDescent="0.3"/>
    <row r="223" ht="15" customHeight="1" x14ac:dyDescent="0.3"/>
    <row r="224" ht="15" customHeight="1" x14ac:dyDescent="0.3"/>
    <row r="225" ht="15" customHeight="1" x14ac:dyDescent="0.3"/>
    <row r="226" ht="15" customHeight="1" x14ac:dyDescent="0.3"/>
    <row r="227" ht="15" customHeight="1" x14ac:dyDescent="0.3"/>
    <row r="228" ht="15" customHeight="1" x14ac:dyDescent="0.3"/>
    <row r="229" ht="15" customHeight="1" x14ac:dyDescent="0.3"/>
    <row r="230" ht="15" customHeight="1" x14ac:dyDescent="0.3"/>
    <row r="231" ht="15" customHeight="1" x14ac:dyDescent="0.3"/>
    <row r="232" ht="15" customHeight="1" x14ac:dyDescent="0.3"/>
    <row r="233" ht="15" customHeight="1" x14ac:dyDescent="0.3"/>
    <row r="234" ht="15" customHeight="1" x14ac:dyDescent="0.3"/>
    <row r="235" ht="15" customHeight="1" x14ac:dyDescent="0.3"/>
    <row r="236" ht="15" customHeight="1" x14ac:dyDescent="0.3"/>
    <row r="237" ht="15" customHeight="1" x14ac:dyDescent="0.3"/>
    <row r="238" ht="15" customHeight="1" x14ac:dyDescent="0.3"/>
    <row r="239" ht="15" customHeight="1" x14ac:dyDescent="0.3"/>
    <row r="240" ht="15" customHeight="1" x14ac:dyDescent="0.3"/>
    <row r="241" ht="15" customHeight="1" x14ac:dyDescent="0.3"/>
    <row r="242" ht="15" customHeight="1" x14ac:dyDescent="0.3"/>
    <row r="243" ht="15" customHeight="1" x14ac:dyDescent="0.3"/>
    <row r="244" ht="15" customHeight="1" x14ac:dyDescent="0.3"/>
    <row r="245" ht="15" customHeight="1" x14ac:dyDescent="0.3"/>
    <row r="246" ht="15" customHeight="1" x14ac:dyDescent="0.3"/>
    <row r="247" ht="15" customHeight="1" x14ac:dyDescent="0.3"/>
    <row r="248" ht="15" customHeight="1" x14ac:dyDescent="0.3"/>
    <row r="249" ht="15" customHeight="1" x14ac:dyDescent="0.3"/>
    <row r="250" ht="15" customHeight="1" x14ac:dyDescent="0.3"/>
    <row r="251" ht="15" customHeight="1" x14ac:dyDescent="0.3"/>
    <row r="252" ht="15" customHeight="1" x14ac:dyDescent="0.3"/>
    <row r="253" ht="15" customHeight="1" x14ac:dyDescent="0.3"/>
    <row r="254" ht="15" customHeight="1" x14ac:dyDescent="0.3"/>
    <row r="255" ht="15" customHeight="1" x14ac:dyDescent="0.3"/>
    <row r="256" ht="15" customHeight="1" x14ac:dyDescent="0.3"/>
    <row r="257" ht="15" customHeight="1" x14ac:dyDescent="0.3"/>
    <row r="258" ht="15" customHeight="1" x14ac:dyDescent="0.3"/>
    <row r="259" ht="15" customHeight="1" x14ac:dyDescent="0.3"/>
    <row r="260" ht="15" customHeight="1" x14ac:dyDescent="0.3"/>
    <row r="261" ht="15" customHeight="1" x14ac:dyDescent="0.3"/>
    <row r="262" ht="15" customHeight="1" x14ac:dyDescent="0.3"/>
    <row r="263" ht="15" customHeight="1" x14ac:dyDescent="0.3"/>
    <row r="264" ht="15" customHeight="1" x14ac:dyDescent="0.3"/>
    <row r="265" ht="15" customHeight="1" x14ac:dyDescent="0.3"/>
    <row r="266" ht="15" customHeight="1" x14ac:dyDescent="0.3"/>
    <row r="267" ht="15" customHeight="1" x14ac:dyDescent="0.3"/>
  </sheetData>
  <mergeCells count="12">
    <mergeCell ref="O58:O66"/>
    <mergeCell ref="O68:O76"/>
    <mergeCell ref="AC5:AC13"/>
    <mergeCell ref="A6:A14"/>
    <mergeCell ref="A16:A24"/>
    <mergeCell ref="O17:O26"/>
    <mergeCell ref="A26:A34"/>
    <mergeCell ref="O28:O36"/>
    <mergeCell ref="A36:A44"/>
    <mergeCell ref="O38:O46"/>
    <mergeCell ref="A46:A54"/>
    <mergeCell ref="O48:O56"/>
  </mergeCells>
  <printOptions headings="1"/>
  <pageMargins left="0.2" right="0.2" top="0.5" bottom="0.5" header="0.3" footer="0.3"/>
  <pageSetup scale="68" orientation="portrait" cellComments="asDisplayed" r:id="rId1"/>
  <headerFooter>
    <oddHeader>&amp;C&amp;A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AX74"/>
  <sheetViews>
    <sheetView zoomScaleNormal="100" workbookViewId="0">
      <pane xSplit="1" ySplit="3" topLeftCell="B55" activePane="bottomRight" state="frozen"/>
      <selection activeCell="AL26" sqref="AL26"/>
      <selection pane="topRight" activeCell="AL26" sqref="AL26"/>
      <selection pane="bottomLeft" activeCell="AL26" sqref="AL26"/>
      <selection pane="bottomRight" activeCell="I63" sqref="I63"/>
    </sheetView>
  </sheetViews>
  <sheetFormatPr defaultColWidth="9.109375" defaultRowHeight="14.4" x14ac:dyDescent="0.3"/>
  <cols>
    <col min="1" max="1" width="39.109375" style="40" customWidth="1"/>
    <col min="2" max="3" width="11" style="40" customWidth="1"/>
    <col min="4" max="4" width="16" style="40" customWidth="1"/>
    <col min="5" max="18" width="14.109375" style="40" customWidth="1"/>
    <col min="19" max="19" width="15" style="40" bestFit="1" customWidth="1"/>
    <col min="20" max="20" width="14.109375" style="40" customWidth="1"/>
    <col min="21" max="21" width="15" style="40" customWidth="1"/>
    <col min="22" max="23" width="15.33203125" style="40" bestFit="1" customWidth="1"/>
    <col min="24" max="35" width="15.33203125" style="40" customWidth="1"/>
    <col min="36" max="49" width="15.33203125" style="40" bestFit="1" customWidth="1"/>
    <col min="50" max="50" width="15" style="40" bestFit="1" customWidth="1"/>
    <col min="51" max="16384" width="9.109375" style="40"/>
  </cols>
  <sheetData>
    <row r="1" spans="1:50" x14ac:dyDescent="0.3">
      <c r="A1" s="35" t="s">
        <v>30</v>
      </c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1:50" x14ac:dyDescent="0.3">
      <c r="A2" s="27"/>
      <c r="AJ2" s="2"/>
      <c r="AK2" s="2"/>
      <c r="AL2" s="246"/>
      <c r="AM2" s="246"/>
      <c r="AN2" s="246"/>
      <c r="AO2" s="246"/>
      <c r="AP2" s="2"/>
      <c r="AQ2" s="2"/>
      <c r="AR2" s="2"/>
      <c r="AS2" s="2"/>
      <c r="AT2" s="2"/>
      <c r="AU2" s="2"/>
      <c r="AV2" s="2"/>
      <c r="AW2" s="2"/>
      <c r="AX2" s="2"/>
    </row>
    <row r="3" spans="1:50" x14ac:dyDescent="0.3">
      <c r="B3" s="12">
        <v>43466</v>
      </c>
      <c r="C3" s="12">
        <v>43497</v>
      </c>
      <c r="D3" s="12">
        <v>43525</v>
      </c>
      <c r="E3" s="12">
        <v>43556</v>
      </c>
      <c r="F3" s="12">
        <v>43586</v>
      </c>
      <c r="G3" s="12">
        <v>43617</v>
      </c>
      <c r="H3" s="12">
        <v>43647</v>
      </c>
      <c r="I3" s="12">
        <v>43678</v>
      </c>
      <c r="J3" s="12">
        <v>43709</v>
      </c>
      <c r="K3" s="12">
        <v>43739</v>
      </c>
      <c r="L3" s="12">
        <v>43770</v>
      </c>
      <c r="M3" s="12">
        <v>43800</v>
      </c>
      <c r="N3" s="12">
        <v>43831</v>
      </c>
      <c r="O3" s="12">
        <v>43862</v>
      </c>
      <c r="P3" s="12">
        <v>43891</v>
      </c>
      <c r="Q3" s="12">
        <v>43922</v>
      </c>
      <c r="R3" s="12">
        <v>43952</v>
      </c>
      <c r="S3" s="12">
        <v>43983</v>
      </c>
      <c r="T3" s="12">
        <v>44013</v>
      </c>
      <c r="U3" s="12">
        <v>44044</v>
      </c>
      <c r="V3" s="12">
        <v>44075</v>
      </c>
      <c r="W3" s="12">
        <v>44105</v>
      </c>
      <c r="X3" s="12">
        <v>44136</v>
      </c>
      <c r="Y3" s="12">
        <v>44166</v>
      </c>
      <c r="Z3" s="12">
        <v>44197</v>
      </c>
      <c r="AA3" s="12">
        <v>44228</v>
      </c>
      <c r="AB3" s="12">
        <v>44256</v>
      </c>
      <c r="AC3" s="12">
        <v>44287</v>
      </c>
      <c r="AD3" s="12">
        <v>44317</v>
      </c>
      <c r="AE3" s="12">
        <v>44348</v>
      </c>
      <c r="AF3" s="12">
        <v>44378</v>
      </c>
      <c r="AG3" s="12">
        <v>44409</v>
      </c>
      <c r="AH3" s="12">
        <v>44440</v>
      </c>
      <c r="AI3" s="12">
        <v>44470</v>
      </c>
      <c r="AJ3" s="12">
        <v>44501</v>
      </c>
      <c r="AK3" s="12">
        <v>44531</v>
      </c>
      <c r="AL3" s="12">
        <v>44562</v>
      </c>
      <c r="AM3" s="12">
        <v>44593</v>
      </c>
      <c r="AN3" s="12">
        <v>44621</v>
      </c>
      <c r="AO3" s="12">
        <v>44652</v>
      </c>
      <c r="AP3" s="12">
        <v>44682</v>
      </c>
      <c r="AQ3" s="12">
        <v>44713</v>
      </c>
      <c r="AR3" s="12">
        <v>44743</v>
      </c>
      <c r="AS3" s="12">
        <v>44774</v>
      </c>
      <c r="AT3" s="12">
        <v>44805</v>
      </c>
      <c r="AU3" s="12">
        <v>44835</v>
      </c>
      <c r="AV3" s="12">
        <v>44866</v>
      </c>
      <c r="AW3" s="12">
        <v>44896</v>
      </c>
      <c r="AX3" s="12">
        <v>44927</v>
      </c>
    </row>
    <row r="4" spans="1:50" s="2" customFormat="1" x14ac:dyDescent="0.3">
      <c r="A4" s="39" t="s">
        <v>38</v>
      </c>
      <c r="B4" s="34"/>
      <c r="C4" s="34"/>
      <c r="D4" s="31"/>
      <c r="E4" s="31"/>
      <c r="F4" s="31"/>
      <c r="G4" s="31"/>
      <c r="H4" s="31"/>
      <c r="I4" s="31"/>
      <c r="J4" s="31"/>
      <c r="K4" s="31"/>
      <c r="L4" s="117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117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</row>
    <row r="5" spans="1:50" x14ac:dyDescent="0.3">
      <c r="A5" s="40" t="s">
        <v>33</v>
      </c>
      <c r="B5" s="41"/>
      <c r="C5" s="41"/>
      <c r="D5" s="45">
        <v>0</v>
      </c>
      <c r="E5" s="45">
        <v>3542.7066619947968</v>
      </c>
      <c r="F5" s="45">
        <v>30136.455518898227</v>
      </c>
      <c r="G5" s="45">
        <v>273500.38459568418</v>
      </c>
      <c r="H5" s="45">
        <v>714630.19454973028</v>
      </c>
      <c r="I5" s="45">
        <v>1252115.2720556506</v>
      </c>
      <c r="J5" s="45">
        <v>1625934.6179925092</v>
      </c>
      <c r="K5" s="45">
        <v>1762960.5580065004</v>
      </c>
      <c r="L5" s="45">
        <v>2036259.811498007</v>
      </c>
      <c r="M5" s="45">
        <v>2499434.2156662</v>
      </c>
      <c r="N5" s="45">
        <f>3024353.08836572+6554.1</f>
        <v>3030907.1883657202</v>
      </c>
      <c r="O5" s="45">
        <f>3505159.86672899+192583.941016507</f>
        <v>3697743.8077454967</v>
      </c>
      <c r="P5" s="45">
        <f>3914603.11678053+237854.1</f>
        <v>4152457.2167805303</v>
      </c>
      <c r="Q5" s="45">
        <f>4070172.11038659+291838.588071724</f>
        <v>4362010.6984583139</v>
      </c>
      <c r="R5" s="45">
        <f>4229610.15303022+367485.985727049</f>
        <v>4597096.1387572698</v>
      </c>
      <c r="S5" s="45">
        <f>4592560.83505275+739295.933491184</f>
        <v>5331856.7685439344</v>
      </c>
      <c r="T5" s="45">
        <f>4990515.09833128+1344897.95339866</f>
        <v>6335413.0517299399</v>
      </c>
      <c r="U5" s="45">
        <f>5418265.12134377+2113348.33467618</f>
        <v>7531613.4560199501</v>
      </c>
      <c r="V5" s="45">
        <f>5789061.85817861+2752702.49586261</f>
        <v>8541764.3540412206</v>
      </c>
      <c r="W5" s="45">
        <f>5952563.39140542+3033444.35764041</f>
        <v>8986007.7490458302</v>
      </c>
      <c r="X5" s="45">
        <f>6134018.54500076+3442711.84437844</f>
        <v>9576730.3893791996</v>
      </c>
      <c r="Y5" s="45">
        <f>6322661.25581799+3993133.58828793</f>
        <v>10315794.84410592</v>
      </c>
      <c r="Z5" s="45">
        <f>6984.86+4559187.38175189+6509848.95791205</f>
        <v>11076021.199663941</v>
      </c>
      <c r="AA5" s="45">
        <f>6677794.05853156+5094820.43416596+38291.8049859144</f>
        <v>11810906.297683435</v>
      </c>
      <c r="AB5" s="45">
        <f>6858524.1413342+5634008.99556086+108423.687063481</f>
        <v>12600956.823958542</v>
      </c>
      <c r="AC5" s="45">
        <f>7024584.84737362+6091540.15699686+197422.977619697</f>
        <v>13313547.981990177</v>
      </c>
      <c r="AD5" s="45">
        <f>7197760.72201452+6577186.55853686+326606.30736373</f>
        <v>14101553.587915111</v>
      </c>
      <c r="AE5" s="45">
        <f>7874415.13583633+7588257.96393303+811663.040210789</f>
        <v>16274336.13998015</v>
      </c>
      <c r="AF5" s="45">
        <f>8012134.15630774+9371259.89153676+1546655.20030572</f>
        <v>18930049.248150218</v>
      </c>
      <c r="AG5" s="45">
        <f>10852823.9399505+8439884.17932023+2402203.76938233</f>
        <v>21694911.888653059</v>
      </c>
      <c r="AH5" s="45">
        <f>8810680.91615507+11910809.4471491+3066829.20571084</f>
        <v>23788319.569015007</v>
      </c>
      <c r="AI5" s="45">
        <f>8974182.44938188+12349883.7615509+3324782.66781071</f>
        <v>24648848.878743492</v>
      </c>
      <c r="AJ5" s="161">
        <f>AI5+AJ14</f>
        <v>25686307.432088021</v>
      </c>
      <c r="AK5" s="161">
        <f>AJ5+AK14</f>
        <v>26955777.428509824</v>
      </c>
      <c r="AL5" s="161">
        <f t="shared" ref="AK5:AX10" si="0">AK5+AL14</f>
        <v>28289575.051811624</v>
      </c>
      <c r="AM5" s="161">
        <f t="shared" si="0"/>
        <v>29483982.617703527</v>
      </c>
      <c r="AN5" s="161">
        <f t="shared" si="0"/>
        <v>29732564.958544582</v>
      </c>
      <c r="AO5" s="161">
        <f t="shared" si="0"/>
        <v>29948862.008691754</v>
      </c>
      <c r="AP5" s="161">
        <f t="shared" si="0"/>
        <v>30178758.980509937</v>
      </c>
      <c r="AQ5" s="161">
        <f t="shared" si="0"/>
        <v>30809724.945951328</v>
      </c>
      <c r="AR5" s="161">
        <f t="shared" si="0"/>
        <v>31605039.709438682</v>
      </c>
      <c r="AS5" s="161">
        <f t="shared" si="0"/>
        <v>32467270.23342856</v>
      </c>
      <c r="AT5" s="161">
        <f t="shared" si="0"/>
        <v>33125440.828019362</v>
      </c>
      <c r="AU5" s="161">
        <f t="shared" si="0"/>
        <v>33376959.762268517</v>
      </c>
      <c r="AV5" s="161">
        <f t="shared" si="0"/>
        <v>33690664.076161116</v>
      </c>
      <c r="AW5" s="161">
        <f t="shared" si="0"/>
        <v>34095360.844245434</v>
      </c>
      <c r="AX5" s="161">
        <f t="shared" si="0"/>
        <v>34518437.670794234</v>
      </c>
    </row>
    <row r="6" spans="1:50" x14ac:dyDescent="0.3">
      <c r="A6" s="40" t="s">
        <v>34</v>
      </c>
      <c r="B6" s="41"/>
      <c r="C6" s="41"/>
      <c r="D6" s="45">
        <v>0.34412602678174997</v>
      </c>
      <c r="E6" s="45">
        <v>594.19753610000055</v>
      </c>
      <c r="F6" s="45">
        <v>8962.7201321071716</v>
      </c>
      <c r="G6" s="45">
        <v>32604.534313513876</v>
      </c>
      <c r="H6" s="45">
        <v>80268.39554484954</v>
      </c>
      <c r="I6" s="45">
        <v>133550.07117798761</v>
      </c>
      <c r="J6" s="45">
        <v>205226.49945065699</v>
      </c>
      <c r="K6" s="45">
        <v>266976.49556192581</v>
      </c>
      <c r="L6" s="45">
        <v>331278.27644167107</v>
      </c>
      <c r="M6" s="45">
        <v>412157.92982770345</v>
      </c>
      <c r="N6" s="45">
        <f>521623.159550585+1670.75143089162</f>
        <v>523293.91098147666</v>
      </c>
      <c r="O6" s="45">
        <f>603271.52828092+5976.78656574626</f>
        <v>609248.3148466663</v>
      </c>
      <c r="P6" s="45">
        <f>696199.317917802+14714.26</f>
        <v>710913.57791780203</v>
      </c>
      <c r="Q6" s="45">
        <f>723200.088718607+31418.0762713889</f>
        <v>754618.16498999589</v>
      </c>
      <c r="R6" s="45">
        <f>760016.621421969+66060.9194407934</f>
        <v>826077.54086276237</v>
      </c>
      <c r="S6" s="45">
        <f>804930.798867774+118900.240162753</f>
        <v>923831.039030527</v>
      </c>
      <c r="T6" s="45">
        <f>863286.796642103+201559.391010265</f>
        <v>1064846.1876523681</v>
      </c>
      <c r="U6" s="45">
        <f>893954.349070289+279384.341901059</f>
        <v>1173338.690971348</v>
      </c>
      <c r="V6" s="45">
        <f>925829.706887215+369147.536894573</f>
        <v>1294977.243781788</v>
      </c>
      <c r="W6" s="45">
        <f>949608.155526296+444877.201813712</f>
        <v>1394485.357340008</v>
      </c>
      <c r="X6" s="45">
        <f>969602.013839408+518731.625150986</f>
        <v>1488333.6389903941</v>
      </c>
      <c r="Y6" s="45">
        <f>990182.866694943+608329.824854209</f>
        <v>1598512.6915491521</v>
      </c>
      <c r="Z6" s="45">
        <f>0+776593.090757675+1011824.79610248</f>
        <v>1788417.886860155</v>
      </c>
      <c r="AA6" s="45">
        <f>1029034.80579473+894412.886148724+2123.67623167265</f>
        <v>1925571.3681751268</v>
      </c>
      <c r="AB6" s="45">
        <f>1048478.70553725+1021695.85675042+14720.0229147457</f>
        <v>2084894.5852024157</v>
      </c>
      <c r="AC6" s="45">
        <f>1067642.90338983+1141192.13644484+38669.3259791895</f>
        <v>2247504.3658138593</v>
      </c>
      <c r="AD6" s="45">
        <f>1092339.59759687+1294229.77021522+80015.0557464889</f>
        <v>2466584.4235585788</v>
      </c>
      <c r="AE6" s="45">
        <f>1507535.79045081+1122256.74477558+157730.002941148</f>
        <v>2787522.5381675377</v>
      </c>
      <c r="AF6" s="45">
        <f>1160368.10063368+1782072.99359045+278580.137918406</f>
        <v>3221021.232142536</v>
      </c>
      <c r="AG6" s="45">
        <f>2010411.61875989+1191035.65306186+394500.368310462</f>
        <v>3595947.6401322121</v>
      </c>
      <c r="AH6" s="45">
        <f>1222911.01087879+2193597.58661084+503852.755941809</f>
        <v>3920361.353431439</v>
      </c>
      <c r="AI6" s="45">
        <f>1246689.45951787+2322986.34341785+591339.197045792</f>
        <v>4161014.9999815118</v>
      </c>
      <c r="AJ6" s="161">
        <f>AI6+AJ15</f>
        <v>4383483.7396074664</v>
      </c>
      <c r="AK6" s="161">
        <f t="shared" ref="AK6:AX6" si="1">AJ6+AK15</f>
        <v>4682119.0385112455</v>
      </c>
      <c r="AL6" s="161">
        <f t="shared" si="1"/>
        <v>5042343.2783697173</v>
      </c>
      <c r="AM6" s="161">
        <f t="shared" si="1"/>
        <v>5335784.5915682046</v>
      </c>
      <c r="AN6" s="161">
        <f t="shared" si="1"/>
        <v>5457887.8048195131</v>
      </c>
      <c r="AO6" s="161">
        <f t="shared" si="1"/>
        <v>5573778.6186426561</v>
      </c>
      <c r="AP6" s="161">
        <f t="shared" si="1"/>
        <v>5730846.4872442819</v>
      </c>
      <c r="AQ6" s="161">
        <f t="shared" si="1"/>
        <v>5991126.3353969874</v>
      </c>
      <c r="AR6" s="161">
        <f t="shared" si="1"/>
        <v>6341657.2586401301</v>
      </c>
      <c r="AS6" s="161">
        <f t="shared" si="1"/>
        <v>6652092.4296738626</v>
      </c>
      <c r="AT6" s="161">
        <f t="shared" si="1"/>
        <v>6918673.8509565638</v>
      </c>
      <c r="AU6" s="161">
        <f t="shared" si="1"/>
        <v>7107274.4189187055</v>
      </c>
      <c r="AV6" s="161">
        <f t="shared" si="1"/>
        <v>7291749.3324642656</v>
      </c>
      <c r="AW6" s="161">
        <f t="shared" si="1"/>
        <v>7518485.0379332928</v>
      </c>
      <c r="AX6" s="161">
        <f t="shared" si="1"/>
        <v>7768437.8317717174</v>
      </c>
    </row>
    <row r="7" spans="1:50" x14ac:dyDescent="0.3">
      <c r="A7" s="40" t="s">
        <v>35</v>
      </c>
      <c r="B7" s="41"/>
      <c r="C7" s="41"/>
      <c r="D7" s="45">
        <v>0.36790548240712501</v>
      </c>
      <c r="E7" s="45">
        <v>549.75215057062348</v>
      </c>
      <c r="F7" s="45">
        <v>4372.2897437101055</v>
      </c>
      <c r="G7" s="45">
        <v>21153.622105764334</v>
      </c>
      <c r="H7" s="45">
        <v>61231.340486306894</v>
      </c>
      <c r="I7" s="45">
        <v>115000.17366148013</v>
      </c>
      <c r="J7" s="45">
        <v>193945.10714767221</v>
      </c>
      <c r="K7" s="45">
        <v>249871.45813878858</v>
      </c>
      <c r="L7" s="45">
        <v>333751.90722352377</v>
      </c>
      <c r="M7" s="45">
        <v>433032.97939606744</v>
      </c>
      <c r="N7" s="45">
        <f>579533.27131616+1779.61011819965</f>
        <v>581312.88143435959</v>
      </c>
      <c r="O7" s="45">
        <f>692712.313764346+6993.22536134082</f>
        <v>699705.53912568674</v>
      </c>
      <c r="P7" s="45">
        <f>802057.022470645+16835.3</f>
        <v>818892.32247064507</v>
      </c>
      <c r="Q7" s="45">
        <f>830485.556909839+33972.3172811836</f>
        <v>864457.87419102259</v>
      </c>
      <c r="R7" s="45">
        <f>873501.622596128+72093.2191642493</f>
        <v>945594.84176037728</v>
      </c>
      <c r="S7" s="45">
        <f>959608.626292992+169282.073851875</f>
        <v>1128890.7001448669</v>
      </c>
      <c r="T7" s="45">
        <f>1063968.34972717+322181.463908298</f>
        <v>1386149.813635468</v>
      </c>
      <c r="U7" s="45">
        <f>1132109.73254343+490797.70403803</f>
        <v>1622907.4365814601</v>
      </c>
      <c r="V7" s="45">
        <f>1180839.16663709+658085.33680828</f>
        <v>1838924.5034453701</v>
      </c>
      <c r="W7" s="45">
        <f>1205402.21221795+767856.843398324</f>
        <v>1973259.055616274</v>
      </c>
      <c r="X7" s="45">
        <f>1226779.22699359+875811.838749238</f>
        <v>2102591.065742828</v>
      </c>
      <c r="Y7" s="45">
        <f>1249739.71635683+1010773.71532626</f>
        <v>2260513.43168309</v>
      </c>
      <c r="Z7" s="45">
        <f>0+1256264.46478952+1274915.30517198</f>
        <v>2531179.7699615001</v>
      </c>
      <c r="AA7" s="45">
        <f>1295256.89646395+1432232.05331903+2525.18742867228</f>
        <v>2730014.137211652</v>
      </c>
      <c r="AB7" s="45">
        <f>1316919.61101593+1620232.2612029+12344.7393347992</f>
        <v>2949496.6115536294</v>
      </c>
      <c r="AC7" s="45">
        <f>1336562.80719841+1792062.84696792+29608.4619412363</f>
        <v>3158234.1161075658</v>
      </c>
      <c r="AD7" s="45">
        <f>1364213.18002425+2030517.79850015+64728.979249387</f>
        <v>3459459.957773787</v>
      </c>
      <c r="AE7" s="45">
        <f>2549754.60617245+1425464.68121639+168386.099342775</f>
        <v>4143605.3867316148</v>
      </c>
      <c r="AF7" s="45">
        <f>1501263.09053358+3187898.63459364+372102.983002732</f>
        <v>5061264.7081299517</v>
      </c>
      <c r="AG7" s="45">
        <f>3763039.58282068+1569404.47334984+630628.382039808</f>
        <v>5963072.4382103272</v>
      </c>
      <c r="AH7" s="45">
        <f>1618133.9074435+4145741.85127576+829495.511948318</f>
        <v>6593371.2706675781</v>
      </c>
      <c r="AI7" s="45">
        <f>1642696.95302437+4340932.71194229+946771.635258247</f>
        <v>6930401.3002249068</v>
      </c>
      <c r="AJ7" s="161">
        <f>AI7+AJ16</f>
        <v>7243337.9847924719</v>
      </c>
      <c r="AK7" s="161">
        <f t="shared" si="0"/>
        <v>7646028.4822321422</v>
      </c>
      <c r="AL7" s="161">
        <f t="shared" si="0"/>
        <v>8135702.1008453565</v>
      </c>
      <c r="AM7" s="161">
        <f t="shared" si="0"/>
        <v>8541705.3940737527</v>
      </c>
      <c r="AN7" s="161">
        <f t="shared" si="0"/>
        <v>8675049.0906655956</v>
      </c>
      <c r="AO7" s="161">
        <f t="shared" si="0"/>
        <v>8798250.162625242</v>
      </c>
      <c r="AP7" s="161">
        <f t="shared" si="0"/>
        <v>8976784.7330283746</v>
      </c>
      <c r="AQ7" s="161">
        <f t="shared" si="0"/>
        <v>9434949.7797130961</v>
      </c>
      <c r="AR7" s="161">
        <f t="shared" si="0"/>
        <v>10036862.244591724</v>
      </c>
      <c r="AS7" s="161">
        <f t="shared" si="0"/>
        <v>10639520.085459543</v>
      </c>
      <c r="AT7" s="161">
        <f t="shared" si="0"/>
        <v>11078432.723665044</v>
      </c>
      <c r="AU7" s="161">
        <f t="shared" si="0"/>
        <v>11293357.437396655</v>
      </c>
      <c r="AV7" s="161">
        <f>AU7+AV16</f>
        <v>11510412.537985165</v>
      </c>
      <c r="AW7" s="161">
        <f t="shared" si="0"/>
        <v>11798103.079689251</v>
      </c>
      <c r="AX7" s="161">
        <f t="shared" si="0"/>
        <v>12146913.332145438</v>
      </c>
    </row>
    <row r="8" spans="1:50" x14ac:dyDescent="0.3">
      <c r="A8" s="40" t="s">
        <v>36</v>
      </c>
      <c r="B8" s="41"/>
      <c r="C8" s="41"/>
      <c r="D8" s="45">
        <v>0</v>
      </c>
      <c r="E8" s="45">
        <v>9.4764517045030008</v>
      </c>
      <c r="F8" s="45">
        <v>1001.8612523359196</v>
      </c>
      <c r="G8" s="45">
        <v>8293.9860897862109</v>
      </c>
      <c r="H8" s="45">
        <v>24288.931102469891</v>
      </c>
      <c r="I8" s="45">
        <v>41453.172801788984</v>
      </c>
      <c r="J8" s="45">
        <v>61773.602905509295</v>
      </c>
      <c r="K8" s="45">
        <v>74844.476160899911</v>
      </c>
      <c r="L8" s="45">
        <v>95075.729248894699</v>
      </c>
      <c r="M8" s="45">
        <v>112674.42131148028</v>
      </c>
      <c r="N8" s="45">
        <f>149116.898347914+2495.31522954858</f>
        <v>151612.21357746256</v>
      </c>
      <c r="O8" s="45">
        <f>172665.632653367+6538.78485075769</f>
        <v>179204.41750412469</v>
      </c>
      <c r="P8" s="45">
        <f>198999.065865354+10691.96</f>
        <v>209691.02586535399</v>
      </c>
      <c r="Q8" s="45">
        <f>214433.573100532+15615.411023237</f>
        <v>230048.98412376898</v>
      </c>
      <c r="R8" s="45">
        <f>242343.682470679+27991.6814994831</f>
        <v>270335.36397016211</v>
      </c>
      <c r="S8" s="45">
        <f>297369.307609895+63323.2565301678</f>
        <v>360692.56414006278</v>
      </c>
      <c r="T8" s="45">
        <f>362730.224368532+118569.426249392</f>
        <v>481299.650617924</v>
      </c>
      <c r="U8" s="45">
        <f>412752.536562742+186293.939799171</f>
        <v>599046.47636191302</v>
      </c>
      <c r="V8" s="45">
        <f>448555.758987872+240533.431923752</f>
        <v>689089.190911624</v>
      </c>
      <c r="W8" s="45">
        <f>466039.889115418+271152.510747429</f>
        <v>737192.39986284706</v>
      </c>
      <c r="X8" s="45">
        <f>479807.654110303+301823.984581678</f>
        <v>781631.63869198097</v>
      </c>
      <c r="Y8" s="45">
        <f>492620.282531948+334587.787583975</f>
        <v>827208.07011592295</v>
      </c>
      <c r="Z8" s="45">
        <f>0+404998.961227826+507702.970763227</f>
        <v>912701.93199105305</v>
      </c>
      <c r="AA8" s="45">
        <f>519531.525065896+453258.730301713+316.371186578605</f>
        <v>973106.62655418762</v>
      </c>
      <c r="AB8" s="45">
        <f>532830.166075627+502500.843764669+3963.41790250729</f>
        <v>1039294.4277428032</v>
      </c>
      <c r="AC8" s="45">
        <f>547019.363809894+546654.322579609+11464.3819369255</f>
        <v>1105138.0683264285</v>
      </c>
      <c r="AD8" s="45">
        <f>567945.679235313+609646.330934998+24787.8771092902</f>
        <v>1202379.8872796011</v>
      </c>
      <c r="AE8" s="45">
        <f>773000.268499781+613523.115995542+60077.2894046587</f>
        <v>1446600.6738999817</v>
      </c>
      <c r="AF8" s="45">
        <f>669235.396164724+967864.058982049+112905.624081451</f>
        <v>1750005.079228224</v>
      </c>
      <c r="AG8" s="45">
        <f>1151960.04943504+719257.708358934+173117.579850733</f>
        <v>2044335.3376447072</v>
      </c>
      <c r="AH8" s="45">
        <f>755060.930784064+1260176.06694011+217693.762991659</f>
        <v>2232930.7607158329</v>
      </c>
      <c r="AI8" s="45">
        <f>772545.06091161+1307692.62083338+257419.588297883</f>
        <v>2337657.270042873</v>
      </c>
      <c r="AJ8" s="161">
        <f>AI8+AJ17</f>
        <v>2422831.6757449592</v>
      </c>
      <c r="AK8" s="161">
        <f t="shared" si="0"/>
        <v>2522655.901465137</v>
      </c>
      <c r="AL8" s="161">
        <f t="shared" si="0"/>
        <v>2654312.3262240072</v>
      </c>
      <c r="AM8" s="161">
        <f t="shared" si="0"/>
        <v>2766335.4224904575</v>
      </c>
      <c r="AN8" s="161">
        <f t="shared" si="0"/>
        <v>2807359.6708068354</v>
      </c>
      <c r="AO8" s="161">
        <f t="shared" si="0"/>
        <v>2844938.3219806883</v>
      </c>
      <c r="AP8" s="161">
        <f t="shared" si="0"/>
        <v>2906334.0228805467</v>
      </c>
      <c r="AQ8" s="161">
        <f t="shared" si="0"/>
        <v>3098128.7469252269</v>
      </c>
      <c r="AR8" s="161">
        <f t="shared" si="0"/>
        <v>3350229.893875665</v>
      </c>
      <c r="AS8" s="161">
        <f t="shared" si="0"/>
        <v>3618998.9248035345</v>
      </c>
      <c r="AT8" s="161">
        <f t="shared" si="0"/>
        <v>3786320.5158502706</v>
      </c>
      <c r="AU8" s="161">
        <f t="shared" si="0"/>
        <v>3851783.8467236632</v>
      </c>
      <c r="AV8" s="161">
        <f t="shared" si="0"/>
        <v>3916956.2953080274</v>
      </c>
      <c r="AW8" s="161">
        <f>AV8+AW17</f>
        <v>4001486.1969768796</v>
      </c>
      <c r="AX8" s="161">
        <f t="shared" si="0"/>
        <v>4116799.377639899</v>
      </c>
    </row>
    <row r="9" spans="1:50" x14ac:dyDescent="0.3">
      <c r="A9" s="40" t="s">
        <v>37</v>
      </c>
      <c r="B9" s="41"/>
      <c r="C9" s="41"/>
      <c r="D9" s="45">
        <v>0</v>
      </c>
      <c r="E9" s="45">
        <v>0</v>
      </c>
      <c r="F9" s="45">
        <v>158.37627524588399</v>
      </c>
      <c r="G9" s="45">
        <v>755.54938000889456</v>
      </c>
      <c r="H9" s="45">
        <v>755.54938000889456</v>
      </c>
      <c r="I9" s="45">
        <v>925.36208771611018</v>
      </c>
      <c r="J9" s="45">
        <v>1379.3004935951622</v>
      </c>
      <c r="K9" s="45">
        <v>1835.58070746455</v>
      </c>
      <c r="L9" s="45">
        <v>6155.0061088806679</v>
      </c>
      <c r="M9" s="45">
        <v>8236.874151785245</v>
      </c>
      <c r="N9" s="45">
        <f>13562.7597608119+138.626164131286</f>
        <v>13701.385924943186</v>
      </c>
      <c r="O9" s="45">
        <f>17263.8824571859+353.550591382716</f>
        <v>17617.433048568615</v>
      </c>
      <c r="P9" s="45">
        <f>21317.282792059+586.93</f>
        <v>21904.212792058999</v>
      </c>
      <c r="Q9" s="45">
        <f>24168.0082624545+1718.74950926182</f>
        <v>25886.757771716319</v>
      </c>
      <c r="R9" s="45">
        <f>32203.5396191439+4982.55613938445</f>
        <v>37186.095758528347</v>
      </c>
      <c r="S9" s="45">
        <f>64792.9795908073+9659.39721839115</f>
        <v>74452.376809198453</v>
      </c>
      <c r="T9" s="45">
        <f>98806.2177037551+14952.0147372461</f>
        <v>113758.23244100119</v>
      </c>
      <c r="U9" s="45">
        <f>131838.40615304+21745.3743989093</f>
        <v>153583.78055194931</v>
      </c>
      <c r="V9" s="45">
        <f>149160.350157108+28725.5832532046</f>
        <v>177885.9334103126</v>
      </c>
      <c r="W9" s="45">
        <f>152614.128399062+34345.9926874673</f>
        <v>186960.12108652928</v>
      </c>
      <c r="X9" s="45">
        <f>155340.05703449+40087.6628308016</f>
        <v>195427.71986529158</v>
      </c>
      <c r="Y9" s="45">
        <f>158077.383578233+47393.8114639495</f>
        <v>205471.19504218252</v>
      </c>
      <c r="Z9" s="45">
        <f>0+55585.5858286291+160980.543334341</f>
        <v>216566.12916297009</v>
      </c>
      <c r="AA9" s="45">
        <f>163459.380508858+61970.7946914559+81.8331600744329</f>
        <v>225512.00836038834</v>
      </c>
      <c r="AB9" s="45">
        <f>166001.096711098+68438.977931473+539.260172682086</f>
        <v>234979.3348152531</v>
      </c>
      <c r="AC9" s="45">
        <f>168884.624573979+74783.2787675966+1316.83630350934</f>
        <v>244984.73964508492</v>
      </c>
      <c r="AD9" s="45">
        <f>175990.498122691+85254.1162564587+2444.8295092239</f>
        <v>263689.44388837361</v>
      </c>
      <c r="AE9" s="45">
        <f>112907.344246724+206920.02007512+5341.09515724763</f>
        <v>325168.45947909163</v>
      </c>
      <c r="AF9" s="45">
        <f>239230.818921814+142785.098528873+10311.9184670297</f>
        <v>392327.83591771673</v>
      </c>
      <c r="AG9" s="45">
        <f>171189.624703516+272263.007371098+15791.68697787</f>
        <v>459244.31905248394</v>
      </c>
      <c r="AH9" s="45">
        <f>289584.951375166+188671.00399183+20474.7546551417</f>
        <v>498730.71002213767</v>
      </c>
      <c r="AI9" s="45">
        <f>293038.72961712+197791.085502065+24292.1815736763</f>
        <v>515121.99669286131</v>
      </c>
      <c r="AJ9" s="161">
        <f>AI9+AJ18</f>
        <v>528586.02983369445</v>
      </c>
      <c r="AK9" s="161">
        <f t="shared" si="0"/>
        <v>544097.65325567639</v>
      </c>
      <c r="AL9" s="161">
        <f t="shared" si="0"/>
        <v>561993.83189160947</v>
      </c>
      <c r="AM9" s="161">
        <f t="shared" si="0"/>
        <v>576941.84242171084</v>
      </c>
      <c r="AN9" s="161">
        <f>AM9+AN18</f>
        <v>581917.01651301188</v>
      </c>
      <c r="AO9" s="161">
        <f t="shared" si="0"/>
        <v>587552.90761406813</v>
      </c>
      <c r="AP9" s="161">
        <f t="shared" si="0"/>
        <v>599198.52271751082</v>
      </c>
      <c r="AQ9" s="161">
        <f t="shared" si="0"/>
        <v>640007.94723241951</v>
      </c>
      <c r="AR9" s="161">
        <f t="shared" si="0"/>
        <v>683141.30191525747</v>
      </c>
      <c r="AS9" s="161">
        <f t="shared" si="0"/>
        <v>730608.76030208997</v>
      </c>
      <c r="AT9" s="161">
        <f t="shared" si="0"/>
        <v>761552.22233504942</v>
      </c>
      <c r="AU9" s="161">
        <f t="shared" si="0"/>
        <v>771875.51536504645</v>
      </c>
      <c r="AV9" s="161">
        <f t="shared" si="0"/>
        <v>782202.5943733399</v>
      </c>
      <c r="AW9" s="161">
        <f t="shared" si="0"/>
        <v>795264.41137650632</v>
      </c>
      <c r="AX9" s="161">
        <f t="shared" si="0"/>
        <v>810710.85049266077</v>
      </c>
    </row>
    <row r="10" spans="1:50" x14ac:dyDescent="0.3">
      <c r="A10" s="40" t="s">
        <v>29</v>
      </c>
      <c r="B10" s="41"/>
      <c r="C10" s="41"/>
      <c r="D10" s="45">
        <v>0</v>
      </c>
      <c r="E10" s="45">
        <v>0</v>
      </c>
      <c r="F10" s="45">
        <v>0</v>
      </c>
      <c r="G10" s="45">
        <v>0</v>
      </c>
      <c r="H10" s="45">
        <v>0</v>
      </c>
      <c r="I10" s="45">
        <v>1171.3068451326408</v>
      </c>
      <c r="J10" s="45">
        <v>3700.907022561827</v>
      </c>
      <c r="K10" s="45">
        <v>5539.3571582453487</v>
      </c>
      <c r="L10" s="45">
        <v>8956.0281318371599</v>
      </c>
      <c r="M10" s="45">
        <v>18324.45392310356</v>
      </c>
      <c r="N10" s="45">
        <f>43332.3471457788+0</f>
        <v>43332.347145778796</v>
      </c>
      <c r="O10" s="45">
        <f>61312.2701812421+397.830372724897</f>
        <v>61710.100553967</v>
      </c>
      <c r="P10" s="45">
        <f>77306.9724967612+1306.65</f>
        <v>78613.622496761192</v>
      </c>
      <c r="Q10" s="45">
        <f>82025.5913960804+3919.1783998443</f>
        <v>85944.769795924702</v>
      </c>
      <c r="R10" s="45">
        <f>86341.6270464909+8850.02127569848</f>
        <v>95191.648322189387</v>
      </c>
      <c r="S10" s="45">
        <f>93970.6450995064+24254.3883158056</f>
        <v>118225.03341531199</v>
      </c>
      <c r="T10" s="45">
        <f>102742.311172409+50641.4062829469</f>
        <v>153383.71745535589</v>
      </c>
      <c r="U10" s="45">
        <f>108938.808668724+93694.416165562</f>
        <v>202633.224834286</v>
      </c>
      <c r="V10" s="45">
        <f>114763.827420578+145189.028547583</f>
        <v>259952.85596816102</v>
      </c>
      <c r="W10" s="45">
        <f>118480.956904006+171088.895388388</f>
        <v>289569.85229239397</v>
      </c>
      <c r="X10" s="45">
        <f>123214.252638179+208353.48222588</f>
        <v>331567.73486405902</v>
      </c>
      <c r="Y10" s="45">
        <f>129344.073402799+259500.738190466</f>
        <v>388844.81159326504</v>
      </c>
      <c r="Z10" s="45">
        <f>799.79+312354.038127241+135524.962639303</f>
        <v>448678.790766544</v>
      </c>
      <c r="AA10" s="45">
        <f>140836.478882876+358768.703391212+4016.66050210166</f>
        <v>503621.84277618962</v>
      </c>
      <c r="AB10" s="45">
        <f>145722.158768433+404265.534773745+9755.2033449081</f>
        <v>559742.8968870861</v>
      </c>
      <c r="AC10" s="45">
        <f>149269.970968584+441306.979228605+15201.2788528235</f>
        <v>605778.22905001254</v>
      </c>
      <c r="AD10" s="45">
        <f>152562.42364876+479567.999959514+21941.0554776762</f>
        <v>654071.47908595018</v>
      </c>
      <c r="AE10" s="45">
        <f>573057.378040444+158294.666836985+41763.4466717188</f>
        <v>773115.49154914788</v>
      </c>
      <c r="AF10" s="45">
        <f>164852.742236285+680247.898900916+75559.8480492728</f>
        <v>920660.48918647377</v>
      </c>
      <c r="AG10" s="45">
        <f>785035.64649227+171049.2397326+119424.045189374</f>
        <v>1075508.931414244</v>
      </c>
      <c r="AH10" s="45">
        <f>176874.258484454+857256.672063742+160309.586464035</f>
        <v>1194440.5170122311</v>
      </c>
      <c r="AI10" s="45">
        <f>180591.387967882+889673.520472137+183844.378463774</f>
        <v>1254109.286903793</v>
      </c>
      <c r="AJ10" s="161">
        <f>AI10+AJ19</f>
        <v>1330605.5516895594</v>
      </c>
      <c r="AK10" s="161">
        <f t="shared" si="0"/>
        <v>1426644.6796779938</v>
      </c>
      <c r="AL10" s="161">
        <f t="shared" si="0"/>
        <v>1523109.7066757288</v>
      </c>
      <c r="AM10" s="161">
        <f t="shared" si="0"/>
        <v>1609026.5070182115</v>
      </c>
      <c r="AN10" s="161">
        <f t="shared" si="0"/>
        <v>1618905.1677323014</v>
      </c>
      <c r="AO10" s="161">
        <f t="shared" si="0"/>
        <v>1629873.4328023389</v>
      </c>
      <c r="AP10" s="161">
        <f t="shared" si="0"/>
        <v>1645448.2309225581</v>
      </c>
      <c r="AQ10" s="161">
        <f t="shared" si="0"/>
        <v>1673038.009737984</v>
      </c>
      <c r="AR10" s="161">
        <f t="shared" si="0"/>
        <v>1707174.1781235731</v>
      </c>
      <c r="AS10" s="161">
        <f t="shared" si="0"/>
        <v>1743107.1849959202</v>
      </c>
      <c r="AT10" s="161">
        <f t="shared" si="0"/>
        <v>1780860.5061955329</v>
      </c>
      <c r="AU10" s="161">
        <f t="shared" si="0"/>
        <v>1807705.9311507607</v>
      </c>
      <c r="AV10" s="161">
        <f t="shared" si="0"/>
        <v>1848452.2403862714</v>
      </c>
      <c r="AW10" s="161">
        <f t="shared" si="0"/>
        <v>1918477.2093361877</v>
      </c>
      <c r="AX10" s="161">
        <f t="shared" si="0"/>
        <v>2001601.1533798063</v>
      </c>
    </row>
    <row r="11" spans="1:50" x14ac:dyDescent="0.3">
      <c r="A11" s="35" t="s">
        <v>31</v>
      </c>
      <c r="B11" s="33"/>
      <c r="C11" s="33"/>
      <c r="D11" s="48">
        <f>SUM(D5:D10)</f>
        <v>0.71203150918887492</v>
      </c>
      <c r="E11" s="48">
        <f t="shared" ref="E11:AX11" si="2">SUM(E5:E10)</f>
        <v>4696.1328003699246</v>
      </c>
      <c r="F11" s="48">
        <f t="shared" si="2"/>
        <v>44631.702922297307</v>
      </c>
      <c r="G11" s="48">
        <f t="shared" si="2"/>
        <v>336308.07648475753</v>
      </c>
      <c r="H11" s="48">
        <f t="shared" si="2"/>
        <v>881174.41106336564</v>
      </c>
      <c r="I11" s="48">
        <f t="shared" si="2"/>
        <v>1544215.3586297561</v>
      </c>
      <c r="J11" s="48">
        <f t="shared" si="2"/>
        <v>2091960.0350125048</v>
      </c>
      <c r="K11" s="48">
        <f>SUM(K5:K10)</f>
        <v>2362027.9257338243</v>
      </c>
      <c r="L11" s="48">
        <f t="shared" si="2"/>
        <v>2811476.7586528142</v>
      </c>
      <c r="M11" s="48">
        <f t="shared" si="2"/>
        <v>3483860.8742763405</v>
      </c>
      <c r="N11" s="48">
        <f t="shared" si="2"/>
        <v>4344159.9274297412</v>
      </c>
      <c r="O11" s="48">
        <f t="shared" si="2"/>
        <v>5265229.6128245099</v>
      </c>
      <c r="P11" s="48">
        <f t="shared" si="2"/>
        <v>5992471.9783231523</v>
      </c>
      <c r="Q11" s="48">
        <f t="shared" si="2"/>
        <v>6322967.2493307423</v>
      </c>
      <c r="R11" s="48">
        <f t="shared" si="2"/>
        <v>6771481.6294312896</v>
      </c>
      <c r="S11" s="48">
        <f t="shared" si="2"/>
        <v>7937948.4820839018</v>
      </c>
      <c r="T11" s="48">
        <f t="shared" si="2"/>
        <v>9534850.6535320561</v>
      </c>
      <c r="U11" s="48">
        <f t="shared" si="2"/>
        <v>11283123.065320907</v>
      </c>
      <c r="V11" s="48">
        <f t="shared" si="2"/>
        <v>12802594.081558477</v>
      </c>
      <c r="W11" s="48">
        <f t="shared" si="2"/>
        <v>13567474.535243882</v>
      </c>
      <c r="X11" s="48">
        <f t="shared" si="2"/>
        <v>14476282.187533755</v>
      </c>
      <c r="Y11" s="48">
        <f t="shared" si="2"/>
        <v>15596345.04408953</v>
      </c>
      <c r="Z11" s="48">
        <f t="shared" si="2"/>
        <v>16973565.708406165</v>
      </c>
      <c r="AA11" s="48">
        <f t="shared" si="2"/>
        <v>18168732.280760981</v>
      </c>
      <c r="AB11" s="48">
        <f t="shared" si="2"/>
        <v>19469364.680159729</v>
      </c>
      <c r="AC11" s="48">
        <f t="shared" si="2"/>
        <v>20675187.500933129</v>
      </c>
      <c r="AD11" s="48">
        <f t="shared" si="2"/>
        <v>22147738.779501401</v>
      </c>
      <c r="AE11" s="48">
        <f t="shared" si="2"/>
        <v>25750348.689807523</v>
      </c>
      <c r="AF11" s="48">
        <f t="shared" si="2"/>
        <v>30275328.592755113</v>
      </c>
      <c r="AG11" s="48">
        <f t="shared" si="2"/>
        <v>34833020.555107035</v>
      </c>
      <c r="AH11" s="48">
        <f t="shared" si="2"/>
        <v>38228154.180864222</v>
      </c>
      <c r="AI11" s="48">
        <f t="shared" si="2"/>
        <v>39847153.732589431</v>
      </c>
      <c r="AJ11" s="48">
        <f t="shared" si="2"/>
        <v>41595152.413756169</v>
      </c>
      <c r="AK11" s="48">
        <f t="shared" si="2"/>
        <v>43777323.183652028</v>
      </c>
      <c r="AL11" s="48">
        <f t="shared" si="2"/>
        <v>46207036.295818046</v>
      </c>
      <c r="AM11" s="48">
        <f t="shared" si="2"/>
        <v>48313776.375275858</v>
      </c>
      <c r="AN11" s="48">
        <f t="shared" si="2"/>
        <v>48873683.709081829</v>
      </c>
      <c r="AO11" s="48">
        <f t="shared" si="2"/>
        <v>49383255.452356748</v>
      </c>
      <c r="AP11" s="48">
        <f t="shared" si="2"/>
        <v>50037370.977303207</v>
      </c>
      <c r="AQ11" s="48">
        <f t="shared" si="2"/>
        <v>51646975.764957041</v>
      </c>
      <c r="AR11" s="48">
        <f t="shared" si="2"/>
        <v>53724104.58658503</v>
      </c>
      <c r="AS11" s="48">
        <f t="shared" si="2"/>
        <v>55851597.618663512</v>
      </c>
      <c r="AT11" s="48">
        <f t="shared" si="2"/>
        <v>57451280.647021815</v>
      </c>
      <c r="AU11" s="48">
        <f t="shared" si="2"/>
        <v>58208956.911823347</v>
      </c>
      <c r="AV11" s="48">
        <f t="shared" si="2"/>
        <v>59040437.076678172</v>
      </c>
      <c r="AW11" s="48">
        <f t="shared" si="2"/>
        <v>60127176.779557541</v>
      </c>
      <c r="AX11" s="48">
        <f t="shared" si="2"/>
        <v>61362900.216223754</v>
      </c>
    </row>
    <row r="12" spans="1:50" x14ac:dyDescent="0.3">
      <c r="B12" s="41"/>
      <c r="C12" s="41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</row>
    <row r="13" spans="1:50" x14ac:dyDescent="0.3">
      <c r="A13" s="39" t="s">
        <v>39</v>
      </c>
      <c r="B13" s="41"/>
      <c r="C13" s="41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117" t="s">
        <v>82</v>
      </c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</row>
    <row r="14" spans="1:50" x14ac:dyDescent="0.3">
      <c r="A14" s="42" t="s">
        <v>33</v>
      </c>
      <c r="B14" s="41"/>
      <c r="C14" s="41"/>
      <c r="D14" s="49">
        <f>D5-C5</f>
        <v>0</v>
      </c>
      <c r="E14" s="49">
        <f>IF(E5="","",E5-D5)</f>
        <v>3542.7066619947968</v>
      </c>
      <c r="F14" s="49">
        <f>IF(F5="","",F5-E5)</f>
        <v>26593.748856903429</v>
      </c>
      <c r="G14" s="49">
        <f t="shared" ref="G14:W19" si="3">IF(G5="","",G5-F5)</f>
        <v>243363.92907678595</v>
      </c>
      <c r="H14" s="49">
        <f t="shared" si="3"/>
        <v>441129.8099540461</v>
      </c>
      <c r="I14" s="49">
        <f t="shared" si="3"/>
        <v>537485.07750592032</v>
      </c>
      <c r="J14" s="49">
        <f t="shared" si="3"/>
        <v>373819.34593685856</v>
      </c>
      <c r="K14" s="49">
        <f t="shared" si="3"/>
        <v>137025.9400139912</v>
      </c>
      <c r="L14" s="49">
        <f t="shared" si="3"/>
        <v>273299.25349150668</v>
      </c>
      <c r="M14" s="49">
        <f t="shared" si="3"/>
        <v>463174.404168193</v>
      </c>
      <c r="N14" s="49">
        <f t="shared" si="3"/>
        <v>531472.97269952018</v>
      </c>
      <c r="O14" s="49">
        <f t="shared" si="3"/>
        <v>666836.61937977653</v>
      </c>
      <c r="P14" s="49">
        <f t="shared" si="3"/>
        <v>454713.40903503355</v>
      </c>
      <c r="Q14" s="49">
        <f t="shared" si="3"/>
        <v>209553.48167778365</v>
      </c>
      <c r="R14" s="49">
        <f t="shared" si="3"/>
        <v>235085.44029895589</v>
      </c>
      <c r="S14" s="49">
        <f t="shared" si="3"/>
        <v>734760.62978666462</v>
      </c>
      <c r="T14" s="49">
        <f t="shared" si="3"/>
        <v>1003556.2831860054</v>
      </c>
      <c r="U14" s="49">
        <f t="shared" si="3"/>
        <v>1196200.4042900102</v>
      </c>
      <c r="V14" s="49">
        <f t="shared" si="3"/>
        <v>1010150.8980212705</v>
      </c>
      <c r="W14" s="49">
        <f t="shared" si="3"/>
        <v>444243.3950046096</v>
      </c>
      <c r="X14" s="49">
        <f>IF(X5="","",X5-W5)</f>
        <v>590722.64033336937</v>
      </c>
      <c r="Y14" s="49">
        <f t="shared" ref="X14:AI19" si="4">IF(Y5="","",Y5-X5)</f>
        <v>739064.45472672023</v>
      </c>
      <c r="Z14" s="49">
        <f t="shared" si="4"/>
        <v>760226.35555802099</v>
      </c>
      <c r="AA14" s="49">
        <f t="shared" si="4"/>
        <v>734885.09801949374</v>
      </c>
      <c r="AB14" s="49">
        <f t="shared" si="4"/>
        <v>790050.52627510764</v>
      </c>
      <c r="AC14" s="49">
        <f t="shared" si="4"/>
        <v>712591.15803163499</v>
      </c>
      <c r="AD14" s="49">
        <f t="shared" si="4"/>
        <v>788005.60592493415</v>
      </c>
      <c r="AE14" s="49">
        <f t="shared" si="4"/>
        <v>2172782.5520650391</v>
      </c>
      <c r="AF14" s="49">
        <f t="shared" si="4"/>
        <v>2655713.1081700679</v>
      </c>
      <c r="AG14" s="49">
        <f t="shared" si="4"/>
        <v>2764862.6405028403</v>
      </c>
      <c r="AH14" s="49">
        <f t="shared" si="4"/>
        <v>2093407.6803619489</v>
      </c>
      <c r="AI14" s="49">
        <f t="shared" si="4"/>
        <v>860529.3097284846</v>
      </c>
      <c r="AJ14" s="165">
        <v>1037458.5533445303</v>
      </c>
      <c r="AK14" s="165">
        <v>1269469.9964218026</v>
      </c>
      <c r="AL14" s="165">
        <v>1333797.6233017999</v>
      </c>
      <c r="AM14" s="165">
        <v>1194407.565891901</v>
      </c>
      <c r="AN14" s="165">
        <v>248582.34084105334</v>
      </c>
      <c r="AO14" s="165">
        <v>216297.0501471718</v>
      </c>
      <c r="AP14" s="165">
        <v>229896.97181818387</v>
      </c>
      <c r="AQ14" s="165">
        <v>630965.96544138994</v>
      </c>
      <c r="AR14" s="165">
        <v>795314.76348735276</v>
      </c>
      <c r="AS14" s="165">
        <v>862230.52398987813</v>
      </c>
      <c r="AT14" s="165">
        <v>658170.59459080291</v>
      </c>
      <c r="AU14" s="165">
        <v>251518.93424915659</v>
      </c>
      <c r="AV14" s="165">
        <v>313704.31389260292</v>
      </c>
      <c r="AW14" s="165">
        <v>404696.76808431733</v>
      </c>
      <c r="AX14" s="165">
        <v>423076.82654880267</v>
      </c>
    </row>
    <row r="15" spans="1:50" x14ac:dyDescent="0.3">
      <c r="A15" s="42" t="s">
        <v>34</v>
      </c>
      <c r="B15" s="41"/>
      <c r="C15" s="41"/>
      <c r="D15" s="49">
        <f t="shared" ref="D15:D19" si="5">D6-C6</f>
        <v>0.34412602678174997</v>
      </c>
      <c r="E15" s="49">
        <f t="shared" ref="E15:T19" si="6">IF(E6="","",E6-D6)</f>
        <v>593.85341007321881</v>
      </c>
      <c r="F15" s="49">
        <f t="shared" si="6"/>
        <v>8368.5225960071712</v>
      </c>
      <c r="G15" s="49">
        <f t="shared" si="6"/>
        <v>23641.814181406706</v>
      </c>
      <c r="H15" s="49">
        <f t="shared" si="6"/>
        <v>47663.861231335664</v>
      </c>
      <c r="I15" s="49">
        <f t="shared" si="6"/>
        <v>53281.675633138075</v>
      </c>
      <c r="J15" s="49">
        <f t="shared" si="6"/>
        <v>71676.428272669378</v>
      </c>
      <c r="K15" s="49">
        <f t="shared" si="6"/>
        <v>61749.996111268818</v>
      </c>
      <c r="L15" s="49">
        <f t="shared" si="6"/>
        <v>64301.78087974526</v>
      </c>
      <c r="M15" s="49">
        <f t="shared" si="6"/>
        <v>80879.653386032383</v>
      </c>
      <c r="N15" s="49">
        <f t="shared" si="6"/>
        <v>111135.9811537732</v>
      </c>
      <c r="O15" s="49">
        <f t="shared" si="6"/>
        <v>85954.403865189641</v>
      </c>
      <c r="P15" s="49">
        <f t="shared" si="6"/>
        <v>101665.26307113573</v>
      </c>
      <c r="Q15" s="49">
        <f t="shared" si="6"/>
        <v>43704.587072193855</v>
      </c>
      <c r="R15" s="49">
        <f t="shared" si="6"/>
        <v>71459.375872766483</v>
      </c>
      <c r="S15" s="49">
        <f t="shared" si="6"/>
        <v>97753.498167764628</v>
      </c>
      <c r="T15" s="49">
        <f t="shared" si="6"/>
        <v>141015.1486218411</v>
      </c>
      <c r="U15" s="49">
        <f t="shared" si="3"/>
        <v>108492.50331897987</v>
      </c>
      <c r="V15" s="49">
        <f t="shared" si="3"/>
        <v>121638.55281044007</v>
      </c>
      <c r="W15" s="49">
        <f t="shared" si="3"/>
        <v>99508.113558219979</v>
      </c>
      <c r="X15" s="49">
        <f t="shared" si="4"/>
        <v>93848.281650386052</v>
      </c>
      <c r="Y15" s="49">
        <f t="shared" si="4"/>
        <v>110179.05255875806</v>
      </c>
      <c r="Z15" s="49">
        <f t="shared" si="4"/>
        <v>189905.1953110029</v>
      </c>
      <c r="AA15" s="49">
        <f t="shared" si="4"/>
        <v>137153.48131497181</v>
      </c>
      <c r="AB15" s="49">
        <f t="shared" si="4"/>
        <v>159323.21702728886</v>
      </c>
      <c r="AC15" s="49">
        <f t="shared" si="4"/>
        <v>162609.78061144357</v>
      </c>
      <c r="AD15" s="49">
        <f t="shared" si="4"/>
        <v>219080.05774471955</v>
      </c>
      <c r="AE15" s="49">
        <f t="shared" si="4"/>
        <v>320938.11460895883</v>
      </c>
      <c r="AF15" s="49">
        <f t="shared" si="4"/>
        <v>433498.69397499831</v>
      </c>
      <c r="AG15" s="49">
        <f t="shared" si="4"/>
        <v>374926.40798967611</v>
      </c>
      <c r="AH15" s="49">
        <f>IF(AH6="","",AH6-AG6)</f>
        <v>324413.71329922695</v>
      </c>
      <c r="AI15" s="49">
        <f t="shared" si="4"/>
        <v>240653.64655007282</v>
      </c>
      <c r="AJ15" s="165">
        <v>222468.73962595456</v>
      </c>
      <c r="AK15" s="165">
        <v>298635.29890377913</v>
      </c>
      <c r="AL15" s="165">
        <v>360224.23985847156</v>
      </c>
      <c r="AM15" s="165">
        <v>293441.31319848762</v>
      </c>
      <c r="AN15" s="165">
        <v>122103.21325130809</v>
      </c>
      <c r="AO15" s="165">
        <v>115890.81382314343</v>
      </c>
      <c r="AP15" s="165">
        <v>157067.86860162535</v>
      </c>
      <c r="AQ15" s="165">
        <v>260279.84815270576</v>
      </c>
      <c r="AR15" s="165">
        <v>350530.92324314301</v>
      </c>
      <c r="AS15" s="165">
        <v>310435.17103373259</v>
      </c>
      <c r="AT15" s="165">
        <v>266581.42128270149</v>
      </c>
      <c r="AU15" s="165">
        <v>188600.567962142</v>
      </c>
      <c r="AV15" s="165">
        <v>184474.91354555968</v>
      </c>
      <c r="AW15" s="165">
        <v>226735.70546902722</v>
      </c>
      <c r="AX15" s="165">
        <v>249952.79383842467</v>
      </c>
    </row>
    <row r="16" spans="1:50" x14ac:dyDescent="0.3">
      <c r="A16" s="42" t="s">
        <v>35</v>
      </c>
      <c r="B16" s="41"/>
      <c r="C16" s="41"/>
      <c r="D16" s="49">
        <f t="shared" si="5"/>
        <v>0.36790548240712501</v>
      </c>
      <c r="E16" s="49">
        <f t="shared" si="6"/>
        <v>549.3842450882164</v>
      </c>
      <c r="F16" s="49">
        <f t="shared" si="6"/>
        <v>3822.5375931394819</v>
      </c>
      <c r="G16" s="49">
        <f t="shared" si="6"/>
        <v>16781.332362054229</v>
      </c>
      <c r="H16" s="49">
        <f t="shared" si="6"/>
        <v>40077.718380542559</v>
      </c>
      <c r="I16" s="49">
        <f t="shared" si="6"/>
        <v>53768.83317517324</v>
      </c>
      <c r="J16" s="49">
        <f t="shared" si="6"/>
        <v>78944.93348619208</v>
      </c>
      <c r="K16" s="49">
        <f t="shared" si="6"/>
        <v>55926.350991116371</v>
      </c>
      <c r="L16" s="49">
        <f t="shared" si="6"/>
        <v>83880.449084735184</v>
      </c>
      <c r="M16" s="49">
        <f t="shared" si="6"/>
        <v>99281.072172543674</v>
      </c>
      <c r="N16" s="49">
        <f t="shared" si="6"/>
        <v>148279.90203829214</v>
      </c>
      <c r="O16" s="49">
        <f t="shared" si="6"/>
        <v>118392.65769132716</v>
      </c>
      <c r="P16" s="49">
        <f t="shared" si="6"/>
        <v>119186.78334495833</v>
      </c>
      <c r="Q16" s="49">
        <f t="shared" si="6"/>
        <v>45565.551720377523</v>
      </c>
      <c r="R16" s="49">
        <f t="shared" si="6"/>
        <v>81136.967569354689</v>
      </c>
      <c r="S16" s="49">
        <f t="shared" si="6"/>
        <v>183295.85838448966</v>
      </c>
      <c r="T16" s="49">
        <f t="shared" si="6"/>
        <v>257259.11349060107</v>
      </c>
      <c r="U16" s="49">
        <f t="shared" si="3"/>
        <v>236757.62294599204</v>
      </c>
      <c r="V16" s="49">
        <f t="shared" si="3"/>
        <v>216017.06686391006</v>
      </c>
      <c r="W16" s="49">
        <f t="shared" si="3"/>
        <v>134334.55217090389</v>
      </c>
      <c r="X16" s="49">
        <f t="shared" si="4"/>
        <v>129332.01012655394</v>
      </c>
      <c r="Y16" s="49">
        <f t="shared" si="4"/>
        <v>157922.3659402621</v>
      </c>
      <c r="Z16" s="49">
        <f t="shared" si="4"/>
        <v>270666.33827841002</v>
      </c>
      <c r="AA16" s="49">
        <f t="shared" si="4"/>
        <v>198834.36725015193</v>
      </c>
      <c r="AB16" s="49">
        <f t="shared" si="4"/>
        <v>219482.47434197739</v>
      </c>
      <c r="AC16" s="49">
        <f t="shared" si="4"/>
        <v>208737.50455393642</v>
      </c>
      <c r="AD16" s="49">
        <f t="shared" si="4"/>
        <v>301225.84166622115</v>
      </c>
      <c r="AE16" s="49">
        <f t="shared" si="4"/>
        <v>684145.42895782785</v>
      </c>
      <c r="AF16" s="49">
        <f t="shared" si="4"/>
        <v>917659.32139833691</v>
      </c>
      <c r="AG16" s="49">
        <f t="shared" si="4"/>
        <v>901807.73008037545</v>
      </c>
      <c r="AH16" s="49">
        <f t="shared" si="4"/>
        <v>630298.83245725092</v>
      </c>
      <c r="AI16" s="49">
        <f t="shared" si="4"/>
        <v>337030.02955732867</v>
      </c>
      <c r="AJ16" s="165">
        <v>312936.68456756545</v>
      </c>
      <c r="AK16" s="165">
        <v>402690.49743967003</v>
      </c>
      <c r="AL16" s="165">
        <v>489673.61861321394</v>
      </c>
      <c r="AM16" s="165">
        <v>406003.29322839557</v>
      </c>
      <c r="AN16" s="165">
        <v>133343.6965918421</v>
      </c>
      <c r="AO16" s="165">
        <v>123201.07195964659</v>
      </c>
      <c r="AP16" s="165">
        <v>178534.57040313317</v>
      </c>
      <c r="AQ16" s="165">
        <v>458165.0466847223</v>
      </c>
      <c r="AR16" s="165">
        <v>601912.46487862791</v>
      </c>
      <c r="AS16" s="165">
        <v>602657.84086781903</v>
      </c>
      <c r="AT16" s="165">
        <v>438912.63820550102</v>
      </c>
      <c r="AU16" s="165">
        <v>214924.71373161202</v>
      </c>
      <c r="AV16" s="165">
        <v>217055.10058851054</v>
      </c>
      <c r="AW16" s="165">
        <v>287690.54170408659</v>
      </c>
      <c r="AX16" s="165">
        <v>348810.25245618675</v>
      </c>
    </row>
    <row r="17" spans="1:50" x14ac:dyDescent="0.3">
      <c r="A17" s="42" t="s">
        <v>36</v>
      </c>
      <c r="B17" s="41"/>
      <c r="C17" s="41"/>
      <c r="D17" s="49">
        <f t="shared" si="5"/>
        <v>0</v>
      </c>
      <c r="E17" s="49">
        <f t="shared" si="6"/>
        <v>9.4764517045030008</v>
      </c>
      <c r="F17" s="49">
        <f t="shared" si="6"/>
        <v>992.38480063141662</v>
      </c>
      <c r="G17" s="49">
        <f t="shared" si="6"/>
        <v>7292.1248374502911</v>
      </c>
      <c r="H17" s="49">
        <f t="shared" si="6"/>
        <v>15994.94501268368</v>
      </c>
      <c r="I17" s="49">
        <f t="shared" si="6"/>
        <v>17164.241699319093</v>
      </c>
      <c r="J17" s="49">
        <f t="shared" si="6"/>
        <v>20320.430103720311</v>
      </c>
      <c r="K17" s="49">
        <f t="shared" si="6"/>
        <v>13070.873255390616</v>
      </c>
      <c r="L17" s="49">
        <f t="shared" si="6"/>
        <v>20231.253087994788</v>
      </c>
      <c r="M17" s="49">
        <f t="shared" si="6"/>
        <v>17598.692062585586</v>
      </c>
      <c r="N17" s="49">
        <f t="shared" si="6"/>
        <v>38937.79226598228</v>
      </c>
      <c r="O17" s="49">
        <f t="shared" si="6"/>
        <v>27592.203926662129</v>
      </c>
      <c r="P17" s="49">
        <f t="shared" si="6"/>
        <v>30486.6083612293</v>
      </c>
      <c r="Q17" s="49">
        <f t="shared" si="6"/>
        <v>20357.95825841499</v>
      </c>
      <c r="R17" s="49">
        <f t="shared" si="6"/>
        <v>40286.379846393131</v>
      </c>
      <c r="S17" s="49">
        <f t="shared" si="6"/>
        <v>90357.200169900665</v>
      </c>
      <c r="T17" s="49">
        <f t="shared" si="6"/>
        <v>120607.08647786122</v>
      </c>
      <c r="U17" s="49">
        <f t="shared" si="3"/>
        <v>117746.82574398903</v>
      </c>
      <c r="V17" s="49">
        <f t="shared" si="3"/>
        <v>90042.714549710974</v>
      </c>
      <c r="W17" s="49">
        <f t="shared" si="3"/>
        <v>48103.20895122306</v>
      </c>
      <c r="X17" s="49">
        <f t="shared" si="4"/>
        <v>44439.238829133916</v>
      </c>
      <c r="Y17" s="49">
        <f t="shared" si="4"/>
        <v>45576.431423941976</v>
      </c>
      <c r="Z17" s="49">
        <f t="shared" si="4"/>
        <v>85493.861875130096</v>
      </c>
      <c r="AA17" s="49">
        <f t="shared" si="4"/>
        <v>60404.694563134573</v>
      </c>
      <c r="AB17" s="49">
        <f t="shared" si="4"/>
        <v>66187.801188615616</v>
      </c>
      <c r="AC17" s="49">
        <f t="shared" si="4"/>
        <v>65843.640583625296</v>
      </c>
      <c r="AD17" s="49">
        <f t="shared" si="4"/>
        <v>97241.818953172537</v>
      </c>
      <c r="AE17" s="49">
        <f t="shared" si="4"/>
        <v>244220.78662038059</v>
      </c>
      <c r="AF17" s="49">
        <f t="shared" si="4"/>
        <v>303404.40532824234</v>
      </c>
      <c r="AG17" s="49">
        <f t="shared" si="4"/>
        <v>294330.25841648318</v>
      </c>
      <c r="AH17" s="49">
        <f t="shared" si="4"/>
        <v>188595.42307112576</v>
      </c>
      <c r="AI17" s="49">
        <f t="shared" si="4"/>
        <v>104726.50932704005</v>
      </c>
      <c r="AJ17" s="165">
        <v>85174.40570208634</v>
      </c>
      <c r="AK17" s="165">
        <v>99824.225720177928</v>
      </c>
      <c r="AL17" s="165">
        <v>131656.4247588703</v>
      </c>
      <c r="AM17" s="165">
        <v>112023.09626645016</v>
      </c>
      <c r="AN17" s="165">
        <v>41024.248316378005</v>
      </c>
      <c r="AO17" s="165">
        <v>37578.651173852639</v>
      </c>
      <c r="AP17" s="165">
        <v>61395.700899858421</v>
      </c>
      <c r="AQ17" s="165">
        <v>191794.7240446803</v>
      </c>
      <c r="AR17" s="165">
        <v>252101.14695043821</v>
      </c>
      <c r="AS17" s="165">
        <v>268769.03092786937</v>
      </c>
      <c r="AT17" s="165">
        <v>167321.59104673631</v>
      </c>
      <c r="AU17" s="165">
        <v>65463.330873392311</v>
      </c>
      <c r="AV17" s="165">
        <v>65172.448584364138</v>
      </c>
      <c r="AW17" s="165">
        <v>84529.90166885205</v>
      </c>
      <c r="AX17" s="165">
        <v>115313.18066301923</v>
      </c>
    </row>
    <row r="18" spans="1:50" x14ac:dyDescent="0.3">
      <c r="A18" s="42" t="s">
        <v>37</v>
      </c>
      <c r="B18" s="41"/>
      <c r="C18" s="41"/>
      <c r="D18" s="49">
        <f t="shared" si="5"/>
        <v>0</v>
      </c>
      <c r="E18" s="49">
        <f t="shared" si="6"/>
        <v>0</v>
      </c>
      <c r="F18" s="49">
        <f t="shared" si="6"/>
        <v>158.37627524588399</v>
      </c>
      <c r="G18" s="49">
        <f t="shared" si="6"/>
        <v>597.17310476301054</v>
      </c>
      <c r="H18" s="49">
        <f t="shared" si="6"/>
        <v>0</v>
      </c>
      <c r="I18" s="49">
        <f t="shared" si="6"/>
        <v>169.81270770721562</v>
      </c>
      <c r="J18" s="49">
        <f t="shared" si="6"/>
        <v>453.93840587905197</v>
      </c>
      <c r="K18" s="49">
        <f t="shared" si="6"/>
        <v>456.28021386938781</v>
      </c>
      <c r="L18" s="49">
        <f t="shared" si="6"/>
        <v>4319.4254014161179</v>
      </c>
      <c r="M18" s="49">
        <f t="shared" si="6"/>
        <v>2081.8680429045771</v>
      </c>
      <c r="N18" s="49">
        <f t="shared" si="6"/>
        <v>5464.5117731579412</v>
      </c>
      <c r="O18" s="49">
        <f t="shared" si="6"/>
        <v>3916.0471236254289</v>
      </c>
      <c r="P18" s="49">
        <f t="shared" si="6"/>
        <v>4286.7797434903841</v>
      </c>
      <c r="Q18" s="49">
        <f t="shared" si="6"/>
        <v>3982.5449796573193</v>
      </c>
      <c r="R18" s="49">
        <f t="shared" si="6"/>
        <v>11299.337986812028</v>
      </c>
      <c r="S18" s="49">
        <f t="shared" si="6"/>
        <v>37266.281050670106</v>
      </c>
      <c r="T18" s="49">
        <f t="shared" si="6"/>
        <v>39305.85563180274</v>
      </c>
      <c r="U18" s="49">
        <f t="shared" si="3"/>
        <v>39825.548110948119</v>
      </c>
      <c r="V18" s="49">
        <f t="shared" si="3"/>
        <v>24302.15285836329</v>
      </c>
      <c r="W18" s="49">
        <f t="shared" si="3"/>
        <v>9074.1876762166794</v>
      </c>
      <c r="X18" s="49">
        <f t="shared" si="4"/>
        <v>8467.5987787623017</v>
      </c>
      <c r="Y18" s="49">
        <f t="shared" si="4"/>
        <v>10043.475176890934</v>
      </c>
      <c r="Z18" s="49">
        <f t="shared" si="4"/>
        <v>11094.93412078757</v>
      </c>
      <c r="AA18" s="49">
        <f t="shared" si="4"/>
        <v>8945.8791974182532</v>
      </c>
      <c r="AB18" s="49">
        <f t="shared" si="4"/>
        <v>9467.3264548647567</v>
      </c>
      <c r="AC18" s="49">
        <f t="shared" si="4"/>
        <v>10005.404829831823</v>
      </c>
      <c r="AD18" s="49">
        <f t="shared" si="4"/>
        <v>18704.704243288696</v>
      </c>
      <c r="AE18" s="49">
        <f t="shared" si="4"/>
        <v>61479.015590718016</v>
      </c>
      <c r="AF18" s="49">
        <f t="shared" si="4"/>
        <v>67159.376438625099</v>
      </c>
      <c r="AG18" s="49">
        <f t="shared" si="4"/>
        <v>66916.483134767215</v>
      </c>
      <c r="AH18" s="49">
        <f t="shared" si="4"/>
        <v>39486.39096965373</v>
      </c>
      <c r="AI18" s="49">
        <f t="shared" si="4"/>
        <v>16391.286670723639</v>
      </c>
      <c r="AJ18" s="165">
        <v>13464.033140833117</v>
      </c>
      <c r="AK18" s="165">
        <v>15511.623421981918</v>
      </c>
      <c r="AL18" s="165">
        <v>17896.178635933084</v>
      </c>
      <c r="AM18" s="165">
        <v>14948.010530101315</v>
      </c>
      <c r="AN18" s="165">
        <v>4975.1740913010926</v>
      </c>
      <c r="AO18" s="165">
        <v>5635.891101056256</v>
      </c>
      <c r="AP18" s="165">
        <v>11645.615103442718</v>
      </c>
      <c r="AQ18" s="165">
        <v>40809.424514908664</v>
      </c>
      <c r="AR18" s="165">
        <v>43133.354682838006</v>
      </c>
      <c r="AS18" s="165">
        <v>47467.458386832513</v>
      </c>
      <c r="AT18" s="165">
        <v>30943.46203295944</v>
      </c>
      <c r="AU18" s="165">
        <v>10323.293029997061</v>
      </c>
      <c r="AV18" s="165">
        <v>10327.079008293498</v>
      </c>
      <c r="AW18" s="165">
        <v>13061.817003166454</v>
      </c>
      <c r="AX18" s="165">
        <v>15446.439116154406</v>
      </c>
    </row>
    <row r="19" spans="1:50" x14ac:dyDescent="0.3">
      <c r="A19" s="42" t="s">
        <v>29</v>
      </c>
      <c r="B19" s="41"/>
      <c r="C19" s="41"/>
      <c r="D19" s="49">
        <f t="shared" si="5"/>
        <v>0</v>
      </c>
      <c r="E19" s="49">
        <f t="shared" si="6"/>
        <v>0</v>
      </c>
      <c r="F19" s="49">
        <f t="shared" si="6"/>
        <v>0</v>
      </c>
      <c r="G19" s="49">
        <f t="shared" si="6"/>
        <v>0</v>
      </c>
      <c r="H19" s="49">
        <f t="shared" si="6"/>
        <v>0</v>
      </c>
      <c r="I19" s="49">
        <f t="shared" si="6"/>
        <v>1171.3068451326408</v>
      </c>
      <c r="J19" s="49">
        <f t="shared" si="6"/>
        <v>2529.6001774291863</v>
      </c>
      <c r="K19" s="49">
        <f t="shared" si="6"/>
        <v>1838.4501356835217</v>
      </c>
      <c r="L19" s="49">
        <f t="shared" si="6"/>
        <v>3416.6709735918112</v>
      </c>
      <c r="M19" s="49">
        <f t="shared" si="6"/>
        <v>9368.4257912663998</v>
      </c>
      <c r="N19" s="49">
        <f t="shared" si="6"/>
        <v>25007.893222675237</v>
      </c>
      <c r="O19" s="49">
        <f t="shared" si="6"/>
        <v>18377.753408188204</v>
      </c>
      <c r="P19" s="49">
        <f t="shared" si="6"/>
        <v>16903.521942794192</v>
      </c>
      <c r="Q19" s="49">
        <f t="shared" si="6"/>
        <v>7331.1472991635092</v>
      </c>
      <c r="R19" s="49">
        <f t="shared" si="6"/>
        <v>9246.8785262646852</v>
      </c>
      <c r="S19" s="49">
        <f t="shared" si="6"/>
        <v>23033.385093122604</v>
      </c>
      <c r="T19" s="49">
        <f t="shared" si="6"/>
        <v>35158.684040043896</v>
      </c>
      <c r="U19" s="49">
        <f t="shared" si="3"/>
        <v>49249.50737893011</v>
      </c>
      <c r="V19" s="49">
        <f t="shared" si="3"/>
        <v>57319.631133875024</v>
      </c>
      <c r="W19" s="49">
        <f t="shared" si="3"/>
        <v>29616.996324232954</v>
      </c>
      <c r="X19" s="49">
        <f t="shared" si="4"/>
        <v>41997.882571665046</v>
      </c>
      <c r="Y19" s="49">
        <f t="shared" si="4"/>
        <v>57277.076729206019</v>
      </c>
      <c r="Z19" s="49">
        <f t="shared" si="4"/>
        <v>59833.97917327896</v>
      </c>
      <c r="AA19" s="49">
        <f t="shared" si="4"/>
        <v>54943.052009645617</v>
      </c>
      <c r="AB19" s="49">
        <f t="shared" si="4"/>
        <v>56121.054110896483</v>
      </c>
      <c r="AC19" s="49">
        <f t="shared" si="4"/>
        <v>46035.332162926439</v>
      </c>
      <c r="AD19" s="49">
        <f t="shared" si="4"/>
        <v>48293.250035937643</v>
      </c>
      <c r="AE19" s="49">
        <f t="shared" si="4"/>
        <v>119044.01246319769</v>
      </c>
      <c r="AF19" s="49">
        <f t="shared" si="4"/>
        <v>147544.9976373259</v>
      </c>
      <c r="AG19" s="49">
        <f t="shared" si="4"/>
        <v>154848.44222777023</v>
      </c>
      <c r="AH19" s="49">
        <f t="shared" si="4"/>
        <v>118931.58559798705</v>
      </c>
      <c r="AI19" s="49">
        <f t="shared" si="4"/>
        <v>59668.76989156194</v>
      </c>
      <c r="AJ19" s="244">
        <v>76496.264785766325</v>
      </c>
      <c r="AK19" s="244">
        <v>96039.127988434469</v>
      </c>
      <c r="AL19" s="244">
        <v>96465.026997734909</v>
      </c>
      <c r="AM19" s="244">
        <v>85916.800342482689</v>
      </c>
      <c r="AN19" s="244">
        <v>9878.660714089965</v>
      </c>
      <c r="AO19" s="244">
        <v>10968.265070037443</v>
      </c>
      <c r="AP19" s="244">
        <v>15574.7981202193</v>
      </c>
      <c r="AQ19" s="244">
        <v>27589.778815425921</v>
      </c>
      <c r="AR19" s="244">
        <v>34136.168385589044</v>
      </c>
      <c r="AS19" s="244">
        <v>35933.006872347119</v>
      </c>
      <c r="AT19" s="244">
        <v>37753.321199612779</v>
      </c>
      <c r="AU19" s="244">
        <v>26845.424955227783</v>
      </c>
      <c r="AV19" s="244">
        <v>40746.309235510613</v>
      </c>
      <c r="AW19" s="244">
        <v>70024.968949916234</v>
      </c>
      <c r="AX19" s="244">
        <v>83123.944043618627</v>
      </c>
    </row>
    <row r="20" spans="1:50" x14ac:dyDescent="0.3">
      <c r="A20" s="38" t="s">
        <v>31</v>
      </c>
      <c r="B20" s="41"/>
      <c r="C20" s="41"/>
      <c r="D20" s="48">
        <f>SUM(D14:D19)</f>
        <v>0.71203150918887492</v>
      </c>
      <c r="E20" s="48">
        <f t="shared" ref="E20:AX20" si="7">SUM(E14:E19)</f>
        <v>4695.4207688607357</v>
      </c>
      <c r="F20" s="48">
        <f t="shared" si="7"/>
        <v>39935.570121927383</v>
      </c>
      <c r="G20" s="48">
        <f t="shared" si="7"/>
        <v>291676.37356246018</v>
      </c>
      <c r="H20" s="48">
        <f t="shared" si="7"/>
        <v>544866.33457860793</v>
      </c>
      <c r="I20" s="48">
        <f t="shared" si="7"/>
        <v>663040.9475663905</v>
      </c>
      <c r="J20" s="48">
        <f t="shared" si="7"/>
        <v>547744.67638274853</v>
      </c>
      <c r="K20" s="48">
        <f t="shared" si="7"/>
        <v>270067.89072131994</v>
      </c>
      <c r="L20" s="48">
        <f t="shared" si="7"/>
        <v>449448.83291898988</v>
      </c>
      <c r="M20" s="48">
        <f t="shared" si="7"/>
        <v>672384.11562352569</v>
      </c>
      <c r="N20" s="48">
        <f t="shared" si="7"/>
        <v>860299.05315340089</v>
      </c>
      <c r="O20" s="48">
        <f t="shared" si="7"/>
        <v>921069.68539476907</v>
      </c>
      <c r="P20" s="48">
        <f t="shared" si="7"/>
        <v>727242.36549864151</v>
      </c>
      <c r="Q20" s="48">
        <f t="shared" si="7"/>
        <v>330495.27100759087</v>
      </c>
      <c r="R20" s="48">
        <f t="shared" si="7"/>
        <v>448514.38010054693</v>
      </c>
      <c r="S20" s="48">
        <f t="shared" si="7"/>
        <v>1166466.8526526121</v>
      </c>
      <c r="T20" s="48">
        <f t="shared" si="7"/>
        <v>1596902.1714481555</v>
      </c>
      <c r="U20" s="48">
        <f t="shared" si="7"/>
        <v>1748272.4117888496</v>
      </c>
      <c r="V20" s="48">
        <f t="shared" si="7"/>
        <v>1519471.01623757</v>
      </c>
      <c r="W20" s="48">
        <f t="shared" si="7"/>
        <v>764880.45368540613</v>
      </c>
      <c r="X20" s="48">
        <f t="shared" si="7"/>
        <v>908807.65228987066</v>
      </c>
      <c r="Y20" s="48">
        <f t="shared" si="7"/>
        <v>1120062.856555779</v>
      </c>
      <c r="Z20" s="48">
        <f t="shared" si="7"/>
        <v>1377220.6643166305</v>
      </c>
      <c r="AA20" s="48">
        <f t="shared" si="7"/>
        <v>1195166.5723548159</v>
      </c>
      <c r="AB20" s="48">
        <f t="shared" si="7"/>
        <v>1300632.3993987509</v>
      </c>
      <c r="AC20" s="48">
        <f t="shared" si="7"/>
        <v>1205822.8207733985</v>
      </c>
      <c r="AD20" s="48">
        <f t="shared" si="7"/>
        <v>1472551.2785682736</v>
      </c>
      <c r="AE20" s="48">
        <f t="shared" si="7"/>
        <v>3602609.9103061217</v>
      </c>
      <c r="AF20" s="48">
        <f t="shared" si="7"/>
        <v>4524979.9029475963</v>
      </c>
      <c r="AG20" s="48">
        <f t="shared" si="7"/>
        <v>4557691.9623519126</v>
      </c>
      <c r="AH20" s="48">
        <f t="shared" si="7"/>
        <v>3395133.6257571932</v>
      </c>
      <c r="AI20" s="48">
        <f t="shared" si="7"/>
        <v>1618999.5517252118</v>
      </c>
      <c r="AJ20" s="48">
        <f t="shared" si="7"/>
        <v>1747998.6811667359</v>
      </c>
      <c r="AK20" s="48">
        <f t="shared" si="7"/>
        <v>2182170.769895846</v>
      </c>
      <c r="AL20" s="48">
        <f t="shared" si="7"/>
        <v>2429713.1121660233</v>
      </c>
      <c r="AM20" s="48">
        <f t="shared" si="7"/>
        <v>2106740.0794578185</v>
      </c>
      <c r="AN20" s="48">
        <f t="shared" si="7"/>
        <v>559907.33380597259</v>
      </c>
      <c r="AO20" s="48">
        <f t="shared" si="7"/>
        <v>509571.74327490811</v>
      </c>
      <c r="AP20" s="48">
        <f t="shared" si="7"/>
        <v>654115.52494646271</v>
      </c>
      <c r="AQ20" s="48">
        <f t="shared" si="7"/>
        <v>1609604.7876538327</v>
      </c>
      <c r="AR20" s="48">
        <f t="shared" si="7"/>
        <v>2077128.8216279889</v>
      </c>
      <c r="AS20" s="48">
        <f t="shared" si="7"/>
        <v>2127493.032078479</v>
      </c>
      <c r="AT20" s="48">
        <f t="shared" si="7"/>
        <v>1599683.0283583137</v>
      </c>
      <c r="AU20" s="48">
        <f t="shared" si="7"/>
        <v>757676.26480152772</v>
      </c>
      <c r="AV20" s="48">
        <f t="shared" si="7"/>
        <v>831480.16485484142</v>
      </c>
      <c r="AW20" s="48">
        <f t="shared" si="7"/>
        <v>1086739.702879366</v>
      </c>
      <c r="AX20" s="48">
        <f t="shared" si="7"/>
        <v>1235723.4366662062</v>
      </c>
    </row>
    <row r="21" spans="1:50" x14ac:dyDescent="0.3">
      <c r="A21" s="38"/>
      <c r="B21" s="41"/>
      <c r="C21" s="41"/>
    </row>
    <row r="22" spans="1:50" x14ac:dyDescent="0.3">
      <c r="A22" s="29" t="s">
        <v>32</v>
      </c>
      <c r="B22" s="41"/>
      <c r="C22" s="41"/>
      <c r="L22" s="117"/>
      <c r="AJ22" s="158" t="s">
        <v>83</v>
      </c>
      <c r="AK22" s="159"/>
    </row>
    <row r="23" spans="1:50" x14ac:dyDescent="0.3">
      <c r="A23" s="40" t="s">
        <v>33</v>
      </c>
      <c r="B23" s="41"/>
      <c r="C23" s="41"/>
      <c r="D23" s="47">
        <v>1268128455</v>
      </c>
      <c r="E23" s="47">
        <v>872933544</v>
      </c>
      <c r="F23" s="47">
        <v>738196558</v>
      </c>
      <c r="G23" s="47">
        <v>978975302</v>
      </c>
      <c r="H23" s="47">
        <v>1243909773</v>
      </c>
      <c r="I23" s="47">
        <v>1310015315</v>
      </c>
      <c r="J23" s="47">
        <v>1208033233</v>
      </c>
      <c r="K23" s="113">
        <v>993546162</v>
      </c>
      <c r="L23" s="47">
        <v>897156231</v>
      </c>
      <c r="M23" s="47">
        <v>1208147189</v>
      </c>
      <c r="N23" s="47">
        <v>1334184680</v>
      </c>
      <c r="O23" s="47">
        <v>1302694951</v>
      </c>
      <c r="P23" s="47">
        <v>1123586700</v>
      </c>
      <c r="Q23" s="47">
        <v>886578697</v>
      </c>
      <c r="R23" s="47">
        <v>790098101</v>
      </c>
      <c r="S23" s="47">
        <v>1041013964</v>
      </c>
      <c r="T23" s="47">
        <v>1397050553</v>
      </c>
      <c r="U23" s="47">
        <v>1310723723</v>
      </c>
      <c r="V23" s="47">
        <v>1275164339</v>
      </c>
      <c r="W23" s="47">
        <v>800796996</v>
      </c>
      <c r="X23" s="47">
        <v>856955103</v>
      </c>
      <c r="Y23" s="47">
        <v>1137867523</v>
      </c>
      <c r="Z23" s="47">
        <v>1482496943</v>
      </c>
      <c r="AA23" s="47">
        <v>1507047480</v>
      </c>
      <c r="AB23" s="47">
        <v>1193201650</v>
      </c>
      <c r="AC23" s="47">
        <v>803567941</v>
      </c>
      <c r="AD23" s="47">
        <v>753161249</v>
      </c>
      <c r="AE23" s="47">
        <v>1061485022</v>
      </c>
      <c r="AF23" s="47">
        <v>1299384453</v>
      </c>
      <c r="AG23" s="47">
        <v>1325635096</v>
      </c>
      <c r="AH23" s="47">
        <v>1302322503</v>
      </c>
      <c r="AI23" s="47">
        <v>902367562</v>
      </c>
      <c r="AJ23" s="160">
        <f>'[115]PPC.1, PCR.2F, EO.3'!B27</f>
        <v>796812660.43541384</v>
      </c>
      <c r="AK23" s="160">
        <f>'[115]PPC.1, PCR.2F, EO.3'!C27</f>
        <v>1157369057.08395</v>
      </c>
      <c r="AL23" s="160">
        <f>'[115]PPC.1, PCR.2F, EO.3'!D27</f>
        <v>1478634346.33868</v>
      </c>
      <c r="AM23" s="160">
        <f>'[115]PPC.1, PCR.2F, EO.3'!E27</f>
        <v>1323518453.1260486</v>
      </c>
      <c r="AN23" s="160">
        <f>'[115]PPC.1, PCR.2F, EO.3'!F27</f>
        <v>1110791598.7821016</v>
      </c>
      <c r="AO23" s="160">
        <f>'[115]PPC.1, PCR.2F, EO.3'!G27</f>
        <v>839065097.60276854</v>
      </c>
      <c r="AP23" s="160">
        <f>'[115]PPC.1, PCR.2F, EO.3'!H27</f>
        <v>711851889.28208947</v>
      </c>
      <c r="AQ23" s="160">
        <f>'[115]PPC.1, PCR.2F, EO.3'!I27</f>
        <v>923148067.42551374</v>
      </c>
      <c r="AR23" s="160">
        <f>'[115]PPC.1, PCR.2F, EO.3'!J27</f>
        <v>1201635038.5335217</v>
      </c>
      <c r="AS23" s="160">
        <f>'[115]PPC.1, PCR.2F, EO.3'!K27</f>
        <v>1264992699.0363278</v>
      </c>
      <c r="AT23" s="160">
        <f>'[115]PPC.1, PCR.2F, EO.3'!L27</f>
        <v>1112196280.8657734</v>
      </c>
      <c r="AU23" s="160">
        <f>'[115]PPC.1, PCR.2F, EO.3'!M27</f>
        <v>794430199.64865971</v>
      </c>
      <c r="AV23" s="160">
        <f>'[115]PPC.1, PCR.2F, EO.3'!N27</f>
        <v>776592236.84661663</v>
      </c>
      <c r="AW23" s="160">
        <f>'[115]PPC.1, PCR.2F, EO.3'!O27</f>
        <v>1131796844.74505</v>
      </c>
      <c r="AX23" s="160">
        <f>'[115]PPC.1, PCR.2F, EO.3'!P27</f>
        <v>1449074036.6106224</v>
      </c>
    </row>
    <row r="24" spans="1:50" x14ac:dyDescent="0.3">
      <c r="A24" s="40" t="s">
        <v>34</v>
      </c>
      <c r="B24" s="41"/>
      <c r="C24" s="41"/>
      <c r="D24" s="47">
        <v>290178959</v>
      </c>
      <c r="E24" s="47">
        <v>235096003</v>
      </c>
      <c r="F24" s="47">
        <v>221772499</v>
      </c>
      <c r="G24" s="47">
        <v>258735845</v>
      </c>
      <c r="H24" s="47">
        <v>295975497</v>
      </c>
      <c r="I24" s="47">
        <v>304175879</v>
      </c>
      <c r="J24" s="47">
        <v>293549572</v>
      </c>
      <c r="K24" s="113">
        <v>264736629</v>
      </c>
      <c r="L24" s="47">
        <v>237145043</v>
      </c>
      <c r="M24" s="47">
        <v>278572550</v>
      </c>
      <c r="N24" s="47">
        <v>297050898</v>
      </c>
      <c r="O24" s="47">
        <v>290934660</v>
      </c>
      <c r="P24" s="47">
        <v>265078600</v>
      </c>
      <c r="Q24" s="47">
        <v>203506574</v>
      </c>
      <c r="R24" s="47">
        <v>184563246</v>
      </c>
      <c r="S24" s="47">
        <v>231230759</v>
      </c>
      <c r="T24" s="47">
        <v>288425422</v>
      </c>
      <c r="U24" s="47">
        <v>281389691</v>
      </c>
      <c r="V24" s="47">
        <v>269111017</v>
      </c>
      <c r="W24" s="47">
        <v>218212399</v>
      </c>
      <c r="X24" s="47">
        <v>218068919</v>
      </c>
      <c r="Y24" s="47">
        <v>251883126</v>
      </c>
      <c r="Z24" s="47">
        <v>300425840</v>
      </c>
      <c r="AA24" s="47">
        <v>303577891</v>
      </c>
      <c r="AB24" s="47">
        <v>265359424</v>
      </c>
      <c r="AC24" s="47">
        <v>211100441</v>
      </c>
      <c r="AD24" s="47">
        <v>205986967</v>
      </c>
      <c r="AE24" s="47">
        <v>264522271</v>
      </c>
      <c r="AF24" s="47">
        <v>291815734</v>
      </c>
      <c r="AG24" s="47">
        <v>291413887</v>
      </c>
      <c r="AH24" s="47">
        <v>294374400</v>
      </c>
      <c r="AI24" s="47">
        <v>245524134</v>
      </c>
      <c r="AJ24" s="160">
        <f>'[115]PPC.1, PCR.2F, EO.3'!B28</f>
        <v>217941054.76363721</v>
      </c>
      <c r="AK24" s="160">
        <f>'[115]PPC.1, PCR.2F, EO.3'!C28</f>
        <v>260526356.23743695</v>
      </c>
      <c r="AL24" s="160">
        <f>'[115]PPC.1, PCR.2F, EO.3'!D28</f>
        <v>306274652.53873587</v>
      </c>
      <c r="AM24" s="160">
        <f>'[115]PPC.1, PCR.2F, EO.3'!E28</f>
        <v>285517827.64903766</v>
      </c>
      <c r="AN24" s="160">
        <f>'[115]PPC.1, PCR.2F, EO.3'!F28</f>
        <v>257181425.95938891</v>
      </c>
      <c r="AO24" s="160">
        <f>'[115]PPC.1, PCR.2F, EO.3'!G28</f>
        <v>219502566.31664321</v>
      </c>
      <c r="AP24" s="160">
        <f>'[115]PPC.1, PCR.2F, EO.3'!H28</f>
        <v>205415342.75190684</v>
      </c>
      <c r="AQ24" s="160">
        <f>'[115]PPC.1, PCR.2F, EO.3'!I28</f>
        <v>242281417.54910415</v>
      </c>
      <c r="AR24" s="160">
        <f>'[115]PPC.1, PCR.2F, EO.3'!J28</f>
        <v>283647576.54717648</v>
      </c>
      <c r="AS24" s="160">
        <f>'[115]PPC.1, PCR.2F, EO.3'!K28</f>
        <v>289331881.39896315</v>
      </c>
      <c r="AT24" s="160">
        <f>'[115]PPC.1, PCR.2F, EO.3'!L28</f>
        <v>273365539.59096646</v>
      </c>
      <c r="AU24" s="160">
        <f>'[115]PPC.1, PCR.2F, EO.3'!M28</f>
        <v>225709833.69615775</v>
      </c>
      <c r="AV24" s="160">
        <f>'[115]PPC.1, PCR.2F, EO.3'!N28</f>
        <v>217445379.57126927</v>
      </c>
      <c r="AW24" s="160">
        <f>'[115]PPC.1, PCR.2F, EO.3'!O28</f>
        <v>260293096.73863193</v>
      </c>
      <c r="AX24" s="160">
        <f>'[115]PPC.1, PCR.2F, EO.3'!P28</f>
        <v>306051532.59623951</v>
      </c>
    </row>
    <row r="25" spans="1:50" x14ac:dyDescent="0.3">
      <c r="A25" s="40" t="s">
        <v>35</v>
      </c>
      <c r="B25" s="41"/>
      <c r="C25" s="41"/>
      <c r="D25" s="47">
        <v>599641261</v>
      </c>
      <c r="E25" s="47">
        <v>546450417</v>
      </c>
      <c r="F25" s="47">
        <v>548775486</v>
      </c>
      <c r="G25" s="47">
        <v>609609142</v>
      </c>
      <c r="H25" s="47">
        <v>656813642</v>
      </c>
      <c r="I25" s="47">
        <v>671886437</v>
      </c>
      <c r="J25" s="47">
        <v>678219627</v>
      </c>
      <c r="K25" s="113">
        <v>622550219</v>
      </c>
      <c r="L25" s="47">
        <v>549600433</v>
      </c>
      <c r="M25" s="47">
        <v>596432225</v>
      </c>
      <c r="N25" s="47">
        <v>616923082</v>
      </c>
      <c r="O25" s="47">
        <v>599527620</v>
      </c>
      <c r="P25" s="47">
        <v>566693954</v>
      </c>
      <c r="Q25" s="47">
        <v>483801855</v>
      </c>
      <c r="R25" s="47">
        <v>451939609</v>
      </c>
      <c r="S25" s="47">
        <v>534583835</v>
      </c>
      <c r="T25" s="47">
        <v>624356693</v>
      </c>
      <c r="U25" s="47">
        <v>621885740</v>
      </c>
      <c r="V25" s="47">
        <v>619148163</v>
      </c>
      <c r="W25" s="47">
        <v>528448107.69999999</v>
      </c>
      <c r="X25" s="47">
        <v>514648084</v>
      </c>
      <c r="Y25" s="47">
        <v>553120787</v>
      </c>
      <c r="Z25" s="47">
        <v>592823385</v>
      </c>
      <c r="AA25" s="47">
        <v>585712392</v>
      </c>
      <c r="AB25" s="47">
        <v>543642088</v>
      </c>
      <c r="AC25" s="47">
        <v>483262229</v>
      </c>
      <c r="AD25" s="47">
        <v>492375125.19999999</v>
      </c>
      <c r="AE25" s="47">
        <v>586671915</v>
      </c>
      <c r="AF25" s="47">
        <v>641235470</v>
      </c>
      <c r="AG25" s="47">
        <v>634777638</v>
      </c>
      <c r="AH25" s="47">
        <v>647017474</v>
      </c>
      <c r="AI25" s="47">
        <v>568724491</v>
      </c>
      <c r="AJ25" s="160">
        <f>'[115]PPC.1, PCR.2F, EO.3'!B29</f>
        <v>516727312.60267711</v>
      </c>
      <c r="AK25" s="160">
        <f>'[115]PPC.1, PCR.2F, EO.3'!C29</f>
        <v>558551990.87100005</v>
      </c>
      <c r="AL25" s="160">
        <f>'[115]PPC.1, PCR.2F, EO.3'!D29</f>
        <v>610883728.45255411</v>
      </c>
      <c r="AM25" s="160">
        <f>'[115]PPC.1, PCR.2F, EO.3'!E29</f>
        <v>575430083.70531464</v>
      </c>
      <c r="AN25" s="160">
        <f>'[115]PPC.1, PCR.2F, EO.3'!F29</f>
        <v>530185014.36311901</v>
      </c>
      <c r="AO25" s="160">
        <f>'[115]PPC.1, PCR.2F, EO.3'!G29</f>
        <v>500519096.71525455</v>
      </c>
      <c r="AP25" s="160">
        <f>'[115]PPC.1, PCR.2F, EO.3'!H29</f>
        <v>493830553.80443114</v>
      </c>
      <c r="AQ25" s="160">
        <f>'[115]PPC.1, PCR.2F, EO.3'!I29</f>
        <v>570196217.27078354</v>
      </c>
      <c r="AR25" s="160">
        <f>'[115]PPC.1, PCR.2F, EO.3'!J29</f>
        <v>625222755.73775768</v>
      </c>
      <c r="AS25" s="160">
        <f>'[115]PPC.1, PCR.2F, EO.3'!K29</f>
        <v>640394294.02634192</v>
      </c>
      <c r="AT25" s="160">
        <f>'[115]PPC.1, PCR.2F, EO.3'!L29</f>
        <v>641507465.15801418</v>
      </c>
      <c r="AU25" s="160">
        <f>'[115]PPC.1, PCR.2F, EO.3'!M29</f>
        <v>556286312.81562757</v>
      </c>
      <c r="AV25" s="160">
        <f>'[115]PPC.1, PCR.2F, EO.3'!N29</f>
        <v>517714035.24129713</v>
      </c>
      <c r="AW25" s="160">
        <f>'[115]PPC.1, PCR.2F, EO.3'!O29</f>
        <v>558980459.35089493</v>
      </c>
      <c r="AX25" s="160">
        <f>'[115]PPC.1, PCR.2F, EO.3'!P29</f>
        <v>621625054.46826029</v>
      </c>
    </row>
    <row r="26" spans="1:50" x14ac:dyDescent="0.3">
      <c r="A26" s="40" t="s">
        <v>36</v>
      </c>
      <c r="B26" s="41"/>
      <c r="C26" s="41"/>
      <c r="D26" s="47">
        <v>242499726</v>
      </c>
      <c r="E26" s="47">
        <v>232539680</v>
      </c>
      <c r="F26" s="47">
        <v>229224298</v>
      </c>
      <c r="G26" s="47">
        <v>266349220</v>
      </c>
      <c r="H26" s="47">
        <v>267674678</v>
      </c>
      <c r="I26" s="47">
        <v>281003685</v>
      </c>
      <c r="J26" s="47">
        <v>279302255</v>
      </c>
      <c r="K26" s="113">
        <v>258807768</v>
      </c>
      <c r="L26" s="47">
        <v>239334214</v>
      </c>
      <c r="M26" s="47">
        <v>241025466</v>
      </c>
      <c r="N26" s="47">
        <v>247898204</v>
      </c>
      <c r="O26" s="47">
        <v>255420215</v>
      </c>
      <c r="P26" s="47">
        <v>225135566</v>
      </c>
      <c r="Q26" s="47">
        <v>219961316</v>
      </c>
      <c r="R26" s="47">
        <v>207074154</v>
      </c>
      <c r="S26" s="47">
        <v>241165089</v>
      </c>
      <c r="T26" s="47">
        <v>253833450</v>
      </c>
      <c r="U26" s="47">
        <v>266058831</v>
      </c>
      <c r="V26" s="47">
        <v>266126792</v>
      </c>
      <c r="W26" s="47">
        <v>236673642.40000001</v>
      </c>
      <c r="X26" s="47">
        <v>234876378</v>
      </c>
      <c r="Y26" s="47">
        <v>245759481</v>
      </c>
      <c r="Z26" s="47">
        <v>241302585</v>
      </c>
      <c r="AA26" s="47">
        <v>254211213</v>
      </c>
      <c r="AB26" s="47">
        <v>216207694</v>
      </c>
      <c r="AC26" s="47">
        <v>214809052</v>
      </c>
      <c r="AD26" s="47">
        <v>221576502.5</v>
      </c>
      <c r="AE26" s="47">
        <v>232417188</v>
      </c>
      <c r="AF26" s="47">
        <v>286577542</v>
      </c>
      <c r="AG26" s="47">
        <v>263115351</v>
      </c>
      <c r="AH26" s="47">
        <v>266455046</v>
      </c>
      <c r="AI26" s="47">
        <v>230080105</v>
      </c>
      <c r="AJ26" s="160">
        <f>'[115]PPC.1, PCR.2F, EO.3'!B30</f>
        <v>231625738.06268328</v>
      </c>
      <c r="AK26" s="160">
        <f>'[115]PPC.1, PCR.2F, EO.3'!C30</f>
        <v>240413522.25924894</v>
      </c>
      <c r="AL26" s="160">
        <f>'[115]PPC.1, PCR.2F, EO.3'!D30</f>
        <v>244639931.64925104</v>
      </c>
      <c r="AM26" s="160">
        <f>'[115]PPC.1, PCR.2F, EO.3'!E30</f>
        <v>233049922.16264266</v>
      </c>
      <c r="AN26" s="160">
        <f>'[115]PPC.1, PCR.2F, EO.3'!F30</f>
        <v>229849559.52004918</v>
      </c>
      <c r="AO26" s="160">
        <f>'[115]PPC.1, PCR.2F, EO.3'!G30</f>
        <v>224598437.26976842</v>
      </c>
      <c r="AP26" s="160">
        <f>'[115]PPC.1, PCR.2F, EO.3'!H30</f>
        <v>227370334.59913951</v>
      </c>
      <c r="AQ26" s="160">
        <f>'[115]PPC.1, PCR.2F, EO.3'!I30</f>
        <v>246060745.08831936</v>
      </c>
      <c r="AR26" s="160">
        <f>'[115]PPC.1, PCR.2F, EO.3'!J30</f>
        <v>262654356.89546087</v>
      </c>
      <c r="AS26" s="160">
        <f>'[115]PPC.1, PCR.2F, EO.3'!K30</f>
        <v>267226354.874975</v>
      </c>
      <c r="AT26" s="160">
        <f>'[115]PPC.1, PCR.2F, EO.3'!L30</f>
        <v>261622583.21947673</v>
      </c>
      <c r="AU26" s="160">
        <f>'[115]PPC.1, PCR.2F, EO.3'!M30</f>
        <v>244373082.33714232</v>
      </c>
      <c r="AV26" s="160">
        <f>'[115]PPC.1, PCR.2F, EO.3'!N30</f>
        <v>230263072.51766002</v>
      </c>
      <c r="AW26" s="160">
        <f>'[115]PPC.1, PCR.2F, EO.3'!O30</f>
        <v>238613621.292808</v>
      </c>
      <c r="AX26" s="160">
        <f>'[115]PPC.1, PCR.2F, EO.3'!P30</f>
        <v>243467013.54529017</v>
      </c>
    </row>
    <row r="27" spans="1:50" x14ac:dyDescent="0.3">
      <c r="A27" s="40" t="s">
        <v>37</v>
      </c>
      <c r="B27" s="41"/>
      <c r="C27" s="41"/>
      <c r="D27" s="47">
        <v>99309923</v>
      </c>
      <c r="E27" s="47">
        <v>98876748</v>
      </c>
      <c r="F27" s="47">
        <v>96480454</v>
      </c>
      <c r="G27" s="47">
        <v>121526151</v>
      </c>
      <c r="H27" s="47">
        <v>113123855</v>
      </c>
      <c r="I27" s="47">
        <v>125262874</v>
      </c>
      <c r="J27" s="47">
        <v>126945040</v>
      </c>
      <c r="K27" s="113">
        <v>119752379</v>
      </c>
      <c r="L27" s="47">
        <v>106348532</v>
      </c>
      <c r="M27" s="47">
        <v>100067076</v>
      </c>
      <c r="N27" s="47">
        <v>105899561</v>
      </c>
      <c r="O27" s="47">
        <v>111203176</v>
      </c>
      <c r="P27" s="47">
        <v>86704807</v>
      </c>
      <c r="Q27" s="47">
        <v>92097434</v>
      </c>
      <c r="R27" s="47">
        <v>93506334</v>
      </c>
      <c r="S27" s="47">
        <v>92139707</v>
      </c>
      <c r="T27" s="47">
        <v>105110654</v>
      </c>
      <c r="U27" s="47">
        <v>108265948</v>
      </c>
      <c r="V27" s="47">
        <v>109806573</v>
      </c>
      <c r="W27" s="47">
        <v>96724322.099999994</v>
      </c>
      <c r="X27" s="47">
        <v>94866307</v>
      </c>
      <c r="Y27" s="47">
        <v>96874394</v>
      </c>
      <c r="Z27" s="47">
        <v>84244327</v>
      </c>
      <c r="AA27" s="47">
        <v>112346620</v>
      </c>
      <c r="AB27" s="47">
        <v>50801494</v>
      </c>
      <c r="AC27" s="47">
        <v>85186767</v>
      </c>
      <c r="AD27" s="47">
        <v>94290468.700000003</v>
      </c>
      <c r="AE27" s="47">
        <v>96665030</v>
      </c>
      <c r="AF27" s="47">
        <v>111403127</v>
      </c>
      <c r="AG27" s="47">
        <v>106051211</v>
      </c>
      <c r="AH27" s="47">
        <v>114673513</v>
      </c>
      <c r="AI27" s="47">
        <v>105106440</v>
      </c>
      <c r="AJ27" s="245">
        <f>'[115]PPC.1, PCR.2F, EO.3'!B31</f>
        <v>96163830.731033847</v>
      </c>
      <c r="AK27" s="245">
        <f>'[115]PPC.1, PCR.2F, EO.3'!C31</f>
        <v>94109067.558028832</v>
      </c>
      <c r="AL27" s="245">
        <f>'[115]PPC.1, PCR.2F, EO.3'!D31</f>
        <v>93653912.248884782</v>
      </c>
      <c r="AM27" s="245">
        <f>'[115]PPC.1, PCR.2F, EO.3'!E31</f>
        <v>85920997.61912322</v>
      </c>
      <c r="AN27" s="245">
        <f>'[115]PPC.1, PCR.2F, EO.3'!F31</f>
        <v>92937115.673861131</v>
      </c>
      <c r="AO27" s="245">
        <f>'[115]PPC.1, PCR.2F, EO.3'!G31</f>
        <v>95430162.554982468</v>
      </c>
      <c r="AP27" s="245">
        <f>'[115]PPC.1, PCR.2F, EO.3'!H31</f>
        <v>103376400.7354092</v>
      </c>
      <c r="AQ27" s="245">
        <f>'[115]PPC.1, PCR.2F, EO.3'!I31</f>
        <v>107783855.10587853</v>
      </c>
      <c r="AR27" s="245">
        <f>'[115]PPC.1, PCR.2F, EO.3'!J31</f>
        <v>116470133.49866222</v>
      </c>
      <c r="AS27" s="245">
        <f>'[115]PPC.1, PCR.2F, EO.3'!K31</f>
        <v>115573128.90151967</v>
      </c>
      <c r="AT27" s="245">
        <f>'[115]PPC.1, PCR.2F, EO.3'!L31</f>
        <v>109282029.6161512</v>
      </c>
      <c r="AU27" s="245">
        <f>'[115]PPC.1, PCR.2F, EO.3'!M31</f>
        <v>106525675.34103945</v>
      </c>
      <c r="AV27" s="245">
        <f>'[115]PPC.1, PCR.2F, EO.3'!N31</f>
        <v>99214570.454463914</v>
      </c>
      <c r="AW27" s="245">
        <f>'[115]PPC.1, PCR.2F, EO.3'!O31</f>
        <v>97087562.389173344</v>
      </c>
      <c r="AX27" s="245">
        <f>'[115]PPC.1, PCR.2F, EO.3'!P31</f>
        <v>96464302.312017411</v>
      </c>
    </row>
    <row r="28" spans="1:50" x14ac:dyDescent="0.3">
      <c r="A28" s="35" t="s">
        <v>31</v>
      </c>
      <c r="B28" s="33"/>
      <c r="C28" s="33"/>
      <c r="D28" s="37">
        <f>SUM(D23:D27)</f>
        <v>2499758324</v>
      </c>
      <c r="E28" s="37">
        <f t="shared" ref="E28:AX28" si="8">SUM(E23:E27)</f>
        <v>1985896392</v>
      </c>
      <c r="F28" s="37">
        <f t="shared" si="8"/>
        <v>1834449295</v>
      </c>
      <c r="G28" s="37">
        <f t="shared" si="8"/>
        <v>2235195660</v>
      </c>
      <c r="H28" s="37">
        <f t="shared" si="8"/>
        <v>2577497445</v>
      </c>
      <c r="I28" s="37">
        <f t="shared" si="8"/>
        <v>2692344190</v>
      </c>
      <c r="J28" s="37">
        <f t="shared" si="8"/>
        <v>2586049727</v>
      </c>
      <c r="K28" s="37">
        <f t="shared" si="8"/>
        <v>2259393157</v>
      </c>
      <c r="L28" s="37">
        <f t="shared" si="8"/>
        <v>2029584453</v>
      </c>
      <c r="M28" s="37">
        <f t="shared" si="8"/>
        <v>2424244506</v>
      </c>
      <c r="N28" s="37">
        <f t="shared" si="8"/>
        <v>2601956425</v>
      </c>
      <c r="O28" s="37">
        <f t="shared" si="8"/>
        <v>2559780622</v>
      </c>
      <c r="P28" s="37">
        <f t="shared" si="8"/>
        <v>2267199627</v>
      </c>
      <c r="Q28" s="37">
        <f t="shared" si="8"/>
        <v>1885945876</v>
      </c>
      <c r="R28" s="37">
        <f t="shared" si="8"/>
        <v>1727181444</v>
      </c>
      <c r="S28" s="37">
        <f t="shared" si="8"/>
        <v>2140133354</v>
      </c>
      <c r="T28" s="37">
        <f t="shared" si="8"/>
        <v>2668776772</v>
      </c>
      <c r="U28" s="37">
        <f t="shared" si="8"/>
        <v>2588323933</v>
      </c>
      <c r="V28" s="37">
        <f t="shared" si="8"/>
        <v>2539356884</v>
      </c>
      <c r="W28" s="37">
        <f t="shared" si="8"/>
        <v>1880855467.2</v>
      </c>
      <c r="X28" s="37">
        <f t="shared" si="8"/>
        <v>1919414791</v>
      </c>
      <c r="Y28" s="37">
        <f t="shared" si="8"/>
        <v>2285505311</v>
      </c>
      <c r="Z28" s="37">
        <f t="shared" si="8"/>
        <v>2701293080</v>
      </c>
      <c r="AA28" s="37">
        <f t="shared" si="8"/>
        <v>2762895596</v>
      </c>
      <c r="AB28" s="37">
        <f t="shared" si="8"/>
        <v>2269212350</v>
      </c>
      <c r="AC28" s="37">
        <f t="shared" si="8"/>
        <v>1797926430</v>
      </c>
      <c r="AD28" s="37">
        <f t="shared" si="8"/>
        <v>1767390312.4000001</v>
      </c>
      <c r="AE28" s="37">
        <f t="shared" si="8"/>
        <v>2241761426</v>
      </c>
      <c r="AF28" s="37">
        <f t="shared" si="8"/>
        <v>2630416326</v>
      </c>
      <c r="AG28" s="37">
        <f t="shared" si="8"/>
        <v>2620993183</v>
      </c>
      <c r="AH28" s="37">
        <f t="shared" si="8"/>
        <v>2624842936</v>
      </c>
      <c r="AI28" s="37">
        <f t="shared" si="8"/>
        <v>2051802732</v>
      </c>
      <c r="AJ28" s="37">
        <f t="shared" si="8"/>
        <v>1859270596.5954454</v>
      </c>
      <c r="AK28" s="37">
        <f t="shared" si="8"/>
        <v>2310969994.0096645</v>
      </c>
      <c r="AL28" s="37">
        <f t="shared" si="8"/>
        <v>2734086571.2281055</v>
      </c>
      <c r="AM28" s="37">
        <f t="shared" si="8"/>
        <v>2503437284.262167</v>
      </c>
      <c r="AN28" s="37">
        <f t="shared" si="8"/>
        <v>2220944714.2985196</v>
      </c>
      <c r="AO28" s="37">
        <f t="shared" si="8"/>
        <v>1879115360.4594173</v>
      </c>
      <c r="AP28" s="37">
        <f t="shared" si="8"/>
        <v>1741844521.1729763</v>
      </c>
      <c r="AQ28" s="37">
        <f t="shared" si="8"/>
        <v>2089470302.4395993</v>
      </c>
      <c r="AR28" s="37">
        <f t="shared" si="8"/>
        <v>2489629861.2125788</v>
      </c>
      <c r="AS28" s="37">
        <f t="shared" si="8"/>
        <v>2577518358.2381277</v>
      </c>
      <c r="AT28" s="37">
        <f t="shared" si="8"/>
        <v>2397973898.4503822</v>
      </c>
      <c r="AU28" s="37">
        <f t="shared" si="8"/>
        <v>1927325103.8386266</v>
      </c>
      <c r="AV28" s="37">
        <f t="shared" si="8"/>
        <v>1841229294.6313071</v>
      </c>
      <c r="AW28" s="37">
        <f t="shared" si="8"/>
        <v>2286771584.5165582</v>
      </c>
      <c r="AX28" s="37">
        <f t="shared" si="8"/>
        <v>2716681939.5324297</v>
      </c>
    </row>
    <row r="29" spans="1:50" x14ac:dyDescent="0.3">
      <c r="B29" s="41"/>
      <c r="C29" s="41"/>
    </row>
    <row r="30" spans="1:50" x14ac:dyDescent="0.3">
      <c r="A30" s="29" t="s">
        <v>40</v>
      </c>
      <c r="B30" s="41"/>
      <c r="C30" s="41"/>
    </row>
    <row r="31" spans="1:50" x14ac:dyDescent="0.3">
      <c r="A31" s="40" t="s">
        <v>33</v>
      </c>
      <c r="B31" s="41"/>
      <c r="C31" s="41"/>
      <c r="D31" s="118">
        <f>D14+(D$19*(D23/D$28))</f>
        <v>0</v>
      </c>
      <c r="E31" s="119">
        <f>IF(E14="","",E14+(E$19*(E23/E$28)))</f>
        <v>3542.7066619947968</v>
      </c>
      <c r="F31" s="119">
        <f t="shared" ref="E31:AX35" si="9">IF(F14="","",F14+(F$19*(F23/F$28)))</f>
        <v>26593.748856903429</v>
      </c>
      <c r="G31" s="118">
        <f t="shared" si="9"/>
        <v>243363.92907678595</v>
      </c>
      <c r="H31" s="118">
        <f t="shared" si="9"/>
        <v>441129.8099540461</v>
      </c>
      <c r="I31" s="119">
        <f t="shared" si="9"/>
        <v>538055.00088770315</v>
      </c>
      <c r="J31" s="118">
        <f>IF(J14="","",J14+(J$19*(J23/J$28)))</f>
        <v>375001.00963366695</v>
      </c>
      <c r="K31" s="118">
        <f t="shared" si="9"/>
        <v>137834.38057719183</v>
      </c>
      <c r="L31" s="118">
        <f t="shared" si="9"/>
        <v>274809.55657286098</v>
      </c>
      <c r="M31" s="118">
        <f t="shared" si="9"/>
        <v>467843.25553902646</v>
      </c>
      <c r="N31" s="118">
        <f t="shared" si="9"/>
        <v>544296.07292371744</v>
      </c>
      <c r="O31" s="118">
        <f t="shared" si="9"/>
        <v>676189.22029010952</v>
      </c>
      <c r="P31" s="118">
        <f t="shared" si="9"/>
        <v>463090.51540533279</v>
      </c>
      <c r="Q31" s="118">
        <f>IF(Q14="","",Q14+(Q$19*(Q23/Q$28)))</f>
        <v>212999.83668866704</v>
      </c>
      <c r="R31" s="118">
        <f t="shared" si="9"/>
        <v>239315.41925638349</v>
      </c>
      <c r="S31" s="118">
        <f t="shared" si="9"/>
        <v>745964.63979628112</v>
      </c>
      <c r="T31" s="118">
        <f t="shared" si="9"/>
        <v>1021961.1417325244</v>
      </c>
      <c r="U31" s="118">
        <f t="shared" si="9"/>
        <v>1221140.287913003</v>
      </c>
      <c r="V31" s="118">
        <f t="shared" si="9"/>
        <v>1038934.5439936385</v>
      </c>
      <c r="W31" s="118">
        <f>IF(W14="","",W14+(W$19*(W23/W$28)))</f>
        <v>456853.18990942289</v>
      </c>
      <c r="X31" s="118">
        <f>IF(X14="","",X14+(X$19*(X23/X$28)))</f>
        <v>609473.30327174987</v>
      </c>
      <c r="Y31" s="118">
        <f t="shared" si="9"/>
        <v>767580.56672561402</v>
      </c>
      <c r="Z31" s="118">
        <f t="shared" si="9"/>
        <v>793063.84804214339</v>
      </c>
      <c r="AA31" s="118">
        <f t="shared" si="9"/>
        <v>764854.30430963449</v>
      </c>
      <c r="AB31" s="118">
        <f t="shared" si="9"/>
        <v>819560.20806617534</v>
      </c>
      <c r="AC31" s="118">
        <f t="shared" si="9"/>
        <v>733166.25858200283</v>
      </c>
      <c r="AD31" s="118">
        <f t="shared" si="9"/>
        <v>808585.44290839287</v>
      </c>
      <c r="AE31" s="118">
        <f t="shared" si="9"/>
        <v>2229150.475396621</v>
      </c>
      <c r="AF31" s="118">
        <f t="shared" si="9"/>
        <v>2728598.0253418689</v>
      </c>
      <c r="AG31" s="118">
        <f t="shared" si="9"/>
        <v>2843181.2454154654</v>
      </c>
      <c r="AH31" s="118">
        <f>IF(AH14="","",AH14+(AH$19*(AH23/AH$28)))</f>
        <v>2152415.8892408246</v>
      </c>
      <c r="AI31" s="118">
        <f t="shared" si="9"/>
        <v>886771.1903804827</v>
      </c>
      <c r="AJ31" s="122">
        <f>IF(AJ14="","",AJ14+(AJ$19*(AJ23/AJ$28)))</f>
        <v>1070241.9429000535</v>
      </c>
      <c r="AK31" s="122">
        <f t="shared" ref="AK31:AL31" si="10">IF(AK14="","",AK14+(AK$19*(AK23/AK$28)))</f>
        <v>1317567.8580518807</v>
      </c>
      <c r="AL31" s="122">
        <f t="shared" si="10"/>
        <v>1385967.3327910167</v>
      </c>
      <c r="AM31" s="121">
        <f>IF(AM14="","",AM14+(AM$19*(AM23/AM$28)))</f>
        <v>1239830.102099089</v>
      </c>
      <c r="AN31" s="121">
        <f t="shared" si="9"/>
        <v>253523.0911703094</v>
      </c>
      <c r="AO31" s="121">
        <f t="shared" si="9"/>
        <v>221194.61449855572</v>
      </c>
      <c r="AP31" s="121">
        <f t="shared" si="9"/>
        <v>236262.03444707982</v>
      </c>
      <c r="AQ31" s="121">
        <f t="shared" si="9"/>
        <v>643155.39496542793</v>
      </c>
      <c r="AR31" s="121">
        <f t="shared" si="9"/>
        <v>811790.7933793728</v>
      </c>
      <c r="AS31" s="121">
        <f t="shared" si="9"/>
        <v>879865.70055522071</v>
      </c>
      <c r="AT31" s="121">
        <f t="shared" si="9"/>
        <v>675680.83665627101</v>
      </c>
      <c r="AU31" s="121">
        <f t="shared" si="9"/>
        <v>262584.43444129254</v>
      </c>
      <c r="AV31" s="121">
        <f t="shared" si="9"/>
        <v>330890.26000193064</v>
      </c>
      <c r="AW31" s="121">
        <f t="shared" si="9"/>
        <v>439354.37859841692</v>
      </c>
      <c r="AX31" s="121">
        <f t="shared" si="9"/>
        <v>467415.01254749676</v>
      </c>
    </row>
    <row r="32" spans="1:50" x14ac:dyDescent="0.3">
      <c r="A32" s="40" t="s">
        <v>34</v>
      </c>
      <c r="B32" s="41"/>
      <c r="C32" s="41"/>
      <c r="D32" s="118">
        <f>D15+(D$19*(D24/D$28))</f>
        <v>0.34412602678174997</v>
      </c>
      <c r="E32" s="118">
        <f t="shared" si="9"/>
        <v>593.85341007321881</v>
      </c>
      <c r="F32" s="118">
        <f t="shared" si="9"/>
        <v>8368.5225960071712</v>
      </c>
      <c r="G32" s="118">
        <f t="shared" si="9"/>
        <v>23641.814181406706</v>
      </c>
      <c r="H32" s="118">
        <f t="shared" si="9"/>
        <v>47663.861231335664</v>
      </c>
      <c r="I32" s="119">
        <f t="shared" si="9"/>
        <v>53414.007632337976</v>
      </c>
      <c r="J32" s="118">
        <f t="shared" si="9"/>
        <v>71963.570102025027</v>
      </c>
      <c r="K32" s="118">
        <f t="shared" si="9"/>
        <v>61965.410188273323</v>
      </c>
      <c r="L32" s="118">
        <f t="shared" si="9"/>
        <v>64700.998849587129</v>
      </c>
      <c r="M32" s="118">
        <f t="shared" si="9"/>
        <v>81956.189294724609</v>
      </c>
      <c r="N32" s="118">
        <f t="shared" si="9"/>
        <v>113990.99327753842</v>
      </c>
      <c r="O32" s="118">
        <f t="shared" si="9"/>
        <v>88043.147483850829</v>
      </c>
      <c r="P32" s="118">
        <f t="shared" si="9"/>
        <v>103641.60510926238</v>
      </c>
      <c r="Q32" s="118">
        <f t="shared" si="9"/>
        <v>44495.668454394727</v>
      </c>
      <c r="R32" s="118">
        <f t="shared" si="9"/>
        <v>72447.479306892477</v>
      </c>
      <c r="S32" s="118">
        <f t="shared" si="9"/>
        <v>100242.14080653639</v>
      </c>
      <c r="T32" s="118">
        <f t="shared" si="9"/>
        <v>144814.88878280437</v>
      </c>
      <c r="U32" s="118">
        <f t="shared" si="9"/>
        <v>113846.66455304027</v>
      </c>
      <c r="V32" s="118">
        <f t="shared" si="9"/>
        <v>127713.0610159208</v>
      </c>
      <c r="W32" s="118">
        <f t="shared" si="9"/>
        <v>102944.20736329375</v>
      </c>
      <c r="X32" s="118">
        <f t="shared" si="9"/>
        <v>98619.753088261379</v>
      </c>
      <c r="Y32" s="118">
        <f t="shared" si="9"/>
        <v>116491.49867964754</v>
      </c>
      <c r="Z32" s="118">
        <f t="shared" si="9"/>
        <v>196559.66519683803</v>
      </c>
      <c r="AA32" s="118">
        <f t="shared" si="9"/>
        <v>143190.44336244816</v>
      </c>
      <c r="AB32" s="118">
        <f t="shared" si="9"/>
        <v>165885.95699877734</v>
      </c>
      <c r="AC32" s="118">
        <f t="shared" si="9"/>
        <v>168014.93999895826</v>
      </c>
      <c r="AD32" s="118">
        <f t="shared" si="9"/>
        <v>224708.57117023846</v>
      </c>
      <c r="AE32" s="118">
        <f t="shared" si="9"/>
        <v>334985.01191056194</v>
      </c>
      <c r="AF32" s="118">
        <f t="shared" si="9"/>
        <v>449867.18718954525</v>
      </c>
      <c r="AG32" s="118">
        <f t="shared" si="9"/>
        <v>392143.15877642907</v>
      </c>
      <c r="AH32" s="118">
        <f t="shared" si="9"/>
        <v>337751.81199888035</v>
      </c>
      <c r="AI32" s="118">
        <f t="shared" si="9"/>
        <v>247793.76914859904</v>
      </c>
      <c r="AJ32" s="122">
        <f t="shared" ref="AJ32:AL32" si="11">IF(AJ15="","",AJ15+(AJ$19*(AJ24/AJ$28)))</f>
        <v>231435.5229782091</v>
      </c>
      <c r="AK32" s="122">
        <f t="shared" si="11"/>
        <v>309462.23483799922</v>
      </c>
      <c r="AL32" s="122">
        <f t="shared" si="11"/>
        <v>371030.33244412072</v>
      </c>
      <c r="AM32" s="121">
        <f t="shared" si="9"/>
        <v>303240.15191777737</v>
      </c>
      <c r="AN32" s="121">
        <f t="shared" si="9"/>
        <v>123247.14449491903</v>
      </c>
      <c r="AO32" s="121">
        <f t="shared" si="9"/>
        <v>117172.03496665311</v>
      </c>
      <c r="AP32" s="121">
        <f t="shared" si="9"/>
        <v>158904.60113157707</v>
      </c>
      <c r="AQ32" s="121">
        <f t="shared" si="9"/>
        <v>263478.9798721004</v>
      </c>
      <c r="AR32" s="121">
        <f t="shared" si="9"/>
        <v>354420.11238970264</v>
      </c>
      <c r="AS32" s="121">
        <f t="shared" si="9"/>
        <v>314468.72697309928</v>
      </c>
      <c r="AT32" s="121">
        <f t="shared" si="9"/>
        <v>270885.24503480841</v>
      </c>
      <c r="AU32" s="121">
        <f t="shared" si="9"/>
        <v>191744.44669338406</v>
      </c>
      <c r="AV32" s="121">
        <f t="shared" si="9"/>
        <v>189286.96856971033</v>
      </c>
      <c r="AW32" s="121">
        <f t="shared" si="9"/>
        <v>234706.33801510793</v>
      </c>
      <c r="AX32" s="121">
        <f t="shared" si="9"/>
        <v>259317.2358438705</v>
      </c>
    </row>
    <row r="33" spans="1:50" x14ac:dyDescent="0.3">
      <c r="A33" s="40" t="s">
        <v>35</v>
      </c>
      <c r="B33" s="41"/>
      <c r="C33" s="41"/>
      <c r="D33" s="118">
        <f>D16+(D$19*(D25/D$28))</f>
        <v>0.36790548240712501</v>
      </c>
      <c r="E33" s="118">
        <f t="shared" si="9"/>
        <v>549.3842450882164</v>
      </c>
      <c r="F33" s="118">
        <f t="shared" si="9"/>
        <v>3822.5375931394819</v>
      </c>
      <c r="G33" s="118">
        <f t="shared" si="9"/>
        <v>16781.332362054229</v>
      </c>
      <c r="H33" s="118">
        <f t="shared" si="9"/>
        <v>40077.718380542559</v>
      </c>
      <c r="I33" s="119">
        <f t="shared" si="9"/>
        <v>54061.137994792116</v>
      </c>
      <c r="J33" s="118">
        <f t="shared" si="9"/>
        <v>79608.348605740233</v>
      </c>
      <c r="K33" s="118">
        <f t="shared" si="9"/>
        <v>56432.915123633284</v>
      </c>
      <c r="L33" s="118">
        <f t="shared" si="9"/>
        <v>84805.665004540322</v>
      </c>
      <c r="M33" s="118">
        <f t="shared" si="9"/>
        <v>101585.96799703788</v>
      </c>
      <c r="N33" s="118">
        <f t="shared" si="9"/>
        <v>154209.2659634623</v>
      </c>
      <c r="O33" s="118">
        <f t="shared" si="9"/>
        <v>122696.92137199735</v>
      </c>
      <c r="P33" s="118">
        <f t="shared" si="9"/>
        <v>123411.87388052933</v>
      </c>
      <c r="Q33" s="118">
        <f t="shared" si="9"/>
        <v>47446.211556775474</v>
      </c>
      <c r="R33" s="118">
        <f t="shared" si="9"/>
        <v>83556.534245541465</v>
      </c>
      <c r="S33" s="118">
        <f t="shared" si="9"/>
        <v>189049.36683437167</v>
      </c>
      <c r="T33" s="118">
        <f t="shared" si="9"/>
        <v>265484.4397628404</v>
      </c>
      <c r="U33" s="118">
        <f t="shared" si="9"/>
        <v>248590.59560852987</v>
      </c>
      <c r="V33" s="118">
        <f t="shared" si="9"/>
        <v>229992.78825383674</v>
      </c>
      <c r="W33" s="118">
        <f t="shared" si="9"/>
        <v>142655.78999924072</v>
      </c>
      <c r="X33" s="118">
        <f t="shared" si="9"/>
        <v>140592.80164431839</v>
      </c>
      <c r="Y33" s="118">
        <f t="shared" si="9"/>
        <v>171784.13279113677</v>
      </c>
      <c r="Z33" s="118">
        <f t="shared" si="9"/>
        <v>283797.45031291858</v>
      </c>
      <c r="AA33" s="118">
        <f t="shared" si="9"/>
        <v>210481.86723637651</v>
      </c>
      <c r="AB33" s="118">
        <f t="shared" si="9"/>
        <v>232927.56555946911</v>
      </c>
      <c r="AC33" s="118">
        <f t="shared" si="9"/>
        <v>221111.27962203597</v>
      </c>
      <c r="AD33" s="118">
        <f t="shared" si="9"/>
        <v>314679.79966629087</v>
      </c>
      <c r="AE33" s="118">
        <f t="shared" si="9"/>
        <v>715299.40366319334</v>
      </c>
      <c r="AF33" s="118">
        <f t="shared" si="9"/>
        <v>953627.42461110547</v>
      </c>
      <c r="AG33" s="118">
        <f t="shared" si="9"/>
        <v>939310.43288894033</v>
      </c>
      <c r="AH33" s="118">
        <f t="shared" si="9"/>
        <v>659615.18241367524</v>
      </c>
      <c r="AI33" s="118">
        <f t="shared" si="9"/>
        <v>353569.18814987835</v>
      </c>
      <c r="AJ33" s="122">
        <f t="shared" ref="AJ33:AL33" si="12">IF(AJ16="","",AJ16+(AJ$19*(AJ25/AJ$28)))</f>
        <v>334196.4782733724</v>
      </c>
      <c r="AK33" s="122">
        <f t="shared" si="12"/>
        <v>425902.76167438709</v>
      </c>
      <c r="AL33" s="122">
        <f t="shared" si="12"/>
        <v>511227.03831022914</v>
      </c>
      <c r="AM33" s="121">
        <f>IF(AM16="","",AM16+(AM$19*(AM25/AM$28)))</f>
        <v>425751.78540096409</v>
      </c>
      <c r="AN33" s="121">
        <f t="shared" si="9"/>
        <v>135701.93533541317</v>
      </c>
      <c r="AO33" s="121">
        <f t="shared" si="9"/>
        <v>126122.56695718972</v>
      </c>
      <c r="AP33" s="121">
        <f t="shared" si="9"/>
        <v>182950.18332817237</v>
      </c>
      <c r="AQ33" s="121">
        <f t="shared" si="9"/>
        <v>465694.03022544348</v>
      </c>
      <c r="AR33" s="121">
        <f t="shared" si="9"/>
        <v>610485.10838715779</v>
      </c>
      <c r="AS33" s="121">
        <f t="shared" si="9"/>
        <v>611585.53385387012</v>
      </c>
      <c r="AT33" s="121">
        <f t="shared" si="9"/>
        <v>449012.43011721061</v>
      </c>
      <c r="AU33" s="121">
        <f t="shared" si="9"/>
        <v>222673.14311416351</v>
      </c>
      <c r="AV33" s="121">
        <f t="shared" si="9"/>
        <v>228512.08546107094</v>
      </c>
      <c r="AW33" s="121">
        <f t="shared" si="9"/>
        <v>304807.50676289957</v>
      </c>
      <c r="AX33" s="121">
        <f t="shared" si="9"/>
        <v>367830.48647468374</v>
      </c>
    </row>
    <row r="34" spans="1:50" x14ac:dyDescent="0.3">
      <c r="A34" s="40" t="s">
        <v>36</v>
      </c>
      <c r="B34" s="41"/>
      <c r="C34" s="41"/>
      <c r="D34" s="118">
        <f>D17+(D$19*(D26/D$28))</f>
        <v>0</v>
      </c>
      <c r="E34" s="118">
        <f t="shared" si="9"/>
        <v>9.4764517045030008</v>
      </c>
      <c r="F34" s="118">
        <f t="shared" si="9"/>
        <v>992.38480063141662</v>
      </c>
      <c r="G34" s="118">
        <f t="shared" si="9"/>
        <v>7292.1248374502911</v>
      </c>
      <c r="H34" s="118">
        <f t="shared" si="9"/>
        <v>15994.94501268368</v>
      </c>
      <c r="I34" s="119">
        <f t="shared" si="9"/>
        <v>17286.492613957165</v>
      </c>
      <c r="J34" s="118">
        <f t="shared" si="9"/>
        <v>20593.63561343183</v>
      </c>
      <c r="K34" s="118">
        <f t="shared" si="9"/>
        <v>13281.46306563299</v>
      </c>
      <c r="L34" s="118">
        <f t="shared" si="9"/>
        <v>20634.15638219006</v>
      </c>
      <c r="M34" s="118">
        <f t="shared" si="9"/>
        <v>18530.128304448888</v>
      </c>
      <c r="N34" s="118">
        <f t="shared" si="9"/>
        <v>41320.38859087076</v>
      </c>
      <c r="O34" s="118">
        <f t="shared" si="9"/>
        <v>29425.974245256413</v>
      </c>
      <c r="P34" s="118">
        <f t="shared" si="9"/>
        <v>32165.147795809222</v>
      </c>
      <c r="Q34" s="118">
        <f t="shared" si="9"/>
        <v>21213.003373036219</v>
      </c>
      <c r="R34" s="118">
        <f t="shared" si="9"/>
        <v>41395.000804902586</v>
      </c>
      <c r="S34" s="118">
        <f t="shared" si="9"/>
        <v>92952.761963081415</v>
      </c>
      <c r="T34" s="118">
        <f t="shared" si="9"/>
        <v>123951.10916307675</v>
      </c>
      <c r="U34" s="118">
        <f t="shared" si="9"/>
        <v>122809.27801030048</v>
      </c>
      <c r="V34" s="118">
        <f t="shared" si="9"/>
        <v>96049.861338882605</v>
      </c>
      <c r="W34" s="118">
        <f t="shared" si="9"/>
        <v>51830.00376307463</v>
      </c>
      <c r="X34" s="118">
        <f t="shared" si="9"/>
        <v>49578.466987818043</v>
      </c>
      <c r="Y34" s="118">
        <f t="shared" si="9"/>
        <v>51735.412802116007</v>
      </c>
      <c r="Z34" s="118">
        <f t="shared" si="9"/>
        <v>90838.744276912417</v>
      </c>
      <c r="AA34" s="118">
        <f t="shared" si="9"/>
        <v>65459.948883100595</v>
      </c>
      <c r="AB34" s="118">
        <f t="shared" si="9"/>
        <v>71534.944524128558</v>
      </c>
      <c r="AC34" s="118">
        <f t="shared" si="9"/>
        <v>71343.757771636898</v>
      </c>
      <c r="AD34" s="118">
        <f t="shared" si="9"/>
        <v>103296.3103477702</v>
      </c>
      <c r="AE34" s="118">
        <f t="shared" si="9"/>
        <v>256562.81120160531</v>
      </c>
      <c r="AF34" s="118">
        <f t="shared" si="9"/>
        <v>319479.07850425603</v>
      </c>
      <c r="AG34" s="118">
        <f t="shared" si="9"/>
        <v>309875.12991512951</v>
      </c>
      <c r="AH34" s="118">
        <f t="shared" si="9"/>
        <v>200668.49634980995</v>
      </c>
      <c r="AI34" s="118">
        <f t="shared" si="9"/>
        <v>111417.50190042912</v>
      </c>
      <c r="AJ34" s="122">
        <f t="shared" ref="AJ34:AL34" si="13">IF(AJ17="","",AJ17+(AJ$19*(AJ26/AJ$28)))</f>
        <v>94704.220147862201</v>
      </c>
      <c r="AK34" s="122">
        <f t="shared" si="13"/>
        <v>109815.31391875097</v>
      </c>
      <c r="AL34" s="122">
        <f t="shared" si="13"/>
        <v>140287.89892637212</v>
      </c>
      <c r="AM34" s="121">
        <f t="shared" si="9"/>
        <v>120021.2609331477</v>
      </c>
      <c r="AN34" s="121">
        <f t="shared" si="9"/>
        <v>42046.608665630898</v>
      </c>
      <c r="AO34" s="121">
        <f t="shared" si="9"/>
        <v>38889.616560080292</v>
      </c>
      <c r="AP34" s="121">
        <f t="shared" si="9"/>
        <v>63428.745191046706</v>
      </c>
      <c r="AQ34" s="121">
        <f t="shared" si="9"/>
        <v>195043.75875181123</v>
      </c>
      <c r="AR34" s="121">
        <f t="shared" si="9"/>
        <v>255702.49086660781</v>
      </c>
      <c r="AS34" s="121">
        <f t="shared" si="9"/>
        <v>272494.41523619235</v>
      </c>
      <c r="AT34" s="121">
        <f t="shared" si="9"/>
        <v>171440.53555390553</v>
      </c>
      <c r="AU34" s="121">
        <f t="shared" si="9"/>
        <v>68867.167221444543</v>
      </c>
      <c r="AV34" s="121">
        <f t="shared" si="9"/>
        <v>70268.158491696522</v>
      </c>
      <c r="AW34" s="121">
        <f t="shared" si="9"/>
        <v>91836.670536888487</v>
      </c>
      <c r="AX34" s="121">
        <f t="shared" si="9"/>
        <v>122762.68666366972</v>
      </c>
    </row>
    <row r="35" spans="1:50" x14ac:dyDescent="0.3">
      <c r="A35" s="40" t="s">
        <v>37</v>
      </c>
      <c r="B35" s="41"/>
      <c r="C35" s="41"/>
      <c r="D35" s="118">
        <f>D18+(D$19*(D27/D$28))</f>
        <v>0</v>
      </c>
      <c r="E35" s="118">
        <f t="shared" si="9"/>
        <v>0</v>
      </c>
      <c r="F35" s="118">
        <f t="shared" si="9"/>
        <v>158.37627524588399</v>
      </c>
      <c r="G35" s="118">
        <f t="shared" si="9"/>
        <v>597.17310476301054</v>
      </c>
      <c r="H35" s="118">
        <f t="shared" si="9"/>
        <v>0</v>
      </c>
      <c r="I35" s="119">
        <f t="shared" si="9"/>
        <v>224.30843760020062</v>
      </c>
      <c r="J35" s="118">
        <f t="shared" si="9"/>
        <v>578.11242788452876</v>
      </c>
      <c r="K35" s="118">
        <f t="shared" si="9"/>
        <v>553.72176658848127</v>
      </c>
      <c r="L35" s="118">
        <f t="shared" si="9"/>
        <v>4498.45610981133</v>
      </c>
      <c r="M35" s="118">
        <f t="shared" si="9"/>
        <v>2468.5744882877784</v>
      </c>
      <c r="N35" s="118">
        <f t="shared" si="9"/>
        <v>6482.3323978120161</v>
      </c>
      <c r="O35" s="118">
        <f t="shared" si="9"/>
        <v>4714.4220035550234</v>
      </c>
      <c r="P35" s="118">
        <f t="shared" si="9"/>
        <v>4933.2233077077817</v>
      </c>
      <c r="Q35" s="118">
        <f t="shared" si="9"/>
        <v>4340.5509347173938</v>
      </c>
      <c r="R35" s="118">
        <f t="shared" si="9"/>
        <v>11799.946486826884</v>
      </c>
      <c r="S35" s="118">
        <f t="shared" si="9"/>
        <v>38257.943252341713</v>
      </c>
      <c r="T35" s="118">
        <f t="shared" si="9"/>
        <v>40690.592006909494</v>
      </c>
      <c r="U35" s="118">
        <f t="shared" si="9"/>
        <v>41885.585703975645</v>
      </c>
      <c r="V35" s="118">
        <f t="shared" si="9"/>
        <v>26780.761635291285</v>
      </c>
      <c r="W35" s="118">
        <f>IF(W18="","",W18+(W$19*(W27/W$28)))</f>
        <v>10597.262650374174</v>
      </c>
      <c r="X35" s="118">
        <f t="shared" si="9"/>
        <v>10543.327297722915</v>
      </c>
      <c r="Y35" s="118">
        <f t="shared" ref="Y35:AI35" si="14">IF(Y18="","",Y18+(Y$19*(Y27/Y$28)))</f>
        <v>12471.245557264963</v>
      </c>
      <c r="Z35" s="118">
        <f t="shared" si="14"/>
        <v>12960.956487818141</v>
      </c>
      <c r="AA35" s="118">
        <f t="shared" si="14"/>
        <v>11180.008563256184</v>
      </c>
      <c r="AB35" s="118">
        <f t="shared" si="14"/>
        <v>10723.724250200386</v>
      </c>
      <c r="AC35" s="118">
        <f t="shared" si="14"/>
        <v>12186.584798764601</v>
      </c>
      <c r="AD35" s="118">
        <f t="shared" si="14"/>
        <v>21281.154475581399</v>
      </c>
      <c r="AE35" s="118">
        <f t="shared" si="14"/>
        <v>66612.208134140514</v>
      </c>
      <c r="AF35" s="118">
        <f t="shared" si="14"/>
        <v>73408.187300820806</v>
      </c>
      <c r="AG35" s="118">
        <f t="shared" si="14"/>
        <v>73181.995355948209</v>
      </c>
      <c r="AH35" s="118">
        <f>IF(AH18="","",AH18+(AH$19*(AH27/AH$28)))</f>
        <v>44682.245754003154</v>
      </c>
      <c r="AI35" s="118">
        <f t="shared" si="14"/>
        <v>19447.902145822471</v>
      </c>
      <c r="AJ35" s="122">
        <f t="shared" ref="AJ35:AL35" si="15">IF(AJ18="","",AJ18+(AJ$19*(AJ27/AJ$28)))</f>
        <v>17420.51686723897</v>
      </c>
      <c r="AK35" s="122">
        <f t="shared" si="15"/>
        <v>19422.601412828109</v>
      </c>
      <c r="AL35" s="122">
        <f t="shared" si="15"/>
        <v>21200.509694285087</v>
      </c>
      <c r="AM35" s="121">
        <f t="shared" si="9"/>
        <v>17896.779106840331</v>
      </c>
      <c r="AN35" s="121">
        <f t="shared" si="9"/>
        <v>5388.5541397000843</v>
      </c>
      <c r="AO35" s="121">
        <f t="shared" si="9"/>
        <v>6192.9102924293202</v>
      </c>
      <c r="AP35" s="121">
        <f t="shared" si="9"/>
        <v>12569.960848586867</v>
      </c>
      <c r="AQ35" s="121">
        <f t="shared" si="9"/>
        <v>42232.62383904984</v>
      </c>
      <c r="AR35" s="121">
        <f t="shared" si="9"/>
        <v>44730.316605147986</v>
      </c>
      <c r="AS35" s="121">
        <f t="shared" si="9"/>
        <v>49078.655460096306</v>
      </c>
      <c r="AT35" s="121">
        <f t="shared" si="9"/>
        <v>32663.980996118422</v>
      </c>
      <c r="AU35" s="121">
        <f t="shared" si="9"/>
        <v>11807.073331243153</v>
      </c>
      <c r="AV35" s="121">
        <f t="shared" si="9"/>
        <v>12522.692330432959</v>
      </c>
      <c r="AW35" s="121">
        <f t="shared" si="9"/>
        <v>16034.808966052939</v>
      </c>
      <c r="AX35" s="121">
        <f t="shared" si="9"/>
        <v>18398.015136485632</v>
      </c>
    </row>
    <row r="36" spans="1:50" x14ac:dyDescent="0.3">
      <c r="A36" s="35" t="s">
        <v>31</v>
      </c>
      <c r="B36" s="33"/>
      <c r="C36" s="33"/>
      <c r="D36" s="48">
        <f>SUM(D31:D35)</f>
        <v>0.71203150918887492</v>
      </c>
      <c r="E36" s="48">
        <f t="shared" ref="E36:AX36" si="16">SUM(E31:E35)</f>
        <v>4695.4207688607357</v>
      </c>
      <c r="F36" s="48">
        <f t="shared" si="16"/>
        <v>39935.570121927383</v>
      </c>
      <c r="G36" s="48">
        <f t="shared" si="16"/>
        <v>291676.37356246018</v>
      </c>
      <c r="H36" s="48">
        <f t="shared" si="16"/>
        <v>544866.33457860793</v>
      </c>
      <c r="I36" s="48">
        <f t="shared" si="16"/>
        <v>663040.9475663905</v>
      </c>
      <c r="J36" s="48">
        <f t="shared" si="16"/>
        <v>547744.67638274853</v>
      </c>
      <c r="K36" s="48">
        <f t="shared" si="16"/>
        <v>270067.89072131988</v>
      </c>
      <c r="L36" s="48">
        <f t="shared" si="16"/>
        <v>449448.83291898982</v>
      </c>
      <c r="M36" s="48">
        <f t="shared" si="16"/>
        <v>672384.11562352569</v>
      </c>
      <c r="N36" s="48">
        <f t="shared" si="16"/>
        <v>860299.05315340101</v>
      </c>
      <c r="O36" s="48">
        <f t="shared" si="16"/>
        <v>921069.68539476907</v>
      </c>
      <c r="P36" s="48">
        <f t="shared" si="16"/>
        <v>727242.36549864151</v>
      </c>
      <c r="Q36" s="48">
        <f t="shared" si="16"/>
        <v>330495.27100759087</v>
      </c>
      <c r="R36" s="48">
        <f t="shared" si="16"/>
        <v>448514.38010054693</v>
      </c>
      <c r="S36" s="48">
        <f t="shared" si="16"/>
        <v>1166466.8526526124</v>
      </c>
      <c r="T36" s="48">
        <f t="shared" si="16"/>
        <v>1596902.1714481553</v>
      </c>
      <c r="U36" s="48">
        <f t="shared" si="16"/>
        <v>1748272.4117888494</v>
      </c>
      <c r="V36" s="48">
        <f t="shared" si="16"/>
        <v>1519471.0162375702</v>
      </c>
      <c r="W36" s="48">
        <f t="shared" si="16"/>
        <v>764880.45368540613</v>
      </c>
      <c r="X36" s="48">
        <f t="shared" si="16"/>
        <v>908807.65228987054</v>
      </c>
      <c r="Y36" s="48">
        <f t="shared" si="16"/>
        <v>1120062.8565557792</v>
      </c>
      <c r="Z36" s="48">
        <f t="shared" si="16"/>
        <v>1377220.6643166305</v>
      </c>
      <c r="AA36" s="48">
        <f t="shared" si="16"/>
        <v>1195166.5723548159</v>
      </c>
      <c r="AB36" s="48">
        <f t="shared" si="16"/>
        <v>1300632.3993987506</v>
      </c>
      <c r="AC36" s="48">
        <f t="shared" si="16"/>
        <v>1205822.8207733985</v>
      </c>
      <c r="AD36" s="48">
        <f t="shared" si="16"/>
        <v>1472551.2785682736</v>
      </c>
      <c r="AE36" s="48">
        <f t="shared" si="16"/>
        <v>3602609.9103061222</v>
      </c>
      <c r="AF36" s="48">
        <f t="shared" si="16"/>
        <v>4524979.9029475963</v>
      </c>
      <c r="AG36" s="48">
        <f t="shared" si="16"/>
        <v>4557691.9623519126</v>
      </c>
      <c r="AH36" s="48">
        <f t="shared" si="16"/>
        <v>3395133.6257571937</v>
      </c>
      <c r="AI36" s="48">
        <f t="shared" si="16"/>
        <v>1618999.5517252118</v>
      </c>
      <c r="AJ36" s="48">
        <f t="shared" si="16"/>
        <v>1747998.6811667362</v>
      </c>
      <c r="AK36" s="48">
        <f t="shared" si="16"/>
        <v>2182170.769895846</v>
      </c>
      <c r="AL36" s="48">
        <f t="shared" si="16"/>
        <v>2429713.1121660238</v>
      </c>
      <c r="AM36" s="48">
        <f t="shared" si="16"/>
        <v>2106740.0794578185</v>
      </c>
      <c r="AN36" s="48">
        <f t="shared" si="16"/>
        <v>559907.33380597271</v>
      </c>
      <c r="AO36" s="48">
        <f t="shared" si="16"/>
        <v>509571.74327490811</v>
      </c>
      <c r="AP36" s="48">
        <f t="shared" si="16"/>
        <v>654115.52494646283</v>
      </c>
      <c r="AQ36" s="48">
        <f t="shared" si="16"/>
        <v>1609604.7876538329</v>
      </c>
      <c r="AR36" s="48">
        <f t="shared" si="16"/>
        <v>2077128.8216279889</v>
      </c>
      <c r="AS36" s="48">
        <f t="shared" si="16"/>
        <v>2127493.0320784785</v>
      </c>
      <c r="AT36" s="48">
        <f t="shared" si="16"/>
        <v>1599683.0283583142</v>
      </c>
      <c r="AU36" s="48">
        <f t="shared" si="16"/>
        <v>757676.26480152784</v>
      </c>
      <c r="AV36" s="48">
        <f t="shared" si="16"/>
        <v>831480.16485484142</v>
      </c>
      <c r="AW36" s="48">
        <f t="shared" si="16"/>
        <v>1086739.7028793658</v>
      </c>
      <c r="AX36" s="48">
        <f t="shared" si="16"/>
        <v>1235723.4366662065</v>
      </c>
    </row>
    <row r="37" spans="1:50" x14ac:dyDescent="0.3">
      <c r="A37" s="35"/>
      <c r="B37" s="33"/>
      <c r="C37" s="33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</row>
    <row r="38" spans="1:50" x14ac:dyDescent="0.3">
      <c r="A38" s="35"/>
      <c r="B38" s="33"/>
      <c r="C38" s="33"/>
      <c r="D38" s="79"/>
      <c r="E38" s="79"/>
      <c r="F38" s="79"/>
      <c r="G38" s="79"/>
      <c r="H38" s="79"/>
      <c r="I38" s="79"/>
      <c r="J38" s="2"/>
      <c r="K38" s="120"/>
      <c r="L38" s="126"/>
      <c r="M38" s="2"/>
      <c r="N38" s="120"/>
      <c r="O38" s="79"/>
      <c r="P38" s="79"/>
      <c r="Q38" s="79"/>
      <c r="R38" s="79"/>
      <c r="S38" s="79"/>
      <c r="T38" s="79"/>
      <c r="U38" s="79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I38" s="120" t="s">
        <v>84</v>
      </c>
      <c r="AJ38" s="79"/>
      <c r="AL38" s="38" t="s">
        <v>85</v>
      </c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X38" s="38" t="s">
        <v>86</v>
      </c>
    </row>
    <row r="39" spans="1:50" x14ac:dyDescent="0.3">
      <c r="A39" s="35"/>
      <c r="B39" s="33"/>
      <c r="C39" s="33"/>
      <c r="D39" s="79"/>
      <c r="E39" s="79"/>
      <c r="F39" s="79"/>
      <c r="G39" s="79"/>
      <c r="H39" s="79"/>
      <c r="I39" s="79"/>
      <c r="J39" s="2"/>
      <c r="K39" s="125"/>
      <c r="L39" s="126"/>
      <c r="M39" s="2"/>
      <c r="N39" s="125"/>
      <c r="O39" s="79"/>
      <c r="P39" s="79"/>
      <c r="Q39" s="79"/>
      <c r="R39" s="79"/>
      <c r="S39" s="79"/>
      <c r="T39" s="79"/>
      <c r="U39" s="79"/>
      <c r="V39" s="2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40" t="s">
        <v>33</v>
      </c>
      <c r="AI39" s="162">
        <f>SUM(D31:AI31)</f>
        <v>25265319.023350235</v>
      </c>
      <c r="AJ39" s="79"/>
      <c r="AK39" s="40" t="s">
        <v>33</v>
      </c>
      <c r="AL39" s="163">
        <f>SUM(AJ31:AL31)</f>
        <v>3773777.1337429509</v>
      </c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40" t="s">
        <v>33</v>
      </c>
      <c r="AX39" s="164">
        <f t="shared" ref="AX39:AX44" si="17">SUM(AM31:AX31)</f>
        <v>6461546.6533604637</v>
      </c>
    </row>
    <row r="40" spans="1:50" x14ac:dyDescent="0.3">
      <c r="A40" s="35"/>
      <c r="B40" s="33"/>
      <c r="C40" s="33"/>
      <c r="D40" s="79"/>
      <c r="E40" s="79"/>
      <c r="F40" s="79"/>
      <c r="G40" s="79"/>
      <c r="H40" s="79"/>
      <c r="I40" s="79"/>
      <c r="J40" s="2"/>
      <c r="K40" s="125"/>
      <c r="L40" s="126"/>
      <c r="M40" s="2"/>
      <c r="N40" s="125"/>
      <c r="O40" s="79"/>
      <c r="P40" s="79"/>
      <c r="Q40" s="79"/>
      <c r="R40" s="79"/>
      <c r="S40" s="79"/>
      <c r="T40" s="79"/>
      <c r="U40" s="79"/>
      <c r="V40" s="2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40" t="s">
        <v>34</v>
      </c>
      <c r="AI40" s="162">
        <f t="shared" ref="AI40:AI44" si="18">SUM(D32:AI32)</f>
        <v>4302460.1952845166</v>
      </c>
      <c r="AJ40" s="79"/>
      <c r="AK40" s="40" t="s">
        <v>34</v>
      </c>
      <c r="AL40" s="163">
        <f t="shared" ref="AL40:AL44" si="19">SUM(AJ32:AL32)</f>
        <v>911928.09026032896</v>
      </c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40" t="s">
        <v>34</v>
      </c>
      <c r="AX40" s="164">
        <f t="shared" si="17"/>
        <v>2780871.9859027099</v>
      </c>
    </row>
    <row r="41" spans="1:50" x14ac:dyDescent="0.3">
      <c r="A41" s="35"/>
      <c r="B41" s="33"/>
      <c r="C41" s="33"/>
      <c r="D41" s="79"/>
      <c r="E41" s="79"/>
      <c r="F41" s="79"/>
      <c r="G41" s="79"/>
      <c r="H41" s="79"/>
      <c r="I41" s="79"/>
      <c r="J41" s="2"/>
      <c r="K41" s="125"/>
      <c r="L41" s="126"/>
      <c r="M41" s="2"/>
      <c r="N41" s="125"/>
      <c r="O41" s="79"/>
      <c r="P41" s="79"/>
      <c r="Q41" s="79"/>
      <c r="R41" s="79"/>
      <c r="S41" s="79"/>
      <c r="T41" s="79"/>
      <c r="U41" s="79"/>
      <c r="V41" s="2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40" t="s">
        <v>35</v>
      </c>
      <c r="AI41" s="162">
        <f t="shared" si="18"/>
        <v>7241615.6912485147</v>
      </c>
      <c r="AJ41" s="79"/>
      <c r="AK41" s="40" t="s">
        <v>35</v>
      </c>
      <c r="AL41" s="163">
        <f t="shared" si="19"/>
        <v>1271326.2782579886</v>
      </c>
      <c r="AM41" s="79"/>
      <c r="AN41" s="79"/>
      <c r="AO41" s="79"/>
      <c r="AP41" s="79"/>
      <c r="AQ41" s="79"/>
      <c r="AR41" s="79"/>
      <c r="AS41" s="79"/>
      <c r="AT41" s="79"/>
      <c r="AU41" s="79"/>
      <c r="AV41" s="79"/>
      <c r="AW41" s="40" t="s">
        <v>35</v>
      </c>
      <c r="AX41" s="164">
        <f t="shared" si="17"/>
        <v>4131126.7954182383</v>
      </c>
    </row>
    <row r="42" spans="1:50" x14ac:dyDescent="0.3">
      <c r="A42" s="35"/>
      <c r="B42" s="33"/>
      <c r="C42" s="33"/>
      <c r="D42" s="79"/>
      <c r="E42" s="79"/>
      <c r="F42" s="79"/>
      <c r="G42" s="79"/>
      <c r="H42" s="79"/>
      <c r="I42" s="79"/>
      <c r="J42" s="2"/>
      <c r="K42" s="125"/>
      <c r="L42" s="126"/>
      <c r="M42" s="2"/>
      <c r="N42" s="125"/>
      <c r="O42" s="79"/>
      <c r="P42" s="79"/>
      <c r="Q42" s="79"/>
      <c r="R42" s="79"/>
      <c r="S42" s="79"/>
      <c r="T42" s="79"/>
      <c r="U42" s="79"/>
      <c r="V42" s="2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40" t="s">
        <v>36</v>
      </c>
      <c r="AI42" s="162">
        <f t="shared" si="18"/>
        <v>2469517.939595134</v>
      </c>
      <c r="AJ42" s="79"/>
      <c r="AK42" s="40" t="s">
        <v>36</v>
      </c>
      <c r="AL42" s="163">
        <f t="shared" si="19"/>
        <v>344807.4329929853</v>
      </c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40" t="s">
        <v>36</v>
      </c>
      <c r="AX42" s="164">
        <f t="shared" si="17"/>
        <v>1512802.1146721218</v>
      </c>
    </row>
    <row r="43" spans="1:50" x14ac:dyDescent="0.3">
      <c r="A43" s="35"/>
      <c r="B43" s="33"/>
      <c r="C43" s="33"/>
      <c r="D43" s="79"/>
      <c r="E43" s="79"/>
      <c r="F43" s="79"/>
      <c r="G43" s="79"/>
      <c r="H43" s="79"/>
      <c r="I43" s="79"/>
      <c r="J43" s="2"/>
      <c r="K43" s="125"/>
      <c r="L43" s="126"/>
      <c r="M43" s="2"/>
      <c r="N43" s="125"/>
      <c r="O43" s="79"/>
      <c r="P43" s="79"/>
      <c r="Q43" s="79"/>
      <c r="R43" s="79"/>
      <c r="S43" s="79"/>
      <c r="T43" s="79"/>
      <c r="U43" s="79"/>
      <c r="V43" s="2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40" t="s">
        <v>37</v>
      </c>
      <c r="AI43" s="162">
        <f t="shared" si="18"/>
        <v>568240.88311103638</v>
      </c>
      <c r="AJ43" s="79"/>
      <c r="AK43" s="40" t="s">
        <v>37</v>
      </c>
      <c r="AL43" s="163">
        <f t="shared" si="19"/>
        <v>58043.627974352166</v>
      </c>
      <c r="AM43" s="79"/>
      <c r="AN43" s="79"/>
      <c r="AO43" s="79"/>
      <c r="AP43" s="79"/>
      <c r="AQ43" s="79"/>
      <c r="AR43" s="79"/>
      <c r="AS43" s="79"/>
      <c r="AT43" s="79"/>
      <c r="AU43" s="79"/>
      <c r="AV43" s="79"/>
      <c r="AW43" s="40" t="s">
        <v>37</v>
      </c>
      <c r="AX43" s="164">
        <f t="shared" si="17"/>
        <v>269516.37105218391</v>
      </c>
    </row>
    <row r="44" spans="1:50" x14ac:dyDescent="0.3">
      <c r="A44" s="35"/>
      <c r="B44" s="33"/>
      <c r="C44" s="33"/>
      <c r="D44" s="79"/>
      <c r="E44" s="79"/>
      <c r="F44" s="79"/>
      <c r="G44" s="79"/>
      <c r="H44" s="79"/>
      <c r="I44" s="79"/>
      <c r="J44" s="36"/>
      <c r="K44" s="125"/>
      <c r="L44" s="126"/>
      <c r="M44" s="36"/>
      <c r="N44" s="125"/>
      <c r="O44" s="79"/>
      <c r="P44" s="79"/>
      <c r="Q44" s="79"/>
      <c r="R44" s="79"/>
      <c r="S44" s="79"/>
      <c r="T44" s="79"/>
      <c r="U44" s="79"/>
      <c r="V44" s="36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35" t="s">
        <v>31</v>
      </c>
      <c r="AI44" s="162">
        <f t="shared" si="18"/>
        <v>39847153.732589446</v>
      </c>
      <c r="AJ44" s="79"/>
      <c r="AK44" s="35" t="s">
        <v>31</v>
      </c>
      <c r="AL44" s="163">
        <f t="shared" si="19"/>
        <v>6359882.5632286062</v>
      </c>
      <c r="AM44" s="79"/>
      <c r="AN44" s="79"/>
      <c r="AO44" s="79"/>
      <c r="AP44" s="79"/>
      <c r="AQ44" s="79"/>
      <c r="AR44" s="79"/>
      <c r="AS44" s="79"/>
      <c r="AT44" s="79"/>
      <c r="AU44" s="79"/>
      <c r="AV44" s="79"/>
      <c r="AW44" s="35" t="s">
        <v>31</v>
      </c>
      <c r="AX44" s="164">
        <f t="shared" si="17"/>
        <v>15155863.920405719</v>
      </c>
    </row>
    <row r="45" spans="1:50" x14ac:dyDescent="0.3">
      <c r="A45" s="35"/>
      <c r="B45" s="33"/>
      <c r="C45" s="33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79"/>
      <c r="AT45" s="79"/>
      <c r="AU45" s="79"/>
      <c r="AV45" s="79"/>
      <c r="AW45" s="79"/>
      <c r="AX45" s="79"/>
    </row>
    <row r="46" spans="1:50" s="82" customFormat="1" ht="15" thickBot="1" x14ac:dyDescent="0.35"/>
    <row r="47" spans="1:50" ht="15.6" x14ac:dyDescent="0.3">
      <c r="A47" s="78" t="s">
        <v>55</v>
      </c>
    </row>
    <row r="48" spans="1:50" x14ac:dyDescent="0.3">
      <c r="AJ48" s="2"/>
      <c r="AK48" s="2"/>
      <c r="AL48" s="2"/>
    </row>
    <row r="49" spans="1:50" x14ac:dyDescent="0.3">
      <c r="B49" s="12">
        <v>42370</v>
      </c>
      <c r="C49" s="12">
        <v>43497</v>
      </c>
      <c r="D49" s="12">
        <v>43525</v>
      </c>
      <c r="E49" s="12">
        <v>43556</v>
      </c>
      <c r="F49" s="12">
        <v>43586</v>
      </c>
      <c r="G49" s="12">
        <v>43617</v>
      </c>
      <c r="H49" s="12">
        <v>43647</v>
      </c>
      <c r="I49" s="12">
        <v>43678</v>
      </c>
      <c r="J49" s="12">
        <v>43709</v>
      </c>
      <c r="K49" s="12">
        <v>43739</v>
      </c>
      <c r="L49" s="12">
        <v>43770</v>
      </c>
      <c r="M49" s="12">
        <v>43800</v>
      </c>
      <c r="N49" s="12">
        <v>43831</v>
      </c>
      <c r="O49" s="12">
        <v>43862</v>
      </c>
      <c r="P49" s="12">
        <v>43891</v>
      </c>
      <c r="Q49" s="12">
        <v>43922</v>
      </c>
      <c r="R49" s="12">
        <v>43952</v>
      </c>
      <c r="S49" s="12">
        <v>43983</v>
      </c>
      <c r="T49" s="12">
        <v>44013</v>
      </c>
      <c r="U49" s="12">
        <v>44044</v>
      </c>
      <c r="V49" s="12">
        <v>44075</v>
      </c>
      <c r="W49" s="12">
        <v>44105</v>
      </c>
      <c r="X49" s="12">
        <v>44136</v>
      </c>
      <c r="Y49" s="12">
        <v>44166</v>
      </c>
      <c r="Z49" s="12">
        <v>44197</v>
      </c>
      <c r="AA49" s="12">
        <v>44228</v>
      </c>
      <c r="AB49" s="12">
        <v>44256</v>
      </c>
      <c r="AC49" s="12">
        <v>44287</v>
      </c>
      <c r="AD49" s="12">
        <v>44317</v>
      </c>
      <c r="AE49" s="12">
        <v>44348</v>
      </c>
      <c r="AF49" s="12">
        <v>44378</v>
      </c>
      <c r="AG49" s="12">
        <v>44409</v>
      </c>
      <c r="AH49" s="12">
        <v>44440</v>
      </c>
      <c r="AI49" s="12">
        <v>44470</v>
      </c>
      <c r="AJ49" s="12">
        <v>44501</v>
      </c>
      <c r="AK49" s="12">
        <v>44531</v>
      </c>
      <c r="AL49" s="12">
        <v>44562</v>
      </c>
      <c r="AM49" s="12">
        <v>44593</v>
      </c>
      <c r="AN49" s="12">
        <v>44621</v>
      </c>
      <c r="AO49" s="12">
        <v>44652</v>
      </c>
      <c r="AP49" s="12">
        <v>44682</v>
      </c>
      <c r="AQ49" s="12">
        <v>44713</v>
      </c>
      <c r="AR49" s="12">
        <v>44743</v>
      </c>
      <c r="AS49" s="12">
        <v>44774</v>
      </c>
      <c r="AT49" s="12">
        <v>44805</v>
      </c>
      <c r="AU49" s="12">
        <v>44835</v>
      </c>
      <c r="AV49" s="12">
        <v>44866</v>
      </c>
      <c r="AW49" s="12">
        <v>44896</v>
      </c>
      <c r="AX49" s="12">
        <v>44927</v>
      </c>
    </row>
    <row r="50" spans="1:50" s="2" customFormat="1" x14ac:dyDescent="0.3">
      <c r="A50" s="39" t="s">
        <v>56</v>
      </c>
      <c r="B50" s="34"/>
      <c r="C50" s="34"/>
      <c r="D50" s="31"/>
      <c r="E50" s="31"/>
      <c r="F50" s="31"/>
      <c r="G50" s="31"/>
      <c r="H50" s="31"/>
      <c r="I50" s="31"/>
      <c r="J50" s="31"/>
      <c r="K50" s="31"/>
      <c r="L50" s="117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152" t="s">
        <v>87</v>
      </c>
      <c r="AK50" s="154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</row>
    <row r="51" spans="1:50" x14ac:dyDescent="0.3">
      <c r="A51" s="40" t="s">
        <v>33</v>
      </c>
      <c r="B51" s="41"/>
      <c r="C51" s="41"/>
      <c r="D51" s="45">
        <v>0</v>
      </c>
      <c r="E51" s="45">
        <v>0</v>
      </c>
      <c r="F51" s="45">
        <v>28084.31</v>
      </c>
      <c r="G51" s="45">
        <v>338961.47</v>
      </c>
      <c r="H51" s="45">
        <v>431295.26</v>
      </c>
      <c r="I51" s="45">
        <v>454282.99</v>
      </c>
      <c r="J51" s="45">
        <v>419095.06</v>
      </c>
      <c r="K51" s="45">
        <v>344369.99</v>
      </c>
      <c r="L51" s="45">
        <v>308922.03999999998</v>
      </c>
      <c r="M51" s="45">
        <v>415727.27</v>
      </c>
      <c r="N51" s="45">
        <v>459121.81</v>
      </c>
      <c r="O51" s="45">
        <v>465524.23</v>
      </c>
      <c r="P51" s="45">
        <v>420640.46</v>
      </c>
      <c r="Q51" s="45">
        <v>333131.02</v>
      </c>
      <c r="R51" s="45">
        <v>297680.28000000003</v>
      </c>
      <c r="S51" s="45">
        <v>393958.55</v>
      </c>
      <c r="T51" s="45">
        <v>529326.34</v>
      </c>
      <c r="U51" s="45">
        <v>496875.44</v>
      </c>
      <c r="V51" s="45">
        <v>447785.36</v>
      </c>
      <c r="W51" s="45">
        <v>302563.73</v>
      </c>
      <c r="X51" s="45">
        <v>322763.34999999998</v>
      </c>
      <c r="Y51" s="45">
        <v>427989.89</v>
      </c>
      <c r="Z51" s="45">
        <v>556980.75</v>
      </c>
      <c r="AA51" s="45">
        <v>1353651.15</v>
      </c>
      <c r="AB51" s="45">
        <v>1757169.11</v>
      </c>
      <c r="AC51" s="45">
        <v>1185680.5900000001</v>
      </c>
      <c r="AD51" s="45">
        <v>1113985.45</v>
      </c>
      <c r="AE51" s="45">
        <v>1461163.75</v>
      </c>
      <c r="AF51" s="45">
        <v>1930056.97</v>
      </c>
      <c r="AG51" s="45">
        <v>1969181.34</v>
      </c>
      <c r="AH51" s="45">
        <v>1934282.8</v>
      </c>
      <c r="AI51" s="46">
        <v>1339485.02</v>
      </c>
      <c r="AJ51" s="157">
        <f>'[116]TDR (M3)'!AJ22</f>
        <v>1179687.1525501083</v>
      </c>
      <c r="AK51" s="157">
        <f>'[116]TDR (M3)'!AK22</f>
        <v>1713493.6167491241</v>
      </c>
      <c r="AL51" s="157">
        <f>'[116]TDR (M3)'!AL22</f>
        <v>2189129.3001568164</v>
      </c>
      <c r="AM51" s="161"/>
      <c r="AN51" s="161"/>
      <c r="AO51" s="161"/>
      <c r="AP51" s="161"/>
      <c r="AQ51" s="161"/>
      <c r="AR51" s="161"/>
      <c r="AS51" s="161"/>
      <c r="AT51" s="161"/>
      <c r="AU51" s="123"/>
      <c r="AV51" s="123"/>
      <c r="AW51" s="123"/>
      <c r="AX51" s="123"/>
    </row>
    <row r="52" spans="1:50" x14ac:dyDescent="0.3">
      <c r="A52" s="40" t="s">
        <v>34</v>
      </c>
      <c r="B52" s="41"/>
      <c r="C52" s="41"/>
      <c r="D52" s="45">
        <v>0</v>
      </c>
      <c r="E52" s="45">
        <v>0</v>
      </c>
      <c r="F52" s="45">
        <v>4774.55</v>
      </c>
      <c r="G52" s="45">
        <v>61751.54</v>
      </c>
      <c r="H52" s="45">
        <v>70665.5</v>
      </c>
      <c r="I52" s="45">
        <v>72630.98</v>
      </c>
      <c r="J52" s="45">
        <v>70137.22</v>
      </c>
      <c r="K52" s="45">
        <v>63135.64</v>
      </c>
      <c r="L52" s="45">
        <v>56628.27</v>
      </c>
      <c r="M52" s="45">
        <v>66553.34</v>
      </c>
      <c r="N52" s="45">
        <v>70974.64</v>
      </c>
      <c r="O52" s="45">
        <v>74514.039999999994</v>
      </c>
      <c r="P52" s="45">
        <v>73821.710000000006</v>
      </c>
      <c r="Q52" s="45">
        <v>56719.11</v>
      </c>
      <c r="R52" s="45">
        <v>51424.73</v>
      </c>
      <c r="S52" s="45">
        <v>64574.18</v>
      </c>
      <c r="T52" s="45">
        <v>80406.710000000006</v>
      </c>
      <c r="U52" s="45">
        <v>78372.460000000006</v>
      </c>
      <c r="V52" s="45">
        <v>75020.86</v>
      </c>
      <c r="W52" s="45">
        <v>60809.53</v>
      </c>
      <c r="X52" s="45">
        <v>60774.8</v>
      </c>
      <c r="Y52" s="45">
        <v>70212.570000000007</v>
      </c>
      <c r="Z52" s="45">
        <v>83755.55</v>
      </c>
      <c r="AA52" s="45">
        <v>247981.23</v>
      </c>
      <c r="AB52" s="45">
        <v>383476.26</v>
      </c>
      <c r="AC52" s="45">
        <v>305019.12</v>
      </c>
      <c r="AD52" s="45">
        <v>298211.62</v>
      </c>
      <c r="AE52" s="45">
        <v>355738.71</v>
      </c>
      <c r="AF52" s="45">
        <v>421100.95</v>
      </c>
      <c r="AG52" s="45">
        <v>421260.25</v>
      </c>
      <c r="AH52" s="45">
        <v>425647.35</v>
      </c>
      <c r="AI52" s="46">
        <v>355043.17</v>
      </c>
      <c r="AJ52" s="157">
        <f>'[116]TDR (M3)'!AJ23</f>
        <v>315360.70624298305</v>
      </c>
      <c r="AK52" s="157">
        <f>'[116]TDR (M3)'!AK23</f>
        <v>376981.63747557125</v>
      </c>
      <c r="AL52" s="157">
        <f>'[116]TDR (M3)'!AL23</f>
        <v>443179.42222355079</v>
      </c>
      <c r="AM52" s="161"/>
      <c r="AN52" s="161"/>
      <c r="AO52" s="161"/>
      <c r="AP52" s="161"/>
      <c r="AQ52" s="161"/>
      <c r="AR52" s="161"/>
      <c r="AS52" s="161"/>
      <c r="AT52" s="161"/>
      <c r="AU52" s="123"/>
      <c r="AV52" s="123"/>
      <c r="AW52" s="123"/>
      <c r="AX52" s="123"/>
    </row>
    <row r="53" spans="1:50" x14ac:dyDescent="0.3">
      <c r="A53" s="40" t="s">
        <v>35</v>
      </c>
      <c r="B53" s="41"/>
      <c r="C53" s="41"/>
      <c r="D53" s="45">
        <v>0</v>
      </c>
      <c r="E53" s="45">
        <v>0</v>
      </c>
      <c r="F53" s="45">
        <v>7030.01</v>
      </c>
      <c r="G53" s="45">
        <v>109921.60000000001</v>
      </c>
      <c r="H53" s="45">
        <v>118808.51</v>
      </c>
      <c r="I53" s="45">
        <v>121642.28</v>
      </c>
      <c r="J53" s="45">
        <v>122769.41</v>
      </c>
      <c r="K53" s="45">
        <v>112787.98</v>
      </c>
      <c r="L53" s="45">
        <v>99578.23</v>
      </c>
      <c r="M53" s="45">
        <v>107954.61</v>
      </c>
      <c r="N53" s="45">
        <v>111669.28</v>
      </c>
      <c r="O53" s="45">
        <v>108510.2</v>
      </c>
      <c r="P53" s="45">
        <v>102469.35</v>
      </c>
      <c r="Q53" s="45">
        <v>87569.04</v>
      </c>
      <c r="R53" s="45">
        <v>81676.990000000005</v>
      </c>
      <c r="S53" s="45">
        <v>96788.800000000003</v>
      </c>
      <c r="T53" s="45">
        <v>113009.35</v>
      </c>
      <c r="U53" s="45">
        <v>112596.34</v>
      </c>
      <c r="V53" s="45">
        <v>112065.74</v>
      </c>
      <c r="W53" s="45">
        <v>95621.75</v>
      </c>
      <c r="X53" s="45">
        <v>93151.01</v>
      </c>
      <c r="Y53" s="45">
        <v>100114.88</v>
      </c>
      <c r="Z53" s="45">
        <v>107296.64</v>
      </c>
      <c r="AA53" s="45">
        <v>327311.55</v>
      </c>
      <c r="AB53" s="45">
        <v>570755.55000000005</v>
      </c>
      <c r="AC53" s="45">
        <v>508276</v>
      </c>
      <c r="AD53" s="45">
        <v>517711.44</v>
      </c>
      <c r="AE53" s="45">
        <v>575315.39</v>
      </c>
      <c r="AF53" s="45">
        <v>673826.02</v>
      </c>
      <c r="AG53" s="45">
        <v>667802.68999999994</v>
      </c>
      <c r="AH53" s="45">
        <v>680633.38</v>
      </c>
      <c r="AI53" s="46">
        <v>598281.09</v>
      </c>
      <c r="AJ53" s="157">
        <f>'[116]TDR (M3)'!AJ24</f>
        <v>543597.1328580163</v>
      </c>
      <c r="AK53" s="157">
        <f>'[116]TDR (M3)'!AK24</f>
        <v>587596.69439629209</v>
      </c>
      <c r="AL53" s="157">
        <f>'[116]TDR (M3)'!AL24</f>
        <v>642649.68233208696</v>
      </c>
      <c r="AM53" s="161"/>
      <c r="AN53" s="161"/>
      <c r="AO53" s="161"/>
      <c r="AP53" s="161"/>
      <c r="AQ53" s="161"/>
      <c r="AR53" s="161"/>
      <c r="AS53" s="161"/>
      <c r="AT53" s="161"/>
      <c r="AU53" s="123"/>
      <c r="AV53" s="123"/>
      <c r="AW53" s="123"/>
      <c r="AX53" s="123"/>
    </row>
    <row r="54" spans="1:50" x14ac:dyDescent="0.3">
      <c r="A54" s="40" t="s">
        <v>36</v>
      </c>
      <c r="B54" s="41"/>
      <c r="C54" s="41"/>
      <c r="D54" s="45">
        <v>0</v>
      </c>
      <c r="E54" s="45">
        <v>0</v>
      </c>
      <c r="F54" s="45">
        <v>2496.56</v>
      </c>
      <c r="G54" s="45">
        <v>42291.09</v>
      </c>
      <c r="H54" s="45">
        <v>47913.74</v>
      </c>
      <c r="I54" s="45">
        <v>50299.83</v>
      </c>
      <c r="J54" s="45">
        <v>49993.73</v>
      </c>
      <c r="K54" s="45">
        <v>46326.65</v>
      </c>
      <c r="L54" s="45">
        <v>42840.77</v>
      </c>
      <c r="M54" s="45">
        <v>43135.040000000001</v>
      </c>
      <c r="N54" s="45">
        <v>44374.04</v>
      </c>
      <c r="O54" s="45">
        <v>45259.54</v>
      </c>
      <c r="P54" s="45">
        <v>39182.19</v>
      </c>
      <c r="Q54" s="45">
        <v>38273.29</v>
      </c>
      <c r="R54" s="45">
        <v>36030.870000000003</v>
      </c>
      <c r="S54" s="45">
        <v>41962.67</v>
      </c>
      <c r="T54" s="45">
        <v>44167.05</v>
      </c>
      <c r="U54" s="45">
        <v>46294.41</v>
      </c>
      <c r="V54" s="45">
        <v>46306.19</v>
      </c>
      <c r="W54" s="45">
        <v>41160.14</v>
      </c>
      <c r="X54" s="45">
        <v>40868.620000000003</v>
      </c>
      <c r="Y54" s="45">
        <v>42762.14</v>
      </c>
      <c r="Z54" s="45">
        <v>41986.66</v>
      </c>
      <c r="AA54" s="45">
        <v>113037.43</v>
      </c>
      <c r="AB54" s="45">
        <v>187949.41</v>
      </c>
      <c r="AC54" s="45">
        <v>188602.4</v>
      </c>
      <c r="AD54" s="45">
        <v>195382.67</v>
      </c>
      <c r="AE54" s="45">
        <v>188207.84</v>
      </c>
      <c r="AF54" s="45">
        <v>251615.09</v>
      </c>
      <c r="AG54" s="45">
        <v>231015.31</v>
      </c>
      <c r="AH54" s="45">
        <v>233947.55</v>
      </c>
      <c r="AI54" s="46">
        <v>202010.25</v>
      </c>
      <c r="AJ54" s="157">
        <f>'[116]TDR (M3)'!AJ25</f>
        <v>203367.39801903593</v>
      </c>
      <c r="AK54" s="157">
        <f>'[116]TDR (M3)'!AK25</f>
        <v>211083.07254362057</v>
      </c>
      <c r="AL54" s="157">
        <f>'[116]TDR (M3)'!AL25</f>
        <v>214793.85998804242</v>
      </c>
      <c r="AM54" s="161"/>
      <c r="AN54" s="161"/>
      <c r="AO54" s="161"/>
      <c r="AP54" s="161"/>
      <c r="AQ54" s="161"/>
      <c r="AR54" s="161"/>
      <c r="AS54" s="161"/>
      <c r="AT54" s="161"/>
      <c r="AU54" s="123"/>
      <c r="AV54" s="123"/>
      <c r="AW54" s="123"/>
      <c r="AX54" s="123"/>
    </row>
    <row r="55" spans="1:50" x14ac:dyDescent="0.3">
      <c r="A55" s="40" t="s">
        <v>37</v>
      </c>
      <c r="B55" s="41"/>
      <c r="C55" s="41"/>
      <c r="D55" s="45">
        <v>0</v>
      </c>
      <c r="E55" s="45">
        <v>0</v>
      </c>
      <c r="F55" s="45">
        <v>0</v>
      </c>
      <c r="G55" s="45">
        <v>4678.1400000000003</v>
      </c>
      <c r="H55" s="45">
        <v>7353.04</v>
      </c>
      <c r="I55" s="45">
        <v>8142.09</v>
      </c>
      <c r="J55" s="45">
        <v>8251.43</v>
      </c>
      <c r="K55" s="45">
        <v>7783.91</v>
      </c>
      <c r="L55" s="45">
        <v>6912.68</v>
      </c>
      <c r="M55" s="45">
        <v>6504.34</v>
      </c>
      <c r="N55" s="45">
        <v>6883.48</v>
      </c>
      <c r="O55" s="45">
        <v>11571.12</v>
      </c>
      <c r="P55" s="45">
        <v>19931.79</v>
      </c>
      <c r="Q55" s="45">
        <v>21827.09</v>
      </c>
      <c r="R55" s="45">
        <v>22161.01</v>
      </c>
      <c r="S55" s="45">
        <v>17306.599999999999</v>
      </c>
      <c r="T55" s="45">
        <v>24911.24</v>
      </c>
      <c r="U55" s="45">
        <v>25659.02</v>
      </c>
      <c r="V55" s="45">
        <v>26024.15</v>
      </c>
      <c r="W55" s="45">
        <v>22923.1</v>
      </c>
      <c r="X55" s="45">
        <v>22483.33</v>
      </c>
      <c r="Y55" s="45">
        <v>22959.24</v>
      </c>
      <c r="Z55" s="45">
        <v>20997.32</v>
      </c>
      <c r="AA55" s="45">
        <v>34921.4</v>
      </c>
      <c r="AB55" s="45">
        <v>24946.880000000001</v>
      </c>
      <c r="AC55" s="45">
        <v>42288.49</v>
      </c>
      <c r="AD55" s="45">
        <v>42963.199999999997</v>
      </c>
      <c r="AE55" s="45">
        <v>41464.47</v>
      </c>
      <c r="AF55" s="45">
        <v>52916.49</v>
      </c>
      <c r="AG55" s="45">
        <v>50374.33</v>
      </c>
      <c r="AH55" s="45">
        <v>54469.919999999998</v>
      </c>
      <c r="AI55" s="46">
        <v>49925.55</v>
      </c>
      <c r="AJ55" s="247">
        <f>'[116]TDR (M3)'!AJ26</f>
        <v>45677.819597241076</v>
      </c>
      <c r="AK55" s="247">
        <f>'[116]TDR (M3)'!AK26</f>
        <v>44701.807090063696</v>
      </c>
      <c r="AL55" s="247">
        <f>'[116]TDR (M3)'!AL26</f>
        <v>44485.608318220271</v>
      </c>
      <c r="AM55" s="161"/>
      <c r="AN55" s="161"/>
      <c r="AO55" s="161"/>
      <c r="AP55" s="161"/>
      <c r="AQ55" s="161"/>
      <c r="AR55" s="161"/>
      <c r="AS55" s="161"/>
      <c r="AT55" s="161"/>
      <c r="AU55" s="123"/>
      <c r="AV55" s="123"/>
      <c r="AW55" s="123"/>
      <c r="AX55" s="123"/>
    </row>
    <row r="56" spans="1:50" x14ac:dyDescent="0.3">
      <c r="A56" s="35" t="s">
        <v>31</v>
      </c>
      <c r="B56" s="33"/>
      <c r="C56" s="33"/>
      <c r="D56" s="48">
        <f>SUM(D51:D55)</f>
        <v>0</v>
      </c>
      <c r="E56" s="48">
        <f t="shared" ref="E56:AX56" si="20">SUM(E51:E55)</f>
        <v>0</v>
      </c>
      <c r="F56" s="48">
        <f t="shared" si="20"/>
        <v>42385.43</v>
      </c>
      <c r="G56" s="48">
        <f t="shared" si="20"/>
        <v>557603.83999999997</v>
      </c>
      <c r="H56" s="48">
        <f t="shared" si="20"/>
        <v>676036.05</v>
      </c>
      <c r="I56" s="48">
        <f t="shared" si="20"/>
        <v>706998.16999999993</v>
      </c>
      <c r="J56" s="48">
        <f t="shared" si="20"/>
        <v>670246.85000000009</v>
      </c>
      <c r="K56" s="48">
        <f t="shared" si="20"/>
        <v>574404.17000000004</v>
      </c>
      <c r="L56" s="48">
        <f t="shared" si="20"/>
        <v>514881.99</v>
      </c>
      <c r="M56" s="48">
        <f t="shared" si="20"/>
        <v>639874.6</v>
      </c>
      <c r="N56" s="48">
        <f t="shared" si="20"/>
        <v>693023.25</v>
      </c>
      <c r="O56" s="48">
        <f t="shared" si="20"/>
        <v>705379.13</v>
      </c>
      <c r="P56" s="48">
        <f t="shared" si="20"/>
        <v>656045.5</v>
      </c>
      <c r="Q56" s="48">
        <f t="shared" si="20"/>
        <v>537519.54999999993</v>
      </c>
      <c r="R56" s="48">
        <f t="shared" si="20"/>
        <v>488973.88</v>
      </c>
      <c r="S56" s="48">
        <f t="shared" si="20"/>
        <v>614590.80000000005</v>
      </c>
      <c r="T56" s="48">
        <f t="shared" si="20"/>
        <v>791820.69</v>
      </c>
      <c r="U56" s="48">
        <f t="shared" si="20"/>
        <v>759797.67</v>
      </c>
      <c r="V56" s="48">
        <f t="shared" si="20"/>
        <v>707202.29999999993</v>
      </c>
      <c r="W56" s="48">
        <f t="shared" si="20"/>
        <v>523078.25</v>
      </c>
      <c r="X56" s="48">
        <f t="shared" si="20"/>
        <v>540041.11</v>
      </c>
      <c r="Y56" s="48">
        <f t="shared" si="20"/>
        <v>664038.72000000009</v>
      </c>
      <c r="Z56" s="48">
        <f t="shared" si="20"/>
        <v>811016.92</v>
      </c>
      <c r="AA56" s="48">
        <f t="shared" si="20"/>
        <v>2076902.7599999998</v>
      </c>
      <c r="AB56" s="48">
        <f t="shared" si="20"/>
        <v>2924297.21</v>
      </c>
      <c r="AC56" s="48">
        <f t="shared" si="20"/>
        <v>2229866.6</v>
      </c>
      <c r="AD56" s="48">
        <f t="shared" si="20"/>
        <v>2168254.38</v>
      </c>
      <c r="AE56" s="48">
        <f t="shared" si="20"/>
        <v>2621890.16</v>
      </c>
      <c r="AF56" s="48">
        <f t="shared" si="20"/>
        <v>3329515.52</v>
      </c>
      <c r="AG56" s="48">
        <f t="shared" si="20"/>
        <v>3339633.92</v>
      </c>
      <c r="AH56" s="48">
        <f t="shared" si="20"/>
        <v>3328980.9999999995</v>
      </c>
      <c r="AI56" s="48">
        <f t="shared" si="20"/>
        <v>2544745.0799999996</v>
      </c>
      <c r="AJ56" s="48">
        <f t="shared" si="20"/>
        <v>2287690.2092673844</v>
      </c>
      <c r="AK56" s="48">
        <f t="shared" si="20"/>
        <v>2933856.8282546713</v>
      </c>
      <c r="AL56" s="48">
        <f t="shared" si="20"/>
        <v>3534237.8730187169</v>
      </c>
      <c r="AM56" s="48">
        <f t="shared" si="20"/>
        <v>0</v>
      </c>
      <c r="AN56" s="48">
        <f t="shared" si="20"/>
        <v>0</v>
      </c>
      <c r="AO56" s="48">
        <f t="shared" si="20"/>
        <v>0</v>
      </c>
      <c r="AP56" s="48">
        <f t="shared" si="20"/>
        <v>0</v>
      </c>
      <c r="AQ56" s="48">
        <f t="shared" si="20"/>
        <v>0</v>
      </c>
      <c r="AR56" s="48">
        <f t="shared" si="20"/>
        <v>0</v>
      </c>
      <c r="AS56" s="48">
        <f t="shared" si="20"/>
        <v>0</v>
      </c>
      <c r="AT56" s="48">
        <f t="shared" si="20"/>
        <v>0</v>
      </c>
      <c r="AU56" s="48">
        <f t="shared" si="20"/>
        <v>0</v>
      </c>
      <c r="AV56" s="48">
        <f t="shared" si="20"/>
        <v>0</v>
      </c>
      <c r="AW56" s="48">
        <f t="shared" si="20"/>
        <v>0</v>
      </c>
      <c r="AX56" s="48">
        <f t="shared" si="20"/>
        <v>0</v>
      </c>
    </row>
    <row r="57" spans="1:50" x14ac:dyDescent="0.3">
      <c r="A57" s="35"/>
      <c r="B57" s="33"/>
      <c r="C57" s="33"/>
      <c r="D57" s="79"/>
      <c r="E57" s="79"/>
      <c r="F57" s="79"/>
      <c r="G57" s="79"/>
      <c r="H57" s="79"/>
      <c r="I57" s="79"/>
      <c r="J57" s="79"/>
      <c r="K57" s="79"/>
      <c r="L57" s="117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79"/>
      <c r="AG57" s="79"/>
      <c r="AH57" s="79"/>
      <c r="AI57" s="79"/>
      <c r="AJ57" s="152" t="s">
        <v>88</v>
      </c>
      <c r="AK57" s="153"/>
      <c r="AL57" s="79"/>
      <c r="AM57" s="79"/>
      <c r="AN57" s="79"/>
      <c r="AO57" s="79"/>
      <c r="AP57" s="79"/>
      <c r="AQ57" s="79"/>
      <c r="AR57" s="79"/>
      <c r="AS57" s="79"/>
      <c r="AT57" s="79"/>
      <c r="AU57" s="79"/>
      <c r="AV57" s="79"/>
      <c r="AW57" s="79"/>
      <c r="AX57" s="79"/>
    </row>
    <row r="58" spans="1:50" x14ac:dyDescent="0.3">
      <c r="A58" s="39" t="s">
        <v>57</v>
      </c>
      <c r="B58" s="41"/>
      <c r="C58" s="41"/>
      <c r="D58" s="45">
        <v>0</v>
      </c>
      <c r="E58" s="45">
        <v>0</v>
      </c>
      <c r="F58" s="45">
        <v>-923.75</v>
      </c>
      <c r="G58" s="45">
        <v>-10157.06</v>
      </c>
      <c r="H58" s="45">
        <v>-12455.509999999998</v>
      </c>
      <c r="I58" s="45">
        <v>-13265.509999999998</v>
      </c>
      <c r="J58" s="45">
        <v>-12079.850000000002</v>
      </c>
      <c r="K58" s="114">
        <v>-10230.949999999997</v>
      </c>
      <c r="L58" s="45">
        <v>-11242.28</v>
      </c>
      <c r="M58" s="45">
        <v>-15494.33</v>
      </c>
      <c r="N58" s="45">
        <v>-17112.689999999999</v>
      </c>
      <c r="O58" s="45">
        <v>-17916.879999999997</v>
      </c>
      <c r="P58" s="45">
        <v>-16196.53</v>
      </c>
      <c r="Q58" s="45">
        <v>-11729.169999999998</v>
      </c>
      <c r="R58" s="45">
        <v>-9666.880000000001</v>
      </c>
      <c r="S58" s="45">
        <v>-10964.7</v>
      </c>
      <c r="T58" s="45">
        <v>-14109.349999999999</v>
      </c>
      <c r="U58" s="45">
        <v>-13038.06</v>
      </c>
      <c r="V58" s="45">
        <v>-11941.109999999999</v>
      </c>
      <c r="W58" s="45">
        <v>-8935.6699999999983</v>
      </c>
      <c r="X58" s="45">
        <v>-10579.18</v>
      </c>
      <c r="Y58" s="45">
        <v>-14636.740000000002</v>
      </c>
      <c r="Z58" s="45">
        <v>-19698.789999999997</v>
      </c>
      <c r="AA58" s="45">
        <v>-48385.84</v>
      </c>
      <c r="AB58" s="45">
        <v>-64618.5</v>
      </c>
      <c r="AC58" s="45">
        <v>-42103.360000000001</v>
      </c>
      <c r="AD58" s="45">
        <v>-36788.399999999994</v>
      </c>
      <c r="AE58" s="45">
        <v>-41724.590000000004</v>
      </c>
      <c r="AF58" s="45">
        <v>-54881.069999999992</v>
      </c>
      <c r="AG58" s="45">
        <v>-55914.9</v>
      </c>
      <c r="AH58" s="45">
        <v>-55481.14</v>
      </c>
      <c r="AI58" s="46">
        <v>-39206.850000000013</v>
      </c>
      <c r="AJ58" s="157">
        <f>'[116]TDR (M3)'!AJ36</f>
        <v>-37842.592595203911</v>
      </c>
      <c r="AK58" s="157">
        <f>'[116]TDR (M3)'!AK36</f>
        <v>-54966.302475151606</v>
      </c>
      <c r="AL58" s="157">
        <f>'[116]TDR (M3)'!AL36</f>
        <v>-70223.981048686925</v>
      </c>
      <c r="AM58" s="161"/>
      <c r="AN58" s="161"/>
      <c r="AO58" s="161"/>
      <c r="AP58" s="161"/>
      <c r="AQ58" s="161"/>
      <c r="AR58" s="161"/>
      <c r="AS58" s="161"/>
      <c r="AT58" s="161"/>
      <c r="AU58" s="123"/>
      <c r="AV58" s="123"/>
      <c r="AW58" s="123"/>
      <c r="AX58" s="123"/>
    </row>
    <row r="59" spans="1:50" x14ac:dyDescent="0.3">
      <c r="B59" s="41"/>
      <c r="C59" s="41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</row>
    <row r="60" spans="1:50" x14ac:dyDescent="0.3">
      <c r="A60" s="29" t="s">
        <v>32</v>
      </c>
      <c r="B60" s="41"/>
      <c r="C60" s="41"/>
      <c r="S60" s="83"/>
    </row>
    <row r="61" spans="1:50" x14ac:dyDescent="0.3">
      <c r="A61" s="40" t="s">
        <v>33</v>
      </c>
      <c r="B61" s="41"/>
      <c r="C61" s="41"/>
      <c r="D61" s="80">
        <f t="shared" ref="D61:AX61" si="21">+D23</f>
        <v>1268128455</v>
      </c>
      <c r="E61" s="80">
        <f t="shared" si="21"/>
        <v>872933544</v>
      </c>
      <c r="F61" s="80">
        <f t="shared" si="21"/>
        <v>738196558</v>
      </c>
      <c r="G61" s="80">
        <f t="shared" si="21"/>
        <v>978975302</v>
      </c>
      <c r="H61" s="80">
        <f t="shared" si="21"/>
        <v>1243909773</v>
      </c>
      <c r="I61" s="80">
        <f t="shared" si="21"/>
        <v>1310015315</v>
      </c>
      <c r="J61" s="80">
        <f t="shared" si="21"/>
        <v>1208033233</v>
      </c>
      <c r="K61" s="80">
        <f t="shared" si="21"/>
        <v>993546162</v>
      </c>
      <c r="L61" s="80">
        <f t="shared" si="21"/>
        <v>897156231</v>
      </c>
      <c r="M61" s="80">
        <f t="shared" si="21"/>
        <v>1208147189</v>
      </c>
      <c r="N61" s="80">
        <f t="shared" si="21"/>
        <v>1334184680</v>
      </c>
      <c r="O61" s="80">
        <f t="shared" si="21"/>
        <v>1302694951</v>
      </c>
      <c r="P61" s="80">
        <f t="shared" si="21"/>
        <v>1123586700</v>
      </c>
      <c r="Q61" s="80">
        <f t="shared" si="21"/>
        <v>886578697</v>
      </c>
      <c r="R61" s="80">
        <f t="shared" si="21"/>
        <v>790098101</v>
      </c>
      <c r="S61" s="80">
        <f t="shared" si="21"/>
        <v>1041013964</v>
      </c>
      <c r="T61" s="80">
        <f t="shared" si="21"/>
        <v>1397050553</v>
      </c>
      <c r="U61" s="80">
        <f t="shared" si="21"/>
        <v>1310723723</v>
      </c>
      <c r="V61" s="80">
        <f t="shared" si="21"/>
        <v>1275164339</v>
      </c>
      <c r="W61" s="80">
        <f t="shared" si="21"/>
        <v>800796996</v>
      </c>
      <c r="X61" s="80">
        <f t="shared" ref="X61:AI61" si="22">+X23</f>
        <v>856955103</v>
      </c>
      <c r="Y61" s="80">
        <f t="shared" si="22"/>
        <v>1137867523</v>
      </c>
      <c r="Z61" s="80">
        <f t="shared" si="22"/>
        <v>1482496943</v>
      </c>
      <c r="AA61" s="80">
        <f t="shared" si="22"/>
        <v>1507047480</v>
      </c>
      <c r="AB61" s="80">
        <f t="shared" si="22"/>
        <v>1193201650</v>
      </c>
      <c r="AC61" s="80">
        <f t="shared" si="22"/>
        <v>803567941</v>
      </c>
      <c r="AD61" s="80">
        <f t="shared" si="22"/>
        <v>753161249</v>
      </c>
      <c r="AE61" s="80">
        <f t="shared" si="22"/>
        <v>1061485022</v>
      </c>
      <c r="AF61" s="80">
        <f t="shared" si="22"/>
        <v>1299384453</v>
      </c>
      <c r="AG61" s="80">
        <f t="shared" si="22"/>
        <v>1325635096</v>
      </c>
      <c r="AH61" s="80">
        <f t="shared" si="22"/>
        <v>1302322503</v>
      </c>
      <c r="AI61" s="80">
        <f t="shared" si="22"/>
        <v>902367562</v>
      </c>
      <c r="AJ61" s="80">
        <f>+AJ23</f>
        <v>796812660.43541384</v>
      </c>
      <c r="AK61" s="80">
        <f t="shared" si="21"/>
        <v>1157369057.08395</v>
      </c>
      <c r="AL61" s="80">
        <f t="shared" si="21"/>
        <v>1478634346.33868</v>
      </c>
      <c r="AM61" s="80">
        <f t="shared" si="21"/>
        <v>1323518453.1260486</v>
      </c>
      <c r="AN61" s="80">
        <f t="shared" si="21"/>
        <v>1110791598.7821016</v>
      </c>
      <c r="AO61" s="80">
        <f t="shared" si="21"/>
        <v>839065097.60276854</v>
      </c>
      <c r="AP61" s="80">
        <f t="shared" si="21"/>
        <v>711851889.28208947</v>
      </c>
      <c r="AQ61" s="80">
        <f t="shared" si="21"/>
        <v>923148067.42551374</v>
      </c>
      <c r="AR61" s="80">
        <f t="shared" si="21"/>
        <v>1201635038.5335217</v>
      </c>
      <c r="AS61" s="80">
        <f t="shared" si="21"/>
        <v>1264992699.0363278</v>
      </c>
      <c r="AT61" s="80">
        <f t="shared" si="21"/>
        <v>1112196280.8657734</v>
      </c>
      <c r="AU61" s="80">
        <f t="shared" si="21"/>
        <v>794430199.64865971</v>
      </c>
      <c r="AV61" s="80">
        <f t="shared" si="21"/>
        <v>776592236.84661663</v>
      </c>
      <c r="AW61" s="80">
        <f t="shared" si="21"/>
        <v>1131796844.74505</v>
      </c>
      <c r="AX61" s="80">
        <f t="shared" si="21"/>
        <v>1449074036.6106224</v>
      </c>
    </row>
    <row r="62" spans="1:50" x14ac:dyDescent="0.3">
      <c r="A62" s="40" t="s">
        <v>34</v>
      </c>
      <c r="B62" s="41"/>
      <c r="C62" s="41"/>
      <c r="D62" s="80">
        <f t="shared" ref="D62:AX62" si="23">+D24</f>
        <v>290178959</v>
      </c>
      <c r="E62" s="80">
        <f t="shared" si="23"/>
        <v>235096003</v>
      </c>
      <c r="F62" s="80">
        <f t="shared" si="23"/>
        <v>221772499</v>
      </c>
      <c r="G62" s="80">
        <f t="shared" si="23"/>
        <v>258735845</v>
      </c>
      <c r="H62" s="80">
        <f t="shared" si="23"/>
        <v>295975497</v>
      </c>
      <c r="I62" s="80">
        <f t="shared" si="23"/>
        <v>304175879</v>
      </c>
      <c r="J62" s="80">
        <f t="shared" si="23"/>
        <v>293549572</v>
      </c>
      <c r="K62" s="80">
        <f t="shared" si="23"/>
        <v>264736629</v>
      </c>
      <c r="L62" s="80">
        <f t="shared" si="23"/>
        <v>237145043</v>
      </c>
      <c r="M62" s="80">
        <f t="shared" si="23"/>
        <v>278572550</v>
      </c>
      <c r="N62" s="80">
        <f t="shared" si="23"/>
        <v>297050898</v>
      </c>
      <c r="O62" s="80">
        <f t="shared" si="23"/>
        <v>290934660</v>
      </c>
      <c r="P62" s="80">
        <f t="shared" si="23"/>
        <v>265078600</v>
      </c>
      <c r="Q62" s="80">
        <f t="shared" si="23"/>
        <v>203506574</v>
      </c>
      <c r="R62" s="80">
        <f t="shared" si="23"/>
        <v>184563246</v>
      </c>
      <c r="S62" s="80">
        <f t="shared" si="23"/>
        <v>231230759</v>
      </c>
      <c r="T62" s="80">
        <f t="shared" si="23"/>
        <v>288425422</v>
      </c>
      <c r="U62" s="80">
        <f t="shared" si="23"/>
        <v>281389691</v>
      </c>
      <c r="V62" s="80">
        <f t="shared" si="23"/>
        <v>269111017</v>
      </c>
      <c r="W62" s="80">
        <f t="shared" si="23"/>
        <v>218212399</v>
      </c>
      <c r="X62" s="80">
        <f t="shared" ref="X62:AI62" si="24">+X24</f>
        <v>218068919</v>
      </c>
      <c r="Y62" s="80">
        <f t="shared" si="24"/>
        <v>251883126</v>
      </c>
      <c r="Z62" s="80">
        <f t="shared" si="24"/>
        <v>300425840</v>
      </c>
      <c r="AA62" s="80">
        <f t="shared" si="24"/>
        <v>303577891</v>
      </c>
      <c r="AB62" s="80">
        <f t="shared" si="24"/>
        <v>265359424</v>
      </c>
      <c r="AC62" s="80">
        <f t="shared" si="24"/>
        <v>211100441</v>
      </c>
      <c r="AD62" s="80">
        <f t="shared" si="24"/>
        <v>205986967</v>
      </c>
      <c r="AE62" s="80">
        <f t="shared" si="24"/>
        <v>264522271</v>
      </c>
      <c r="AF62" s="80">
        <f t="shared" si="24"/>
        <v>291815734</v>
      </c>
      <c r="AG62" s="80">
        <f t="shared" si="24"/>
        <v>291413887</v>
      </c>
      <c r="AH62" s="80">
        <f t="shared" si="24"/>
        <v>294374400</v>
      </c>
      <c r="AI62" s="80">
        <f t="shared" si="24"/>
        <v>245524134</v>
      </c>
      <c r="AJ62" s="80">
        <f t="shared" si="23"/>
        <v>217941054.76363721</v>
      </c>
      <c r="AK62" s="80">
        <f t="shared" si="23"/>
        <v>260526356.23743695</v>
      </c>
      <c r="AL62" s="80">
        <f t="shared" si="23"/>
        <v>306274652.53873587</v>
      </c>
      <c r="AM62" s="80">
        <f t="shared" si="23"/>
        <v>285517827.64903766</v>
      </c>
      <c r="AN62" s="80">
        <f t="shared" si="23"/>
        <v>257181425.95938891</v>
      </c>
      <c r="AO62" s="80">
        <f t="shared" si="23"/>
        <v>219502566.31664321</v>
      </c>
      <c r="AP62" s="80">
        <f t="shared" si="23"/>
        <v>205415342.75190684</v>
      </c>
      <c r="AQ62" s="80">
        <f t="shared" si="23"/>
        <v>242281417.54910415</v>
      </c>
      <c r="AR62" s="80">
        <f t="shared" si="23"/>
        <v>283647576.54717648</v>
      </c>
      <c r="AS62" s="80">
        <f t="shared" si="23"/>
        <v>289331881.39896315</v>
      </c>
      <c r="AT62" s="80">
        <f t="shared" si="23"/>
        <v>273365539.59096646</v>
      </c>
      <c r="AU62" s="80">
        <f t="shared" si="23"/>
        <v>225709833.69615775</v>
      </c>
      <c r="AV62" s="80">
        <f t="shared" si="23"/>
        <v>217445379.57126927</v>
      </c>
      <c r="AW62" s="80">
        <f t="shared" si="23"/>
        <v>260293096.73863193</v>
      </c>
      <c r="AX62" s="80">
        <f t="shared" si="23"/>
        <v>306051532.59623951</v>
      </c>
    </row>
    <row r="63" spans="1:50" x14ac:dyDescent="0.3">
      <c r="A63" s="40" t="s">
        <v>35</v>
      </c>
      <c r="B63" s="41"/>
      <c r="C63" s="41"/>
      <c r="D63" s="80">
        <f t="shared" ref="D63:AX63" si="25">+D25</f>
        <v>599641261</v>
      </c>
      <c r="E63" s="80">
        <f t="shared" si="25"/>
        <v>546450417</v>
      </c>
      <c r="F63" s="80">
        <f t="shared" si="25"/>
        <v>548775486</v>
      </c>
      <c r="G63" s="80">
        <f t="shared" si="25"/>
        <v>609609142</v>
      </c>
      <c r="H63" s="80">
        <f t="shared" si="25"/>
        <v>656813642</v>
      </c>
      <c r="I63" s="80">
        <f t="shared" si="25"/>
        <v>671886437</v>
      </c>
      <c r="J63" s="80">
        <f t="shared" si="25"/>
        <v>678219627</v>
      </c>
      <c r="K63" s="80">
        <f t="shared" si="25"/>
        <v>622550219</v>
      </c>
      <c r="L63" s="80">
        <f t="shared" si="25"/>
        <v>549600433</v>
      </c>
      <c r="M63" s="80">
        <f t="shared" si="25"/>
        <v>596432225</v>
      </c>
      <c r="N63" s="80">
        <f t="shared" si="25"/>
        <v>616923082</v>
      </c>
      <c r="O63" s="80">
        <f t="shared" si="25"/>
        <v>599527620</v>
      </c>
      <c r="P63" s="80">
        <f t="shared" si="25"/>
        <v>566693954</v>
      </c>
      <c r="Q63" s="80">
        <f t="shared" si="25"/>
        <v>483801855</v>
      </c>
      <c r="R63" s="80">
        <f t="shared" si="25"/>
        <v>451939609</v>
      </c>
      <c r="S63" s="80">
        <f t="shared" si="25"/>
        <v>534583835</v>
      </c>
      <c r="T63" s="80">
        <f t="shared" si="25"/>
        <v>624356693</v>
      </c>
      <c r="U63" s="80">
        <f t="shared" si="25"/>
        <v>621885740</v>
      </c>
      <c r="V63" s="80">
        <f t="shared" si="25"/>
        <v>619148163</v>
      </c>
      <c r="W63" s="80">
        <f t="shared" si="25"/>
        <v>528448107.69999999</v>
      </c>
      <c r="X63" s="80">
        <f t="shared" ref="X63:AI63" si="26">+X25</f>
        <v>514648084</v>
      </c>
      <c r="Y63" s="80">
        <f t="shared" si="26"/>
        <v>553120787</v>
      </c>
      <c r="Z63" s="80">
        <f t="shared" si="26"/>
        <v>592823385</v>
      </c>
      <c r="AA63" s="80">
        <f t="shared" si="26"/>
        <v>585712392</v>
      </c>
      <c r="AB63" s="80">
        <f t="shared" si="26"/>
        <v>543642088</v>
      </c>
      <c r="AC63" s="80">
        <f t="shared" si="26"/>
        <v>483262229</v>
      </c>
      <c r="AD63" s="80">
        <f t="shared" si="26"/>
        <v>492375125.19999999</v>
      </c>
      <c r="AE63" s="80">
        <f t="shared" si="26"/>
        <v>586671915</v>
      </c>
      <c r="AF63" s="80">
        <f t="shared" si="26"/>
        <v>641235470</v>
      </c>
      <c r="AG63" s="80">
        <f t="shared" si="26"/>
        <v>634777638</v>
      </c>
      <c r="AH63" s="80">
        <f t="shared" si="26"/>
        <v>647017474</v>
      </c>
      <c r="AI63" s="80">
        <f t="shared" si="26"/>
        <v>568724491</v>
      </c>
      <c r="AJ63" s="80">
        <f t="shared" si="25"/>
        <v>516727312.60267711</v>
      </c>
      <c r="AK63" s="80">
        <f t="shared" si="25"/>
        <v>558551990.87100005</v>
      </c>
      <c r="AL63" s="80">
        <f t="shared" si="25"/>
        <v>610883728.45255411</v>
      </c>
      <c r="AM63" s="80">
        <f t="shared" si="25"/>
        <v>575430083.70531464</v>
      </c>
      <c r="AN63" s="80">
        <f t="shared" si="25"/>
        <v>530185014.36311901</v>
      </c>
      <c r="AO63" s="80">
        <f t="shared" si="25"/>
        <v>500519096.71525455</v>
      </c>
      <c r="AP63" s="80">
        <f t="shared" si="25"/>
        <v>493830553.80443114</v>
      </c>
      <c r="AQ63" s="80">
        <f t="shared" si="25"/>
        <v>570196217.27078354</v>
      </c>
      <c r="AR63" s="80">
        <f t="shared" si="25"/>
        <v>625222755.73775768</v>
      </c>
      <c r="AS63" s="80">
        <f t="shared" si="25"/>
        <v>640394294.02634192</v>
      </c>
      <c r="AT63" s="80">
        <f t="shared" si="25"/>
        <v>641507465.15801418</v>
      </c>
      <c r="AU63" s="80">
        <f t="shared" si="25"/>
        <v>556286312.81562757</v>
      </c>
      <c r="AV63" s="80">
        <f t="shared" si="25"/>
        <v>517714035.24129713</v>
      </c>
      <c r="AW63" s="80">
        <f t="shared" si="25"/>
        <v>558980459.35089493</v>
      </c>
      <c r="AX63" s="80">
        <f t="shared" si="25"/>
        <v>621625054.46826029</v>
      </c>
    </row>
    <row r="64" spans="1:50" x14ac:dyDescent="0.3">
      <c r="A64" s="40" t="s">
        <v>36</v>
      </c>
      <c r="B64" s="41"/>
      <c r="C64" s="41"/>
      <c r="D64" s="80">
        <f t="shared" ref="D64:AX64" si="27">+D26</f>
        <v>242499726</v>
      </c>
      <c r="E64" s="80">
        <f t="shared" si="27"/>
        <v>232539680</v>
      </c>
      <c r="F64" s="80">
        <f t="shared" si="27"/>
        <v>229224298</v>
      </c>
      <c r="G64" s="80">
        <f t="shared" si="27"/>
        <v>266349220</v>
      </c>
      <c r="H64" s="80">
        <f t="shared" si="27"/>
        <v>267674678</v>
      </c>
      <c r="I64" s="80">
        <f t="shared" si="27"/>
        <v>281003685</v>
      </c>
      <c r="J64" s="80">
        <f t="shared" si="27"/>
        <v>279302255</v>
      </c>
      <c r="K64" s="80">
        <f t="shared" si="27"/>
        <v>258807768</v>
      </c>
      <c r="L64" s="80">
        <f t="shared" si="27"/>
        <v>239334214</v>
      </c>
      <c r="M64" s="80">
        <f t="shared" si="27"/>
        <v>241025466</v>
      </c>
      <c r="N64" s="80">
        <f t="shared" si="27"/>
        <v>247898204</v>
      </c>
      <c r="O64" s="80">
        <f t="shared" si="27"/>
        <v>255420215</v>
      </c>
      <c r="P64" s="80">
        <f t="shared" si="27"/>
        <v>225135566</v>
      </c>
      <c r="Q64" s="80">
        <f t="shared" si="27"/>
        <v>219961316</v>
      </c>
      <c r="R64" s="80">
        <f t="shared" si="27"/>
        <v>207074154</v>
      </c>
      <c r="S64" s="80">
        <f t="shared" si="27"/>
        <v>241165089</v>
      </c>
      <c r="T64" s="80">
        <f t="shared" si="27"/>
        <v>253833450</v>
      </c>
      <c r="U64" s="80">
        <f t="shared" si="27"/>
        <v>266058831</v>
      </c>
      <c r="V64" s="80">
        <f t="shared" si="27"/>
        <v>266126792</v>
      </c>
      <c r="W64" s="80">
        <f t="shared" si="27"/>
        <v>236673642.40000001</v>
      </c>
      <c r="X64" s="80">
        <f t="shared" ref="X64:AI64" si="28">+X26</f>
        <v>234876378</v>
      </c>
      <c r="Y64" s="80">
        <f t="shared" si="28"/>
        <v>245759481</v>
      </c>
      <c r="Z64" s="80">
        <f t="shared" si="28"/>
        <v>241302585</v>
      </c>
      <c r="AA64" s="80">
        <f t="shared" si="28"/>
        <v>254211213</v>
      </c>
      <c r="AB64" s="80">
        <f t="shared" si="28"/>
        <v>216207694</v>
      </c>
      <c r="AC64" s="80">
        <f t="shared" si="28"/>
        <v>214809052</v>
      </c>
      <c r="AD64" s="80">
        <f t="shared" si="28"/>
        <v>221576502.5</v>
      </c>
      <c r="AE64" s="80">
        <f t="shared" si="28"/>
        <v>232417188</v>
      </c>
      <c r="AF64" s="80">
        <f t="shared" si="28"/>
        <v>286577542</v>
      </c>
      <c r="AG64" s="80">
        <f t="shared" si="28"/>
        <v>263115351</v>
      </c>
      <c r="AH64" s="80">
        <f t="shared" si="28"/>
        <v>266455046</v>
      </c>
      <c r="AI64" s="80">
        <f t="shared" si="28"/>
        <v>230080105</v>
      </c>
      <c r="AJ64" s="80">
        <f t="shared" si="27"/>
        <v>231625738.06268328</v>
      </c>
      <c r="AK64" s="80">
        <f t="shared" si="27"/>
        <v>240413522.25924894</v>
      </c>
      <c r="AL64" s="80">
        <f t="shared" si="27"/>
        <v>244639931.64925104</v>
      </c>
      <c r="AM64" s="80">
        <f t="shared" si="27"/>
        <v>233049922.16264266</v>
      </c>
      <c r="AN64" s="80">
        <f t="shared" si="27"/>
        <v>229849559.52004918</v>
      </c>
      <c r="AO64" s="80">
        <f t="shared" si="27"/>
        <v>224598437.26976842</v>
      </c>
      <c r="AP64" s="80">
        <f t="shared" si="27"/>
        <v>227370334.59913951</v>
      </c>
      <c r="AQ64" s="80">
        <f t="shared" si="27"/>
        <v>246060745.08831936</v>
      </c>
      <c r="AR64" s="80">
        <f t="shared" si="27"/>
        <v>262654356.89546087</v>
      </c>
      <c r="AS64" s="80">
        <f t="shared" si="27"/>
        <v>267226354.874975</v>
      </c>
      <c r="AT64" s="80">
        <f t="shared" si="27"/>
        <v>261622583.21947673</v>
      </c>
      <c r="AU64" s="80">
        <f t="shared" si="27"/>
        <v>244373082.33714232</v>
      </c>
      <c r="AV64" s="80">
        <f t="shared" si="27"/>
        <v>230263072.51766002</v>
      </c>
      <c r="AW64" s="80">
        <f t="shared" si="27"/>
        <v>238613621.292808</v>
      </c>
      <c r="AX64" s="80">
        <f t="shared" si="27"/>
        <v>243467013.54529017</v>
      </c>
    </row>
    <row r="65" spans="1:50" x14ac:dyDescent="0.3">
      <c r="A65" s="40" t="s">
        <v>37</v>
      </c>
      <c r="B65" s="41"/>
      <c r="C65" s="41"/>
      <c r="D65" s="80">
        <f t="shared" ref="D65:AX65" si="29">+D27</f>
        <v>99309923</v>
      </c>
      <c r="E65" s="80">
        <f t="shared" si="29"/>
        <v>98876748</v>
      </c>
      <c r="F65" s="80">
        <f t="shared" si="29"/>
        <v>96480454</v>
      </c>
      <c r="G65" s="80">
        <f t="shared" si="29"/>
        <v>121526151</v>
      </c>
      <c r="H65" s="80">
        <f t="shared" si="29"/>
        <v>113123855</v>
      </c>
      <c r="I65" s="80">
        <f t="shared" si="29"/>
        <v>125262874</v>
      </c>
      <c r="J65" s="80">
        <f t="shared" si="29"/>
        <v>126945040</v>
      </c>
      <c r="K65" s="80">
        <f t="shared" si="29"/>
        <v>119752379</v>
      </c>
      <c r="L65" s="80">
        <f t="shared" si="29"/>
        <v>106348532</v>
      </c>
      <c r="M65" s="80">
        <f t="shared" si="29"/>
        <v>100067076</v>
      </c>
      <c r="N65" s="80">
        <f t="shared" si="29"/>
        <v>105899561</v>
      </c>
      <c r="O65" s="80">
        <f t="shared" si="29"/>
        <v>111203176</v>
      </c>
      <c r="P65" s="80">
        <f t="shared" si="29"/>
        <v>86704807</v>
      </c>
      <c r="Q65" s="80">
        <f t="shared" si="29"/>
        <v>92097434</v>
      </c>
      <c r="R65" s="80">
        <f t="shared" si="29"/>
        <v>93506334</v>
      </c>
      <c r="S65" s="80">
        <f t="shared" si="29"/>
        <v>92139707</v>
      </c>
      <c r="T65" s="80">
        <f t="shared" si="29"/>
        <v>105110654</v>
      </c>
      <c r="U65" s="80">
        <f t="shared" si="29"/>
        <v>108265948</v>
      </c>
      <c r="V65" s="80">
        <f t="shared" si="29"/>
        <v>109806573</v>
      </c>
      <c r="W65" s="80">
        <f t="shared" si="29"/>
        <v>96724322.099999994</v>
      </c>
      <c r="X65" s="80">
        <f t="shared" ref="X65:AI65" si="30">+X27</f>
        <v>94866307</v>
      </c>
      <c r="Y65" s="80">
        <f t="shared" si="30"/>
        <v>96874394</v>
      </c>
      <c r="Z65" s="80">
        <f t="shared" si="30"/>
        <v>84244327</v>
      </c>
      <c r="AA65" s="80">
        <f t="shared" si="30"/>
        <v>112346620</v>
      </c>
      <c r="AB65" s="80">
        <f t="shared" si="30"/>
        <v>50801494</v>
      </c>
      <c r="AC65" s="80">
        <f t="shared" si="30"/>
        <v>85186767</v>
      </c>
      <c r="AD65" s="80">
        <f t="shared" si="30"/>
        <v>94290468.700000003</v>
      </c>
      <c r="AE65" s="80">
        <f t="shared" si="30"/>
        <v>96665030</v>
      </c>
      <c r="AF65" s="80">
        <f t="shared" si="30"/>
        <v>111403127</v>
      </c>
      <c r="AG65" s="80">
        <f t="shared" si="30"/>
        <v>106051211</v>
      </c>
      <c r="AH65" s="80">
        <f t="shared" si="30"/>
        <v>114673513</v>
      </c>
      <c r="AI65" s="80">
        <f t="shared" si="30"/>
        <v>105106440</v>
      </c>
      <c r="AJ65" s="80">
        <f t="shared" si="29"/>
        <v>96163830.731033847</v>
      </c>
      <c r="AK65" s="80">
        <f t="shared" si="29"/>
        <v>94109067.558028832</v>
      </c>
      <c r="AL65" s="80">
        <f t="shared" si="29"/>
        <v>93653912.248884782</v>
      </c>
      <c r="AM65" s="80">
        <f t="shared" si="29"/>
        <v>85920997.61912322</v>
      </c>
      <c r="AN65" s="80">
        <f t="shared" si="29"/>
        <v>92937115.673861131</v>
      </c>
      <c r="AO65" s="80">
        <f t="shared" si="29"/>
        <v>95430162.554982468</v>
      </c>
      <c r="AP65" s="80">
        <f t="shared" si="29"/>
        <v>103376400.7354092</v>
      </c>
      <c r="AQ65" s="80">
        <f t="shared" si="29"/>
        <v>107783855.10587853</v>
      </c>
      <c r="AR65" s="80">
        <f t="shared" si="29"/>
        <v>116470133.49866222</v>
      </c>
      <c r="AS65" s="80">
        <f t="shared" si="29"/>
        <v>115573128.90151967</v>
      </c>
      <c r="AT65" s="80">
        <f t="shared" si="29"/>
        <v>109282029.6161512</v>
      </c>
      <c r="AU65" s="80">
        <f t="shared" si="29"/>
        <v>106525675.34103945</v>
      </c>
      <c r="AV65" s="80">
        <f t="shared" si="29"/>
        <v>99214570.454463914</v>
      </c>
      <c r="AW65" s="80">
        <f t="shared" si="29"/>
        <v>97087562.389173344</v>
      </c>
      <c r="AX65" s="80">
        <f t="shared" si="29"/>
        <v>96464302.312017411</v>
      </c>
    </row>
    <row r="66" spans="1:50" x14ac:dyDescent="0.3">
      <c r="A66" s="35" t="s">
        <v>31</v>
      </c>
      <c r="B66" s="33"/>
      <c r="C66" s="33"/>
      <c r="D66" s="37">
        <f>SUM(D61:D65)</f>
        <v>2499758324</v>
      </c>
      <c r="E66" s="37">
        <f t="shared" ref="E66:AX66" si="31">SUM(E61:E65)</f>
        <v>1985896392</v>
      </c>
      <c r="F66" s="37">
        <f t="shared" si="31"/>
        <v>1834449295</v>
      </c>
      <c r="G66" s="37">
        <f t="shared" si="31"/>
        <v>2235195660</v>
      </c>
      <c r="H66" s="37">
        <f t="shared" si="31"/>
        <v>2577497445</v>
      </c>
      <c r="I66" s="37">
        <f t="shared" si="31"/>
        <v>2692344190</v>
      </c>
      <c r="J66" s="37">
        <f t="shared" si="31"/>
        <v>2586049727</v>
      </c>
      <c r="K66" s="37">
        <f t="shared" si="31"/>
        <v>2259393157</v>
      </c>
      <c r="L66" s="37">
        <f t="shared" si="31"/>
        <v>2029584453</v>
      </c>
      <c r="M66" s="37">
        <f t="shared" si="31"/>
        <v>2424244506</v>
      </c>
      <c r="N66" s="37">
        <f t="shared" si="31"/>
        <v>2601956425</v>
      </c>
      <c r="O66" s="37">
        <f t="shared" si="31"/>
        <v>2559780622</v>
      </c>
      <c r="P66" s="37">
        <f t="shared" si="31"/>
        <v>2267199627</v>
      </c>
      <c r="Q66" s="37">
        <f t="shared" si="31"/>
        <v>1885945876</v>
      </c>
      <c r="R66" s="37">
        <f t="shared" si="31"/>
        <v>1727181444</v>
      </c>
      <c r="S66" s="37">
        <f t="shared" si="31"/>
        <v>2140133354</v>
      </c>
      <c r="T66" s="37">
        <f t="shared" si="31"/>
        <v>2668776772</v>
      </c>
      <c r="U66" s="37">
        <f t="shared" si="31"/>
        <v>2588323933</v>
      </c>
      <c r="V66" s="37">
        <f t="shared" si="31"/>
        <v>2539356884</v>
      </c>
      <c r="W66" s="37">
        <f t="shared" si="31"/>
        <v>1880855467.2</v>
      </c>
      <c r="X66" s="37">
        <f t="shared" si="31"/>
        <v>1919414791</v>
      </c>
      <c r="Y66" s="37">
        <f t="shared" si="31"/>
        <v>2285505311</v>
      </c>
      <c r="Z66" s="37">
        <f t="shared" si="31"/>
        <v>2701293080</v>
      </c>
      <c r="AA66" s="37">
        <f t="shared" si="31"/>
        <v>2762895596</v>
      </c>
      <c r="AB66" s="37">
        <f t="shared" si="31"/>
        <v>2269212350</v>
      </c>
      <c r="AC66" s="37">
        <f t="shared" si="31"/>
        <v>1797926430</v>
      </c>
      <c r="AD66" s="37">
        <f t="shared" si="31"/>
        <v>1767390312.4000001</v>
      </c>
      <c r="AE66" s="37">
        <f t="shared" si="31"/>
        <v>2241761426</v>
      </c>
      <c r="AF66" s="37">
        <f t="shared" si="31"/>
        <v>2630416326</v>
      </c>
      <c r="AG66" s="37">
        <f t="shared" si="31"/>
        <v>2620993183</v>
      </c>
      <c r="AH66" s="37">
        <f t="shared" si="31"/>
        <v>2624842936</v>
      </c>
      <c r="AI66" s="37">
        <f t="shared" si="31"/>
        <v>2051802732</v>
      </c>
      <c r="AJ66" s="37">
        <f t="shared" si="31"/>
        <v>1859270596.5954454</v>
      </c>
      <c r="AK66" s="37">
        <f t="shared" si="31"/>
        <v>2310969994.0096645</v>
      </c>
      <c r="AL66" s="37">
        <f t="shared" si="31"/>
        <v>2734086571.2281055</v>
      </c>
      <c r="AM66" s="37">
        <f t="shared" si="31"/>
        <v>2503437284.262167</v>
      </c>
      <c r="AN66" s="37">
        <f t="shared" si="31"/>
        <v>2220944714.2985196</v>
      </c>
      <c r="AO66" s="37">
        <f t="shared" si="31"/>
        <v>1879115360.4594173</v>
      </c>
      <c r="AP66" s="37">
        <f t="shared" si="31"/>
        <v>1741844521.1729763</v>
      </c>
      <c r="AQ66" s="37">
        <f t="shared" si="31"/>
        <v>2089470302.4395993</v>
      </c>
      <c r="AR66" s="37">
        <f t="shared" si="31"/>
        <v>2489629861.2125788</v>
      </c>
      <c r="AS66" s="37">
        <f t="shared" si="31"/>
        <v>2577518358.2381277</v>
      </c>
      <c r="AT66" s="37">
        <f t="shared" si="31"/>
        <v>2397973898.4503822</v>
      </c>
      <c r="AU66" s="37">
        <f t="shared" si="31"/>
        <v>1927325103.8386266</v>
      </c>
      <c r="AV66" s="37">
        <f t="shared" si="31"/>
        <v>1841229294.6313071</v>
      </c>
      <c r="AW66" s="37">
        <f t="shared" si="31"/>
        <v>2286771584.5165582</v>
      </c>
      <c r="AX66" s="37">
        <f t="shared" si="31"/>
        <v>2716681939.5324297</v>
      </c>
    </row>
    <row r="67" spans="1:50" x14ac:dyDescent="0.3">
      <c r="B67" s="41"/>
      <c r="C67" s="41"/>
      <c r="O67" s="81"/>
    </row>
    <row r="68" spans="1:50" x14ac:dyDescent="0.3">
      <c r="A68" s="29" t="s">
        <v>58</v>
      </c>
      <c r="B68" s="41"/>
      <c r="C68" s="41"/>
      <c r="D68" s="81"/>
    </row>
    <row r="69" spans="1:50" x14ac:dyDescent="0.3">
      <c r="A69" s="40" t="s">
        <v>33</v>
      </c>
      <c r="B69" s="41"/>
      <c r="C69" s="41"/>
      <c r="D69" s="49">
        <f>IF(D51="","",+(D51-D58)+(D58*D61/D66))</f>
        <v>0</v>
      </c>
      <c r="E69" s="49">
        <f t="shared" ref="E69:AX69" si="32">IF(E51="","",+(E51-E58)+(E58*E61/E66))</f>
        <v>0</v>
      </c>
      <c r="F69" s="49">
        <f t="shared" si="32"/>
        <v>28636.335868779192</v>
      </c>
      <c r="G69" s="49">
        <f t="shared" si="32"/>
        <v>344669.92129031231</v>
      </c>
      <c r="H69" s="49">
        <f t="shared" si="32"/>
        <v>437739.69493695599</v>
      </c>
      <c r="I69" s="51">
        <f t="shared" si="32"/>
        <v>461093.89388914994</v>
      </c>
      <c r="J69" s="49">
        <f t="shared" si="32"/>
        <v>425531.99443758972</v>
      </c>
      <c r="K69" s="49">
        <f t="shared" si="32"/>
        <v>350101.97926152864</v>
      </c>
      <c r="L69" s="49">
        <f t="shared" si="32"/>
        <v>315194.78964232601</v>
      </c>
      <c r="M69" s="49">
        <f t="shared" si="32"/>
        <v>423499.84124645527</v>
      </c>
      <c r="N69" s="49">
        <f t="shared" si="32"/>
        <v>467459.76087976695</v>
      </c>
      <c r="O69" s="49">
        <f t="shared" si="32"/>
        <v>474323.05163473397</v>
      </c>
      <c r="P69" s="49">
        <f t="shared" si="32"/>
        <v>428810.25716296653</v>
      </c>
      <c r="Q69" s="49">
        <f t="shared" si="32"/>
        <v>339346.33491655142</v>
      </c>
      <c r="R69" s="49">
        <f t="shared" si="32"/>
        <v>302925.05162387801</v>
      </c>
      <c r="S69" s="49">
        <f t="shared" si="32"/>
        <v>399589.74786578171</v>
      </c>
      <c r="T69" s="49">
        <f t="shared" si="32"/>
        <v>536049.73122413771</v>
      </c>
      <c r="U69" s="49">
        <f t="shared" si="32"/>
        <v>503311.04413038632</v>
      </c>
      <c r="V69" s="49">
        <f t="shared" si="32"/>
        <v>453730.11803544633</v>
      </c>
      <c r="W69" s="49">
        <f t="shared" si="32"/>
        <v>307694.93026905361</v>
      </c>
      <c r="X69" s="49">
        <f t="shared" ref="X69:AI69" si="33">IF(X51="","",+(X51-X58)+(X58*X61/X66))</f>
        <v>328619.27667869348</v>
      </c>
      <c r="Y69" s="49">
        <f t="shared" si="33"/>
        <v>435339.54516653361</v>
      </c>
      <c r="Z69" s="49">
        <f t="shared" si="33"/>
        <v>565868.64496161381</v>
      </c>
      <c r="AA69" s="49">
        <f t="shared" si="33"/>
        <v>1375644.4768897495</v>
      </c>
      <c r="AB69" s="49">
        <f t="shared" si="33"/>
        <v>1787809.7846895901</v>
      </c>
      <c r="AC69" s="49">
        <f t="shared" si="33"/>
        <v>1208966.210998087</v>
      </c>
      <c r="AD69" s="49">
        <f t="shared" si="33"/>
        <v>1135096.7258818494</v>
      </c>
      <c r="AE69" s="49">
        <f t="shared" si="33"/>
        <v>1483131.5421443433</v>
      </c>
      <c r="AF69" s="49">
        <f t="shared" si="33"/>
        <v>1957827.6512690852</v>
      </c>
      <c r="AG69" s="49">
        <f t="shared" si="33"/>
        <v>1996815.833049651</v>
      </c>
      <c r="AH69" s="49">
        <f t="shared" si="33"/>
        <v>1962236.8311878431</v>
      </c>
      <c r="AI69" s="49">
        <f t="shared" si="33"/>
        <v>1361448.9893388003</v>
      </c>
      <c r="AJ69" s="49">
        <f>IF(AJ51="","",+(AJ51-AJ58)+(AJ58*AJ61/AJ66))</f>
        <v>1201311.8493001498</v>
      </c>
      <c r="AK69" s="49">
        <f t="shared" si="32"/>
        <v>1740931.9557145983</v>
      </c>
      <c r="AL69" s="49">
        <f>IF(AL51="","",+(AL51-AL58)+(AL58*AL61/AL66))</f>
        <v>2221375.1164290369</v>
      </c>
      <c r="AM69" s="49" t="str">
        <f t="shared" si="32"/>
        <v/>
      </c>
      <c r="AN69" s="49" t="str">
        <f t="shared" si="32"/>
        <v/>
      </c>
      <c r="AO69" s="49" t="str">
        <f t="shared" si="32"/>
        <v/>
      </c>
      <c r="AP69" s="49" t="str">
        <f t="shared" si="32"/>
        <v/>
      </c>
      <c r="AQ69" s="49" t="str">
        <f t="shared" si="32"/>
        <v/>
      </c>
      <c r="AR69" s="49" t="str">
        <f t="shared" si="32"/>
        <v/>
      </c>
      <c r="AS69" s="49" t="str">
        <f t="shared" si="32"/>
        <v/>
      </c>
      <c r="AT69" s="49" t="str">
        <f t="shared" si="32"/>
        <v/>
      </c>
      <c r="AU69" s="49" t="str">
        <f t="shared" si="32"/>
        <v/>
      </c>
      <c r="AV69" s="49" t="str">
        <f t="shared" si="32"/>
        <v/>
      </c>
      <c r="AW69" s="49" t="str">
        <f t="shared" si="32"/>
        <v/>
      </c>
      <c r="AX69" s="49" t="str">
        <f t="shared" si="32"/>
        <v/>
      </c>
    </row>
    <row r="70" spans="1:50" x14ac:dyDescent="0.3">
      <c r="A70" s="40" t="s">
        <v>34</v>
      </c>
      <c r="B70" s="41"/>
      <c r="C70" s="41"/>
      <c r="D70" s="49">
        <f>IF(D52="","",+D52+(D58*D62/D66))</f>
        <v>0</v>
      </c>
      <c r="E70" s="49">
        <f t="shared" ref="E70:AX70" si="34">IF(E52="","",+E52+(E58*E62/E66))</f>
        <v>0</v>
      </c>
      <c r="F70" s="49">
        <f t="shared" si="34"/>
        <v>4662.874879564878</v>
      </c>
      <c r="G70" s="49">
        <f>IF(G52="","",+G52+(G58*G62/G66))</f>
        <v>60575.806014450071</v>
      </c>
      <c r="H70" s="49">
        <f t="shared" si="34"/>
        <v>69235.226705339766</v>
      </c>
      <c r="I70" s="49">
        <f t="shared" si="34"/>
        <v>71132.268141530934</v>
      </c>
      <c r="J70" s="49">
        <f t="shared" si="34"/>
        <v>68766.003213137257</v>
      </c>
      <c r="K70" s="49">
        <f t="shared" si="34"/>
        <v>61936.863591354115</v>
      </c>
      <c r="L70" s="49">
        <f t="shared" si="34"/>
        <v>55314.675500358826</v>
      </c>
      <c r="M70" s="49">
        <f t="shared" si="34"/>
        <v>64772.869833744619</v>
      </c>
      <c r="N70" s="49">
        <f t="shared" si="34"/>
        <v>69020.979330338465</v>
      </c>
      <c r="O70" s="49">
        <f t="shared" si="34"/>
        <v>72477.677451482814</v>
      </c>
      <c r="P70" s="49">
        <f t="shared" si="34"/>
        <v>71928.028717536567</v>
      </c>
      <c r="Q70" s="49">
        <f t="shared" si="34"/>
        <v>55453.451619799707</v>
      </c>
      <c r="R70" s="49">
        <f t="shared" si="34"/>
        <v>50391.746026202469</v>
      </c>
      <c r="S70" s="49">
        <f t="shared" si="34"/>
        <v>63389.498728401399</v>
      </c>
      <c r="T70" s="49">
        <f t="shared" si="34"/>
        <v>78881.855890584935</v>
      </c>
      <c r="U70" s="49">
        <f t="shared" si="34"/>
        <v>76955.02703194521</v>
      </c>
      <c r="V70" s="49">
        <f t="shared" si="34"/>
        <v>73755.388306573834</v>
      </c>
      <c r="W70" s="49">
        <f t="shared" si="34"/>
        <v>59772.834718849517</v>
      </c>
      <c r="X70" s="49">
        <f t="shared" ref="X70:AI70" si="35">IF(X52="","",+X52+(X58*X62/X66))</f>
        <v>59572.876185864705</v>
      </c>
      <c r="Y70" s="49">
        <f t="shared" si="35"/>
        <v>68599.470346323797</v>
      </c>
      <c r="Z70" s="49">
        <f t="shared" si="35"/>
        <v>81564.73791205966</v>
      </c>
      <c r="AA70" s="49">
        <f t="shared" si="35"/>
        <v>242664.75286538465</v>
      </c>
      <c r="AB70" s="49">
        <f t="shared" si="35"/>
        <v>375919.83719992841</v>
      </c>
      <c r="AC70" s="49">
        <f t="shared" si="35"/>
        <v>300075.62636462261</v>
      </c>
      <c r="AD70" s="49">
        <f t="shared" si="35"/>
        <v>293923.98139317043</v>
      </c>
      <c r="AE70" s="49">
        <f t="shared" si="35"/>
        <v>350815.31218641665</v>
      </c>
      <c r="AF70" s="49">
        <f t="shared" si="35"/>
        <v>415012.49945076351</v>
      </c>
      <c r="AG70" s="49">
        <f t="shared" si="35"/>
        <v>415043.37829811877</v>
      </c>
      <c r="AH70" s="49">
        <f t="shared" si="35"/>
        <v>419425.17682734353</v>
      </c>
      <c r="AI70" s="49">
        <f t="shared" si="35"/>
        <v>350351.57477839955</v>
      </c>
      <c r="AJ70" s="49">
        <f t="shared" si="34"/>
        <v>310924.85136511241</v>
      </c>
      <c r="AK70" s="49">
        <f t="shared" si="34"/>
        <v>370785.03148898733</v>
      </c>
      <c r="AL70" s="49">
        <f t="shared" si="34"/>
        <v>435312.87343833351</v>
      </c>
      <c r="AM70" s="49" t="str">
        <f t="shared" si="34"/>
        <v/>
      </c>
      <c r="AN70" s="49" t="str">
        <f t="shared" si="34"/>
        <v/>
      </c>
      <c r="AO70" s="49" t="str">
        <f t="shared" si="34"/>
        <v/>
      </c>
      <c r="AP70" s="49" t="str">
        <f t="shared" si="34"/>
        <v/>
      </c>
      <c r="AQ70" s="49" t="str">
        <f t="shared" si="34"/>
        <v/>
      </c>
      <c r="AR70" s="49" t="str">
        <f t="shared" si="34"/>
        <v/>
      </c>
      <c r="AS70" s="49" t="str">
        <f t="shared" si="34"/>
        <v/>
      </c>
      <c r="AT70" s="49" t="str">
        <f t="shared" si="34"/>
        <v/>
      </c>
      <c r="AU70" s="49" t="str">
        <f t="shared" si="34"/>
        <v/>
      </c>
      <c r="AV70" s="49" t="str">
        <f t="shared" si="34"/>
        <v/>
      </c>
      <c r="AW70" s="49" t="str">
        <f t="shared" si="34"/>
        <v/>
      </c>
      <c r="AX70" s="49" t="str">
        <f t="shared" si="34"/>
        <v/>
      </c>
    </row>
    <row r="71" spans="1:50" x14ac:dyDescent="0.3">
      <c r="A71" s="40" t="s">
        <v>35</v>
      </c>
      <c r="B71" s="41"/>
      <c r="C71" s="41"/>
      <c r="D71" s="49">
        <f>IF(D53="","",+D53+(D58*D63/D66))</f>
        <v>0</v>
      </c>
      <c r="E71" s="49">
        <f t="shared" ref="E71:AX71" si="36">IF(E53="","",+E53+(E58*E63/E66))</f>
        <v>0</v>
      </c>
      <c r="F71" s="49">
        <f t="shared" si="36"/>
        <v>6753.6701978728988</v>
      </c>
      <c r="G71" s="49">
        <f>IF(G53="","",+G53+(G58*G63/G66))</f>
        <v>107151.44580605239</v>
      </c>
      <c r="H71" s="49">
        <f t="shared" si="36"/>
        <v>115634.5208649429</v>
      </c>
      <c r="I71" s="49">
        <f t="shared" si="36"/>
        <v>118331.81312804784</v>
      </c>
      <c r="J71" s="49">
        <f t="shared" si="36"/>
        <v>119601.33814288217</v>
      </c>
      <c r="K71" s="49">
        <f t="shared" si="36"/>
        <v>109968.9574924099</v>
      </c>
      <c r="L71" s="49">
        <f t="shared" si="36"/>
        <v>96533.881711475129</v>
      </c>
      <c r="M71" s="49">
        <f t="shared" si="36"/>
        <v>104142.56971532079</v>
      </c>
      <c r="N71" s="49">
        <f t="shared" si="36"/>
        <v>107611.86637282498</v>
      </c>
      <c r="O71" s="49">
        <f t="shared" si="36"/>
        <v>104313.87773241718</v>
      </c>
      <c r="P71" s="49">
        <f t="shared" si="36"/>
        <v>98420.974410363575</v>
      </c>
      <c r="Q71" s="49">
        <f t="shared" si="36"/>
        <v>84560.155028366615</v>
      </c>
      <c r="R71" s="49">
        <f t="shared" si="36"/>
        <v>79147.524446379844</v>
      </c>
      <c r="S71" s="49">
        <f t="shared" si="36"/>
        <v>94049.927973792379</v>
      </c>
      <c r="T71" s="49">
        <f t="shared" si="36"/>
        <v>109708.48677351972</v>
      </c>
      <c r="U71" s="49">
        <f t="shared" si="36"/>
        <v>109463.73998502946</v>
      </c>
      <c r="V71" s="49">
        <f t="shared" si="36"/>
        <v>109154.24836711264</v>
      </c>
      <c r="W71" s="49">
        <f t="shared" si="36"/>
        <v>93111.170115006884</v>
      </c>
      <c r="X71" s="49">
        <f t="shared" ref="X71:AI71" si="37">IF(X53="","",+X53+(X58*X63/X66))</f>
        <v>90314.439841834988</v>
      </c>
      <c r="Y71" s="49">
        <f t="shared" si="37"/>
        <v>96572.606390330679</v>
      </c>
      <c r="Z71" s="49">
        <f t="shared" si="37"/>
        <v>102973.56100695563</v>
      </c>
      <c r="AA71" s="49">
        <f t="shared" si="37"/>
        <v>317054.12799449282</v>
      </c>
      <c r="AB71" s="49">
        <f t="shared" si="37"/>
        <v>555274.69988765684</v>
      </c>
      <c r="AC71" s="49">
        <f t="shared" si="37"/>
        <v>496959.09444564459</v>
      </c>
      <c r="AD71" s="49">
        <f t="shared" si="37"/>
        <v>507462.60422851134</v>
      </c>
      <c r="AE71" s="49">
        <f t="shared" si="37"/>
        <v>564396.00989380945</v>
      </c>
      <c r="AF71" s="49">
        <f t="shared" si="37"/>
        <v>660447.26760719228</v>
      </c>
      <c r="AG71" s="49">
        <f t="shared" si="37"/>
        <v>654260.67532357096</v>
      </c>
      <c r="AH71" s="49">
        <f t="shared" si="37"/>
        <v>666957.41235823918</v>
      </c>
      <c r="AI71" s="49">
        <f t="shared" si="37"/>
        <v>587413.62430156593</v>
      </c>
      <c r="AJ71" s="49">
        <f t="shared" si="36"/>
        <v>533079.94337013643</v>
      </c>
      <c r="AK71" s="49">
        <f t="shared" si="36"/>
        <v>574311.56401472248</v>
      </c>
      <c r="AL71" s="49">
        <f t="shared" si="36"/>
        <v>626959.36446825496</v>
      </c>
      <c r="AM71" s="49" t="str">
        <f t="shared" si="36"/>
        <v/>
      </c>
      <c r="AN71" s="49" t="str">
        <f t="shared" si="36"/>
        <v/>
      </c>
      <c r="AO71" s="49" t="str">
        <f t="shared" si="36"/>
        <v/>
      </c>
      <c r="AP71" s="49" t="str">
        <f t="shared" si="36"/>
        <v/>
      </c>
      <c r="AQ71" s="49" t="str">
        <f t="shared" si="36"/>
        <v/>
      </c>
      <c r="AR71" s="49" t="str">
        <f t="shared" si="36"/>
        <v/>
      </c>
      <c r="AS71" s="49" t="str">
        <f t="shared" si="36"/>
        <v/>
      </c>
      <c r="AT71" s="49" t="str">
        <f t="shared" si="36"/>
        <v/>
      </c>
      <c r="AU71" s="49" t="str">
        <f t="shared" si="36"/>
        <v/>
      </c>
      <c r="AV71" s="49" t="str">
        <f t="shared" si="36"/>
        <v/>
      </c>
      <c r="AW71" s="49" t="str">
        <f t="shared" si="36"/>
        <v/>
      </c>
      <c r="AX71" s="49" t="str">
        <f t="shared" si="36"/>
        <v/>
      </c>
    </row>
    <row r="72" spans="1:50" x14ac:dyDescent="0.3">
      <c r="A72" s="40" t="s">
        <v>36</v>
      </c>
      <c r="B72" s="41"/>
      <c r="C72" s="41"/>
      <c r="D72" s="49">
        <f>IF(D54="","",+D54+(D58*D64/D66))</f>
        <v>0</v>
      </c>
      <c r="E72" s="49">
        <f t="shared" ref="E72:AX72" si="38">IF(E54="","",+E54+(E58*E64/E66))</f>
        <v>0</v>
      </c>
      <c r="F72" s="49">
        <f t="shared" si="38"/>
        <v>2381.1324731369587</v>
      </c>
      <c r="G72" s="49">
        <f>IF(G54="","",+G54+(G58*G64/G66))</f>
        <v>41080.759711289073</v>
      </c>
      <c r="H72" s="49">
        <f t="shared" si="38"/>
        <v>46620.227707662583</v>
      </c>
      <c r="I72" s="49">
        <f t="shared" si="38"/>
        <v>48915.290383093015</v>
      </c>
      <c r="J72" s="49">
        <f t="shared" si="38"/>
        <v>48689.064699160743</v>
      </c>
      <c r="K72" s="49">
        <f t="shared" si="38"/>
        <v>45154.720570269681</v>
      </c>
      <c r="L72" s="49">
        <f t="shared" si="38"/>
        <v>41515.04923810179</v>
      </c>
      <c r="M72" s="49">
        <f t="shared" si="38"/>
        <v>41594.548478057877</v>
      </c>
      <c r="N72" s="49">
        <f t="shared" si="38"/>
        <v>42743.649469302021</v>
      </c>
      <c r="O72" s="49">
        <f t="shared" si="38"/>
        <v>43471.756585125317</v>
      </c>
      <c r="P72" s="49">
        <f t="shared" si="38"/>
        <v>37573.855689531287</v>
      </c>
      <c r="Q72" s="49">
        <f t="shared" si="38"/>
        <v>36905.295455925545</v>
      </c>
      <c r="R72" s="49">
        <f t="shared" si="38"/>
        <v>34871.894488322658</v>
      </c>
      <c r="S72" s="49">
        <f t="shared" si="38"/>
        <v>40727.091457001268</v>
      </c>
      <c r="T72" s="49">
        <f t="shared" si="38"/>
        <v>42825.077518324979</v>
      </c>
      <c r="U72" s="49">
        <f t="shared" si="38"/>
        <v>44954.202556147626</v>
      </c>
      <c r="V72" s="49">
        <f t="shared" si="38"/>
        <v>45054.75137109276</v>
      </c>
      <c r="W72" s="49">
        <f t="shared" si="38"/>
        <v>40035.738044047088</v>
      </c>
      <c r="X72" s="49">
        <f t="shared" ref="X72:AI72" si="39">IF(X54="","",+X54+(X58*X64/X66))</f>
        <v>39574.059026383933</v>
      </c>
      <c r="Y72" s="49">
        <f t="shared" si="39"/>
        <v>41188.257144152223</v>
      </c>
      <c r="Z72" s="49">
        <f t="shared" si="39"/>
        <v>40226.995717895465</v>
      </c>
      <c r="AA72" s="49">
        <f t="shared" si="39"/>
        <v>108585.49808616596</v>
      </c>
      <c r="AB72" s="49">
        <f t="shared" si="39"/>
        <v>181792.64072508441</v>
      </c>
      <c r="AC72" s="49">
        <f t="shared" si="39"/>
        <v>183572.05910467496</v>
      </c>
      <c r="AD72" s="49">
        <f t="shared" si="39"/>
        <v>190770.53370651661</v>
      </c>
      <c r="AE72" s="49">
        <f t="shared" si="39"/>
        <v>183881.99525765545</v>
      </c>
      <c r="AF72" s="49">
        <f t="shared" si="39"/>
        <v>245635.92921565124</v>
      </c>
      <c r="AG72" s="49">
        <f t="shared" si="39"/>
        <v>225402.14448890529</v>
      </c>
      <c r="AH72" s="49">
        <f t="shared" si="39"/>
        <v>228315.5064563354</v>
      </c>
      <c r="AI72" s="49">
        <f t="shared" si="39"/>
        <v>197613.76683715408</v>
      </c>
      <c r="AJ72" s="49">
        <f t="shared" si="38"/>
        <v>198653.01246584108</v>
      </c>
      <c r="AK72" s="49">
        <f t="shared" si="38"/>
        <v>205364.84927898599</v>
      </c>
      <c r="AL72" s="49">
        <f t="shared" si="38"/>
        <v>208510.37573239492</v>
      </c>
      <c r="AM72" s="49" t="str">
        <f t="shared" si="38"/>
        <v/>
      </c>
      <c r="AN72" s="49" t="str">
        <f t="shared" si="38"/>
        <v/>
      </c>
      <c r="AO72" s="49" t="str">
        <f t="shared" si="38"/>
        <v/>
      </c>
      <c r="AP72" s="49" t="str">
        <f t="shared" si="38"/>
        <v/>
      </c>
      <c r="AQ72" s="49" t="str">
        <f t="shared" si="38"/>
        <v/>
      </c>
      <c r="AR72" s="49" t="str">
        <f t="shared" si="38"/>
        <v/>
      </c>
      <c r="AS72" s="49" t="str">
        <f t="shared" si="38"/>
        <v/>
      </c>
      <c r="AT72" s="49" t="str">
        <f t="shared" si="38"/>
        <v/>
      </c>
      <c r="AU72" s="49" t="str">
        <f t="shared" si="38"/>
        <v/>
      </c>
      <c r="AV72" s="49" t="str">
        <f t="shared" si="38"/>
        <v/>
      </c>
      <c r="AW72" s="49" t="str">
        <f t="shared" si="38"/>
        <v/>
      </c>
      <c r="AX72" s="49" t="str">
        <f t="shared" si="38"/>
        <v/>
      </c>
    </row>
    <row r="73" spans="1:50" x14ac:dyDescent="0.3">
      <c r="A73" s="40" t="s">
        <v>37</v>
      </c>
      <c r="B73" s="41"/>
      <c r="C73" s="41"/>
      <c r="D73" s="49">
        <f>IF(D55="","",+D55+(D58*D65/D66))</f>
        <v>0</v>
      </c>
      <c r="E73" s="49">
        <f t="shared" ref="E73:AX73" si="40">IF(E55="","",+E55+(E58*E65/E66))</f>
        <v>0</v>
      </c>
      <c r="F73" s="49">
        <f>IF(F55="","",+F55+(F58*F65/F66))</f>
        <v>-48.583419353926594</v>
      </c>
      <c r="G73" s="49">
        <f>IF(G55="","",+G55+(G58*G65/G66))</f>
        <v>4125.9071778961579</v>
      </c>
      <c r="H73" s="49">
        <f t="shared" si="40"/>
        <v>6806.3797850987785</v>
      </c>
      <c r="I73" s="49">
        <f t="shared" si="40"/>
        <v>7524.9044581782691</v>
      </c>
      <c r="J73" s="49">
        <f t="shared" si="40"/>
        <v>7658.4495072300715</v>
      </c>
      <c r="K73" s="49">
        <f t="shared" si="40"/>
        <v>7241.6490844376849</v>
      </c>
      <c r="L73" s="49">
        <f t="shared" si="40"/>
        <v>6323.5939077382554</v>
      </c>
      <c r="M73" s="49">
        <f t="shared" si="40"/>
        <v>5864.7707264215042</v>
      </c>
      <c r="N73" s="49">
        <f t="shared" si="40"/>
        <v>6186.9939477675571</v>
      </c>
      <c r="O73" s="49">
        <f t="shared" si="40"/>
        <v>10792.766596240668</v>
      </c>
      <c r="P73" s="49">
        <f t="shared" si="40"/>
        <v>19312.38401960209</v>
      </c>
      <c r="Q73" s="49">
        <f t="shared" si="40"/>
        <v>21254.31297935671</v>
      </c>
      <c r="R73" s="49">
        <f t="shared" si="40"/>
        <v>21637.663415217026</v>
      </c>
      <c r="S73" s="49">
        <f t="shared" si="40"/>
        <v>16834.533975023267</v>
      </c>
      <c r="T73" s="49">
        <f t="shared" si="40"/>
        <v>24355.538593432568</v>
      </c>
      <c r="U73" s="49">
        <f t="shared" si="40"/>
        <v>25113.656296491379</v>
      </c>
      <c r="V73" s="49">
        <f t="shared" si="40"/>
        <v>25507.793919774442</v>
      </c>
      <c r="W73" s="49">
        <f t="shared" si="40"/>
        <v>22463.576853042847</v>
      </c>
      <c r="X73" s="49">
        <f t="shared" ref="X73:AI73" si="41">IF(X55="","",+X55+(X58*X65/X66))</f>
        <v>21960.458267222853</v>
      </c>
      <c r="Y73" s="49">
        <f t="shared" si="41"/>
        <v>22338.840952659717</v>
      </c>
      <c r="Z73" s="49">
        <f t="shared" si="41"/>
        <v>20382.980401475455</v>
      </c>
      <c r="AA73" s="49">
        <f t="shared" si="41"/>
        <v>32953.904164207008</v>
      </c>
      <c r="AB73" s="49">
        <f t="shared" si="41"/>
        <v>23500.247497740351</v>
      </c>
      <c r="AC73" s="49">
        <f t="shared" si="41"/>
        <v>40293.609086971141</v>
      </c>
      <c r="AD73" s="49">
        <f t="shared" si="41"/>
        <v>41000.534789952151</v>
      </c>
      <c r="AE73" s="49">
        <f t="shared" si="41"/>
        <v>39665.300517775315</v>
      </c>
      <c r="AF73" s="49">
        <f t="shared" si="41"/>
        <v>50592.172457307752</v>
      </c>
      <c r="AG73" s="49">
        <f t="shared" si="41"/>
        <v>48111.888839753803</v>
      </c>
      <c r="AH73" s="49">
        <f t="shared" si="41"/>
        <v>52046.073170238742</v>
      </c>
      <c r="AI73" s="49">
        <f t="shared" si="41"/>
        <v>47917.124744080225</v>
      </c>
      <c r="AJ73" s="49">
        <f t="shared" si="40"/>
        <v>43720.552766144901</v>
      </c>
      <c r="AK73" s="49">
        <f t="shared" si="40"/>
        <v>42463.42775737754</v>
      </c>
      <c r="AL73" s="49">
        <f t="shared" si="40"/>
        <v>42080.142950696478</v>
      </c>
      <c r="AM73" s="49" t="str">
        <f t="shared" si="40"/>
        <v/>
      </c>
      <c r="AN73" s="49" t="str">
        <f t="shared" si="40"/>
        <v/>
      </c>
      <c r="AO73" s="49" t="str">
        <f t="shared" si="40"/>
        <v/>
      </c>
      <c r="AP73" s="49" t="str">
        <f t="shared" si="40"/>
        <v/>
      </c>
      <c r="AQ73" s="49" t="str">
        <f t="shared" si="40"/>
        <v/>
      </c>
      <c r="AR73" s="49" t="str">
        <f t="shared" si="40"/>
        <v/>
      </c>
      <c r="AS73" s="49" t="str">
        <f t="shared" si="40"/>
        <v/>
      </c>
      <c r="AT73" s="49" t="str">
        <f t="shared" si="40"/>
        <v/>
      </c>
      <c r="AU73" s="49" t="str">
        <f t="shared" si="40"/>
        <v/>
      </c>
      <c r="AV73" s="49" t="str">
        <f t="shared" si="40"/>
        <v/>
      </c>
      <c r="AW73" s="49" t="str">
        <f t="shared" si="40"/>
        <v/>
      </c>
      <c r="AX73" s="49" t="str">
        <f t="shared" si="40"/>
        <v/>
      </c>
    </row>
    <row r="74" spans="1:50" x14ac:dyDescent="0.3">
      <c r="A74" s="35" t="s">
        <v>31</v>
      </c>
      <c r="B74" s="33"/>
      <c r="C74" s="33"/>
      <c r="D74" s="48">
        <f>SUM(D69:D73)</f>
        <v>0</v>
      </c>
      <c r="E74" s="48">
        <f t="shared" ref="E74:AX74" si="42">SUM(E69:E73)</f>
        <v>0</v>
      </c>
      <c r="F74" s="48">
        <f t="shared" si="42"/>
        <v>42385.43</v>
      </c>
      <c r="G74" s="48">
        <f t="shared" si="42"/>
        <v>557603.83999999997</v>
      </c>
      <c r="H74" s="48">
        <f t="shared" si="42"/>
        <v>676036.05000000016</v>
      </c>
      <c r="I74" s="48">
        <f t="shared" si="42"/>
        <v>706998.17000000016</v>
      </c>
      <c r="J74" s="48">
        <f t="shared" si="42"/>
        <v>670246.85</v>
      </c>
      <c r="K74" s="48">
        <f t="shared" si="42"/>
        <v>574404.16999999993</v>
      </c>
      <c r="L74" s="48">
        <f t="shared" si="42"/>
        <v>514881.99000000005</v>
      </c>
      <c r="M74" s="48">
        <f t="shared" si="42"/>
        <v>639874.6</v>
      </c>
      <c r="N74" s="48">
        <f t="shared" si="42"/>
        <v>693023.25</v>
      </c>
      <c r="O74" s="48">
        <f t="shared" si="42"/>
        <v>705379.13</v>
      </c>
      <c r="P74" s="48">
        <f t="shared" si="42"/>
        <v>656045.50000000012</v>
      </c>
      <c r="Q74" s="48">
        <f t="shared" si="42"/>
        <v>537519.55000000005</v>
      </c>
      <c r="R74" s="48">
        <f t="shared" si="42"/>
        <v>488973.88</v>
      </c>
      <c r="S74" s="48">
        <f t="shared" si="42"/>
        <v>614590.80000000005</v>
      </c>
      <c r="T74" s="48">
        <f t="shared" si="42"/>
        <v>791820.69</v>
      </c>
      <c r="U74" s="48">
        <f t="shared" si="42"/>
        <v>759797.66999999993</v>
      </c>
      <c r="V74" s="48">
        <f t="shared" si="42"/>
        <v>707202.29999999993</v>
      </c>
      <c r="W74" s="48">
        <f t="shared" si="42"/>
        <v>523078.25</v>
      </c>
      <c r="X74" s="48">
        <f t="shared" ref="X74:AI74" si="43">SUM(X69:X73)</f>
        <v>540041.10999999987</v>
      </c>
      <c r="Y74" s="48">
        <f t="shared" si="43"/>
        <v>664038.72</v>
      </c>
      <c r="Z74" s="48">
        <f t="shared" si="43"/>
        <v>811016.91999999993</v>
      </c>
      <c r="AA74" s="48">
        <f t="shared" si="43"/>
        <v>2076902.7599999998</v>
      </c>
      <c r="AB74" s="48">
        <f t="shared" si="43"/>
        <v>2924297.21</v>
      </c>
      <c r="AC74" s="48">
        <f t="shared" si="43"/>
        <v>2229866.6</v>
      </c>
      <c r="AD74" s="48">
        <f t="shared" si="43"/>
        <v>2168254.38</v>
      </c>
      <c r="AE74" s="48">
        <f t="shared" si="43"/>
        <v>2621890.16</v>
      </c>
      <c r="AF74" s="48">
        <f t="shared" si="43"/>
        <v>3329515.5199999996</v>
      </c>
      <c r="AG74" s="48">
        <f t="shared" si="43"/>
        <v>3339633.92</v>
      </c>
      <c r="AH74" s="48">
        <f t="shared" si="43"/>
        <v>3328981</v>
      </c>
      <c r="AI74" s="48">
        <f t="shared" si="43"/>
        <v>2544745.0799999996</v>
      </c>
      <c r="AJ74" s="48">
        <f t="shared" si="42"/>
        <v>2287690.2092673844</v>
      </c>
      <c r="AK74" s="48">
        <f t="shared" si="42"/>
        <v>2933856.8282546718</v>
      </c>
      <c r="AL74" s="48">
        <f t="shared" si="42"/>
        <v>3534237.8730187169</v>
      </c>
      <c r="AM74" s="48">
        <f t="shared" si="42"/>
        <v>0</v>
      </c>
      <c r="AN74" s="48">
        <f t="shared" si="42"/>
        <v>0</v>
      </c>
      <c r="AO74" s="48">
        <f t="shared" si="42"/>
        <v>0</v>
      </c>
      <c r="AP74" s="48">
        <f t="shared" si="42"/>
        <v>0</v>
      </c>
      <c r="AQ74" s="48">
        <f t="shared" si="42"/>
        <v>0</v>
      </c>
      <c r="AR74" s="48">
        <f t="shared" si="42"/>
        <v>0</v>
      </c>
      <c r="AS74" s="48">
        <f t="shared" si="42"/>
        <v>0</v>
      </c>
      <c r="AT74" s="48">
        <f t="shared" si="42"/>
        <v>0</v>
      </c>
      <c r="AU74" s="48">
        <f t="shared" si="42"/>
        <v>0</v>
      </c>
      <c r="AV74" s="48">
        <f t="shared" si="42"/>
        <v>0</v>
      </c>
      <c r="AW74" s="48">
        <f t="shared" si="42"/>
        <v>0</v>
      </c>
      <c r="AX74" s="48">
        <f t="shared" si="42"/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Z37"/>
  <sheetViews>
    <sheetView topLeftCell="P1" workbookViewId="0">
      <selection activeCell="Z3" sqref="A3:Z36"/>
    </sheetView>
  </sheetViews>
  <sheetFormatPr defaultColWidth="9.109375" defaultRowHeight="14.4" x14ac:dyDescent="0.3"/>
  <cols>
    <col min="1" max="1" width="9.109375" style="58"/>
    <col min="2" max="2" width="29.109375" style="58" customWidth="1"/>
    <col min="3" max="11" width="13.33203125" style="58" bestFit="1" customWidth="1"/>
    <col min="12" max="12" width="11.88671875" style="58" bestFit="1" customWidth="1"/>
    <col min="13" max="14" width="12.88671875" style="58" bestFit="1" customWidth="1"/>
    <col min="15" max="26" width="13.33203125" style="58" bestFit="1" customWidth="1"/>
    <col min="27" max="16384" width="9.109375" style="58"/>
  </cols>
  <sheetData>
    <row r="1" spans="1:26" x14ac:dyDescent="0.3">
      <c r="X1" s="250"/>
      <c r="Y1" s="250"/>
      <c r="Z1" s="250"/>
    </row>
    <row r="2" spans="1:26" x14ac:dyDescent="0.3">
      <c r="C2" s="12">
        <v>43862</v>
      </c>
      <c r="D2" s="12">
        <v>43891</v>
      </c>
      <c r="E2" s="12">
        <v>43922</v>
      </c>
      <c r="F2" s="12">
        <v>43952</v>
      </c>
      <c r="G2" s="12">
        <v>43983</v>
      </c>
      <c r="H2" s="12">
        <v>44013</v>
      </c>
      <c r="I2" s="12">
        <v>44044</v>
      </c>
      <c r="J2" s="12">
        <v>44075</v>
      </c>
      <c r="K2" s="12">
        <v>44105</v>
      </c>
      <c r="L2" s="12">
        <v>44136</v>
      </c>
      <c r="M2" s="12">
        <v>44166</v>
      </c>
      <c r="N2" s="12">
        <v>44197</v>
      </c>
      <c r="O2" s="12">
        <v>44228</v>
      </c>
      <c r="P2" s="12">
        <v>44256</v>
      </c>
      <c r="Q2" s="12">
        <v>44287</v>
      </c>
      <c r="R2" s="12">
        <v>44317</v>
      </c>
      <c r="S2" s="12">
        <v>44348</v>
      </c>
      <c r="T2" s="12">
        <v>44378</v>
      </c>
      <c r="U2" s="12">
        <v>44409</v>
      </c>
      <c r="V2" s="12">
        <v>44440</v>
      </c>
      <c r="W2" s="12">
        <v>44470</v>
      </c>
      <c r="X2" s="12">
        <v>44501</v>
      </c>
      <c r="Y2" s="12">
        <v>44531</v>
      </c>
      <c r="Z2" s="12">
        <v>44562</v>
      </c>
    </row>
    <row r="3" spans="1:26" x14ac:dyDescent="0.3">
      <c r="A3" s="259" t="s">
        <v>33</v>
      </c>
      <c r="B3" s="71" t="s">
        <v>49</v>
      </c>
      <c r="C3" s="62">
        <f>IF(+'M3 Allocations - TD'!O51="","",'M3 Allocations - TD'!O51)</f>
        <v>465524.23</v>
      </c>
      <c r="D3" s="62">
        <f>IF(+'M3 Allocations - TD'!P51="","",'M3 Allocations - TD'!P51)</f>
        <v>420640.46</v>
      </c>
      <c r="E3" s="62">
        <f>IF(+'M3 Allocations - TD'!Q51="","",'M3 Allocations - TD'!Q51)</f>
        <v>333131.02</v>
      </c>
      <c r="F3" s="62">
        <f>IF(+'M3 Allocations - TD'!R51="","",'M3 Allocations - TD'!R51)</f>
        <v>297680.28000000003</v>
      </c>
      <c r="G3" s="62">
        <f>IF(+'M3 Allocations - TD'!S51="","",'M3 Allocations - TD'!S51)</f>
        <v>393958.55</v>
      </c>
      <c r="H3" s="62">
        <f>IF(+'M3 Allocations - TD'!T51="","",'M3 Allocations - TD'!T51)</f>
        <v>529326.34</v>
      </c>
      <c r="I3" s="62">
        <f>IF(+'M3 Allocations - TD'!U51="","",'M3 Allocations - TD'!U51)</f>
        <v>496875.44</v>
      </c>
      <c r="J3" s="62">
        <f>IF(+'M3 Allocations - TD'!V51="","",'M3 Allocations - TD'!V51)</f>
        <v>447785.36</v>
      </c>
      <c r="K3" s="62">
        <f>IF(+'M3 Allocations - TD'!W51="","",'M3 Allocations - TD'!W51)</f>
        <v>302563.73</v>
      </c>
      <c r="L3" s="62">
        <f>IF(+'M3 Allocations - TD'!X51="","",'M3 Allocations - TD'!X51)</f>
        <v>322763.34999999998</v>
      </c>
      <c r="M3" s="62">
        <f>IF(+'M3 Allocations - TD'!Y51="","",'M3 Allocations - TD'!Y51)</f>
        <v>427989.89</v>
      </c>
      <c r="N3" s="62">
        <f>IF(+'M3 Allocations - TD'!Z51="","",'M3 Allocations - TD'!Z51)</f>
        <v>556980.75</v>
      </c>
      <c r="O3" s="62">
        <f>IF(+'M3 Allocations - TD'!AA51="","",'M3 Allocations - TD'!AA51)</f>
        <v>1353651.15</v>
      </c>
      <c r="P3" s="62">
        <f>IF(+'M3 Allocations - TD'!AB51="","",'M3 Allocations - TD'!AB51)</f>
        <v>1757169.11</v>
      </c>
      <c r="Q3" s="62">
        <f>IF(+'M3 Allocations - TD'!AC51="","",'M3 Allocations - TD'!AC51)</f>
        <v>1185680.5900000001</v>
      </c>
      <c r="R3" s="62">
        <f>IF(+'M3 Allocations - TD'!AD51="","",'M3 Allocations - TD'!AD51)</f>
        <v>1113985.45</v>
      </c>
      <c r="S3" s="62">
        <f>IF(+'M3 Allocations - TD'!AE51="","",'M3 Allocations - TD'!AE51)</f>
        <v>1461163.75</v>
      </c>
      <c r="T3" s="62">
        <f>IF(+'M3 Allocations - TD'!AF51="","",'M3 Allocations - TD'!AF51)</f>
        <v>1930056.97</v>
      </c>
      <c r="U3" s="62">
        <f>IF(+'M3 Allocations - TD'!AG51="","",'M3 Allocations - TD'!AG51)</f>
        <v>1969181.34</v>
      </c>
      <c r="V3" s="62">
        <f>IF(+'M3 Allocations - TD'!AH51="","",'M3 Allocations - TD'!AH51)</f>
        <v>1934282.8</v>
      </c>
      <c r="W3" s="62">
        <f>IF(+'M3 Allocations - TD'!AI51="","",'M3 Allocations - TD'!AI51)</f>
        <v>1339485.02</v>
      </c>
      <c r="X3" s="62">
        <f>IF(+'M3 Allocations - TD'!AJ51="","",'M3 Allocations - TD'!AJ51)</f>
        <v>1179687.1525501083</v>
      </c>
      <c r="Y3" s="62">
        <f>IF(+'M3 Allocations - TD'!AK51="","",'M3 Allocations - TD'!AK51)</f>
        <v>1713493.6167491241</v>
      </c>
      <c r="Z3" s="62">
        <f>IF(+'M3 Allocations - TD'!AL51="","",'M3 Allocations - TD'!AL51)</f>
        <v>2189129.3001568164</v>
      </c>
    </row>
    <row r="4" spans="1:26" x14ac:dyDescent="0.3">
      <c r="A4" s="260"/>
      <c r="B4" s="72" t="s">
        <v>51</v>
      </c>
      <c r="C4" s="139">
        <v>4.8599964800191556E-4</v>
      </c>
      <c r="D4" s="140">
        <f t="shared" ref="D4:K5" si="0">IF(D3="","",C4)</f>
        <v>4.8599964800191556E-4</v>
      </c>
      <c r="E4" s="140">
        <f t="shared" si="0"/>
        <v>4.8599964800191556E-4</v>
      </c>
      <c r="F4" s="140">
        <f t="shared" si="0"/>
        <v>4.8599964800191556E-4</v>
      </c>
      <c r="G4" s="140">
        <f t="shared" si="0"/>
        <v>4.8599964800191556E-4</v>
      </c>
      <c r="H4" s="140">
        <f t="shared" si="0"/>
        <v>4.8599964800191556E-4</v>
      </c>
      <c r="I4" s="140">
        <f t="shared" si="0"/>
        <v>4.8599964800191556E-4</v>
      </c>
      <c r="J4" s="140">
        <f t="shared" si="0"/>
        <v>4.8599964800191556E-4</v>
      </c>
      <c r="K4" s="140">
        <f>IF(K3="","",J4)</f>
        <v>4.8599964800191556E-4</v>
      </c>
      <c r="L4" s="140">
        <f t="shared" ref="L4:Z5" si="1">IF(L3="","",K4)</f>
        <v>4.8599964800191556E-4</v>
      </c>
      <c r="M4" s="140">
        <f t="shared" si="1"/>
        <v>4.8599964800191556E-4</v>
      </c>
      <c r="N4" s="140">
        <f t="shared" si="1"/>
        <v>4.8599964800191556E-4</v>
      </c>
      <c r="O4" s="139">
        <v>1.2863998837670668E-3</v>
      </c>
      <c r="P4" s="140">
        <f t="shared" si="1"/>
        <v>1.2863998837670668E-3</v>
      </c>
      <c r="Q4" s="140">
        <f t="shared" si="1"/>
        <v>1.2863998837670668E-3</v>
      </c>
      <c r="R4" s="140">
        <f t="shared" si="1"/>
        <v>1.2863998837670668E-3</v>
      </c>
      <c r="S4" s="140">
        <f t="shared" si="1"/>
        <v>1.2863998837670668E-3</v>
      </c>
      <c r="T4" s="140">
        <f t="shared" si="1"/>
        <v>1.2863998837670668E-3</v>
      </c>
      <c r="U4" s="140">
        <f t="shared" si="1"/>
        <v>1.2863998837670668E-3</v>
      </c>
      <c r="V4" s="140">
        <f t="shared" si="1"/>
        <v>1.2863998837670668E-3</v>
      </c>
      <c r="W4" s="140">
        <f t="shared" si="1"/>
        <v>1.2863998837670668E-3</v>
      </c>
      <c r="X4" s="140">
        <f t="shared" si="1"/>
        <v>1.2863998837670668E-3</v>
      </c>
      <c r="Y4" s="140">
        <f t="shared" si="1"/>
        <v>1.2863998837670668E-3</v>
      </c>
      <c r="Z4" s="140">
        <f t="shared" si="1"/>
        <v>1.2863998837670668E-3</v>
      </c>
    </row>
    <row r="5" spans="1:26" x14ac:dyDescent="0.3">
      <c r="A5" s="260"/>
      <c r="B5" s="72" t="s">
        <v>67</v>
      </c>
      <c r="C5" s="141">
        <v>-9.6766427460826909E-5</v>
      </c>
      <c r="D5" s="142">
        <f t="shared" si="0"/>
        <v>-9.6766427460826909E-5</v>
      </c>
      <c r="E5" s="142">
        <f t="shared" si="0"/>
        <v>-9.6766427460826909E-5</v>
      </c>
      <c r="F5" s="142">
        <f t="shared" si="0"/>
        <v>-9.6766427460826909E-5</v>
      </c>
      <c r="G5" s="142">
        <f t="shared" si="0"/>
        <v>-9.6766427460826909E-5</v>
      </c>
      <c r="H5" s="142">
        <f t="shared" si="0"/>
        <v>-9.6766427460826909E-5</v>
      </c>
      <c r="I5" s="142">
        <f t="shared" si="0"/>
        <v>-9.6766427460826909E-5</v>
      </c>
      <c r="J5" s="142">
        <f t="shared" si="0"/>
        <v>-9.6766427460826909E-5</v>
      </c>
      <c r="K5" s="142">
        <f t="shared" si="0"/>
        <v>-9.6766427460826909E-5</v>
      </c>
      <c r="L5" s="142">
        <f t="shared" si="1"/>
        <v>-9.6766427460826909E-5</v>
      </c>
      <c r="M5" s="142">
        <f t="shared" si="1"/>
        <v>-9.6766427460826909E-5</v>
      </c>
      <c r="N5" s="142">
        <f t="shared" si="1"/>
        <v>-9.6766427460826909E-5</v>
      </c>
      <c r="O5" s="141">
        <v>2.418373850290787E-4</v>
      </c>
      <c r="P5" s="142">
        <f t="shared" si="1"/>
        <v>2.418373850290787E-4</v>
      </c>
      <c r="Q5" s="142">
        <f t="shared" si="1"/>
        <v>2.418373850290787E-4</v>
      </c>
      <c r="R5" s="142">
        <f t="shared" si="1"/>
        <v>2.418373850290787E-4</v>
      </c>
      <c r="S5" s="142">
        <f t="shared" si="1"/>
        <v>2.418373850290787E-4</v>
      </c>
      <c r="T5" s="142">
        <f t="shared" si="1"/>
        <v>2.418373850290787E-4</v>
      </c>
      <c r="U5" s="142">
        <f t="shared" si="1"/>
        <v>2.418373850290787E-4</v>
      </c>
      <c r="V5" s="142">
        <f t="shared" si="1"/>
        <v>2.418373850290787E-4</v>
      </c>
      <c r="W5" s="142">
        <f t="shared" si="1"/>
        <v>2.418373850290787E-4</v>
      </c>
      <c r="X5" s="142">
        <f t="shared" si="1"/>
        <v>2.418373850290787E-4</v>
      </c>
      <c r="Y5" s="142">
        <f t="shared" si="1"/>
        <v>2.418373850290787E-4</v>
      </c>
      <c r="Z5" s="142">
        <f t="shared" si="1"/>
        <v>2.418373850290787E-4</v>
      </c>
    </row>
    <row r="6" spans="1:26" x14ac:dyDescent="0.3">
      <c r="A6" s="260"/>
      <c r="B6" s="72" t="s">
        <v>59</v>
      </c>
      <c r="C6" s="61">
        <f t="shared" ref="C6:D6" si="2">IF(C3="","",SUM(C4:C5))</f>
        <v>3.8923322054108865E-4</v>
      </c>
      <c r="D6" s="61">
        <f t="shared" si="2"/>
        <v>3.8923322054108865E-4</v>
      </c>
      <c r="E6" s="61">
        <f t="shared" ref="E6:I6" si="3">IF(E3="","",SUM(E4:E5))</f>
        <v>3.8923322054108865E-4</v>
      </c>
      <c r="F6" s="61">
        <f t="shared" si="3"/>
        <v>3.8923322054108865E-4</v>
      </c>
      <c r="G6" s="61">
        <f t="shared" si="3"/>
        <v>3.8923322054108865E-4</v>
      </c>
      <c r="H6" s="61">
        <f t="shared" si="3"/>
        <v>3.8923322054108865E-4</v>
      </c>
      <c r="I6" s="61">
        <f t="shared" si="3"/>
        <v>3.8923322054108865E-4</v>
      </c>
      <c r="J6" s="61">
        <f>IF(J3="","",SUM(J4:J5))</f>
        <v>3.8923322054108865E-4</v>
      </c>
      <c r="K6" s="61">
        <f>IF(K3="","",SUM(K4:K5))</f>
        <v>3.8923322054108865E-4</v>
      </c>
      <c r="L6" s="61">
        <f t="shared" ref="L6:Z6" si="4">IF(L3="","",SUM(L4:L5))</f>
        <v>3.8923322054108865E-4</v>
      </c>
      <c r="M6" s="61">
        <f t="shared" si="4"/>
        <v>3.8923322054108865E-4</v>
      </c>
      <c r="N6" s="61">
        <f t="shared" si="4"/>
        <v>3.8923322054108865E-4</v>
      </c>
      <c r="O6" s="61">
        <f t="shared" si="4"/>
        <v>1.5282372687961455E-3</v>
      </c>
      <c r="P6" s="61">
        <f t="shared" si="4"/>
        <v>1.5282372687961455E-3</v>
      </c>
      <c r="Q6" s="61">
        <f t="shared" si="4"/>
        <v>1.5282372687961455E-3</v>
      </c>
      <c r="R6" s="61">
        <f t="shared" si="4"/>
        <v>1.5282372687961455E-3</v>
      </c>
      <c r="S6" s="61">
        <f t="shared" si="4"/>
        <v>1.5282372687961455E-3</v>
      </c>
      <c r="T6" s="61">
        <f t="shared" si="4"/>
        <v>1.5282372687961455E-3</v>
      </c>
      <c r="U6" s="61">
        <f t="shared" si="4"/>
        <v>1.5282372687961455E-3</v>
      </c>
      <c r="V6" s="61">
        <f t="shared" si="4"/>
        <v>1.5282372687961455E-3</v>
      </c>
      <c r="W6" s="61">
        <f t="shared" si="4"/>
        <v>1.5282372687961455E-3</v>
      </c>
      <c r="X6" s="61">
        <f t="shared" si="4"/>
        <v>1.5282372687961455E-3</v>
      </c>
      <c r="Y6" s="61">
        <f t="shared" si="4"/>
        <v>1.5282372687961455E-3</v>
      </c>
      <c r="Z6" s="61">
        <f t="shared" si="4"/>
        <v>1.5282372687961455E-3</v>
      </c>
    </row>
    <row r="7" spans="1:26" x14ac:dyDescent="0.3">
      <c r="A7" s="260"/>
      <c r="B7" s="72" t="s">
        <v>52</v>
      </c>
      <c r="C7" s="65">
        <f t="shared" ref="C7:I7" si="5">IF(C3="","",IFERROR(C5/C6,""))</f>
        <v>-0.24860783292419911</v>
      </c>
      <c r="D7" s="65">
        <f t="shared" si="5"/>
        <v>-0.24860783292419911</v>
      </c>
      <c r="E7" s="65">
        <f t="shared" si="5"/>
        <v>-0.24860783292419911</v>
      </c>
      <c r="F7" s="65">
        <f t="shared" si="5"/>
        <v>-0.24860783292419911</v>
      </c>
      <c r="G7" s="65">
        <f t="shared" si="5"/>
        <v>-0.24860783292419911</v>
      </c>
      <c r="H7" s="65">
        <f t="shared" si="5"/>
        <v>-0.24860783292419911</v>
      </c>
      <c r="I7" s="65">
        <f t="shared" si="5"/>
        <v>-0.24860783292419911</v>
      </c>
      <c r="J7" s="65">
        <f>IF(J3="","",IFERROR(J5/J6,""))</f>
        <v>-0.24860783292419911</v>
      </c>
      <c r="K7" s="65">
        <f>IF(K3="","",IFERROR(K5/K6,""))</f>
        <v>-0.24860783292419911</v>
      </c>
      <c r="L7" s="65">
        <f t="shared" ref="L7:Z7" si="6">IF(L3="","",IFERROR(L5/L6,""))</f>
        <v>-0.24860783292419911</v>
      </c>
      <c r="M7" s="65">
        <f t="shared" si="6"/>
        <v>-0.24860783292419911</v>
      </c>
      <c r="N7" s="65">
        <f t="shared" si="6"/>
        <v>-0.24860783292419911</v>
      </c>
      <c r="O7" s="65">
        <f t="shared" si="6"/>
        <v>0.15824596740765512</v>
      </c>
      <c r="P7" s="65">
        <f t="shared" si="6"/>
        <v>0.15824596740765512</v>
      </c>
      <c r="Q7" s="65">
        <f t="shared" si="6"/>
        <v>0.15824596740765512</v>
      </c>
      <c r="R7" s="65">
        <f t="shared" si="6"/>
        <v>0.15824596740765512</v>
      </c>
      <c r="S7" s="65">
        <f t="shared" si="6"/>
        <v>0.15824596740765512</v>
      </c>
      <c r="T7" s="65">
        <f t="shared" si="6"/>
        <v>0.15824596740765512</v>
      </c>
      <c r="U7" s="65">
        <f t="shared" si="6"/>
        <v>0.15824596740765512</v>
      </c>
      <c r="V7" s="65">
        <f t="shared" si="6"/>
        <v>0.15824596740765512</v>
      </c>
      <c r="W7" s="65">
        <f t="shared" si="6"/>
        <v>0.15824596740765512</v>
      </c>
      <c r="X7" s="65">
        <f t="shared" si="6"/>
        <v>0.15824596740765512</v>
      </c>
      <c r="Y7" s="65">
        <f t="shared" si="6"/>
        <v>0.15824596740765512</v>
      </c>
      <c r="Z7" s="65">
        <f t="shared" si="6"/>
        <v>0.15824596740765512</v>
      </c>
    </row>
    <row r="8" spans="1:26" x14ac:dyDescent="0.3">
      <c r="A8" s="260"/>
      <c r="B8" s="73" t="s">
        <v>53</v>
      </c>
      <c r="C8" s="63">
        <f t="shared" ref="C8:I8" si="7">IF(C3="","",ROUND(C7*C3,2))</f>
        <v>-115732.97</v>
      </c>
      <c r="D8" s="63">
        <f t="shared" si="7"/>
        <v>-104574.51</v>
      </c>
      <c r="E8" s="63">
        <f t="shared" si="7"/>
        <v>-82818.98</v>
      </c>
      <c r="F8" s="63">
        <f t="shared" si="7"/>
        <v>-74005.649999999994</v>
      </c>
      <c r="G8" s="63">
        <f t="shared" si="7"/>
        <v>-97941.18</v>
      </c>
      <c r="H8" s="63">
        <f t="shared" si="7"/>
        <v>-131594.67000000001</v>
      </c>
      <c r="I8" s="63">
        <f t="shared" si="7"/>
        <v>-123527.13</v>
      </c>
      <c r="J8" s="63">
        <f>IF(J3="","",ROUND(J7*J3,2))</f>
        <v>-111322.95</v>
      </c>
      <c r="K8" s="63">
        <f>IF(K3="","",ROUND(K7*K3,2))</f>
        <v>-75219.710000000006</v>
      </c>
      <c r="L8" s="63">
        <f t="shared" ref="L8:Z8" si="8">IF(L3="","",ROUND(L7*L3,2))</f>
        <v>-80241.5</v>
      </c>
      <c r="M8" s="63">
        <f t="shared" si="8"/>
        <v>-106401.64</v>
      </c>
      <c r="N8" s="63">
        <f t="shared" si="8"/>
        <v>-138469.78</v>
      </c>
      <c r="O8" s="63">
        <f t="shared" si="8"/>
        <v>214209.84</v>
      </c>
      <c r="P8" s="63">
        <f t="shared" si="8"/>
        <v>278064.93</v>
      </c>
      <c r="Q8" s="63">
        <f t="shared" si="8"/>
        <v>187629.17</v>
      </c>
      <c r="R8" s="63">
        <f t="shared" si="8"/>
        <v>176283.71</v>
      </c>
      <c r="S8" s="63">
        <f t="shared" si="8"/>
        <v>231223.27</v>
      </c>
      <c r="T8" s="63">
        <f t="shared" si="8"/>
        <v>305423.73</v>
      </c>
      <c r="U8" s="63">
        <f t="shared" si="8"/>
        <v>311615.01</v>
      </c>
      <c r="V8" s="63">
        <f t="shared" si="8"/>
        <v>306092.45</v>
      </c>
      <c r="W8" s="63">
        <f t="shared" si="8"/>
        <v>211968.1</v>
      </c>
      <c r="X8" s="63">
        <f t="shared" si="8"/>
        <v>186680.73</v>
      </c>
      <c r="Y8" s="63">
        <f t="shared" si="8"/>
        <v>271153.46000000002</v>
      </c>
      <c r="Z8" s="63">
        <f t="shared" si="8"/>
        <v>346420.88</v>
      </c>
    </row>
    <row r="9" spans="1:26" x14ac:dyDescent="0.3">
      <c r="A9" s="76"/>
      <c r="B9" s="7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x14ac:dyDescent="0.3">
      <c r="A10" s="260" t="s">
        <v>34</v>
      </c>
      <c r="B10" s="72" t="s">
        <v>49</v>
      </c>
      <c r="C10" s="62">
        <f>IF(+'M3 Allocations - TD'!O52="","",'M3 Allocations - TD'!O52)</f>
        <v>74514.039999999994</v>
      </c>
      <c r="D10" s="62">
        <f>IF(+'M3 Allocations - TD'!P52="","",'M3 Allocations - TD'!P52)</f>
        <v>73821.710000000006</v>
      </c>
      <c r="E10" s="62">
        <f>IF(+'M3 Allocations - TD'!Q52="","",'M3 Allocations - TD'!Q52)</f>
        <v>56719.11</v>
      </c>
      <c r="F10" s="62">
        <f>IF(+'M3 Allocations - TD'!R52="","",'M3 Allocations - TD'!R52)</f>
        <v>51424.73</v>
      </c>
      <c r="G10" s="62">
        <f>IF(+'M3 Allocations - TD'!S52="","",'M3 Allocations - TD'!S52)</f>
        <v>64574.18</v>
      </c>
      <c r="H10" s="62">
        <f>IF(+'M3 Allocations - TD'!T52="","",'M3 Allocations - TD'!T52)</f>
        <v>80406.710000000006</v>
      </c>
      <c r="I10" s="62">
        <f>IF(+'M3 Allocations - TD'!U52="","",'M3 Allocations - TD'!U52)</f>
        <v>78372.460000000006</v>
      </c>
      <c r="J10" s="62">
        <f>IF(+'M3 Allocations - TD'!V52="","",'M3 Allocations - TD'!V52)</f>
        <v>75020.86</v>
      </c>
      <c r="K10" s="62">
        <f>IF(+'M3 Allocations - TD'!W52="","",'M3 Allocations - TD'!W52)</f>
        <v>60809.53</v>
      </c>
      <c r="L10" s="62">
        <f>IF(+'M3 Allocations - TD'!X52="","",'M3 Allocations - TD'!X52)</f>
        <v>60774.8</v>
      </c>
      <c r="M10" s="62">
        <f>IF(+'M3 Allocations - TD'!Y52="","",'M3 Allocations - TD'!Y52)</f>
        <v>70212.570000000007</v>
      </c>
      <c r="N10" s="62">
        <f>IF(+'M3 Allocations - TD'!Z52="","",'M3 Allocations - TD'!Z52)</f>
        <v>83755.55</v>
      </c>
      <c r="O10" s="62">
        <f>IF(+'M3 Allocations - TD'!AA52="","",'M3 Allocations - TD'!AA52)</f>
        <v>247981.23</v>
      </c>
      <c r="P10" s="62">
        <f>IF(+'M3 Allocations - TD'!AB52="","",'M3 Allocations - TD'!AB52)</f>
        <v>383476.26</v>
      </c>
      <c r="Q10" s="62">
        <f>IF(+'M3 Allocations - TD'!AC52="","",'M3 Allocations - TD'!AC52)</f>
        <v>305019.12</v>
      </c>
      <c r="R10" s="62">
        <f>IF(+'M3 Allocations - TD'!AD52="","",'M3 Allocations - TD'!AD52)</f>
        <v>298211.62</v>
      </c>
      <c r="S10" s="62">
        <f>IF(+'M3 Allocations - TD'!AE52="","",'M3 Allocations - TD'!AE52)</f>
        <v>355738.71</v>
      </c>
      <c r="T10" s="62">
        <f>IF(+'M3 Allocations - TD'!AF52="","",'M3 Allocations - TD'!AF52)</f>
        <v>421100.95</v>
      </c>
      <c r="U10" s="62">
        <f>IF(+'M3 Allocations - TD'!AG52="","",'M3 Allocations - TD'!AG52)</f>
        <v>421260.25</v>
      </c>
      <c r="V10" s="62">
        <f>IF(+'M3 Allocations - TD'!AH52="","",'M3 Allocations - TD'!AH52)</f>
        <v>425647.35</v>
      </c>
      <c r="W10" s="62">
        <f>IF(+'M3 Allocations - TD'!AI52="","",'M3 Allocations - TD'!AI52)</f>
        <v>355043.17</v>
      </c>
      <c r="X10" s="62">
        <f>IF(+'M3 Allocations - TD'!AJ52="","",'M3 Allocations - TD'!AJ52)</f>
        <v>315360.70624298305</v>
      </c>
      <c r="Y10" s="62">
        <f>IF(+'M3 Allocations - TD'!AK52="","",'M3 Allocations - TD'!AK52)</f>
        <v>376981.63747557125</v>
      </c>
      <c r="Z10" s="62">
        <f>IF(+'M3 Allocations - TD'!AL52="","",'M3 Allocations - TD'!AL52)</f>
        <v>443179.42222355079</v>
      </c>
    </row>
    <row r="11" spans="1:26" x14ac:dyDescent="0.3">
      <c r="A11" s="260"/>
      <c r="B11" s="72" t="s">
        <v>51</v>
      </c>
      <c r="C11" s="139">
        <v>3.4644873094528316E-4</v>
      </c>
      <c r="D11" s="142">
        <f t="shared" ref="D11:K12" si="9">IF(D10="","",C11)</f>
        <v>3.4644873094528316E-4</v>
      </c>
      <c r="E11" s="142">
        <f t="shared" si="9"/>
        <v>3.4644873094528316E-4</v>
      </c>
      <c r="F11" s="142">
        <f t="shared" si="9"/>
        <v>3.4644873094528316E-4</v>
      </c>
      <c r="G11" s="142">
        <f t="shared" si="9"/>
        <v>3.4644873094528316E-4</v>
      </c>
      <c r="H11" s="142">
        <f t="shared" si="9"/>
        <v>3.4644873094528316E-4</v>
      </c>
      <c r="I11" s="142">
        <f t="shared" si="9"/>
        <v>3.4644873094528316E-4</v>
      </c>
      <c r="J11" s="142">
        <f t="shared" si="9"/>
        <v>3.4644873094528316E-4</v>
      </c>
      <c r="K11" s="142">
        <f t="shared" si="9"/>
        <v>3.4644873094528316E-4</v>
      </c>
      <c r="L11" s="142">
        <f t="shared" ref="L11:L12" si="10">IF(L10="","",K11)</f>
        <v>3.4644873094528316E-4</v>
      </c>
      <c r="M11" s="142">
        <f t="shared" ref="M11:M12" si="11">IF(M10="","",L11)</f>
        <v>3.4644873094528316E-4</v>
      </c>
      <c r="N11" s="142">
        <f t="shared" ref="N11:N12" si="12">IF(N10="","",M11)</f>
        <v>3.4644873094528316E-4</v>
      </c>
      <c r="O11" s="141">
        <v>1.2887847704183462E-3</v>
      </c>
      <c r="P11" s="142">
        <f t="shared" ref="P11:P12" si="13">IF(P10="","",O11)</f>
        <v>1.2887847704183462E-3</v>
      </c>
      <c r="Q11" s="142">
        <f t="shared" ref="Q11:Q12" si="14">IF(Q10="","",P11)</f>
        <v>1.2887847704183462E-3</v>
      </c>
      <c r="R11" s="142">
        <f t="shared" ref="R11:R12" si="15">IF(R10="","",Q11)</f>
        <v>1.2887847704183462E-3</v>
      </c>
      <c r="S11" s="142">
        <f t="shared" ref="S11:S12" si="16">IF(S10="","",R11)</f>
        <v>1.2887847704183462E-3</v>
      </c>
      <c r="T11" s="142">
        <f t="shared" ref="T11:T12" si="17">IF(T10="","",S11)</f>
        <v>1.2887847704183462E-3</v>
      </c>
      <c r="U11" s="142">
        <f t="shared" ref="U11:U12" si="18">IF(U10="","",T11)</f>
        <v>1.2887847704183462E-3</v>
      </c>
      <c r="V11" s="142">
        <f t="shared" ref="V11:V12" si="19">IF(V10="","",U11)</f>
        <v>1.2887847704183462E-3</v>
      </c>
      <c r="W11" s="142">
        <f t="shared" ref="W11:W12" si="20">IF(W10="","",V11)</f>
        <v>1.2887847704183462E-3</v>
      </c>
      <c r="X11" s="142">
        <f t="shared" ref="X11:X12" si="21">IF(X10="","",W11)</f>
        <v>1.2887847704183462E-3</v>
      </c>
      <c r="Y11" s="142">
        <f t="shared" ref="Y11:Y12" si="22">IF(Y10="","",X11)</f>
        <v>1.2887847704183462E-3</v>
      </c>
      <c r="Z11" s="142">
        <f t="shared" ref="Z11:Z12" si="23">IF(Z10="","",Y11)</f>
        <v>1.2887847704183462E-3</v>
      </c>
    </row>
    <row r="12" spans="1:26" x14ac:dyDescent="0.3">
      <c r="A12" s="260"/>
      <c r="B12" s="72" t="s">
        <v>50</v>
      </c>
      <c r="C12" s="141">
        <v>-6.7394838749343863E-5</v>
      </c>
      <c r="D12" s="142">
        <f t="shared" si="9"/>
        <v>-6.7394838749343863E-5</v>
      </c>
      <c r="E12" s="142">
        <f t="shared" si="9"/>
        <v>-6.7394838749343863E-5</v>
      </c>
      <c r="F12" s="142">
        <f t="shared" si="9"/>
        <v>-6.7394838749343863E-5</v>
      </c>
      <c r="G12" s="142">
        <f t="shared" si="9"/>
        <v>-6.7394838749343863E-5</v>
      </c>
      <c r="H12" s="142">
        <f t="shared" si="9"/>
        <v>-6.7394838749343863E-5</v>
      </c>
      <c r="I12" s="142">
        <f t="shared" si="9"/>
        <v>-6.7394838749343863E-5</v>
      </c>
      <c r="J12" s="142">
        <f t="shared" si="9"/>
        <v>-6.7394838749343863E-5</v>
      </c>
      <c r="K12" s="142">
        <f t="shared" si="9"/>
        <v>-6.7394838749343863E-5</v>
      </c>
      <c r="L12" s="142">
        <f t="shared" si="10"/>
        <v>-6.7394838749343863E-5</v>
      </c>
      <c r="M12" s="142">
        <f t="shared" si="11"/>
        <v>-6.7394838749343863E-5</v>
      </c>
      <c r="N12" s="142">
        <f t="shared" si="12"/>
        <v>-6.7394838749343863E-5</v>
      </c>
      <c r="O12" s="141">
        <v>1.5796346253921996E-4</v>
      </c>
      <c r="P12" s="142">
        <f t="shared" si="13"/>
        <v>1.5796346253921996E-4</v>
      </c>
      <c r="Q12" s="142">
        <f t="shared" si="14"/>
        <v>1.5796346253921996E-4</v>
      </c>
      <c r="R12" s="142">
        <f t="shared" si="15"/>
        <v>1.5796346253921996E-4</v>
      </c>
      <c r="S12" s="142">
        <f t="shared" si="16"/>
        <v>1.5796346253921996E-4</v>
      </c>
      <c r="T12" s="142">
        <f t="shared" si="17"/>
        <v>1.5796346253921996E-4</v>
      </c>
      <c r="U12" s="142">
        <f t="shared" si="18"/>
        <v>1.5796346253921996E-4</v>
      </c>
      <c r="V12" s="142">
        <f t="shared" si="19"/>
        <v>1.5796346253921996E-4</v>
      </c>
      <c r="W12" s="142">
        <f t="shared" si="20"/>
        <v>1.5796346253921996E-4</v>
      </c>
      <c r="X12" s="142">
        <f t="shared" si="21"/>
        <v>1.5796346253921996E-4</v>
      </c>
      <c r="Y12" s="142">
        <f t="shared" si="22"/>
        <v>1.5796346253921996E-4</v>
      </c>
      <c r="Z12" s="142">
        <f t="shared" si="23"/>
        <v>1.5796346253921996E-4</v>
      </c>
    </row>
    <row r="13" spans="1:26" x14ac:dyDescent="0.3">
      <c r="A13" s="260"/>
      <c r="B13" s="72" t="s">
        <v>59</v>
      </c>
      <c r="C13" s="61">
        <f t="shared" ref="C13:D13" si="24">IF(C10="","",SUM(C11:C12))</f>
        <v>2.7905389219593928E-4</v>
      </c>
      <c r="D13" s="61">
        <f t="shared" si="24"/>
        <v>2.7905389219593928E-4</v>
      </c>
      <c r="E13" s="61">
        <f t="shared" ref="E13:K13" si="25">IF(E10="","",SUM(E11:E12))</f>
        <v>2.7905389219593928E-4</v>
      </c>
      <c r="F13" s="61">
        <f t="shared" si="25"/>
        <v>2.7905389219593928E-4</v>
      </c>
      <c r="G13" s="61">
        <f t="shared" si="25"/>
        <v>2.7905389219593928E-4</v>
      </c>
      <c r="H13" s="61">
        <f t="shared" si="25"/>
        <v>2.7905389219593928E-4</v>
      </c>
      <c r="I13" s="61">
        <f t="shared" si="25"/>
        <v>2.7905389219593928E-4</v>
      </c>
      <c r="J13" s="61">
        <f t="shared" si="25"/>
        <v>2.7905389219593928E-4</v>
      </c>
      <c r="K13" s="61">
        <f t="shared" si="25"/>
        <v>2.7905389219593928E-4</v>
      </c>
      <c r="L13" s="61">
        <f t="shared" ref="L13:Z13" si="26">IF(L10="","",SUM(L11:L12))</f>
        <v>2.7905389219593928E-4</v>
      </c>
      <c r="M13" s="61">
        <f t="shared" si="26"/>
        <v>2.7905389219593928E-4</v>
      </c>
      <c r="N13" s="61">
        <f t="shared" si="26"/>
        <v>2.7905389219593928E-4</v>
      </c>
      <c r="O13" s="61">
        <f t="shared" si="26"/>
        <v>1.4467482329575661E-3</v>
      </c>
      <c r="P13" s="61">
        <f t="shared" si="26"/>
        <v>1.4467482329575661E-3</v>
      </c>
      <c r="Q13" s="61">
        <f t="shared" si="26"/>
        <v>1.4467482329575661E-3</v>
      </c>
      <c r="R13" s="61">
        <f t="shared" si="26"/>
        <v>1.4467482329575661E-3</v>
      </c>
      <c r="S13" s="61">
        <f t="shared" si="26"/>
        <v>1.4467482329575661E-3</v>
      </c>
      <c r="T13" s="61">
        <f t="shared" si="26"/>
        <v>1.4467482329575661E-3</v>
      </c>
      <c r="U13" s="61">
        <f t="shared" si="26"/>
        <v>1.4467482329575661E-3</v>
      </c>
      <c r="V13" s="61">
        <f t="shared" si="26"/>
        <v>1.4467482329575661E-3</v>
      </c>
      <c r="W13" s="61">
        <f t="shared" si="26"/>
        <v>1.4467482329575661E-3</v>
      </c>
      <c r="X13" s="61">
        <f t="shared" si="26"/>
        <v>1.4467482329575661E-3</v>
      </c>
      <c r="Y13" s="61">
        <f t="shared" si="26"/>
        <v>1.4467482329575661E-3</v>
      </c>
      <c r="Z13" s="61">
        <f t="shared" si="26"/>
        <v>1.4467482329575661E-3</v>
      </c>
    </row>
    <row r="14" spans="1:26" x14ac:dyDescent="0.3">
      <c r="A14" s="260"/>
      <c r="B14" s="72" t="s">
        <v>52</v>
      </c>
      <c r="C14" s="65">
        <f t="shared" ref="C14:K14" si="27">IF(C10="","",IFERROR(C12/C13,""))</f>
        <v>-0.24151191090365509</v>
      </c>
      <c r="D14" s="65">
        <f t="shared" si="27"/>
        <v>-0.24151191090365509</v>
      </c>
      <c r="E14" s="65">
        <f t="shared" si="27"/>
        <v>-0.24151191090365509</v>
      </c>
      <c r="F14" s="65">
        <f t="shared" si="27"/>
        <v>-0.24151191090365509</v>
      </c>
      <c r="G14" s="65">
        <f t="shared" si="27"/>
        <v>-0.24151191090365509</v>
      </c>
      <c r="H14" s="65">
        <f t="shared" si="27"/>
        <v>-0.24151191090365509</v>
      </c>
      <c r="I14" s="65">
        <f t="shared" si="27"/>
        <v>-0.24151191090365509</v>
      </c>
      <c r="J14" s="65">
        <f t="shared" si="27"/>
        <v>-0.24151191090365509</v>
      </c>
      <c r="K14" s="65">
        <f t="shared" si="27"/>
        <v>-0.24151191090365509</v>
      </c>
      <c r="L14" s="65">
        <f t="shared" ref="L14:Z14" si="28">IF(L10="","",IFERROR(L12/L13,""))</f>
        <v>-0.24151191090365509</v>
      </c>
      <c r="M14" s="65">
        <f t="shared" si="28"/>
        <v>-0.24151191090365509</v>
      </c>
      <c r="N14" s="65">
        <f t="shared" si="28"/>
        <v>-0.24151191090365509</v>
      </c>
      <c r="O14" s="65">
        <f t="shared" si="28"/>
        <v>0.1091851774488071</v>
      </c>
      <c r="P14" s="65">
        <f t="shared" si="28"/>
        <v>0.1091851774488071</v>
      </c>
      <c r="Q14" s="65">
        <f t="shared" si="28"/>
        <v>0.1091851774488071</v>
      </c>
      <c r="R14" s="65">
        <f t="shared" si="28"/>
        <v>0.1091851774488071</v>
      </c>
      <c r="S14" s="65">
        <f t="shared" si="28"/>
        <v>0.1091851774488071</v>
      </c>
      <c r="T14" s="65">
        <f t="shared" si="28"/>
        <v>0.1091851774488071</v>
      </c>
      <c r="U14" s="65">
        <f t="shared" si="28"/>
        <v>0.1091851774488071</v>
      </c>
      <c r="V14" s="65">
        <f t="shared" si="28"/>
        <v>0.1091851774488071</v>
      </c>
      <c r="W14" s="65">
        <f t="shared" si="28"/>
        <v>0.1091851774488071</v>
      </c>
      <c r="X14" s="65">
        <f t="shared" si="28"/>
        <v>0.1091851774488071</v>
      </c>
      <c r="Y14" s="65">
        <f t="shared" si="28"/>
        <v>0.1091851774488071</v>
      </c>
      <c r="Z14" s="65">
        <f t="shared" si="28"/>
        <v>0.1091851774488071</v>
      </c>
    </row>
    <row r="15" spans="1:26" x14ac:dyDescent="0.3">
      <c r="A15" s="260"/>
      <c r="B15" s="73" t="s">
        <v>53</v>
      </c>
      <c r="C15" s="63">
        <f t="shared" ref="C15:K15" si="29">IF(C10="","",ROUND(C14*C10,2))</f>
        <v>-17996.03</v>
      </c>
      <c r="D15" s="63">
        <f t="shared" si="29"/>
        <v>-17828.82</v>
      </c>
      <c r="E15" s="63">
        <f t="shared" si="29"/>
        <v>-13698.34</v>
      </c>
      <c r="F15" s="63">
        <f t="shared" si="29"/>
        <v>-12419.68</v>
      </c>
      <c r="G15" s="63">
        <f t="shared" si="29"/>
        <v>-15595.43</v>
      </c>
      <c r="H15" s="63">
        <f t="shared" si="29"/>
        <v>-19419.18</v>
      </c>
      <c r="I15" s="63">
        <f t="shared" si="29"/>
        <v>-18927.88</v>
      </c>
      <c r="J15" s="63">
        <f t="shared" si="29"/>
        <v>-18118.43</v>
      </c>
      <c r="K15" s="63">
        <f t="shared" si="29"/>
        <v>-14686.23</v>
      </c>
      <c r="L15" s="63">
        <f t="shared" ref="L15:Z15" si="30">IF(L10="","",ROUND(L14*L10,2))</f>
        <v>-14677.84</v>
      </c>
      <c r="M15" s="63">
        <f t="shared" si="30"/>
        <v>-16957.169999999998</v>
      </c>
      <c r="N15" s="63">
        <f t="shared" si="30"/>
        <v>-20227.96</v>
      </c>
      <c r="O15" s="63">
        <f t="shared" si="30"/>
        <v>27075.87</v>
      </c>
      <c r="P15" s="63">
        <f t="shared" si="30"/>
        <v>41869.919999999998</v>
      </c>
      <c r="Q15" s="63">
        <f t="shared" si="30"/>
        <v>33303.57</v>
      </c>
      <c r="R15" s="63">
        <f t="shared" si="30"/>
        <v>32560.29</v>
      </c>
      <c r="S15" s="63">
        <f t="shared" si="30"/>
        <v>38841.39</v>
      </c>
      <c r="T15" s="63">
        <f t="shared" si="30"/>
        <v>45977.98</v>
      </c>
      <c r="U15" s="63">
        <f t="shared" si="30"/>
        <v>45995.38</v>
      </c>
      <c r="V15" s="63">
        <f t="shared" si="30"/>
        <v>46474.38</v>
      </c>
      <c r="W15" s="63">
        <f t="shared" si="30"/>
        <v>38765.449999999997</v>
      </c>
      <c r="X15" s="63">
        <f t="shared" si="30"/>
        <v>34432.71</v>
      </c>
      <c r="Y15" s="63">
        <f t="shared" si="30"/>
        <v>41160.81</v>
      </c>
      <c r="Z15" s="63">
        <f t="shared" si="30"/>
        <v>48388.62</v>
      </c>
    </row>
    <row r="16" spans="1:26" x14ac:dyDescent="0.3">
      <c r="A16" s="76"/>
      <c r="B16" s="7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spans="1:26" x14ac:dyDescent="0.3">
      <c r="A17" s="260" t="s">
        <v>35</v>
      </c>
      <c r="B17" s="72" t="s">
        <v>49</v>
      </c>
      <c r="C17" s="62">
        <f>IF(+'M3 Allocations - TD'!O53="","",'M3 Allocations - TD'!O53)</f>
        <v>108510.2</v>
      </c>
      <c r="D17" s="62">
        <f>IF(+'M3 Allocations - TD'!P53="","",'M3 Allocations - TD'!P53)</f>
        <v>102469.35</v>
      </c>
      <c r="E17" s="62">
        <f>IF(+'M3 Allocations - TD'!Q53="","",'M3 Allocations - TD'!Q53)</f>
        <v>87569.04</v>
      </c>
      <c r="F17" s="62">
        <f>IF(+'M3 Allocations - TD'!R53="","",'M3 Allocations - TD'!R53)</f>
        <v>81676.990000000005</v>
      </c>
      <c r="G17" s="62">
        <f>IF(+'M3 Allocations - TD'!S53="","",'M3 Allocations - TD'!S53)</f>
        <v>96788.800000000003</v>
      </c>
      <c r="H17" s="62">
        <f>IF(+'M3 Allocations - TD'!T53="","",'M3 Allocations - TD'!T53)</f>
        <v>113009.35</v>
      </c>
      <c r="I17" s="62">
        <f>IF(+'M3 Allocations - TD'!U53="","",'M3 Allocations - TD'!U53)</f>
        <v>112596.34</v>
      </c>
      <c r="J17" s="62">
        <f>IF(+'M3 Allocations - TD'!V53="","",'M3 Allocations - TD'!V53)</f>
        <v>112065.74</v>
      </c>
      <c r="K17" s="62">
        <f>IF(+'M3 Allocations - TD'!W53="","",'M3 Allocations - TD'!W53)</f>
        <v>95621.75</v>
      </c>
      <c r="L17" s="62">
        <f>IF(+'M3 Allocations - TD'!X53="","",'M3 Allocations - TD'!X53)</f>
        <v>93151.01</v>
      </c>
      <c r="M17" s="62">
        <f>IF(+'M3 Allocations - TD'!Y53="","",'M3 Allocations - TD'!Y53)</f>
        <v>100114.88</v>
      </c>
      <c r="N17" s="62">
        <f>IF(+'M3 Allocations - TD'!Z53="","",'M3 Allocations - TD'!Z53)</f>
        <v>107296.64</v>
      </c>
      <c r="O17" s="62">
        <f>IF(+'M3 Allocations - TD'!AA53="","",'M3 Allocations - TD'!AA53)</f>
        <v>327311.55</v>
      </c>
      <c r="P17" s="62">
        <f>IF(+'M3 Allocations - TD'!AB53="","",'M3 Allocations - TD'!AB53)</f>
        <v>570755.55000000005</v>
      </c>
      <c r="Q17" s="62">
        <f>IF(+'M3 Allocations - TD'!AC53="","",'M3 Allocations - TD'!AC53)</f>
        <v>508276</v>
      </c>
      <c r="R17" s="62">
        <f>IF(+'M3 Allocations - TD'!AD53="","",'M3 Allocations - TD'!AD53)</f>
        <v>517711.44</v>
      </c>
      <c r="S17" s="62">
        <f>IF(+'M3 Allocations - TD'!AE53="","",'M3 Allocations - TD'!AE53)</f>
        <v>575315.39</v>
      </c>
      <c r="T17" s="62">
        <f>IF(+'M3 Allocations - TD'!AF53="","",'M3 Allocations - TD'!AF53)</f>
        <v>673826.02</v>
      </c>
      <c r="U17" s="62">
        <f>IF(+'M3 Allocations - TD'!AG53="","",'M3 Allocations - TD'!AG53)</f>
        <v>667802.68999999994</v>
      </c>
      <c r="V17" s="62">
        <f>IF(+'M3 Allocations - TD'!AH53="","",'M3 Allocations - TD'!AH53)</f>
        <v>680633.38</v>
      </c>
      <c r="W17" s="62">
        <f>IF(+'M3 Allocations - TD'!AI53="","",'M3 Allocations - TD'!AI53)</f>
        <v>598281.09</v>
      </c>
      <c r="X17" s="62">
        <f>IF(+'M3 Allocations - TD'!AJ53="","",'M3 Allocations - TD'!AJ53)</f>
        <v>543597.1328580163</v>
      </c>
      <c r="Y17" s="62">
        <f>IF(+'M3 Allocations - TD'!AK53="","",'M3 Allocations - TD'!AK53)</f>
        <v>587596.69439629209</v>
      </c>
      <c r="Z17" s="62">
        <f>IF(+'M3 Allocations - TD'!AL53="","",'M3 Allocations - TD'!AL53)</f>
        <v>642649.68233208696</v>
      </c>
    </row>
    <row r="18" spans="1:26" x14ac:dyDescent="0.3">
      <c r="A18" s="260"/>
      <c r="B18" s="72" t="s">
        <v>51</v>
      </c>
      <c r="C18" s="139">
        <v>2.4889105871721853E-4</v>
      </c>
      <c r="D18" s="142">
        <f t="shared" ref="D18:K19" si="31">IF(D17="","",C18)</f>
        <v>2.4889105871721853E-4</v>
      </c>
      <c r="E18" s="142">
        <f t="shared" si="31"/>
        <v>2.4889105871721853E-4</v>
      </c>
      <c r="F18" s="142">
        <f t="shared" si="31"/>
        <v>2.4889105871721853E-4</v>
      </c>
      <c r="G18" s="142">
        <f t="shared" si="31"/>
        <v>2.4889105871721853E-4</v>
      </c>
      <c r="H18" s="142">
        <f t="shared" si="31"/>
        <v>2.4889105871721853E-4</v>
      </c>
      <c r="I18" s="142">
        <f t="shared" si="31"/>
        <v>2.4889105871721853E-4</v>
      </c>
      <c r="J18" s="142">
        <f t="shared" si="31"/>
        <v>2.4889105871721853E-4</v>
      </c>
      <c r="K18" s="142">
        <f t="shared" si="31"/>
        <v>2.4889105871721853E-4</v>
      </c>
      <c r="L18" s="142">
        <f t="shared" ref="L18:L19" si="32">IF(L17="","",K18)</f>
        <v>2.4889105871721853E-4</v>
      </c>
      <c r="M18" s="142">
        <f t="shared" ref="M18:M19" si="33">IF(M17="","",L18)</f>
        <v>2.4889105871721853E-4</v>
      </c>
      <c r="N18" s="142">
        <f t="shared" ref="N18:N19" si="34">IF(N17="","",M18)</f>
        <v>2.4889105871721853E-4</v>
      </c>
      <c r="O18" s="141">
        <v>9.6618899912876528E-4</v>
      </c>
      <c r="P18" s="142">
        <f t="shared" ref="P18:P19" si="35">IF(P17="","",O18)</f>
        <v>9.6618899912876528E-4</v>
      </c>
      <c r="Q18" s="142">
        <f t="shared" ref="Q18:Q19" si="36">IF(Q17="","",P18)</f>
        <v>9.6618899912876528E-4</v>
      </c>
      <c r="R18" s="142">
        <f t="shared" ref="R18:R19" si="37">IF(R17="","",Q18)</f>
        <v>9.6618899912876528E-4</v>
      </c>
      <c r="S18" s="142">
        <f t="shared" ref="S18:S19" si="38">IF(S17="","",R18)</f>
        <v>9.6618899912876528E-4</v>
      </c>
      <c r="T18" s="142">
        <f t="shared" ref="T18:T19" si="39">IF(T17="","",S18)</f>
        <v>9.6618899912876528E-4</v>
      </c>
      <c r="U18" s="142">
        <f t="shared" ref="U18:U19" si="40">IF(U17="","",T18)</f>
        <v>9.6618899912876528E-4</v>
      </c>
      <c r="V18" s="142">
        <f t="shared" ref="V18:V19" si="41">IF(V17="","",U18)</f>
        <v>9.6618899912876528E-4</v>
      </c>
      <c r="W18" s="142">
        <f t="shared" ref="W18:W19" si="42">IF(W17="","",V18)</f>
        <v>9.6618899912876528E-4</v>
      </c>
      <c r="X18" s="142">
        <f t="shared" ref="X18:X19" si="43">IF(X17="","",W18)</f>
        <v>9.6618899912876528E-4</v>
      </c>
      <c r="Y18" s="142">
        <f t="shared" ref="Y18:Y19" si="44">IF(Y17="","",X18)</f>
        <v>9.6618899912876528E-4</v>
      </c>
      <c r="Z18" s="142">
        <f t="shared" ref="Z18:Z19" si="45">IF(Z17="","",Y18)</f>
        <v>9.6618899912876528E-4</v>
      </c>
    </row>
    <row r="19" spans="1:26" x14ac:dyDescent="0.3">
      <c r="A19" s="260"/>
      <c r="B19" s="72" t="s">
        <v>50</v>
      </c>
      <c r="C19" s="141">
        <v>-6.7783107808315319E-5</v>
      </c>
      <c r="D19" s="142">
        <f t="shared" si="31"/>
        <v>-6.7783107808315319E-5</v>
      </c>
      <c r="E19" s="142">
        <f t="shared" si="31"/>
        <v>-6.7783107808315319E-5</v>
      </c>
      <c r="F19" s="142">
        <f t="shared" si="31"/>
        <v>-6.7783107808315319E-5</v>
      </c>
      <c r="G19" s="142">
        <f t="shared" si="31"/>
        <v>-6.7783107808315319E-5</v>
      </c>
      <c r="H19" s="142">
        <f t="shared" si="31"/>
        <v>-6.7783107808315319E-5</v>
      </c>
      <c r="I19" s="142">
        <f t="shared" si="31"/>
        <v>-6.7783107808315319E-5</v>
      </c>
      <c r="J19" s="142">
        <f t="shared" si="31"/>
        <v>-6.7783107808315319E-5</v>
      </c>
      <c r="K19" s="142">
        <f t="shared" si="31"/>
        <v>-6.7783107808315319E-5</v>
      </c>
      <c r="L19" s="142">
        <f t="shared" si="32"/>
        <v>-6.7783107808315319E-5</v>
      </c>
      <c r="M19" s="142">
        <f t="shared" si="33"/>
        <v>-6.7783107808315319E-5</v>
      </c>
      <c r="N19" s="142">
        <f t="shared" si="34"/>
        <v>-6.7783107808315319E-5</v>
      </c>
      <c r="O19" s="141">
        <v>8.6183052517347037E-5</v>
      </c>
      <c r="P19" s="142">
        <f t="shared" si="35"/>
        <v>8.6183052517347037E-5</v>
      </c>
      <c r="Q19" s="142">
        <f t="shared" si="36"/>
        <v>8.6183052517347037E-5</v>
      </c>
      <c r="R19" s="142">
        <f t="shared" si="37"/>
        <v>8.6183052517347037E-5</v>
      </c>
      <c r="S19" s="142">
        <f t="shared" si="38"/>
        <v>8.6183052517347037E-5</v>
      </c>
      <c r="T19" s="142">
        <f t="shared" si="39"/>
        <v>8.6183052517347037E-5</v>
      </c>
      <c r="U19" s="142">
        <f t="shared" si="40"/>
        <v>8.6183052517347037E-5</v>
      </c>
      <c r="V19" s="142">
        <f t="shared" si="41"/>
        <v>8.6183052517347037E-5</v>
      </c>
      <c r="W19" s="142">
        <f t="shared" si="42"/>
        <v>8.6183052517347037E-5</v>
      </c>
      <c r="X19" s="142">
        <f t="shared" si="43"/>
        <v>8.6183052517347037E-5</v>
      </c>
      <c r="Y19" s="142">
        <f t="shared" si="44"/>
        <v>8.6183052517347037E-5</v>
      </c>
      <c r="Z19" s="142">
        <f t="shared" si="45"/>
        <v>8.6183052517347037E-5</v>
      </c>
    </row>
    <row r="20" spans="1:26" x14ac:dyDescent="0.3">
      <c r="A20" s="260"/>
      <c r="B20" s="72" t="s">
        <v>59</v>
      </c>
      <c r="C20" s="61">
        <f t="shared" ref="C20:D20" si="46">IF(C17="","",SUM(C18:C19))</f>
        <v>1.8110795090890323E-4</v>
      </c>
      <c r="D20" s="61">
        <f t="shared" si="46"/>
        <v>1.8110795090890323E-4</v>
      </c>
      <c r="E20" s="61">
        <f t="shared" ref="E20:K20" si="47">IF(E17="","",SUM(E18:E19))</f>
        <v>1.8110795090890323E-4</v>
      </c>
      <c r="F20" s="61">
        <f t="shared" si="47"/>
        <v>1.8110795090890323E-4</v>
      </c>
      <c r="G20" s="61">
        <f t="shared" si="47"/>
        <v>1.8110795090890323E-4</v>
      </c>
      <c r="H20" s="61">
        <f t="shared" si="47"/>
        <v>1.8110795090890323E-4</v>
      </c>
      <c r="I20" s="61">
        <f t="shared" si="47"/>
        <v>1.8110795090890323E-4</v>
      </c>
      <c r="J20" s="61">
        <f t="shared" si="47"/>
        <v>1.8110795090890323E-4</v>
      </c>
      <c r="K20" s="61">
        <f t="shared" si="47"/>
        <v>1.8110795090890323E-4</v>
      </c>
      <c r="L20" s="61">
        <f t="shared" ref="L20:Z20" si="48">IF(L17="","",SUM(L18:L19))</f>
        <v>1.8110795090890323E-4</v>
      </c>
      <c r="M20" s="61">
        <f t="shared" si="48"/>
        <v>1.8110795090890323E-4</v>
      </c>
      <c r="N20" s="61">
        <f t="shared" si="48"/>
        <v>1.8110795090890323E-4</v>
      </c>
      <c r="O20" s="61">
        <f t="shared" si="48"/>
        <v>1.0523720516461123E-3</v>
      </c>
      <c r="P20" s="61">
        <f t="shared" si="48"/>
        <v>1.0523720516461123E-3</v>
      </c>
      <c r="Q20" s="61">
        <f t="shared" si="48"/>
        <v>1.0523720516461123E-3</v>
      </c>
      <c r="R20" s="61">
        <f t="shared" si="48"/>
        <v>1.0523720516461123E-3</v>
      </c>
      <c r="S20" s="61">
        <f t="shared" si="48"/>
        <v>1.0523720516461123E-3</v>
      </c>
      <c r="T20" s="61">
        <f t="shared" si="48"/>
        <v>1.0523720516461123E-3</v>
      </c>
      <c r="U20" s="61">
        <f t="shared" si="48"/>
        <v>1.0523720516461123E-3</v>
      </c>
      <c r="V20" s="61">
        <f t="shared" si="48"/>
        <v>1.0523720516461123E-3</v>
      </c>
      <c r="W20" s="61">
        <f t="shared" si="48"/>
        <v>1.0523720516461123E-3</v>
      </c>
      <c r="X20" s="61">
        <f t="shared" si="48"/>
        <v>1.0523720516461123E-3</v>
      </c>
      <c r="Y20" s="61">
        <f t="shared" si="48"/>
        <v>1.0523720516461123E-3</v>
      </c>
      <c r="Z20" s="61">
        <f t="shared" si="48"/>
        <v>1.0523720516461123E-3</v>
      </c>
    </row>
    <row r="21" spans="1:26" x14ac:dyDescent="0.3">
      <c r="A21" s="260"/>
      <c r="B21" s="72" t="s">
        <v>52</v>
      </c>
      <c r="C21" s="65">
        <f t="shared" ref="C21:K21" si="49">IF(C17="","",IFERROR(C19/C20,""))</f>
        <v>-0.37426908906064554</v>
      </c>
      <c r="D21" s="65">
        <f t="shared" si="49"/>
        <v>-0.37426908906064554</v>
      </c>
      <c r="E21" s="65">
        <f t="shared" si="49"/>
        <v>-0.37426908906064554</v>
      </c>
      <c r="F21" s="65">
        <f t="shared" si="49"/>
        <v>-0.37426908906064554</v>
      </c>
      <c r="G21" s="65">
        <f t="shared" si="49"/>
        <v>-0.37426908906064554</v>
      </c>
      <c r="H21" s="65">
        <f t="shared" si="49"/>
        <v>-0.37426908906064554</v>
      </c>
      <c r="I21" s="65">
        <f t="shared" si="49"/>
        <v>-0.37426908906064554</v>
      </c>
      <c r="J21" s="65">
        <f t="shared" si="49"/>
        <v>-0.37426908906064554</v>
      </c>
      <c r="K21" s="65">
        <f t="shared" si="49"/>
        <v>-0.37426908906064554</v>
      </c>
      <c r="L21" s="65">
        <f t="shared" ref="L21:Z21" si="50">IF(L17="","",IFERROR(L19/L20,""))</f>
        <v>-0.37426908906064554</v>
      </c>
      <c r="M21" s="65">
        <f t="shared" si="50"/>
        <v>-0.37426908906064554</v>
      </c>
      <c r="N21" s="65">
        <f t="shared" si="50"/>
        <v>-0.37426908906064554</v>
      </c>
      <c r="O21" s="65">
        <f t="shared" si="50"/>
        <v>8.189409095627366E-2</v>
      </c>
      <c r="P21" s="65">
        <f t="shared" si="50"/>
        <v>8.189409095627366E-2</v>
      </c>
      <c r="Q21" s="65">
        <f t="shared" si="50"/>
        <v>8.189409095627366E-2</v>
      </c>
      <c r="R21" s="65">
        <f t="shared" si="50"/>
        <v>8.189409095627366E-2</v>
      </c>
      <c r="S21" s="65">
        <f t="shared" si="50"/>
        <v>8.189409095627366E-2</v>
      </c>
      <c r="T21" s="65">
        <f t="shared" si="50"/>
        <v>8.189409095627366E-2</v>
      </c>
      <c r="U21" s="65">
        <f t="shared" si="50"/>
        <v>8.189409095627366E-2</v>
      </c>
      <c r="V21" s="65">
        <f t="shared" si="50"/>
        <v>8.189409095627366E-2</v>
      </c>
      <c r="W21" s="65">
        <f t="shared" si="50"/>
        <v>8.189409095627366E-2</v>
      </c>
      <c r="X21" s="65">
        <f t="shared" si="50"/>
        <v>8.189409095627366E-2</v>
      </c>
      <c r="Y21" s="65">
        <f t="shared" si="50"/>
        <v>8.189409095627366E-2</v>
      </c>
      <c r="Z21" s="65">
        <f t="shared" si="50"/>
        <v>8.189409095627366E-2</v>
      </c>
    </row>
    <row r="22" spans="1:26" x14ac:dyDescent="0.3">
      <c r="A22" s="260"/>
      <c r="B22" s="73" t="s">
        <v>53</v>
      </c>
      <c r="C22" s="63">
        <f t="shared" ref="C22:K22" si="51">IF(C17="","",ROUND(C21*C17,2))</f>
        <v>-40612.01</v>
      </c>
      <c r="D22" s="63">
        <f t="shared" si="51"/>
        <v>-38351.11</v>
      </c>
      <c r="E22" s="63">
        <f t="shared" si="51"/>
        <v>-32774.379999999997</v>
      </c>
      <c r="F22" s="63">
        <f t="shared" si="51"/>
        <v>-30569.17</v>
      </c>
      <c r="G22" s="63">
        <f t="shared" si="51"/>
        <v>-36225.06</v>
      </c>
      <c r="H22" s="63">
        <f t="shared" si="51"/>
        <v>-42295.91</v>
      </c>
      <c r="I22" s="63">
        <f t="shared" si="51"/>
        <v>-42141.33</v>
      </c>
      <c r="J22" s="63">
        <f t="shared" si="51"/>
        <v>-41942.74</v>
      </c>
      <c r="K22" s="63">
        <f t="shared" si="51"/>
        <v>-35788.269999999997</v>
      </c>
      <c r="L22" s="63">
        <f t="shared" ref="L22:Z22" si="52">IF(L17="","",ROUND(L21*L17,2))</f>
        <v>-34863.54</v>
      </c>
      <c r="M22" s="63">
        <f t="shared" si="52"/>
        <v>-37469.9</v>
      </c>
      <c r="N22" s="63">
        <f t="shared" si="52"/>
        <v>-40157.82</v>
      </c>
      <c r="O22" s="63">
        <f t="shared" si="52"/>
        <v>26804.880000000001</v>
      </c>
      <c r="P22" s="63">
        <f t="shared" si="52"/>
        <v>46741.51</v>
      </c>
      <c r="Q22" s="63">
        <f t="shared" si="52"/>
        <v>41624.800000000003</v>
      </c>
      <c r="R22" s="63">
        <f t="shared" si="52"/>
        <v>42397.51</v>
      </c>
      <c r="S22" s="63">
        <f t="shared" si="52"/>
        <v>47114.93</v>
      </c>
      <c r="T22" s="63">
        <f t="shared" si="52"/>
        <v>55182.37</v>
      </c>
      <c r="U22" s="63">
        <f t="shared" si="52"/>
        <v>54689.09</v>
      </c>
      <c r="V22" s="63">
        <f t="shared" si="52"/>
        <v>55739.85</v>
      </c>
      <c r="W22" s="63">
        <f t="shared" si="52"/>
        <v>48995.69</v>
      </c>
      <c r="X22" s="63">
        <f t="shared" si="52"/>
        <v>44517.39</v>
      </c>
      <c r="Y22" s="63">
        <f t="shared" si="52"/>
        <v>48120.7</v>
      </c>
      <c r="Z22" s="63">
        <f t="shared" si="52"/>
        <v>52629.21</v>
      </c>
    </row>
    <row r="23" spans="1:26" x14ac:dyDescent="0.3">
      <c r="A23" s="76"/>
      <c r="B23" s="7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</row>
    <row r="24" spans="1:26" x14ac:dyDescent="0.3">
      <c r="A24" s="260" t="s">
        <v>36</v>
      </c>
      <c r="B24" s="72" t="s">
        <v>49</v>
      </c>
      <c r="C24" s="62">
        <f>IF(+'M3 Allocations - TD'!O54="","",'M3 Allocations - TD'!O54)</f>
        <v>45259.54</v>
      </c>
      <c r="D24" s="62">
        <f>IF(+'M3 Allocations - TD'!P54="","",'M3 Allocations - TD'!P54)</f>
        <v>39182.19</v>
      </c>
      <c r="E24" s="62">
        <f>IF(+'M3 Allocations - TD'!Q54="","",'M3 Allocations - TD'!Q54)</f>
        <v>38273.29</v>
      </c>
      <c r="F24" s="62">
        <f>IF(+'M3 Allocations - TD'!R54="","",'M3 Allocations - TD'!R54)</f>
        <v>36030.870000000003</v>
      </c>
      <c r="G24" s="62">
        <f>IF(+'M3 Allocations - TD'!S54="","",'M3 Allocations - TD'!S54)</f>
        <v>41962.67</v>
      </c>
      <c r="H24" s="62">
        <f>IF(+'M3 Allocations - TD'!T54="","",'M3 Allocations - TD'!T54)</f>
        <v>44167.05</v>
      </c>
      <c r="I24" s="62">
        <f>IF(+'M3 Allocations - TD'!U54="","",'M3 Allocations - TD'!U54)</f>
        <v>46294.41</v>
      </c>
      <c r="J24" s="62">
        <f>IF(+'M3 Allocations - TD'!V54="","",'M3 Allocations - TD'!V54)</f>
        <v>46306.19</v>
      </c>
      <c r="K24" s="62">
        <f>IF(+'M3 Allocations - TD'!W54="","",'M3 Allocations - TD'!W54)</f>
        <v>41160.14</v>
      </c>
      <c r="L24" s="62">
        <f>IF(+'M3 Allocations - TD'!X54="","",'M3 Allocations - TD'!X54)</f>
        <v>40868.620000000003</v>
      </c>
      <c r="M24" s="62">
        <f>IF(+'M3 Allocations - TD'!Y54="","",'M3 Allocations - TD'!Y54)</f>
        <v>42762.14</v>
      </c>
      <c r="N24" s="62">
        <f>IF(+'M3 Allocations - TD'!Z54="","",'M3 Allocations - TD'!Z54)</f>
        <v>41986.66</v>
      </c>
      <c r="O24" s="62">
        <f>IF(+'M3 Allocations - TD'!AA54="","",'M3 Allocations - TD'!AA54)</f>
        <v>113037.43</v>
      </c>
      <c r="P24" s="62">
        <f>IF(+'M3 Allocations - TD'!AB54="","",'M3 Allocations - TD'!AB54)</f>
        <v>187949.41</v>
      </c>
      <c r="Q24" s="62">
        <f>IF(+'M3 Allocations - TD'!AC54="","",'M3 Allocations - TD'!AC54)</f>
        <v>188602.4</v>
      </c>
      <c r="R24" s="62">
        <f>IF(+'M3 Allocations - TD'!AD54="","",'M3 Allocations - TD'!AD54)</f>
        <v>195382.67</v>
      </c>
      <c r="S24" s="62">
        <f>IF(+'M3 Allocations - TD'!AE54="","",'M3 Allocations - TD'!AE54)</f>
        <v>188207.84</v>
      </c>
      <c r="T24" s="62">
        <f>IF(+'M3 Allocations - TD'!AF54="","",'M3 Allocations - TD'!AF54)</f>
        <v>251615.09</v>
      </c>
      <c r="U24" s="62">
        <f>IF(+'M3 Allocations - TD'!AG54="","",'M3 Allocations - TD'!AG54)</f>
        <v>231015.31</v>
      </c>
      <c r="V24" s="62">
        <f>IF(+'M3 Allocations - TD'!AH54="","",'M3 Allocations - TD'!AH54)</f>
        <v>233947.55</v>
      </c>
      <c r="W24" s="62">
        <f>IF(+'M3 Allocations - TD'!AI54="","",'M3 Allocations - TD'!AI54)</f>
        <v>202010.25</v>
      </c>
      <c r="X24" s="62">
        <f>IF(+'M3 Allocations - TD'!AJ54="","",'M3 Allocations - TD'!AJ54)</f>
        <v>203367.39801903593</v>
      </c>
      <c r="Y24" s="62">
        <f>IF(+'M3 Allocations - TD'!AK54="","",'M3 Allocations - TD'!AK54)</f>
        <v>211083.07254362057</v>
      </c>
      <c r="Z24" s="62">
        <f>IF(+'M3 Allocations - TD'!AL54="","",'M3 Allocations - TD'!AL54)</f>
        <v>214793.85998804242</v>
      </c>
    </row>
    <row r="25" spans="1:26" x14ac:dyDescent="0.3">
      <c r="A25" s="260"/>
      <c r="B25" s="72" t="s">
        <v>51</v>
      </c>
      <c r="C25" s="139">
        <v>2.5367471035843018E-4</v>
      </c>
      <c r="D25" s="142">
        <f t="shared" ref="D25:K26" si="53">IF(D24="","",C25)</f>
        <v>2.5367471035843018E-4</v>
      </c>
      <c r="E25" s="142">
        <f t="shared" si="53"/>
        <v>2.5367471035843018E-4</v>
      </c>
      <c r="F25" s="142">
        <f t="shared" si="53"/>
        <v>2.5367471035843018E-4</v>
      </c>
      <c r="G25" s="142">
        <f t="shared" si="53"/>
        <v>2.5367471035843018E-4</v>
      </c>
      <c r="H25" s="142">
        <f t="shared" si="53"/>
        <v>2.5367471035843018E-4</v>
      </c>
      <c r="I25" s="142">
        <f t="shared" si="53"/>
        <v>2.5367471035843018E-4</v>
      </c>
      <c r="J25" s="142">
        <f t="shared" si="53"/>
        <v>2.5367471035843018E-4</v>
      </c>
      <c r="K25" s="142">
        <f t="shared" si="53"/>
        <v>2.5367471035843018E-4</v>
      </c>
      <c r="L25" s="142">
        <f t="shared" ref="L25:L26" si="54">IF(L24="","",K25)</f>
        <v>2.5367471035843018E-4</v>
      </c>
      <c r="M25" s="142">
        <f t="shared" ref="M25:M26" si="55">IF(M24="","",L25)</f>
        <v>2.5367471035843018E-4</v>
      </c>
      <c r="N25" s="142">
        <f t="shared" ref="N25:N26" si="56">IF(N24="","",M25)</f>
        <v>2.5367471035843018E-4</v>
      </c>
      <c r="O25" s="141">
        <v>8.3774060384398373E-4</v>
      </c>
      <c r="P25" s="142">
        <f t="shared" ref="P25:P26" si="57">IF(P24="","",O25)</f>
        <v>8.3774060384398373E-4</v>
      </c>
      <c r="Q25" s="142">
        <f t="shared" ref="Q25:Q26" si="58">IF(Q24="","",P25)</f>
        <v>8.3774060384398373E-4</v>
      </c>
      <c r="R25" s="142">
        <f t="shared" ref="R25:R26" si="59">IF(R24="","",Q25)</f>
        <v>8.3774060384398373E-4</v>
      </c>
      <c r="S25" s="142">
        <f t="shared" ref="S25:S26" si="60">IF(S24="","",R25)</f>
        <v>8.3774060384398373E-4</v>
      </c>
      <c r="T25" s="142">
        <f t="shared" ref="T25:T26" si="61">IF(T24="","",S25)</f>
        <v>8.3774060384398373E-4</v>
      </c>
      <c r="U25" s="142">
        <f t="shared" ref="U25:U26" si="62">IF(U24="","",T25)</f>
        <v>8.3774060384398373E-4</v>
      </c>
      <c r="V25" s="142">
        <f t="shared" ref="V25:V26" si="63">IF(V24="","",U25)</f>
        <v>8.3774060384398373E-4</v>
      </c>
      <c r="W25" s="142">
        <f t="shared" ref="W25:W26" si="64">IF(W24="","",V25)</f>
        <v>8.3774060384398373E-4</v>
      </c>
      <c r="X25" s="142">
        <f t="shared" ref="X25:X26" si="65">IF(X24="","",W25)</f>
        <v>8.3774060384398373E-4</v>
      </c>
      <c r="Y25" s="142">
        <f t="shared" ref="Y25:Y26" si="66">IF(Y24="","",X25)</f>
        <v>8.3774060384398373E-4</v>
      </c>
      <c r="Z25" s="142">
        <f t="shared" ref="Z25:Z26" si="67">IF(Z24="","",Y25)</f>
        <v>8.3774060384398373E-4</v>
      </c>
    </row>
    <row r="26" spans="1:26" x14ac:dyDescent="0.3">
      <c r="A26" s="260"/>
      <c r="B26" s="72" t="s">
        <v>50</v>
      </c>
      <c r="C26" s="141">
        <v>-7.9632920155371304E-5</v>
      </c>
      <c r="D26" s="142">
        <f t="shared" si="53"/>
        <v>-7.9632920155371304E-5</v>
      </c>
      <c r="E26" s="142">
        <f t="shared" si="53"/>
        <v>-7.9632920155371304E-5</v>
      </c>
      <c r="F26" s="142">
        <f t="shared" si="53"/>
        <v>-7.9632920155371304E-5</v>
      </c>
      <c r="G26" s="142">
        <f t="shared" si="53"/>
        <v>-7.9632920155371304E-5</v>
      </c>
      <c r="H26" s="142">
        <f t="shared" si="53"/>
        <v>-7.9632920155371304E-5</v>
      </c>
      <c r="I26" s="142">
        <f t="shared" si="53"/>
        <v>-7.9632920155371304E-5</v>
      </c>
      <c r="J26" s="142">
        <f t="shared" si="53"/>
        <v>-7.9632920155371304E-5</v>
      </c>
      <c r="K26" s="142">
        <f t="shared" si="53"/>
        <v>-7.9632920155371304E-5</v>
      </c>
      <c r="L26" s="142">
        <f t="shared" si="54"/>
        <v>-7.9632920155371304E-5</v>
      </c>
      <c r="M26" s="142">
        <f t="shared" si="55"/>
        <v>-7.9632920155371304E-5</v>
      </c>
      <c r="N26" s="142">
        <f t="shared" si="56"/>
        <v>-7.9632920155371304E-5</v>
      </c>
      <c r="O26" s="141">
        <v>4.0604417384412134E-5</v>
      </c>
      <c r="P26" s="142">
        <f t="shared" si="57"/>
        <v>4.0604417384412134E-5</v>
      </c>
      <c r="Q26" s="142">
        <f t="shared" si="58"/>
        <v>4.0604417384412134E-5</v>
      </c>
      <c r="R26" s="142">
        <f t="shared" si="59"/>
        <v>4.0604417384412134E-5</v>
      </c>
      <c r="S26" s="142">
        <f t="shared" si="60"/>
        <v>4.0604417384412134E-5</v>
      </c>
      <c r="T26" s="142">
        <f t="shared" si="61"/>
        <v>4.0604417384412134E-5</v>
      </c>
      <c r="U26" s="142">
        <f t="shared" si="62"/>
        <v>4.0604417384412134E-5</v>
      </c>
      <c r="V26" s="142">
        <f t="shared" si="63"/>
        <v>4.0604417384412134E-5</v>
      </c>
      <c r="W26" s="142">
        <f t="shared" si="64"/>
        <v>4.0604417384412134E-5</v>
      </c>
      <c r="X26" s="142">
        <f t="shared" si="65"/>
        <v>4.0604417384412134E-5</v>
      </c>
      <c r="Y26" s="142">
        <f t="shared" si="66"/>
        <v>4.0604417384412134E-5</v>
      </c>
      <c r="Z26" s="142">
        <f t="shared" si="67"/>
        <v>4.0604417384412134E-5</v>
      </c>
    </row>
    <row r="27" spans="1:26" x14ac:dyDescent="0.3">
      <c r="A27" s="260"/>
      <c r="B27" s="72" t="s">
        <v>59</v>
      </c>
      <c r="C27" s="61">
        <f t="shared" ref="C27:D27" si="68">IF(C24="","",SUM(C25:C26))</f>
        <v>1.7404179020305888E-4</v>
      </c>
      <c r="D27" s="61">
        <f t="shared" si="68"/>
        <v>1.7404179020305888E-4</v>
      </c>
      <c r="E27" s="61">
        <f t="shared" ref="E27:K27" si="69">IF(E24="","",SUM(E25:E26))</f>
        <v>1.7404179020305888E-4</v>
      </c>
      <c r="F27" s="61">
        <f t="shared" si="69"/>
        <v>1.7404179020305888E-4</v>
      </c>
      <c r="G27" s="61">
        <f t="shared" si="69"/>
        <v>1.7404179020305888E-4</v>
      </c>
      <c r="H27" s="61">
        <f t="shared" si="69"/>
        <v>1.7404179020305888E-4</v>
      </c>
      <c r="I27" s="61">
        <f t="shared" si="69"/>
        <v>1.7404179020305888E-4</v>
      </c>
      <c r="J27" s="61">
        <f t="shared" si="69"/>
        <v>1.7404179020305888E-4</v>
      </c>
      <c r="K27" s="61">
        <f t="shared" si="69"/>
        <v>1.7404179020305888E-4</v>
      </c>
      <c r="L27" s="61">
        <f t="shared" ref="L27:Z27" si="70">IF(L24="","",SUM(L25:L26))</f>
        <v>1.7404179020305888E-4</v>
      </c>
      <c r="M27" s="61">
        <f t="shared" si="70"/>
        <v>1.7404179020305888E-4</v>
      </c>
      <c r="N27" s="61">
        <f t="shared" si="70"/>
        <v>1.7404179020305888E-4</v>
      </c>
      <c r="O27" s="61">
        <f t="shared" si="70"/>
        <v>8.7834502122839588E-4</v>
      </c>
      <c r="P27" s="61">
        <f t="shared" si="70"/>
        <v>8.7834502122839588E-4</v>
      </c>
      <c r="Q27" s="61">
        <f t="shared" si="70"/>
        <v>8.7834502122839588E-4</v>
      </c>
      <c r="R27" s="61">
        <f t="shared" si="70"/>
        <v>8.7834502122839588E-4</v>
      </c>
      <c r="S27" s="61">
        <f t="shared" si="70"/>
        <v>8.7834502122839588E-4</v>
      </c>
      <c r="T27" s="61">
        <f t="shared" si="70"/>
        <v>8.7834502122839588E-4</v>
      </c>
      <c r="U27" s="61">
        <f t="shared" si="70"/>
        <v>8.7834502122839588E-4</v>
      </c>
      <c r="V27" s="61">
        <f t="shared" si="70"/>
        <v>8.7834502122839588E-4</v>
      </c>
      <c r="W27" s="61">
        <f t="shared" si="70"/>
        <v>8.7834502122839588E-4</v>
      </c>
      <c r="X27" s="61">
        <f t="shared" si="70"/>
        <v>8.7834502122839588E-4</v>
      </c>
      <c r="Y27" s="61">
        <f t="shared" si="70"/>
        <v>8.7834502122839588E-4</v>
      </c>
      <c r="Z27" s="61">
        <f t="shared" si="70"/>
        <v>8.7834502122839588E-4</v>
      </c>
    </row>
    <row r="28" spans="1:26" x14ac:dyDescent="0.3">
      <c r="A28" s="260"/>
      <c r="B28" s="72" t="s">
        <v>52</v>
      </c>
      <c r="C28" s="65">
        <f t="shared" ref="C28:K28" si="71">IF(C24="","",IFERROR(C26/C27,""))</f>
        <v>-0.45755056910447539</v>
      </c>
      <c r="D28" s="65">
        <f t="shared" si="71"/>
        <v>-0.45755056910447539</v>
      </c>
      <c r="E28" s="65">
        <f t="shared" si="71"/>
        <v>-0.45755056910447539</v>
      </c>
      <c r="F28" s="65">
        <f t="shared" si="71"/>
        <v>-0.45755056910447539</v>
      </c>
      <c r="G28" s="65">
        <f t="shared" si="71"/>
        <v>-0.45755056910447539</v>
      </c>
      <c r="H28" s="65">
        <f t="shared" si="71"/>
        <v>-0.45755056910447539</v>
      </c>
      <c r="I28" s="65">
        <f t="shared" si="71"/>
        <v>-0.45755056910447539</v>
      </c>
      <c r="J28" s="65">
        <f t="shared" si="71"/>
        <v>-0.45755056910447539</v>
      </c>
      <c r="K28" s="65">
        <f t="shared" si="71"/>
        <v>-0.45755056910447539</v>
      </c>
      <c r="L28" s="65">
        <f t="shared" ref="L28:Z28" si="72">IF(L24="","",IFERROR(L26/L27,""))</f>
        <v>-0.45755056910447539</v>
      </c>
      <c r="M28" s="65">
        <f t="shared" si="72"/>
        <v>-0.45755056910447539</v>
      </c>
      <c r="N28" s="65">
        <f t="shared" si="72"/>
        <v>-0.45755056910447539</v>
      </c>
      <c r="O28" s="65">
        <f t="shared" si="72"/>
        <v>4.6228323042835098E-2</v>
      </c>
      <c r="P28" s="65">
        <f t="shared" si="72"/>
        <v>4.6228323042835098E-2</v>
      </c>
      <c r="Q28" s="65">
        <f t="shared" si="72"/>
        <v>4.6228323042835098E-2</v>
      </c>
      <c r="R28" s="65">
        <f t="shared" si="72"/>
        <v>4.6228323042835098E-2</v>
      </c>
      <c r="S28" s="65">
        <f t="shared" si="72"/>
        <v>4.6228323042835098E-2</v>
      </c>
      <c r="T28" s="65">
        <f t="shared" si="72"/>
        <v>4.6228323042835098E-2</v>
      </c>
      <c r="U28" s="65">
        <f t="shared" si="72"/>
        <v>4.6228323042835098E-2</v>
      </c>
      <c r="V28" s="65">
        <f t="shared" si="72"/>
        <v>4.6228323042835098E-2</v>
      </c>
      <c r="W28" s="65">
        <f t="shared" si="72"/>
        <v>4.6228323042835098E-2</v>
      </c>
      <c r="X28" s="65">
        <f t="shared" si="72"/>
        <v>4.6228323042835098E-2</v>
      </c>
      <c r="Y28" s="65">
        <f t="shared" si="72"/>
        <v>4.6228323042835098E-2</v>
      </c>
      <c r="Z28" s="65">
        <f t="shared" si="72"/>
        <v>4.6228323042835098E-2</v>
      </c>
    </row>
    <row r="29" spans="1:26" x14ac:dyDescent="0.3">
      <c r="A29" s="260"/>
      <c r="B29" s="73" t="s">
        <v>53</v>
      </c>
      <c r="C29" s="63">
        <f t="shared" ref="C29:K29" si="73">IF(C24="","",ROUND(C28*C24,2))</f>
        <v>-20708.53</v>
      </c>
      <c r="D29" s="63">
        <f t="shared" si="73"/>
        <v>-17927.830000000002</v>
      </c>
      <c r="E29" s="63">
        <f t="shared" si="73"/>
        <v>-17511.97</v>
      </c>
      <c r="F29" s="63">
        <f t="shared" si="73"/>
        <v>-16485.95</v>
      </c>
      <c r="G29" s="63">
        <f t="shared" si="73"/>
        <v>-19200.04</v>
      </c>
      <c r="H29" s="63">
        <f t="shared" si="73"/>
        <v>-20208.66</v>
      </c>
      <c r="I29" s="63">
        <f t="shared" si="73"/>
        <v>-21182.03</v>
      </c>
      <c r="J29" s="63">
        <f t="shared" si="73"/>
        <v>-21187.42</v>
      </c>
      <c r="K29" s="63">
        <f t="shared" si="73"/>
        <v>-18832.849999999999</v>
      </c>
      <c r="L29" s="63">
        <f t="shared" ref="L29:Z29" si="74">IF(L24="","",ROUND(L28*L24,2))</f>
        <v>-18699.46</v>
      </c>
      <c r="M29" s="63">
        <f t="shared" si="74"/>
        <v>-19565.84</v>
      </c>
      <c r="N29" s="63">
        <f t="shared" si="74"/>
        <v>-19211.02</v>
      </c>
      <c r="O29" s="63">
        <f t="shared" si="74"/>
        <v>5225.53</v>
      </c>
      <c r="P29" s="63">
        <f t="shared" si="74"/>
        <v>8688.59</v>
      </c>
      <c r="Q29" s="63">
        <f t="shared" si="74"/>
        <v>8718.77</v>
      </c>
      <c r="R29" s="63">
        <f t="shared" si="74"/>
        <v>9032.2099999999991</v>
      </c>
      <c r="S29" s="63">
        <f t="shared" si="74"/>
        <v>8700.5300000000007</v>
      </c>
      <c r="T29" s="63">
        <f t="shared" si="74"/>
        <v>11631.74</v>
      </c>
      <c r="U29" s="63">
        <f t="shared" si="74"/>
        <v>10679.45</v>
      </c>
      <c r="V29" s="63">
        <f t="shared" si="74"/>
        <v>10815</v>
      </c>
      <c r="W29" s="63">
        <f t="shared" si="74"/>
        <v>9338.6</v>
      </c>
      <c r="X29" s="63">
        <f t="shared" si="74"/>
        <v>9401.33</v>
      </c>
      <c r="Y29" s="63">
        <f t="shared" si="74"/>
        <v>9758.02</v>
      </c>
      <c r="Z29" s="63">
        <f t="shared" si="74"/>
        <v>9929.56</v>
      </c>
    </row>
    <row r="30" spans="1:26" x14ac:dyDescent="0.3">
      <c r="A30" s="76"/>
      <c r="B30" s="7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 spans="1:26" x14ac:dyDescent="0.3">
      <c r="A31" s="260" t="s">
        <v>37</v>
      </c>
      <c r="B31" s="72" t="s">
        <v>49</v>
      </c>
      <c r="C31" s="62">
        <f>IF(+'M3 Allocations - TD'!O55="","",'M3 Allocations - TD'!O55)</f>
        <v>11571.12</v>
      </c>
      <c r="D31" s="62">
        <f>IF(+'M3 Allocations - TD'!P55="","",'M3 Allocations - TD'!P55)</f>
        <v>19931.79</v>
      </c>
      <c r="E31" s="62">
        <f>IF(+'M3 Allocations - TD'!Q55="","",'M3 Allocations - TD'!Q55)</f>
        <v>21827.09</v>
      </c>
      <c r="F31" s="62">
        <f>IF(+'M3 Allocations - TD'!R55="","",'M3 Allocations - TD'!R55)</f>
        <v>22161.01</v>
      </c>
      <c r="G31" s="62">
        <f>IF(+'M3 Allocations - TD'!S55="","",'M3 Allocations - TD'!S55)</f>
        <v>17306.599999999999</v>
      </c>
      <c r="H31" s="62">
        <f>IF(+'M3 Allocations - TD'!T55="","",'M3 Allocations - TD'!T55)</f>
        <v>24911.24</v>
      </c>
      <c r="I31" s="62">
        <f>IF(+'M3 Allocations - TD'!U55="","",'M3 Allocations - TD'!U55)</f>
        <v>25659.02</v>
      </c>
      <c r="J31" s="62">
        <f>IF(+'M3 Allocations - TD'!V55="","",'M3 Allocations - TD'!V55)</f>
        <v>26024.15</v>
      </c>
      <c r="K31" s="62">
        <f>IF(+'M3 Allocations - TD'!W55="","",'M3 Allocations - TD'!W55)</f>
        <v>22923.1</v>
      </c>
      <c r="L31" s="62">
        <f>IF(+'M3 Allocations - TD'!X55="","",'M3 Allocations - TD'!X55)</f>
        <v>22483.33</v>
      </c>
      <c r="M31" s="62">
        <f>IF(+'M3 Allocations - TD'!Y55="","",'M3 Allocations - TD'!Y55)</f>
        <v>22959.24</v>
      </c>
      <c r="N31" s="62">
        <f>IF(+'M3 Allocations - TD'!Z55="","",'M3 Allocations - TD'!Z55)</f>
        <v>20997.32</v>
      </c>
      <c r="O31" s="62">
        <f>IF(+'M3 Allocations - TD'!AA55="","",'M3 Allocations - TD'!AA55)</f>
        <v>34921.4</v>
      </c>
      <c r="P31" s="62">
        <f>IF(+'M3 Allocations - TD'!AB55="","",'M3 Allocations - TD'!AB55)</f>
        <v>24946.880000000001</v>
      </c>
      <c r="Q31" s="62">
        <f>IF(+'M3 Allocations - TD'!AC55="","",'M3 Allocations - TD'!AC55)</f>
        <v>42288.49</v>
      </c>
      <c r="R31" s="62">
        <f>IF(+'M3 Allocations - TD'!AD55="","",'M3 Allocations - TD'!AD55)</f>
        <v>42963.199999999997</v>
      </c>
      <c r="S31" s="62">
        <f>IF(+'M3 Allocations - TD'!AE55="","",'M3 Allocations - TD'!AE55)</f>
        <v>41464.47</v>
      </c>
      <c r="T31" s="62">
        <f>IF(+'M3 Allocations - TD'!AF55="","",'M3 Allocations - TD'!AF55)</f>
        <v>52916.49</v>
      </c>
      <c r="U31" s="62">
        <f>IF(+'M3 Allocations - TD'!AG55="","",'M3 Allocations - TD'!AG55)</f>
        <v>50374.33</v>
      </c>
      <c r="V31" s="62">
        <f>IF(+'M3 Allocations - TD'!AH55="","",'M3 Allocations - TD'!AH55)</f>
        <v>54469.919999999998</v>
      </c>
      <c r="W31" s="62">
        <f>IF(+'M3 Allocations - TD'!AI55="","",'M3 Allocations - TD'!AI55)</f>
        <v>49925.55</v>
      </c>
      <c r="X31" s="62">
        <f>IF(+'M3 Allocations - TD'!AJ55="","",'M3 Allocations - TD'!AJ55)</f>
        <v>45677.819597241076</v>
      </c>
      <c r="Y31" s="62">
        <f>IF(+'M3 Allocations - TD'!AK55="","",'M3 Allocations - TD'!AK55)</f>
        <v>44701.807090063696</v>
      </c>
      <c r="Z31" s="62">
        <f>IF(+'M3 Allocations - TD'!AL55="","",'M3 Allocations - TD'!AL55)</f>
        <v>44485.608318220271</v>
      </c>
    </row>
    <row r="32" spans="1:26" x14ac:dyDescent="0.3">
      <c r="A32" s="260"/>
      <c r="B32" s="72" t="s">
        <v>51</v>
      </c>
      <c r="C32" s="139">
        <v>2.6814564034692313E-4</v>
      </c>
      <c r="D32" s="142">
        <f t="shared" ref="D32:K33" si="75">IF(D31="","",C32)</f>
        <v>2.6814564034692313E-4</v>
      </c>
      <c r="E32" s="142">
        <f t="shared" si="75"/>
        <v>2.6814564034692313E-4</v>
      </c>
      <c r="F32" s="142">
        <f t="shared" si="75"/>
        <v>2.6814564034692313E-4</v>
      </c>
      <c r="G32" s="142">
        <f t="shared" si="75"/>
        <v>2.6814564034692313E-4</v>
      </c>
      <c r="H32" s="142">
        <f t="shared" si="75"/>
        <v>2.6814564034692313E-4</v>
      </c>
      <c r="I32" s="142">
        <f t="shared" si="75"/>
        <v>2.6814564034692313E-4</v>
      </c>
      <c r="J32" s="142">
        <f t="shared" si="75"/>
        <v>2.6814564034692313E-4</v>
      </c>
      <c r="K32" s="142">
        <f t="shared" si="75"/>
        <v>2.6814564034692313E-4</v>
      </c>
      <c r="L32" s="142">
        <f t="shared" ref="L32:L33" si="76">IF(L31="","",K32)</f>
        <v>2.6814564034692313E-4</v>
      </c>
      <c r="M32" s="142">
        <f t="shared" ref="M32:M33" si="77">IF(M31="","",L32)</f>
        <v>2.6814564034692313E-4</v>
      </c>
      <c r="N32" s="142">
        <f t="shared" ref="N32:N33" si="78">IF(N31="","",M32)</f>
        <v>2.6814564034692313E-4</v>
      </c>
      <c r="O32" s="141">
        <v>5.2795056041353157E-4</v>
      </c>
      <c r="P32" s="142">
        <f t="shared" ref="P32:P33" si="79">IF(P31="","",O32)</f>
        <v>5.2795056041353157E-4</v>
      </c>
      <c r="Q32" s="142">
        <f t="shared" ref="Q32:Q33" si="80">IF(Q31="","",P32)</f>
        <v>5.2795056041353157E-4</v>
      </c>
      <c r="R32" s="142">
        <f t="shared" ref="R32:R33" si="81">IF(R31="","",Q32)</f>
        <v>5.2795056041353157E-4</v>
      </c>
      <c r="S32" s="142">
        <f t="shared" ref="S32:S33" si="82">IF(S31="","",R32)</f>
        <v>5.2795056041353157E-4</v>
      </c>
      <c r="T32" s="142">
        <f t="shared" ref="T32:T33" si="83">IF(T31="","",S32)</f>
        <v>5.2795056041353157E-4</v>
      </c>
      <c r="U32" s="142">
        <f t="shared" ref="U32:U33" si="84">IF(U31="","",T32)</f>
        <v>5.2795056041353157E-4</v>
      </c>
      <c r="V32" s="142">
        <f t="shared" ref="V32:V33" si="85">IF(V31="","",U32)</f>
        <v>5.2795056041353157E-4</v>
      </c>
      <c r="W32" s="142">
        <f t="shared" ref="W32:W33" si="86">IF(W31="","",V32)</f>
        <v>5.2795056041353157E-4</v>
      </c>
      <c r="X32" s="142">
        <f t="shared" ref="X32:X33" si="87">IF(X31="","",W32)</f>
        <v>5.2795056041353157E-4</v>
      </c>
      <c r="Y32" s="142">
        <f t="shared" ref="Y32:Y33" si="88">IF(Y31="","",X32)</f>
        <v>5.2795056041353157E-4</v>
      </c>
      <c r="Z32" s="142">
        <f t="shared" ref="Z32:Z33" si="89">IF(Z31="","",Y32)</f>
        <v>5.2795056041353157E-4</v>
      </c>
    </row>
    <row r="33" spans="1:26" x14ac:dyDescent="0.3">
      <c r="A33" s="260"/>
      <c r="B33" s="72" t="s">
        <v>50</v>
      </c>
      <c r="C33" s="141">
        <v>-3.0856536516336082E-5</v>
      </c>
      <c r="D33" s="142">
        <f t="shared" si="75"/>
        <v>-3.0856536516336082E-5</v>
      </c>
      <c r="E33" s="142">
        <f t="shared" si="75"/>
        <v>-3.0856536516336082E-5</v>
      </c>
      <c r="F33" s="142">
        <f t="shared" si="75"/>
        <v>-3.0856536516336082E-5</v>
      </c>
      <c r="G33" s="142">
        <f t="shared" si="75"/>
        <v>-3.0856536516336082E-5</v>
      </c>
      <c r="H33" s="142">
        <f t="shared" si="75"/>
        <v>-3.0856536516336082E-5</v>
      </c>
      <c r="I33" s="142">
        <f t="shared" si="75"/>
        <v>-3.0856536516336082E-5</v>
      </c>
      <c r="J33" s="142">
        <f t="shared" si="75"/>
        <v>-3.0856536516336082E-5</v>
      </c>
      <c r="K33" s="142">
        <f t="shared" si="75"/>
        <v>-3.0856536516336082E-5</v>
      </c>
      <c r="L33" s="142">
        <f t="shared" si="76"/>
        <v>-3.0856536516336082E-5</v>
      </c>
      <c r="M33" s="142">
        <f t="shared" si="77"/>
        <v>-3.0856536516336082E-5</v>
      </c>
      <c r="N33" s="142">
        <f t="shared" si="78"/>
        <v>-3.0856536516336082E-5</v>
      </c>
      <c r="O33" s="141">
        <v>-5.3003111271666544E-5</v>
      </c>
      <c r="P33" s="142">
        <f t="shared" si="79"/>
        <v>-5.3003111271666544E-5</v>
      </c>
      <c r="Q33" s="142">
        <f t="shared" si="80"/>
        <v>-5.3003111271666544E-5</v>
      </c>
      <c r="R33" s="142">
        <f t="shared" si="81"/>
        <v>-5.3003111271666544E-5</v>
      </c>
      <c r="S33" s="142">
        <f t="shared" si="82"/>
        <v>-5.3003111271666544E-5</v>
      </c>
      <c r="T33" s="142">
        <f t="shared" si="83"/>
        <v>-5.3003111271666544E-5</v>
      </c>
      <c r="U33" s="142">
        <f t="shared" si="84"/>
        <v>-5.3003111271666544E-5</v>
      </c>
      <c r="V33" s="142">
        <f t="shared" si="85"/>
        <v>-5.3003111271666544E-5</v>
      </c>
      <c r="W33" s="142">
        <f t="shared" si="86"/>
        <v>-5.3003111271666544E-5</v>
      </c>
      <c r="X33" s="142">
        <f t="shared" si="87"/>
        <v>-5.3003111271666544E-5</v>
      </c>
      <c r="Y33" s="142">
        <f t="shared" si="88"/>
        <v>-5.3003111271666544E-5</v>
      </c>
      <c r="Z33" s="142">
        <f t="shared" si="89"/>
        <v>-5.3003111271666544E-5</v>
      </c>
    </row>
    <row r="34" spans="1:26" x14ac:dyDescent="0.3">
      <c r="A34" s="260"/>
      <c r="B34" s="72" t="s">
        <v>59</v>
      </c>
      <c r="C34" s="61">
        <f t="shared" ref="C34:D34" si="90">IF(C31="","",SUM(C32:C33))</f>
        <v>2.3728910383058704E-4</v>
      </c>
      <c r="D34" s="61">
        <f t="shared" si="90"/>
        <v>2.3728910383058704E-4</v>
      </c>
      <c r="E34" s="61">
        <f t="shared" ref="E34:K34" si="91">IF(E31="","",SUM(E32:E33))</f>
        <v>2.3728910383058704E-4</v>
      </c>
      <c r="F34" s="61">
        <f t="shared" si="91"/>
        <v>2.3728910383058704E-4</v>
      </c>
      <c r="G34" s="61">
        <f t="shared" si="91"/>
        <v>2.3728910383058704E-4</v>
      </c>
      <c r="H34" s="61">
        <f t="shared" si="91"/>
        <v>2.3728910383058704E-4</v>
      </c>
      <c r="I34" s="61">
        <f t="shared" si="91"/>
        <v>2.3728910383058704E-4</v>
      </c>
      <c r="J34" s="61">
        <f t="shared" si="91"/>
        <v>2.3728910383058704E-4</v>
      </c>
      <c r="K34" s="61">
        <f t="shared" si="91"/>
        <v>2.3728910383058704E-4</v>
      </c>
      <c r="L34" s="61">
        <f t="shared" ref="L34:Z34" si="92">IF(L31="","",SUM(L32:L33))</f>
        <v>2.3728910383058704E-4</v>
      </c>
      <c r="M34" s="61">
        <f t="shared" si="92"/>
        <v>2.3728910383058704E-4</v>
      </c>
      <c r="N34" s="61">
        <f t="shared" si="92"/>
        <v>2.3728910383058704E-4</v>
      </c>
      <c r="O34" s="61">
        <f t="shared" si="92"/>
        <v>4.7494744914186501E-4</v>
      </c>
      <c r="P34" s="61">
        <f t="shared" si="92"/>
        <v>4.7494744914186501E-4</v>
      </c>
      <c r="Q34" s="61">
        <f t="shared" si="92"/>
        <v>4.7494744914186501E-4</v>
      </c>
      <c r="R34" s="61">
        <f t="shared" si="92"/>
        <v>4.7494744914186501E-4</v>
      </c>
      <c r="S34" s="61">
        <f t="shared" si="92"/>
        <v>4.7494744914186501E-4</v>
      </c>
      <c r="T34" s="61">
        <f t="shared" si="92"/>
        <v>4.7494744914186501E-4</v>
      </c>
      <c r="U34" s="61">
        <f t="shared" si="92"/>
        <v>4.7494744914186501E-4</v>
      </c>
      <c r="V34" s="61">
        <f t="shared" si="92"/>
        <v>4.7494744914186501E-4</v>
      </c>
      <c r="W34" s="61">
        <f t="shared" si="92"/>
        <v>4.7494744914186501E-4</v>
      </c>
      <c r="X34" s="61">
        <f t="shared" si="92"/>
        <v>4.7494744914186501E-4</v>
      </c>
      <c r="Y34" s="61">
        <f t="shared" si="92"/>
        <v>4.7494744914186501E-4</v>
      </c>
      <c r="Z34" s="61">
        <f t="shared" si="92"/>
        <v>4.7494744914186501E-4</v>
      </c>
    </row>
    <row r="35" spans="1:26" x14ac:dyDescent="0.3">
      <c r="A35" s="260"/>
      <c r="B35" s="72" t="s">
        <v>52</v>
      </c>
      <c r="C35" s="65">
        <f t="shared" ref="C35:K35" si="93">IF(C31="","",IFERROR(C33/C34,""))</f>
        <v>-0.13003773042341699</v>
      </c>
      <c r="D35" s="65">
        <f t="shared" si="93"/>
        <v>-0.13003773042341699</v>
      </c>
      <c r="E35" s="65">
        <f t="shared" si="93"/>
        <v>-0.13003773042341699</v>
      </c>
      <c r="F35" s="65">
        <f t="shared" si="93"/>
        <v>-0.13003773042341699</v>
      </c>
      <c r="G35" s="65">
        <f t="shared" si="93"/>
        <v>-0.13003773042341699</v>
      </c>
      <c r="H35" s="65">
        <f t="shared" si="93"/>
        <v>-0.13003773042341699</v>
      </c>
      <c r="I35" s="65">
        <f t="shared" si="93"/>
        <v>-0.13003773042341699</v>
      </c>
      <c r="J35" s="65">
        <f t="shared" si="93"/>
        <v>-0.13003773042341699</v>
      </c>
      <c r="K35" s="65">
        <f t="shared" si="93"/>
        <v>-0.13003773042341699</v>
      </c>
      <c r="L35" s="65">
        <f t="shared" ref="L35:Z35" si="94">IF(L31="","",IFERROR(L33/L34,""))</f>
        <v>-0.13003773042341699</v>
      </c>
      <c r="M35" s="65">
        <f t="shared" si="94"/>
        <v>-0.13003773042341699</v>
      </c>
      <c r="N35" s="65">
        <f t="shared" si="94"/>
        <v>-0.13003773042341699</v>
      </c>
      <c r="O35" s="65">
        <f t="shared" si="94"/>
        <v>-0.11159784386132099</v>
      </c>
      <c r="P35" s="65">
        <f t="shared" si="94"/>
        <v>-0.11159784386132099</v>
      </c>
      <c r="Q35" s="65">
        <f t="shared" si="94"/>
        <v>-0.11159784386132099</v>
      </c>
      <c r="R35" s="65">
        <f t="shared" si="94"/>
        <v>-0.11159784386132099</v>
      </c>
      <c r="S35" s="65">
        <f t="shared" si="94"/>
        <v>-0.11159784386132099</v>
      </c>
      <c r="T35" s="65">
        <f t="shared" si="94"/>
        <v>-0.11159784386132099</v>
      </c>
      <c r="U35" s="65">
        <f t="shared" si="94"/>
        <v>-0.11159784386132099</v>
      </c>
      <c r="V35" s="65">
        <f t="shared" si="94"/>
        <v>-0.11159784386132099</v>
      </c>
      <c r="W35" s="65">
        <f t="shared" si="94"/>
        <v>-0.11159784386132099</v>
      </c>
      <c r="X35" s="65">
        <f t="shared" si="94"/>
        <v>-0.11159784386132099</v>
      </c>
      <c r="Y35" s="65">
        <f t="shared" si="94"/>
        <v>-0.11159784386132099</v>
      </c>
      <c r="Z35" s="65">
        <f t="shared" si="94"/>
        <v>-0.11159784386132099</v>
      </c>
    </row>
    <row r="36" spans="1:26" x14ac:dyDescent="0.3">
      <c r="A36" s="260"/>
      <c r="B36" s="73" t="s">
        <v>53</v>
      </c>
      <c r="C36" s="63">
        <f t="shared" ref="C36:K36" si="95">IF(C31="","",ROUND(C35*C31,2))</f>
        <v>-1504.68</v>
      </c>
      <c r="D36" s="63">
        <f t="shared" si="95"/>
        <v>-2591.88</v>
      </c>
      <c r="E36" s="63">
        <f t="shared" si="95"/>
        <v>-2838.35</v>
      </c>
      <c r="F36" s="63">
        <f t="shared" si="95"/>
        <v>-2881.77</v>
      </c>
      <c r="G36" s="63">
        <f t="shared" si="95"/>
        <v>-2250.5100000000002</v>
      </c>
      <c r="H36" s="63">
        <f t="shared" si="95"/>
        <v>-3239.4</v>
      </c>
      <c r="I36" s="63">
        <f t="shared" si="95"/>
        <v>-3336.64</v>
      </c>
      <c r="J36" s="63">
        <f t="shared" si="95"/>
        <v>-3384.12</v>
      </c>
      <c r="K36" s="63">
        <f t="shared" si="95"/>
        <v>-2980.87</v>
      </c>
      <c r="L36" s="63">
        <f t="shared" ref="L36:Z36" si="96">IF(L31="","",ROUND(L35*L31,2))</f>
        <v>-2923.68</v>
      </c>
      <c r="M36" s="63">
        <f t="shared" si="96"/>
        <v>-2985.57</v>
      </c>
      <c r="N36" s="63">
        <f t="shared" si="96"/>
        <v>-2730.44</v>
      </c>
      <c r="O36" s="63">
        <f t="shared" si="96"/>
        <v>-3897.15</v>
      </c>
      <c r="P36" s="63">
        <f t="shared" si="96"/>
        <v>-2784.02</v>
      </c>
      <c r="Q36" s="63">
        <f t="shared" si="96"/>
        <v>-4719.3</v>
      </c>
      <c r="R36" s="63">
        <f t="shared" si="96"/>
        <v>-4794.6000000000004</v>
      </c>
      <c r="S36" s="63">
        <f t="shared" si="96"/>
        <v>-4627.3500000000004</v>
      </c>
      <c r="T36" s="63">
        <f t="shared" si="96"/>
        <v>-5905.37</v>
      </c>
      <c r="U36" s="63">
        <f t="shared" si="96"/>
        <v>-5621.67</v>
      </c>
      <c r="V36" s="63">
        <f t="shared" si="96"/>
        <v>-6078.73</v>
      </c>
      <c r="W36" s="63">
        <f t="shared" si="96"/>
        <v>-5571.58</v>
      </c>
      <c r="X36" s="63">
        <f t="shared" si="96"/>
        <v>-5097.55</v>
      </c>
      <c r="Y36" s="63">
        <f t="shared" si="96"/>
        <v>-4988.63</v>
      </c>
      <c r="Z36" s="63">
        <f t="shared" si="96"/>
        <v>-4964.5</v>
      </c>
    </row>
    <row r="37" spans="1:26" x14ac:dyDescent="0.3">
      <c r="A37" s="77"/>
      <c r="B37" s="75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</row>
  </sheetData>
  <mergeCells count="5">
    <mergeCell ref="A3:A8"/>
    <mergeCell ref="A10:A15"/>
    <mergeCell ref="A17:A22"/>
    <mergeCell ref="A24:A29"/>
    <mergeCell ref="A31:A3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CA184"/>
  <sheetViews>
    <sheetView zoomScale="85" zoomScaleNormal="85" zoomScaleSheetLayoutView="80" workbookViewId="0">
      <pane xSplit="2" ySplit="4" topLeftCell="BF79" activePane="bottomRight" state="frozen"/>
      <selection activeCell="AL26" sqref="AL26"/>
      <selection pane="topRight" activeCell="AL26" sqref="AL26"/>
      <selection pane="bottomLeft" activeCell="AL26" sqref="AL26"/>
      <selection pane="bottomRight" activeCell="BT100" sqref="BT100"/>
    </sheetView>
  </sheetViews>
  <sheetFormatPr defaultColWidth="9.109375" defaultRowHeight="14.4" zeroHeight="1" outlineLevelRow="1" outlineLevelCol="1" x14ac:dyDescent="0.3"/>
  <cols>
    <col min="1" max="1" width="3.109375" style="1" customWidth="1"/>
    <col min="2" max="2" width="50" style="40" customWidth="1"/>
    <col min="3" max="3" width="7.88671875" style="40" customWidth="1" outlineLevel="1"/>
    <col min="4" max="4" width="7.109375" style="40" customWidth="1" outlineLevel="1"/>
    <col min="5" max="14" width="18.6640625" style="40" customWidth="1" outlineLevel="1"/>
    <col min="15" max="15" width="17.88671875" style="40" customWidth="1" outlineLevel="1" collapsed="1"/>
    <col min="16" max="26" width="18.6640625" style="40" customWidth="1" outlineLevel="1"/>
    <col min="27" max="41" width="18.6640625" style="40" customWidth="1"/>
    <col min="42" max="50" width="16" style="40" customWidth="1"/>
    <col min="51" max="51" width="16.88671875" style="40" customWidth="1"/>
    <col min="52" max="52" width="13.5546875" style="40" bestFit="1" customWidth="1"/>
    <col min="53" max="53" width="13.88671875" style="40" bestFit="1" customWidth="1"/>
    <col min="54" max="57" width="13.5546875" style="40" bestFit="1" customWidth="1"/>
    <col min="58" max="58" width="13.88671875" style="40" bestFit="1" customWidth="1"/>
    <col min="59" max="60" width="13.5546875" style="40" bestFit="1" customWidth="1"/>
    <col min="61" max="63" width="13.88671875" style="40" bestFit="1" customWidth="1"/>
    <col min="64" max="75" width="13.5546875" style="40" bestFit="1" customWidth="1"/>
    <col min="76" max="16384" width="9.109375" style="40"/>
  </cols>
  <sheetData>
    <row r="1" spans="1:79" s="2" customFormat="1" ht="15.6" x14ac:dyDescent="0.3">
      <c r="A1" s="50" t="s">
        <v>1</v>
      </c>
    </row>
    <row r="2" spans="1:79" ht="15.6" x14ac:dyDescent="0.3">
      <c r="A2" s="50" t="s">
        <v>7</v>
      </c>
      <c r="B2" s="36"/>
      <c r="C2" s="36"/>
      <c r="D2" s="36"/>
      <c r="W2" s="43"/>
      <c r="X2" s="43"/>
      <c r="Y2" s="43"/>
    </row>
    <row r="3" spans="1:79" x14ac:dyDescent="0.3">
      <c r="A3" s="6"/>
      <c r="AH3" s="43"/>
    </row>
    <row r="4" spans="1:79" x14ac:dyDescent="0.3">
      <c r="A4" s="6"/>
      <c r="C4" s="12">
        <v>42370</v>
      </c>
      <c r="D4" s="12">
        <v>42401</v>
      </c>
      <c r="E4" s="12">
        <v>42430</v>
      </c>
      <c r="F4" s="12">
        <v>42461</v>
      </c>
      <c r="G4" s="12">
        <v>42491</v>
      </c>
      <c r="H4" s="12">
        <v>42522</v>
      </c>
      <c r="I4" s="12">
        <v>42552</v>
      </c>
      <c r="J4" s="12">
        <v>42583</v>
      </c>
      <c r="K4" s="12">
        <v>42614</v>
      </c>
      <c r="L4" s="12">
        <v>42644</v>
      </c>
      <c r="M4" s="12">
        <v>42675</v>
      </c>
      <c r="N4" s="12">
        <v>42705</v>
      </c>
      <c r="O4" s="12">
        <v>42736</v>
      </c>
      <c r="P4" s="12">
        <v>42767</v>
      </c>
      <c r="Q4" s="12">
        <v>42795</v>
      </c>
      <c r="R4" s="12">
        <v>42826</v>
      </c>
      <c r="S4" s="12">
        <v>42856</v>
      </c>
      <c r="T4" s="12">
        <v>42887</v>
      </c>
      <c r="U4" s="12">
        <v>42917</v>
      </c>
      <c r="V4" s="12">
        <v>42948</v>
      </c>
      <c r="W4" s="12">
        <v>42979</v>
      </c>
      <c r="X4" s="12">
        <v>43009</v>
      </c>
      <c r="Y4" s="12">
        <v>43040</v>
      </c>
      <c r="Z4" s="12">
        <v>43070</v>
      </c>
      <c r="AA4" s="12">
        <v>43101</v>
      </c>
      <c r="AB4" s="12">
        <v>43132</v>
      </c>
      <c r="AC4" s="12">
        <v>43160</v>
      </c>
      <c r="AD4" s="12">
        <v>43191</v>
      </c>
      <c r="AE4" s="12">
        <v>43221</v>
      </c>
      <c r="AF4" s="12">
        <v>43252</v>
      </c>
      <c r="AG4" s="12">
        <v>43282</v>
      </c>
      <c r="AH4" s="12">
        <v>43313</v>
      </c>
      <c r="AI4" s="12">
        <v>43344</v>
      </c>
      <c r="AJ4" s="12">
        <v>43374</v>
      </c>
      <c r="AK4" s="12">
        <v>43405</v>
      </c>
      <c r="AL4" s="12">
        <v>43435</v>
      </c>
      <c r="AM4" s="12">
        <v>43466</v>
      </c>
      <c r="AN4" s="12">
        <v>43497</v>
      </c>
      <c r="AO4" s="12">
        <v>43525</v>
      </c>
      <c r="AP4" s="12">
        <v>43556</v>
      </c>
      <c r="AQ4" s="12">
        <v>43586</v>
      </c>
      <c r="AR4" s="12">
        <v>43617</v>
      </c>
      <c r="AS4" s="12">
        <v>43647</v>
      </c>
      <c r="AT4" s="12">
        <v>43678</v>
      </c>
      <c r="AU4" s="12">
        <v>43709</v>
      </c>
      <c r="AV4" s="12">
        <v>43739</v>
      </c>
      <c r="AW4" s="12">
        <v>43770</v>
      </c>
      <c r="AX4" s="12">
        <v>43800</v>
      </c>
      <c r="AY4" s="12">
        <v>43831</v>
      </c>
      <c r="AZ4" s="12">
        <v>43862</v>
      </c>
      <c r="BA4" s="12">
        <v>43891</v>
      </c>
      <c r="BB4" s="12">
        <v>43922</v>
      </c>
      <c r="BC4" s="12">
        <v>43952</v>
      </c>
      <c r="BD4" s="12">
        <v>43983</v>
      </c>
      <c r="BE4" s="12">
        <v>44013</v>
      </c>
      <c r="BF4" s="12">
        <v>44044</v>
      </c>
      <c r="BG4" s="12">
        <v>44075</v>
      </c>
      <c r="BH4" s="12">
        <v>44105</v>
      </c>
      <c r="BI4" s="12">
        <v>44136</v>
      </c>
      <c r="BJ4" s="12">
        <v>44166</v>
      </c>
      <c r="BK4" s="12">
        <v>44197</v>
      </c>
      <c r="BL4" s="12">
        <v>44228</v>
      </c>
      <c r="BM4" s="12">
        <v>44256</v>
      </c>
      <c r="BN4" s="12">
        <v>44287</v>
      </c>
      <c r="BO4" s="12">
        <v>44317</v>
      </c>
      <c r="BP4" s="12">
        <v>44348</v>
      </c>
      <c r="BQ4" s="12">
        <v>44378</v>
      </c>
      <c r="BR4" s="12">
        <v>44409</v>
      </c>
      <c r="BS4" s="12">
        <v>44440</v>
      </c>
      <c r="BT4" s="12">
        <v>44470</v>
      </c>
      <c r="BU4" s="12">
        <v>44501</v>
      </c>
      <c r="BV4" s="12">
        <v>44531</v>
      </c>
      <c r="BW4" s="12">
        <v>44562</v>
      </c>
    </row>
    <row r="5" spans="1:79" s="2" customFormat="1" ht="15" customHeight="1" x14ac:dyDescent="0.3">
      <c r="A5" s="258" t="s">
        <v>0</v>
      </c>
      <c r="B5" s="7"/>
      <c r="C5" s="26"/>
      <c r="D5" s="26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67">
        <v>2696725.74</v>
      </c>
      <c r="Q5" s="31"/>
      <c r="R5" s="31"/>
      <c r="S5" s="31"/>
      <c r="T5" s="31"/>
      <c r="U5" s="31"/>
      <c r="V5" s="31"/>
      <c r="W5" s="31"/>
      <c r="X5" s="31"/>
      <c r="Y5" s="67">
        <f>'MEEIA 2 adjs'!Q12</f>
        <v>-3196.0980622343154</v>
      </c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M5" s="166">
        <f>'MEEIA 2 adjs'!BN1+'MEEIA 2 adjs'!BZ11</f>
        <v>-3340.5820431405446</v>
      </c>
      <c r="BN5" s="167"/>
      <c r="BO5" s="167"/>
      <c r="BP5" s="167"/>
      <c r="BQ5" s="167"/>
      <c r="BR5" s="167"/>
      <c r="BS5" s="167"/>
    </row>
    <row r="6" spans="1:79" s="4" customFormat="1" ht="15" customHeight="1" x14ac:dyDescent="0.3">
      <c r="A6" s="258"/>
      <c r="B6" s="7" t="s">
        <v>9</v>
      </c>
      <c r="C6" s="26"/>
      <c r="D6" s="26"/>
      <c r="E6" s="23">
        <v>489577.71</v>
      </c>
      <c r="F6" s="23">
        <v>596039.34</v>
      </c>
      <c r="G6" s="23">
        <v>1517252.46</v>
      </c>
      <c r="H6" s="23">
        <v>1813501.32</v>
      </c>
      <c r="I6" s="23">
        <v>2186924.08</v>
      </c>
      <c r="J6" s="23">
        <v>3901790.85</v>
      </c>
      <c r="K6" s="23">
        <v>2101305.48</v>
      </c>
      <c r="L6" s="23">
        <v>3473901.82</v>
      </c>
      <c r="M6" s="24">
        <v>3971572.65</v>
      </c>
      <c r="N6" s="23">
        <v>3484429.82</v>
      </c>
      <c r="O6" s="23">
        <v>3674638.82</v>
      </c>
      <c r="P6" s="24">
        <v>4414025.79</v>
      </c>
      <c r="Q6" s="24">
        <v>2991594.54</v>
      </c>
      <c r="R6" s="23">
        <v>2590304.3199999998</v>
      </c>
      <c r="S6" s="23">
        <v>4657810.8899999997</v>
      </c>
      <c r="T6" s="23">
        <v>4977110.7899999982</v>
      </c>
      <c r="U6" s="23">
        <v>3348927.8400000003</v>
      </c>
      <c r="V6" s="23">
        <v>5546241.8499999996</v>
      </c>
      <c r="W6" s="23">
        <v>4343353.6899999995</v>
      </c>
      <c r="X6" s="23">
        <v>4663448.7899999991</v>
      </c>
      <c r="Y6" s="23">
        <v>3579807.37</v>
      </c>
      <c r="Z6" s="23">
        <v>5420569.8299999982</v>
      </c>
      <c r="AA6" s="23">
        <v>3574752.5799999991</v>
      </c>
      <c r="AB6" s="23">
        <v>3331489.5699999994</v>
      </c>
      <c r="AC6" s="23">
        <v>4263249.9299999988</v>
      </c>
      <c r="AD6" s="23">
        <v>4115174.5300000017</v>
      </c>
      <c r="AE6" s="23">
        <v>4740998.6900000004</v>
      </c>
      <c r="AF6" s="23">
        <v>5145804.7499999991</v>
      </c>
      <c r="AG6" s="23">
        <v>6107814.71</v>
      </c>
      <c r="AH6" s="23">
        <v>6553231.54</v>
      </c>
      <c r="AI6" s="23">
        <v>5114734.95</v>
      </c>
      <c r="AJ6" s="23">
        <v>4801059.09</v>
      </c>
      <c r="AK6" s="23">
        <v>6475373.9700000007</v>
      </c>
      <c r="AL6" s="23">
        <v>8029360.29</v>
      </c>
      <c r="AM6" s="23">
        <v>1571431.2300000002</v>
      </c>
      <c r="AN6" s="23">
        <v>9564900.9000000004</v>
      </c>
      <c r="AO6" s="23">
        <v>7004423.3000000007</v>
      </c>
      <c r="AP6" s="23">
        <v>197376.2899999998</v>
      </c>
      <c r="AQ6" s="23">
        <v>257011.13999999996</v>
      </c>
      <c r="AR6" s="23">
        <v>211431.85000000024</v>
      </c>
      <c r="AS6" s="23">
        <v>1180808.6699999997</v>
      </c>
      <c r="AT6" s="23">
        <v>-1350523.8200000005</v>
      </c>
      <c r="AU6" s="23">
        <v>85629.37000000001</v>
      </c>
      <c r="AV6" s="23">
        <v>459064.35000000003</v>
      </c>
      <c r="AW6" s="23">
        <v>41006.47</v>
      </c>
      <c r="AX6" s="23">
        <v>159031.65</v>
      </c>
      <c r="AY6" s="23">
        <v>83120.979999999952</v>
      </c>
      <c r="AZ6" s="23">
        <v>139855.28</v>
      </c>
      <c r="BA6" s="23">
        <v>209941.13000000003</v>
      </c>
      <c r="BB6" s="23">
        <v>-1300.0800000000563</v>
      </c>
      <c r="BC6" s="23">
        <v>14255.75</v>
      </c>
      <c r="BD6" s="23">
        <v>253360.02999999997</v>
      </c>
      <c r="BE6" s="23">
        <v>60801.639999999985</v>
      </c>
      <c r="BF6" s="23">
        <v>700403.20000000019</v>
      </c>
      <c r="BG6" s="23">
        <v>126526.49999999997</v>
      </c>
      <c r="BH6" s="23">
        <v>21848.7</v>
      </c>
      <c r="BI6" s="23">
        <v>5996.8600000000006</v>
      </c>
      <c r="BJ6" s="23">
        <v>-279762.15999999992</v>
      </c>
      <c r="BK6" s="23">
        <v>95606.290000000008</v>
      </c>
      <c r="BL6" s="23">
        <v>153442.74</v>
      </c>
      <c r="BM6" s="23">
        <f>225.280000000005</f>
        <v>225.280000000005</v>
      </c>
      <c r="BN6" s="23">
        <v>99299.199999999997</v>
      </c>
      <c r="BO6" s="23">
        <v>19536.79</v>
      </c>
      <c r="BP6" s="23">
        <v>3441.95</v>
      </c>
      <c r="BQ6" s="23">
        <v>-107676.22</v>
      </c>
      <c r="BR6" s="23">
        <v>405</v>
      </c>
      <c r="BS6" s="23">
        <v>0</v>
      </c>
      <c r="BT6" s="23">
        <v>0</v>
      </c>
      <c r="BU6" s="252">
        <f>SUM('[116]PCR (M2)'!BT15:BT18)</f>
        <v>73760.72</v>
      </c>
      <c r="BV6" s="252">
        <f>SUM('[116]PCR (M2)'!BU15:BU18)</f>
        <v>0</v>
      </c>
      <c r="BW6" s="252">
        <f>SUM('[116]PCR (M2)'!BV15:BV18)</f>
        <v>0</v>
      </c>
      <c r="BY6" s="150"/>
      <c r="BZ6" s="150"/>
      <c r="CA6" s="150"/>
    </row>
    <row r="7" spans="1:79" s="4" customFormat="1" x14ac:dyDescent="0.3">
      <c r="A7" s="258"/>
      <c r="B7" s="7" t="s">
        <v>10</v>
      </c>
      <c r="C7" s="26"/>
      <c r="D7" s="26"/>
      <c r="E7" s="24">
        <v>0</v>
      </c>
      <c r="F7" s="24">
        <v>0</v>
      </c>
      <c r="G7" s="24">
        <v>261356.59</v>
      </c>
      <c r="H7" s="24">
        <v>3948687.99</v>
      </c>
      <c r="I7" s="24">
        <v>5065072.49</v>
      </c>
      <c r="J7" s="24">
        <v>5065949.9800000004</v>
      </c>
      <c r="K7" s="24">
        <v>4872398.21</v>
      </c>
      <c r="L7" s="24">
        <v>3865806.8</v>
      </c>
      <c r="M7" s="23">
        <v>3385376.18</v>
      </c>
      <c r="N7" s="24">
        <v>4206736.6500000004</v>
      </c>
      <c r="O7" s="24">
        <v>5036008.79</v>
      </c>
      <c r="P7" s="23">
        <f>3600039.75-11959.19</f>
        <v>3588080.56</v>
      </c>
      <c r="Q7" s="24">
        <v>2991302.79</v>
      </c>
      <c r="R7" s="24">
        <v>2782459.66</v>
      </c>
      <c r="S7" s="24">
        <v>2731333.13</v>
      </c>
      <c r="T7" s="24">
        <v>3426060.95</v>
      </c>
      <c r="U7" s="24">
        <v>4159412.58</v>
      </c>
      <c r="V7" s="24">
        <v>4243344.03</v>
      </c>
      <c r="W7" s="24">
        <v>3595829.47</v>
      </c>
      <c r="X7" s="24">
        <v>3284010.57</v>
      </c>
      <c r="Y7" s="24">
        <v>2912003.78</v>
      </c>
      <c r="Z7" s="24">
        <v>3426009.82</v>
      </c>
      <c r="AA7" s="24">
        <v>5038749.5</v>
      </c>
      <c r="AB7" s="24">
        <v>6592700.7599999998</v>
      </c>
      <c r="AC7" s="24">
        <v>6048408.1600000001</v>
      </c>
      <c r="AD7" s="24">
        <v>5896451.8300000001</v>
      </c>
      <c r="AE7" s="24">
        <v>5602655.8799999999</v>
      </c>
      <c r="AF7" s="24">
        <v>7075374.6299999999</v>
      </c>
      <c r="AG7" s="24">
        <v>7704127.9100000001</v>
      </c>
      <c r="AH7" s="24">
        <v>7271988.1200000001</v>
      </c>
      <c r="AI7" s="24">
        <v>7138278.0300000003</v>
      </c>
      <c r="AJ7" s="24">
        <v>6192975.21</v>
      </c>
      <c r="AK7" s="24">
        <v>5652712.79</v>
      </c>
      <c r="AL7" s="24">
        <v>6720370.3499999996</v>
      </c>
      <c r="AM7" s="24">
        <v>6281361.5700000003</v>
      </c>
      <c r="AN7" s="24">
        <v>111085.01</v>
      </c>
      <c r="AO7" s="24">
        <v>-36362.01</v>
      </c>
      <c r="AP7" s="24">
        <v>124962.2</v>
      </c>
      <c r="AQ7" s="24">
        <v>216142.69</v>
      </c>
      <c r="AR7" s="24">
        <v>164533.09</v>
      </c>
      <c r="AS7" s="24">
        <v>52414.7</v>
      </c>
      <c r="AT7" s="24">
        <v>41132.15</v>
      </c>
      <c r="AU7" s="24">
        <v>99790.34</v>
      </c>
      <c r="AV7" s="23">
        <v>162041.60999999999</v>
      </c>
      <c r="AW7" s="24">
        <v>143971.22</v>
      </c>
      <c r="AX7" s="24">
        <v>8571.3799999999992</v>
      </c>
      <c r="AY7" s="24">
        <v>-35370.6</v>
      </c>
      <c r="AZ7" s="24">
        <v>118298.99</v>
      </c>
      <c r="BA7" s="24">
        <v>171428.03</v>
      </c>
      <c r="BB7" s="24">
        <v>133296.92000000001</v>
      </c>
      <c r="BC7" s="24">
        <v>117655.75</v>
      </c>
      <c r="BD7" s="24">
        <v>130053.22</v>
      </c>
      <c r="BE7" s="24">
        <v>209735.52</v>
      </c>
      <c r="BF7" s="24">
        <v>197790.51</v>
      </c>
      <c r="BG7" s="24">
        <v>179959.96</v>
      </c>
      <c r="BH7" s="24">
        <v>125626.02</v>
      </c>
      <c r="BI7" s="24">
        <v>131893.51</v>
      </c>
      <c r="BJ7" s="24">
        <v>171081.87</v>
      </c>
      <c r="BK7" s="24">
        <v>221573.25</v>
      </c>
      <c r="BL7" s="24">
        <v>139999.91</v>
      </c>
      <c r="BM7" s="24">
        <v>69598.7</v>
      </c>
      <c r="BN7" s="24">
        <v>79661.600000000006</v>
      </c>
      <c r="BO7" s="24">
        <v>83734.06</v>
      </c>
      <c r="BP7" s="24">
        <v>81721.8</v>
      </c>
      <c r="BQ7" s="24">
        <v>93432.28</v>
      </c>
      <c r="BR7" s="24">
        <v>87748.09</v>
      </c>
      <c r="BS7" s="24">
        <v>92364.89</v>
      </c>
      <c r="BT7" s="24">
        <v>92883.25</v>
      </c>
      <c r="BU7" s="116">
        <f>SUM('[116]PCR (M2)'!BT35:BT39)</f>
        <v>87161.681801073224</v>
      </c>
      <c r="BV7" s="116">
        <f>SUM('[116]PCR (M2)'!BU35:BU39)</f>
        <v>78659.580231855056</v>
      </c>
      <c r="BW7" s="116">
        <f>SUM('[116]PCR (M2)'!BV35:BV39)</f>
        <v>73760.754002862202</v>
      </c>
      <c r="BY7" s="146"/>
      <c r="BZ7" s="146"/>
      <c r="CA7" s="146"/>
    </row>
    <row r="8" spans="1:79" s="4" customFormat="1" x14ac:dyDescent="0.3">
      <c r="A8" s="258"/>
      <c r="B8" s="7" t="s">
        <v>11</v>
      </c>
      <c r="C8" s="26"/>
      <c r="D8" s="26"/>
      <c r="E8" s="9">
        <f t="shared" ref="E8:AX8" si="0">IF(OR(E6="",E7=""),"",E6-E7)</f>
        <v>489577.71</v>
      </c>
      <c r="F8" s="9">
        <f t="shared" si="0"/>
        <v>596039.34</v>
      </c>
      <c r="G8" s="9">
        <f t="shared" si="0"/>
        <v>1255895.8699999999</v>
      </c>
      <c r="H8" s="9">
        <f t="shared" si="0"/>
        <v>-2135186.67</v>
      </c>
      <c r="I8" s="9">
        <f>IF(OR(I6="",I7=""),"",I6-I7)</f>
        <v>-2878148.41</v>
      </c>
      <c r="J8" s="10">
        <f t="shared" si="0"/>
        <v>-1164159.1300000004</v>
      </c>
      <c r="K8" s="10">
        <f t="shared" si="0"/>
        <v>-2771092.73</v>
      </c>
      <c r="L8" s="10">
        <f t="shared" si="0"/>
        <v>-391904.98</v>
      </c>
      <c r="M8" s="10">
        <f t="shared" si="0"/>
        <v>586196.46999999974</v>
      </c>
      <c r="N8" s="10">
        <f t="shared" si="0"/>
        <v>-722306.83000000054</v>
      </c>
      <c r="O8" s="10">
        <f t="shared" si="0"/>
        <v>-1361369.9700000002</v>
      </c>
      <c r="P8" s="10">
        <f>IF(OR(P6="",P7=""),"",P6-P7)</f>
        <v>825945.23</v>
      </c>
      <c r="Q8" s="10">
        <f t="shared" si="0"/>
        <v>291.75</v>
      </c>
      <c r="R8" s="10">
        <f t="shared" si="0"/>
        <v>-192155.34000000032</v>
      </c>
      <c r="S8" s="10">
        <f t="shared" si="0"/>
        <v>1926477.7599999998</v>
      </c>
      <c r="T8" s="10">
        <f t="shared" si="0"/>
        <v>1551049.839999998</v>
      </c>
      <c r="U8" s="10">
        <f t="shared" si="0"/>
        <v>-810484.73999999976</v>
      </c>
      <c r="V8" s="10">
        <f t="shared" si="0"/>
        <v>1302897.8199999994</v>
      </c>
      <c r="W8" s="10">
        <f t="shared" si="0"/>
        <v>747524.21999999927</v>
      </c>
      <c r="X8" s="10">
        <f>IF(OR(X6="",X7=""),"",X6-X7)</f>
        <v>1379438.2199999993</v>
      </c>
      <c r="Y8" s="10">
        <f>IF(OR(Y6="",Y7=""),"",Y6-Y7)</f>
        <v>667803.59000000032</v>
      </c>
      <c r="Z8" s="10">
        <f t="shared" si="0"/>
        <v>1994560.0099999984</v>
      </c>
      <c r="AA8" s="10">
        <f t="shared" si="0"/>
        <v>-1463996.9200000009</v>
      </c>
      <c r="AB8" s="10">
        <f t="shared" si="0"/>
        <v>-3261211.1900000004</v>
      </c>
      <c r="AC8" s="10">
        <f t="shared" si="0"/>
        <v>-1785158.2300000014</v>
      </c>
      <c r="AD8" s="10">
        <f t="shared" si="0"/>
        <v>-1781277.2999999984</v>
      </c>
      <c r="AE8" s="10">
        <f t="shared" si="0"/>
        <v>-861657.18999999948</v>
      </c>
      <c r="AF8" s="10">
        <f t="shared" si="0"/>
        <v>-1929569.8800000008</v>
      </c>
      <c r="AG8" s="10">
        <f t="shared" si="0"/>
        <v>-1596313.2000000002</v>
      </c>
      <c r="AH8" s="10">
        <f t="shared" si="0"/>
        <v>-718756.58000000007</v>
      </c>
      <c r="AI8" s="10">
        <f t="shared" si="0"/>
        <v>-2023543.08</v>
      </c>
      <c r="AJ8" s="10">
        <f t="shared" si="0"/>
        <v>-1391916.12</v>
      </c>
      <c r="AK8" s="10">
        <f t="shared" si="0"/>
        <v>822661.18000000063</v>
      </c>
      <c r="AL8" s="10">
        <f t="shared" si="0"/>
        <v>1308989.9400000004</v>
      </c>
      <c r="AM8" s="10">
        <f t="shared" si="0"/>
        <v>-4709930.34</v>
      </c>
      <c r="AN8" s="10">
        <f t="shared" si="0"/>
        <v>9453815.8900000006</v>
      </c>
      <c r="AO8" s="10">
        <f t="shared" si="0"/>
        <v>7040785.3100000005</v>
      </c>
      <c r="AP8" s="10">
        <f t="shared" si="0"/>
        <v>72414.089999999807</v>
      </c>
      <c r="AQ8" s="10">
        <f t="shared" si="0"/>
        <v>40868.449999999953</v>
      </c>
      <c r="AR8" s="10">
        <f t="shared" si="0"/>
        <v>46898.760000000242</v>
      </c>
      <c r="AS8" s="10">
        <f t="shared" si="0"/>
        <v>1128393.9699999997</v>
      </c>
      <c r="AT8" s="10">
        <f t="shared" si="0"/>
        <v>-1391655.9700000004</v>
      </c>
      <c r="AU8" s="10">
        <f t="shared" si="0"/>
        <v>-14160.969999999987</v>
      </c>
      <c r="AV8" s="10">
        <f t="shared" si="0"/>
        <v>297022.74000000005</v>
      </c>
      <c r="AW8" s="10">
        <f t="shared" si="0"/>
        <v>-102964.75</v>
      </c>
      <c r="AX8" s="10">
        <f t="shared" si="0"/>
        <v>150460.26999999999</v>
      </c>
      <c r="AY8" s="10">
        <f t="shared" ref="AY8:BW8" si="1">IF(OR(AY6="",AY7=""),"",AY6-AY7)</f>
        <v>118491.57999999996</v>
      </c>
      <c r="AZ8" s="10">
        <f t="shared" si="1"/>
        <v>21556.289999999994</v>
      </c>
      <c r="BA8" s="10">
        <f t="shared" si="1"/>
        <v>38513.100000000035</v>
      </c>
      <c r="BB8" s="10">
        <f t="shared" si="1"/>
        <v>-134597.00000000006</v>
      </c>
      <c r="BC8" s="10">
        <f t="shared" si="1"/>
        <v>-103400</v>
      </c>
      <c r="BD8" s="10">
        <f t="shared" si="1"/>
        <v>123306.80999999997</v>
      </c>
      <c r="BE8" s="10">
        <f t="shared" si="1"/>
        <v>-148933.88</v>
      </c>
      <c r="BF8" s="10">
        <f t="shared" si="1"/>
        <v>502612.69000000018</v>
      </c>
      <c r="BG8" s="10">
        <f t="shared" si="1"/>
        <v>-53433.460000000021</v>
      </c>
      <c r="BH8" s="10">
        <f t="shared" si="1"/>
        <v>-103777.32</v>
      </c>
      <c r="BI8" s="10">
        <f t="shared" si="1"/>
        <v>-125896.65000000001</v>
      </c>
      <c r="BJ8" s="10">
        <f t="shared" si="1"/>
        <v>-450844.02999999991</v>
      </c>
      <c r="BK8" s="10">
        <f t="shared" si="1"/>
        <v>-125966.95999999999</v>
      </c>
      <c r="BL8" s="10">
        <f t="shared" si="1"/>
        <v>13442.829999999987</v>
      </c>
      <c r="BM8" s="10">
        <f t="shared" si="1"/>
        <v>-69373.42</v>
      </c>
      <c r="BN8" s="10">
        <f t="shared" si="1"/>
        <v>19637.599999999991</v>
      </c>
      <c r="BO8" s="10">
        <f t="shared" si="1"/>
        <v>-64197.27</v>
      </c>
      <c r="BP8" s="10">
        <f t="shared" si="1"/>
        <v>-78279.850000000006</v>
      </c>
      <c r="BQ8" s="10">
        <f t="shared" si="1"/>
        <v>-201108.5</v>
      </c>
      <c r="BR8" s="10">
        <f t="shared" si="1"/>
        <v>-87343.09</v>
      </c>
      <c r="BS8" s="10">
        <f t="shared" si="1"/>
        <v>-92364.89</v>
      </c>
      <c r="BT8" s="10">
        <f t="shared" si="1"/>
        <v>-92883.25</v>
      </c>
      <c r="BU8" s="10">
        <f t="shared" si="1"/>
        <v>-13400.961801073223</v>
      </c>
      <c r="BV8" s="10">
        <f t="shared" si="1"/>
        <v>-78659.580231855056</v>
      </c>
      <c r="BW8" s="10">
        <f t="shared" si="1"/>
        <v>-73760.754002862202</v>
      </c>
      <c r="BY8" s="169"/>
      <c r="BZ8" s="169"/>
      <c r="CA8" s="169"/>
    </row>
    <row r="9" spans="1:79" s="4" customFormat="1" x14ac:dyDescent="0.3">
      <c r="A9" s="258"/>
      <c r="B9" s="7" t="s">
        <v>4</v>
      </c>
      <c r="C9" s="26"/>
      <c r="D9" s="26"/>
      <c r="E9" s="25">
        <v>7.31972E-3</v>
      </c>
      <c r="F9" s="25">
        <v>7.4556900000000001E-3</v>
      </c>
      <c r="G9" s="25">
        <v>7.55794E-3</v>
      </c>
      <c r="H9" s="25">
        <v>6.2632199999999999E-3</v>
      </c>
      <c r="I9" s="25">
        <v>6.2904299999999996E-3</v>
      </c>
      <c r="J9" s="25">
        <v>7.6456600000000003E-3</v>
      </c>
      <c r="K9" s="25">
        <v>7.5545970550536697E-3</v>
      </c>
      <c r="L9" s="25">
        <v>7.6017000000000003E-3</v>
      </c>
      <c r="M9" s="25">
        <v>7.6414500000000002E-3</v>
      </c>
      <c r="N9" s="25">
        <v>9.6220400000000001E-3</v>
      </c>
      <c r="O9" s="25">
        <v>8.9999999999999993E-3</v>
      </c>
      <c r="P9" s="25">
        <v>8.9999999999999993E-3</v>
      </c>
      <c r="Q9" s="25">
        <v>1.15E-2</v>
      </c>
      <c r="R9" s="25">
        <v>1.15E-2</v>
      </c>
      <c r="S9" s="25">
        <v>1.15E-2</v>
      </c>
      <c r="T9" s="25">
        <v>1.41E-2</v>
      </c>
      <c r="U9" s="25">
        <v>1.39185E-2</v>
      </c>
      <c r="V9" s="25">
        <v>1.466976E-2</v>
      </c>
      <c r="W9" s="25">
        <v>1.4482760000000001E-2</v>
      </c>
      <c r="X9" s="25">
        <v>1.45083E-2</v>
      </c>
      <c r="Y9" s="25">
        <v>1.4428689E-2</v>
      </c>
      <c r="Z9" s="25">
        <v>1.773541E-2</v>
      </c>
      <c r="AA9" s="25">
        <v>1.715386E-2</v>
      </c>
      <c r="AB9" s="25">
        <v>1.8275659999999999E-2</v>
      </c>
      <c r="AC9" s="25">
        <v>2.0539459999999999E-2</v>
      </c>
      <c r="AD9" s="25">
        <v>2.3111960000000001E-2</v>
      </c>
      <c r="AE9" s="25">
        <v>2.1987949999999999E-2</v>
      </c>
      <c r="AF9" s="25">
        <v>2.2795610000000001E-2</v>
      </c>
      <c r="AG9" s="25">
        <v>2.347169E-2</v>
      </c>
      <c r="AH9" s="25">
        <v>2.3254460000000001E-2</v>
      </c>
      <c r="AI9" s="25">
        <v>2.328962E-2</v>
      </c>
      <c r="AJ9" s="25">
        <v>2.457413E-2</v>
      </c>
      <c r="AK9" s="25">
        <v>2.5271160000000001E-2</v>
      </c>
      <c r="AL9" s="25">
        <v>2.7545790000000001E-2</v>
      </c>
      <c r="AM9" s="25">
        <v>2.8696949999999999E-2</v>
      </c>
      <c r="AN9" s="25">
        <v>2.8403910000000001E-2</v>
      </c>
      <c r="AO9" s="25">
        <v>2.7878150000000001E-2</v>
      </c>
      <c r="AP9" s="25">
        <v>2.6622739999999999E-2</v>
      </c>
      <c r="AQ9" s="25">
        <v>2.677361E-2</v>
      </c>
      <c r="AR9" s="25">
        <v>2.6500570000000001E-2</v>
      </c>
      <c r="AS9" s="25">
        <v>2.594869E-2</v>
      </c>
      <c r="AT9" s="25">
        <v>2.3511899999999999E-2</v>
      </c>
      <c r="AU9" s="25">
        <v>2.21687E-2</v>
      </c>
      <c r="AV9" s="25">
        <v>2.113932E-2</v>
      </c>
      <c r="AW9" s="25">
        <v>1.8159890000000001E-2</v>
      </c>
      <c r="AX9" s="25">
        <v>1.9151990000000001E-2</v>
      </c>
      <c r="AY9" s="25">
        <v>1.8890779999999999E-2</v>
      </c>
      <c r="AZ9" s="25">
        <v>1.8035829999999999E-2</v>
      </c>
      <c r="BA9" s="25">
        <v>1.888592E-2</v>
      </c>
      <c r="BB9" s="25">
        <v>9.3845999999999999E-3</v>
      </c>
      <c r="BC9" s="25">
        <v>1.2906700000000001E-3</v>
      </c>
      <c r="BD9" s="25">
        <v>1.2563100000000001E-3</v>
      </c>
      <c r="BE9" s="25">
        <v>1.9366299999999999E-3</v>
      </c>
      <c r="BF9" s="25">
        <v>1.3658500000000001E-3</v>
      </c>
      <c r="BG9" s="25">
        <v>1.23916E-3</v>
      </c>
      <c r="BH9" s="25">
        <v>2E-3</v>
      </c>
      <c r="BI9" s="25">
        <v>2.5244400000000002E-3</v>
      </c>
      <c r="BJ9" s="25">
        <v>2.8469900000000002E-3</v>
      </c>
      <c r="BK9" s="25">
        <v>2.0613900000000002E-3</v>
      </c>
      <c r="BL9" s="25">
        <v>2.3221700000000001E-3</v>
      </c>
      <c r="BM9" s="25">
        <v>2.1367399999999998E-3</v>
      </c>
      <c r="BN9" s="25">
        <v>2.2512299999999999E-3</v>
      </c>
      <c r="BO9" s="25">
        <v>2.2427200000000001E-3</v>
      </c>
      <c r="BP9" s="25">
        <v>2.01659E-3</v>
      </c>
      <c r="BQ9" s="25">
        <v>1.3954900000000001E-3</v>
      </c>
      <c r="BR9" s="25">
        <v>2.0509899999999999E-3</v>
      </c>
      <c r="BS9" s="25">
        <v>1.9323299999999999E-3</v>
      </c>
      <c r="BT9" s="25">
        <v>1.5E-3</v>
      </c>
      <c r="BU9" s="253">
        <f>BT9</f>
        <v>1.5E-3</v>
      </c>
      <c r="BV9" s="253">
        <f>BU9</f>
        <v>1.5E-3</v>
      </c>
      <c r="BW9" s="253">
        <f>BV9</f>
        <v>1.5E-3</v>
      </c>
      <c r="BY9" s="170"/>
      <c r="BZ9" s="170"/>
      <c r="CA9" s="170"/>
    </row>
    <row r="10" spans="1:79" s="4" customFormat="1" x14ac:dyDescent="0.3">
      <c r="A10" s="258"/>
      <c r="B10" s="7" t="s">
        <v>5</v>
      </c>
      <c r="C10" s="26"/>
      <c r="D10" s="26"/>
      <c r="E10" s="10">
        <f>IF(OR(E9="",E8=""),"",(E9*E8)/12)</f>
        <v>298.63097962010005</v>
      </c>
      <c r="F10" s="10">
        <f>IF(OR(F9="",F8="",E13=""),"",((E13+F8)*F9)/12)</f>
        <v>674.68755696024539</v>
      </c>
      <c r="G10" s="10">
        <f>IF(OR(G9="",G8="",F13=""),"",((F13+G8)*G9)/12)</f>
        <v>1475.3642034737634</v>
      </c>
      <c r="H10" s="10">
        <f>IF(OR(H9="",H8="",G13=""),"",((G13+H8)*H9)/12)</f>
        <v>108.96694451968013</v>
      </c>
      <c r="I10" s="10">
        <f t="shared" ref="I10:AL10" si="2">IF(OR(I9="",I8="",H13=""),"",((H13+I8)*I9)/12)</f>
        <v>-1399.2351294686221</v>
      </c>
      <c r="J10" s="10">
        <f t="shared" si="2"/>
        <v>-2443.3126554895016</v>
      </c>
      <c r="K10" s="10">
        <f t="shared" si="2"/>
        <v>-4160.2907351182357</v>
      </c>
      <c r="L10" s="10">
        <f>IF(OR(L9="",L8="",K13=""),"",((K13+L8)*L9)/12)</f>
        <v>-4437.1276130225706</v>
      </c>
      <c r="M10" s="10">
        <f t="shared" si="2"/>
        <v>-4089.8726909078409</v>
      </c>
      <c r="N10" s="10">
        <f>IF(OR(N9="",N8="",M13=""),"",((M13+N8)*N9)/12)</f>
        <v>-5732.3796823568009</v>
      </c>
      <c r="O10" s="10">
        <f>IF(OR(O9="",O8="",N13=""),"",((N13+O8)*O9)/12)</f>
        <v>-6387.1229241163428</v>
      </c>
      <c r="P10" s="10">
        <f>IF(OR(P9="",P8="",O13=""),"",((O13+P5+P8)*P9)/12)</f>
        <v>-3749.9100388094298</v>
      </c>
      <c r="Q10" s="10">
        <f t="shared" si="2"/>
        <v>-4794.8657862936871</v>
      </c>
      <c r="R10" s="10">
        <f t="shared" si="2"/>
        <v>-4983.609733505551</v>
      </c>
      <c r="S10" s="10">
        <f t="shared" si="2"/>
        <v>-3142.1778395001616</v>
      </c>
      <c r="T10" s="10">
        <f t="shared" si="2"/>
        <v>-2033.7917610442216</v>
      </c>
      <c r="U10" s="10">
        <f t="shared" si="2"/>
        <v>-2950.032033167759</v>
      </c>
      <c r="V10" s="10">
        <f t="shared" si="2"/>
        <v>-1520.1017399300081</v>
      </c>
      <c r="W10" s="10">
        <f t="shared" si="2"/>
        <v>-600.37464592803713</v>
      </c>
      <c r="X10" s="10">
        <f t="shared" si="2"/>
        <v>1065.6160337585422</v>
      </c>
      <c r="Y10" s="10">
        <f>IF(OR(Y9="",Y8="",X13=""),"",((X13+Y8)*Y9)/12)</f>
        <v>1864.0108541734644</v>
      </c>
      <c r="Z10" s="10">
        <f t="shared" si="2"/>
        <v>5237.0917957096526</v>
      </c>
      <c r="AA10" s="10">
        <f t="shared" si="2"/>
        <v>2980.0856561618343</v>
      </c>
      <c r="AB10" s="10">
        <f t="shared" si="2"/>
        <v>-1787.2212454908315</v>
      </c>
      <c r="AC10" s="10">
        <f t="shared" si="2"/>
        <v>-5067.1783055076858</v>
      </c>
      <c r="AD10" s="10">
        <f t="shared" si="2"/>
        <v>-9142.3192797550983</v>
      </c>
      <c r="AE10" s="10">
        <f t="shared" si="2"/>
        <v>-10293.28981248618</v>
      </c>
      <c r="AF10" s="10">
        <f t="shared" si="2"/>
        <v>-14356.412644169563</v>
      </c>
      <c r="AG10" s="10">
        <f t="shared" si="2"/>
        <v>-17932.628195218407</v>
      </c>
      <c r="AH10" s="10">
        <f t="shared" si="2"/>
        <v>-19194.271240063452</v>
      </c>
      <c r="AI10" s="10">
        <f t="shared" si="2"/>
        <v>-23187.840420324708</v>
      </c>
      <c r="AJ10" s="10">
        <f t="shared" si="2"/>
        <v>-27364.649284877389</v>
      </c>
      <c r="AK10" s="10">
        <f t="shared" si="2"/>
        <v>-26465.991815715159</v>
      </c>
      <c r="AL10" s="10">
        <f t="shared" si="2"/>
        <v>-25904.156066711101</v>
      </c>
      <c r="AM10" s="10">
        <f>IF(OR(AM9="",AM8="",AL13=""),"",((AL13+AM8)*AM9)/12)</f>
        <v>-38312.044718958496</v>
      </c>
      <c r="AN10" s="10">
        <f>IF(OR(AN9="",AN8="",AM13=""),"",((AM13+AN8)*AN9)/12)</f>
        <v>-15634.392826822654</v>
      </c>
      <c r="AO10" s="10">
        <f t="shared" ref="AO10:AX10" si="3">IF(OR(AO9="",AO8="",AN13=""),"",((AN13+AO8)*AO9)/12)</f>
        <v>975.68603367557773</v>
      </c>
      <c r="AP10" s="10">
        <f>IF(OR(AP9="",AP8="",AO13=""),"",((AO13+AP8)*AP9)/12)</f>
        <v>1094.5686438206917</v>
      </c>
      <c r="AQ10" s="10">
        <f>IF(OR(AQ9="",AQ8="",AP13=""),"",((AP13+AQ8)*AQ9)/12)</f>
        <v>1194.3966450653857</v>
      </c>
      <c r="AR10" s="10">
        <f t="shared" si="3"/>
        <v>1288.4240718537685</v>
      </c>
      <c r="AS10" s="10">
        <f t="shared" si="3"/>
        <v>3704.4072203651453</v>
      </c>
      <c r="AT10" s="10">
        <f>IF(OR(AT9="",AT8="",AS13=""),"",((AS13+AT8)*AT9)/12)</f>
        <v>637.0854914873712</v>
      </c>
      <c r="AU10" s="10">
        <f t="shared" si="3"/>
        <v>575.7058300414684</v>
      </c>
      <c r="AV10" s="10">
        <f t="shared" si="3"/>
        <v>1073.2259404553306</v>
      </c>
      <c r="AW10" s="10">
        <f t="shared" si="3"/>
        <v>767.76781699004562</v>
      </c>
      <c r="AX10" s="10">
        <f t="shared" si="3"/>
        <v>1051.0718609690841</v>
      </c>
      <c r="AY10" s="10">
        <f t="shared" ref="AY10" si="4">IF(OR(AY9="",AY8="",AX13=""),"",((AX13+AY8)*AY9)/12)</f>
        <v>1224.9243389959495</v>
      </c>
      <c r="AZ10" s="10">
        <f t="shared" ref="AZ10" si="5">IF(OR(AZ9="",AZ8="",AY13=""),"",((AY13+AZ8)*AZ9)/12)</f>
        <v>1203.7271341543144</v>
      </c>
      <c r="BA10" s="10">
        <f t="shared" ref="BA10" si="6">IF(OR(BA9="",BA8="",AZ13=""),"",((AZ13+BA8)*BA9)/12)</f>
        <v>1322.9702890043484</v>
      </c>
      <c r="BB10" s="10">
        <f t="shared" ref="BB10" si="7">IF(OR(BB9="",BB8="",BA13=""),"",((BA13+BB8)*BB9)/12)</f>
        <v>553.17003574276748</v>
      </c>
      <c r="BC10" s="10">
        <f t="shared" ref="BC10" si="8">IF(OR(BC9="",BC8="",BB13=""),"",((BB13+BC8)*BC9)/12)</f>
        <v>65.016049939984811</v>
      </c>
      <c r="BD10" s="10">
        <f t="shared" ref="BD10" si="9">IF(OR(BD9="",BD8="",BC13=""),"",((BC13+BD8)*BD9)/12)</f>
        <v>76.201308475249661</v>
      </c>
      <c r="BE10" s="10">
        <f t="shared" ref="BE10" si="10">IF(OR(BE9="",BE8="",BD13=""),"",((BD13+BE8)*BE9)/12)</f>
        <v>93.442503015415454</v>
      </c>
      <c r="BF10" s="10">
        <f t="shared" ref="BF10" si="11">IF(OR(BF9="",BF8="",BE13=""),"",((BE13+BF8)*BF9)/12)</f>
        <v>123.12076784028865</v>
      </c>
      <c r="BG10" s="10">
        <f t="shared" ref="BG10" si="12">IF(OR(BG9="",BG8="",BF13=""),"",((BF13+BG8)*BG9)/12)</f>
        <v>106.19564511356218</v>
      </c>
      <c r="BH10" s="10">
        <f t="shared" ref="BH10:BL10" si="13">IF(OR(BH9="",BH8="",BG13=""),"",((BG13+BH8)*BH9)/12)</f>
        <v>154.12088712073029</v>
      </c>
      <c r="BI10" s="10">
        <f t="shared" si="13"/>
        <v>168.08201029205179</v>
      </c>
      <c r="BJ10" s="10">
        <f t="shared" si="13"/>
        <v>82.635508868066111</v>
      </c>
      <c r="BK10" s="10">
        <f t="shared" si="13"/>
        <v>38.208296736128084</v>
      </c>
      <c r="BL10" s="10">
        <f t="shared" si="13"/>
        <v>45.650680716293579</v>
      </c>
      <c r="BM10" s="10">
        <f>IF(OR(BM9="",BM8="",BL13=""),"",((BL13+BM5+BM8)*BM9)/12)+'MEEIA 2 adjs'!BZ11</f>
        <v>-37.536109937093315</v>
      </c>
      <c r="BN10" s="10">
        <f t="shared" ref="BN10:BW10" si="14">IF(OR(BN9="",BN8="",BM13=""),"",((BM13+BN5+BN8)*BN9)/12)</f>
        <v>34.312848816743816</v>
      </c>
      <c r="BO10" s="10">
        <f t="shared" si="14"/>
        <v>22.19151196592497</v>
      </c>
      <c r="BP10" s="10">
        <f t="shared" si="14"/>
        <v>6.8028417328419382</v>
      </c>
      <c r="BQ10" s="10">
        <f t="shared" si="14"/>
        <v>-18.67868467833663</v>
      </c>
      <c r="BR10" s="10">
        <f t="shared" si="14"/>
        <v>-42.384085643964262</v>
      </c>
      <c r="BS10" s="10">
        <f t="shared" si="14"/>
        <v>-54.812067243452852</v>
      </c>
      <c r="BT10" s="10">
        <f t="shared" si="14"/>
        <v>-54.165942954608617</v>
      </c>
      <c r="BU10" s="10">
        <f t="shared" si="14"/>
        <v>-55.847833922612089</v>
      </c>
      <c r="BV10" s="10">
        <f t="shared" si="14"/>
        <v>-65.687262430834295</v>
      </c>
      <c r="BW10" s="10">
        <f t="shared" si="14"/>
        <v>-74.915567588995913</v>
      </c>
    </row>
    <row r="11" spans="1:79" s="4" customFormat="1" x14ac:dyDescent="0.3">
      <c r="A11" s="258"/>
      <c r="B11" s="8" t="s">
        <v>6</v>
      </c>
      <c r="C11" s="30"/>
      <c r="D11" s="30"/>
      <c r="E11" s="10">
        <f>E10</f>
        <v>298.63097962010005</v>
      </c>
      <c r="F11" s="10">
        <f>IF(OR(E11="",F10=""),"",E11+F10)</f>
        <v>973.31853658034538</v>
      </c>
      <c r="G11" s="10">
        <f t="shared" ref="G11:AX11" si="15">IF(OR(F11="",G10=""),"",F11+G10)</f>
        <v>2448.6827400541088</v>
      </c>
      <c r="H11" s="10">
        <f t="shared" si="15"/>
        <v>2557.6496845737888</v>
      </c>
      <c r="I11" s="10">
        <f t="shared" si="15"/>
        <v>1158.4145551051668</v>
      </c>
      <c r="J11" s="10">
        <f t="shared" si="15"/>
        <v>-1284.8981003843348</v>
      </c>
      <c r="K11" s="10">
        <f t="shared" si="15"/>
        <v>-5445.1888355025703</v>
      </c>
      <c r="L11" s="10">
        <f t="shared" si="15"/>
        <v>-9882.31644852514</v>
      </c>
      <c r="M11" s="10">
        <f t="shared" si="15"/>
        <v>-13972.189139432981</v>
      </c>
      <c r="N11" s="10">
        <f t="shared" si="15"/>
        <v>-19704.568821789784</v>
      </c>
      <c r="O11" s="10">
        <f t="shared" si="15"/>
        <v>-26091.691745906126</v>
      </c>
      <c r="P11" s="10">
        <f>IF(OR(O11="",P10=""),"",O11+P10)</f>
        <v>-29841.601784715556</v>
      </c>
      <c r="Q11" s="10">
        <f t="shared" si="15"/>
        <v>-34636.467571009242</v>
      </c>
      <c r="R11" s="10">
        <f t="shared" si="15"/>
        <v>-39620.077304514794</v>
      </c>
      <c r="S11" s="10">
        <f t="shared" si="15"/>
        <v>-42762.255144014955</v>
      </c>
      <c r="T11" s="10">
        <f t="shared" si="15"/>
        <v>-44796.046905059178</v>
      </c>
      <c r="U11" s="10">
        <f t="shared" si="15"/>
        <v>-47746.078938226936</v>
      </c>
      <c r="V11" s="10">
        <f t="shared" si="15"/>
        <v>-49266.180678156947</v>
      </c>
      <c r="W11" s="10">
        <f t="shared" si="15"/>
        <v>-49866.555324084984</v>
      </c>
      <c r="X11" s="10">
        <f t="shared" si="15"/>
        <v>-48800.939290326445</v>
      </c>
      <c r="Y11" s="10">
        <f>IF(OR(X11="",Y10=""),"",X11+Y10+Y5)</f>
        <v>-50133.026498387291</v>
      </c>
      <c r="Z11" s="10">
        <f t="shared" si="15"/>
        <v>-44895.934702677638</v>
      </c>
      <c r="AA11" s="10">
        <f t="shared" si="15"/>
        <v>-41915.849046515803</v>
      </c>
      <c r="AB11" s="10">
        <f t="shared" si="15"/>
        <v>-43703.070292006632</v>
      </c>
      <c r="AC11" s="10">
        <f t="shared" si="15"/>
        <v>-48770.248597514321</v>
      </c>
      <c r="AD11" s="10">
        <f t="shared" si="15"/>
        <v>-57912.567877269423</v>
      </c>
      <c r="AE11" s="10">
        <f t="shared" si="15"/>
        <v>-68205.857689755605</v>
      </c>
      <c r="AF11" s="10">
        <f t="shared" si="15"/>
        <v>-82562.270333925175</v>
      </c>
      <c r="AG11" s="10">
        <f t="shared" si="15"/>
        <v>-100494.89852914358</v>
      </c>
      <c r="AH11" s="10">
        <f t="shared" si="15"/>
        <v>-119689.16976920703</v>
      </c>
      <c r="AI11" s="10">
        <f t="shared" si="15"/>
        <v>-142877.01018953175</v>
      </c>
      <c r="AJ11" s="10">
        <f t="shared" si="15"/>
        <v>-170241.65947440913</v>
      </c>
      <c r="AK11" s="10">
        <f t="shared" si="15"/>
        <v>-196707.65129012428</v>
      </c>
      <c r="AL11" s="10">
        <f t="shared" si="15"/>
        <v>-222611.80735683537</v>
      </c>
      <c r="AM11" s="10">
        <f t="shared" si="15"/>
        <v>-260923.85207579387</v>
      </c>
      <c r="AN11" s="10">
        <f>IF(OR(AM11="",AN10=""),"",AM11+AN10)</f>
        <v>-276558.24490261654</v>
      </c>
      <c r="AO11" s="10">
        <f t="shared" si="15"/>
        <v>-275582.55886894098</v>
      </c>
      <c r="AP11" s="10">
        <f t="shared" si="15"/>
        <v>-274487.99022512027</v>
      </c>
      <c r="AQ11" s="10">
        <f>IF(OR(AP11="",AQ10=""),"",AP11+AQ10)</f>
        <v>-273293.59358005488</v>
      </c>
      <c r="AR11" s="10">
        <f t="shared" si="15"/>
        <v>-272005.16950820113</v>
      </c>
      <c r="AS11" s="10">
        <f t="shared" si="15"/>
        <v>-268300.762287836</v>
      </c>
      <c r="AT11" s="10">
        <f t="shared" si="15"/>
        <v>-267663.67679634865</v>
      </c>
      <c r="AU11" s="10">
        <f t="shared" si="15"/>
        <v>-267087.97096630716</v>
      </c>
      <c r="AV11" s="10">
        <f t="shared" si="15"/>
        <v>-266014.74502585182</v>
      </c>
      <c r="AW11" s="10">
        <f t="shared" si="15"/>
        <v>-265246.97720886179</v>
      </c>
      <c r="AX11" s="10">
        <f t="shared" si="15"/>
        <v>-264195.90534789272</v>
      </c>
      <c r="AY11" s="10">
        <f t="shared" ref="AY11" si="16">IF(OR(AX11="",AY10=""),"",AX11+AY10)</f>
        <v>-262970.98100889678</v>
      </c>
      <c r="AZ11" s="10">
        <f t="shared" ref="AZ11" si="17">IF(OR(AY11="",AZ10=""),"",AY11+AZ10)</f>
        <v>-261767.25387474246</v>
      </c>
      <c r="BA11" s="10">
        <f t="shared" ref="BA11" si="18">IF(OR(AZ11="",BA10=""),"",AZ11+BA10)</f>
        <v>-260444.2835857381</v>
      </c>
      <c r="BB11" s="10">
        <f t="shared" ref="BB11" si="19">IF(OR(BA11="",BB10=""),"",BA11+BB10)</f>
        <v>-259891.11354999532</v>
      </c>
      <c r="BC11" s="10">
        <f t="shared" ref="BC11" si="20">IF(OR(BB11="",BC10=""),"",BB11+BC10)</f>
        <v>-259826.09750005533</v>
      </c>
      <c r="BD11" s="10">
        <f t="shared" ref="BD11" si="21">IF(OR(BC11="",BD10=""),"",BC11+BD10)</f>
        <v>-259749.89619158008</v>
      </c>
      <c r="BE11" s="10">
        <f t="shared" ref="BE11" si="22">IF(OR(BD11="",BE10=""),"",BD11+BE10)</f>
        <v>-259656.45368856465</v>
      </c>
      <c r="BF11" s="10">
        <f t="shared" ref="BF11" si="23">IF(OR(BE11="",BF10=""),"",BE11+BF10)</f>
        <v>-259533.33292072435</v>
      </c>
      <c r="BG11" s="10">
        <f t="shared" ref="BG11" si="24">IF(OR(BF11="",BG10=""),"",BF11+BG10)</f>
        <v>-259427.13727561079</v>
      </c>
      <c r="BH11" s="10">
        <f t="shared" ref="BH11:BW11" si="25">IF(OR(BG11="",BH10=""),"",BG11+BH10)</f>
        <v>-259273.01638849007</v>
      </c>
      <c r="BI11" s="10">
        <f t="shared" si="25"/>
        <v>-259104.93437819803</v>
      </c>
      <c r="BJ11" s="10">
        <f t="shared" si="25"/>
        <v>-259022.29886932997</v>
      </c>
      <c r="BK11" s="10">
        <f t="shared" si="25"/>
        <v>-258984.09057259385</v>
      </c>
      <c r="BL11" s="10">
        <f t="shared" si="25"/>
        <v>-258938.43989187756</v>
      </c>
      <c r="BM11" s="10">
        <f t="shared" si="25"/>
        <v>-258975.97600181465</v>
      </c>
      <c r="BN11" s="10">
        <f t="shared" si="25"/>
        <v>-258941.66315299791</v>
      </c>
      <c r="BO11" s="10">
        <f t="shared" si="25"/>
        <v>-258919.47164103197</v>
      </c>
      <c r="BP11" s="10">
        <f t="shared" si="25"/>
        <v>-258912.66879929914</v>
      </c>
      <c r="BQ11" s="10">
        <f t="shared" si="25"/>
        <v>-258931.34748397747</v>
      </c>
      <c r="BR11" s="10">
        <f>IF(OR(BQ11="",BR10=""),"",BQ11+BR10)</f>
        <v>-258973.73156962145</v>
      </c>
      <c r="BS11" s="10">
        <f t="shared" si="25"/>
        <v>-259028.5436368649</v>
      </c>
      <c r="BT11" s="10">
        <f t="shared" si="25"/>
        <v>-259082.70957981949</v>
      </c>
      <c r="BU11" s="10">
        <f t="shared" si="25"/>
        <v>-259138.55741374209</v>
      </c>
      <c r="BV11" s="10">
        <f t="shared" si="25"/>
        <v>-259204.24467617294</v>
      </c>
      <c r="BW11" s="10">
        <f t="shared" si="25"/>
        <v>-259279.16024376193</v>
      </c>
    </row>
    <row r="12" spans="1:79" s="4" customFormat="1" x14ac:dyDescent="0.3">
      <c r="A12" s="258"/>
      <c r="B12" s="7" t="s">
        <v>12</v>
      </c>
      <c r="C12" s="26"/>
      <c r="D12" s="26"/>
      <c r="E12" s="10">
        <f>IF(OR(E10="",E8=""),"",E8+E10)</f>
        <v>489876.34097962012</v>
      </c>
      <c r="F12" s="10">
        <f>IF(OR(F10="",F8=""),"",F8+F10)</f>
        <v>596714.02755696024</v>
      </c>
      <c r="G12" s="10">
        <f t="shared" ref="G12:I12" si="26">IF(OR(G10="",G8=""),"",G8+G10)</f>
        <v>1257371.2342034737</v>
      </c>
      <c r="H12" s="10">
        <f>IF(OR(H10="",H8=""),"",H8+H10)</f>
        <v>-2135077.70305548</v>
      </c>
      <c r="I12" s="10">
        <f t="shared" si="26"/>
        <v>-2879547.6451294688</v>
      </c>
      <c r="J12" s="10">
        <f>IF(OR(J10="",J8=""),"",J8+J10)</f>
        <v>-1166602.4426554898</v>
      </c>
      <c r="K12" s="10">
        <f t="shared" ref="K12:N12" si="27">IF(OR(K10="",K8=""),"",K8+K10)</f>
        <v>-2775253.0207351181</v>
      </c>
      <c r="L12" s="10">
        <f>IF(OR(L10="",L8=""),"",L8+L10)</f>
        <v>-396342.10761302256</v>
      </c>
      <c r="M12" s="10">
        <f t="shared" si="27"/>
        <v>582106.59730909194</v>
      </c>
      <c r="N12" s="10">
        <f t="shared" si="27"/>
        <v>-728039.20968235738</v>
      </c>
      <c r="O12" s="10">
        <f>IF(OR(O10="",O8=""),"",O8+O10)</f>
        <v>-1367757.0929241166</v>
      </c>
      <c r="P12" s="10">
        <f>IF(OR(P10="",P8=""),"",P8+P10)</f>
        <v>822195.31996119057</v>
      </c>
      <c r="Q12" s="10">
        <f t="shared" ref="Q12:X12" si="28">IF(OR(Q10="",Q8=""),"",Q8+Q10)</f>
        <v>-4503.1157862936871</v>
      </c>
      <c r="R12" s="10">
        <f t="shared" si="28"/>
        <v>-197138.94973350587</v>
      </c>
      <c r="S12" s="10">
        <f t="shared" si="28"/>
        <v>1923335.5821604996</v>
      </c>
      <c r="T12" s="10">
        <f t="shared" si="28"/>
        <v>1549016.0482389538</v>
      </c>
      <c r="U12" s="10">
        <f>IF(OR(U10="",U8=""),"",U8+U10)</f>
        <v>-813434.77203316754</v>
      </c>
      <c r="V12" s="10">
        <f t="shared" si="28"/>
        <v>1301377.7182600694</v>
      </c>
      <c r="W12" s="10">
        <f>IF(OR(W10="",W8=""),"",W8+W10)</f>
        <v>746923.84535407124</v>
      </c>
      <c r="X12" s="10">
        <f t="shared" si="28"/>
        <v>1380503.8360337578</v>
      </c>
      <c r="Y12" s="10">
        <f>IF(OR(Y10="",Y8=""),"",Y8+Y10)</f>
        <v>669667.60085417377</v>
      </c>
      <c r="Z12" s="10">
        <f>IF(OR(Z10="",Z8=""),"",Z8+Z10)</f>
        <v>1999797.1017957081</v>
      </c>
      <c r="AA12" s="10">
        <f t="shared" ref="AA12:AX12" si="29">IF(OR(AA10="",AA8=""),"",AA8+AA10)</f>
        <v>-1461016.834343839</v>
      </c>
      <c r="AB12" s="10">
        <f t="shared" si="29"/>
        <v>-3262998.4112454914</v>
      </c>
      <c r="AC12" s="10">
        <f t="shared" si="29"/>
        <v>-1790225.408305509</v>
      </c>
      <c r="AD12" s="10">
        <f t="shared" si="29"/>
        <v>-1790419.6192797534</v>
      </c>
      <c r="AE12" s="10">
        <f t="shared" si="29"/>
        <v>-871950.47981248563</v>
      </c>
      <c r="AF12" s="10">
        <f t="shared" si="29"/>
        <v>-1943926.2926441703</v>
      </c>
      <c r="AG12" s="10">
        <f t="shared" si="29"/>
        <v>-1614245.8281952187</v>
      </c>
      <c r="AH12" s="10">
        <f t="shared" si="29"/>
        <v>-737950.85124006355</v>
      </c>
      <c r="AI12" s="10">
        <f t="shared" si="29"/>
        <v>-2046730.9204203249</v>
      </c>
      <c r="AJ12" s="10">
        <f t="shared" si="29"/>
        <v>-1419280.7692848775</v>
      </c>
      <c r="AK12" s="10">
        <f t="shared" si="29"/>
        <v>796195.18818428542</v>
      </c>
      <c r="AL12" s="10">
        <f t="shared" si="29"/>
        <v>1283085.7839332893</v>
      </c>
      <c r="AM12" s="10">
        <f t="shared" si="29"/>
        <v>-4748242.3847189583</v>
      </c>
      <c r="AN12" s="10">
        <f>IF(OR(AN10="",AN8=""),"",AN8+AN10)</f>
        <v>9438181.4971731771</v>
      </c>
      <c r="AO12" s="10">
        <f t="shared" si="29"/>
        <v>7041760.996033676</v>
      </c>
      <c r="AP12" s="10">
        <f t="shared" si="29"/>
        <v>73508.658643820498</v>
      </c>
      <c r="AQ12" s="10">
        <f t="shared" si="29"/>
        <v>42062.846645065336</v>
      </c>
      <c r="AR12" s="10">
        <f t="shared" si="29"/>
        <v>48187.184071854012</v>
      </c>
      <c r="AS12" s="10">
        <f t="shared" si="29"/>
        <v>1132098.377220365</v>
      </c>
      <c r="AT12" s="10">
        <f t="shared" si="29"/>
        <v>-1391018.8845085131</v>
      </c>
      <c r="AU12" s="10">
        <f t="shared" si="29"/>
        <v>-13585.264169958518</v>
      </c>
      <c r="AV12" s="10">
        <f t="shared" si="29"/>
        <v>298095.96594045538</v>
      </c>
      <c r="AW12" s="10">
        <f t="shared" si="29"/>
        <v>-102196.98218300995</v>
      </c>
      <c r="AX12" s="10">
        <f t="shared" si="29"/>
        <v>151511.34186096909</v>
      </c>
      <c r="AY12" s="10">
        <f t="shared" ref="AY12:BW12" si="30">IF(OR(AY10="",AY8=""),"",AY8+AY10)</f>
        <v>119716.5043389959</v>
      </c>
      <c r="AZ12" s="10">
        <f t="shared" si="30"/>
        <v>22760.017134154306</v>
      </c>
      <c r="BA12" s="10">
        <f t="shared" si="30"/>
        <v>39836.070289004383</v>
      </c>
      <c r="BB12" s="10">
        <f t="shared" si="30"/>
        <v>-134043.82996425728</v>
      </c>
      <c r="BC12" s="10">
        <f t="shared" si="30"/>
        <v>-103334.98395006002</v>
      </c>
      <c r="BD12" s="10">
        <f t="shared" si="30"/>
        <v>123383.01130847522</v>
      </c>
      <c r="BE12" s="10">
        <f t="shared" si="30"/>
        <v>-148840.43749698458</v>
      </c>
      <c r="BF12" s="10">
        <f t="shared" si="30"/>
        <v>502735.81076784048</v>
      </c>
      <c r="BG12" s="10">
        <f t="shared" si="30"/>
        <v>-53327.264354886458</v>
      </c>
      <c r="BH12" s="10">
        <f t="shared" si="30"/>
        <v>-103623.19911287927</v>
      </c>
      <c r="BI12" s="10">
        <f t="shared" si="30"/>
        <v>-125728.56798970795</v>
      </c>
      <c r="BJ12" s="10">
        <f t="shared" si="30"/>
        <v>-450761.39449113182</v>
      </c>
      <c r="BK12" s="10">
        <f t="shared" si="30"/>
        <v>-125928.75170326386</v>
      </c>
      <c r="BL12" s="10">
        <f t="shared" si="30"/>
        <v>13488.48068071628</v>
      </c>
      <c r="BM12" s="10">
        <f>IF(OR(BM10="",BM8=""),"",BM8+BM10)+'MEEIA 2 adjs'!BN1</f>
        <v>-72684.936109933813</v>
      </c>
      <c r="BN12" s="10">
        <f t="shared" si="30"/>
        <v>19671.912848816733</v>
      </c>
      <c r="BO12" s="10">
        <f t="shared" si="30"/>
        <v>-64175.078488034073</v>
      </c>
      <c r="BP12" s="10">
        <f t="shared" si="30"/>
        <v>-78273.04715826716</v>
      </c>
      <c r="BQ12" s="10">
        <f t="shared" si="30"/>
        <v>-201127.17868467834</v>
      </c>
      <c r="BR12" s="10">
        <f t="shared" si="30"/>
        <v>-87385.47408564396</v>
      </c>
      <c r="BS12" s="10">
        <f t="shared" si="30"/>
        <v>-92419.702067243459</v>
      </c>
      <c r="BT12" s="10">
        <f t="shared" si="30"/>
        <v>-92937.415942954613</v>
      </c>
      <c r="BU12" s="10">
        <f t="shared" si="30"/>
        <v>-13456.809634995834</v>
      </c>
      <c r="BV12" s="10">
        <f t="shared" si="30"/>
        <v>-78725.267494285887</v>
      </c>
      <c r="BW12" s="10">
        <f t="shared" si="30"/>
        <v>-73835.669570451195</v>
      </c>
    </row>
    <row r="13" spans="1:79" s="4" customFormat="1" x14ac:dyDescent="0.3">
      <c r="A13" s="258"/>
      <c r="B13" s="11" t="s">
        <v>3</v>
      </c>
      <c r="C13" s="28"/>
      <c r="D13" s="28"/>
      <c r="E13" s="10">
        <f>E12</f>
        <v>489876.34097962012</v>
      </c>
      <c r="F13" s="10">
        <f>IF(OR(F12="",E13=""),"",F12+E13)</f>
        <v>1086590.3685365804</v>
      </c>
      <c r="G13" s="10">
        <f t="shared" ref="G13:AM13" si="31">IF(OR(G12="",F13=""),"",G12+F13)</f>
        <v>2343961.602740054</v>
      </c>
      <c r="H13" s="10">
        <f t="shared" si="31"/>
        <v>208883.89968457399</v>
      </c>
      <c r="I13" s="10">
        <f t="shared" si="31"/>
        <v>-2670663.7454448948</v>
      </c>
      <c r="J13" s="10">
        <f t="shared" si="31"/>
        <v>-3837266.1881003845</v>
      </c>
      <c r="K13" s="10">
        <f t="shared" si="31"/>
        <v>-6612519.2088355031</v>
      </c>
      <c r="L13" s="10">
        <f>IF(OR(L12="",K13=""),"",L12+K13)</f>
        <v>-7008861.3164485255</v>
      </c>
      <c r="M13" s="10">
        <f t="shared" si="31"/>
        <v>-6426754.7191394335</v>
      </c>
      <c r="N13" s="10">
        <f t="shared" si="31"/>
        <v>-7154793.928821791</v>
      </c>
      <c r="O13" s="10">
        <f>IF(OR(O12="",N13=""),"",O12+N13)</f>
        <v>-8522551.0217459071</v>
      </c>
      <c r="P13" s="10">
        <f>IF(OR(P12="",O13=""),"",P12+O13+P5)</f>
        <v>-5003629.9617847167</v>
      </c>
      <c r="Q13" s="10">
        <f t="shared" si="31"/>
        <v>-5008133.0775710102</v>
      </c>
      <c r="R13" s="10">
        <f t="shared" si="31"/>
        <v>-5205272.0273045162</v>
      </c>
      <c r="S13" s="10">
        <f t="shared" si="31"/>
        <v>-3281936.4451440163</v>
      </c>
      <c r="T13" s="10">
        <f t="shared" si="31"/>
        <v>-1732920.3969050625</v>
      </c>
      <c r="U13" s="10">
        <f t="shared" si="31"/>
        <v>-2546355.1689382298</v>
      </c>
      <c r="V13" s="10">
        <f t="shared" si="31"/>
        <v>-1244977.4506781604</v>
      </c>
      <c r="W13" s="10">
        <f>IF(OR(W12="",V13=""),"",W12+V13)</f>
        <v>-498053.60532408918</v>
      </c>
      <c r="X13" s="10">
        <f t="shared" si="31"/>
        <v>882450.2307096686</v>
      </c>
      <c r="Y13" s="10">
        <f>IF(OR(Y12="",X13=""),"",Y12+X13+Y5)</f>
        <v>1548921.7335016083</v>
      </c>
      <c r="Z13" s="10">
        <f t="shared" si="31"/>
        <v>3548718.8352973163</v>
      </c>
      <c r="AA13" s="10">
        <f t="shared" si="31"/>
        <v>2087702.0009534773</v>
      </c>
      <c r="AB13" s="10">
        <f t="shared" si="31"/>
        <v>-1175296.410292014</v>
      </c>
      <c r="AC13" s="10">
        <f t="shared" si="31"/>
        <v>-2965521.818597523</v>
      </c>
      <c r="AD13" s="10">
        <f t="shared" si="31"/>
        <v>-4755941.4378772769</v>
      </c>
      <c r="AE13" s="10">
        <f t="shared" si="31"/>
        <v>-5627891.917689763</v>
      </c>
      <c r="AF13" s="10">
        <f t="shared" si="31"/>
        <v>-7571818.2103339331</v>
      </c>
      <c r="AG13" s="10">
        <f t="shared" si="31"/>
        <v>-9186064.0385291521</v>
      </c>
      <c r="AH13" s="10">
        <f t="shared" si="31"/>
        <v>-9924014.8897692151</v>
      </c>
      <c r="AI13" s="10">
        <f t="shared" si="31"/>
        <v>-11970745.81018954</v>
      </c>
      <c r="AJ13" s="10">
        <f t="shared" si="31"/>
        <v>-13390026.579474417</v>
      </c>
      <c r="AK13" s="10">
        <f t="shared" si="31"/>
        <v>-12593831.391290132</v>
      </c>
      <c r="AL13" s="10">
        <f t="shared" si="31"/>
        <v>-11310745.607356843</v>
      </c>
      <c r="AM13" s="10">
        <f t="shared" si="31"/>
        <v>-16058987.992075801</v>
      </c>
      <c r="AN13" s="10">
        <f>IF(OR(AN12="",AM13=""),"",AN12+AM13)</f>
        <v>-6620806.4949026238</v>
      </c>
      <c r="AO13" s="10">
        <f t="shared" ref="AO13:AX13" si="32">IF(OR(AO12="",AN13=""),"",AO12+AN13)</f>
        <v>420954.50113105215</v>
      </c>
      <c r="AP13" s="10">
        <f t="shared" si="32"/>
        <v>494463.15977487265</v>
      </c>
      <c r="AQ13" s="10">
        <f t="shared" si="32"/>
        <v>536526.00641993794</v>
      </c>
      <c r="AR13" s="10">
        <f t="shared" si="32"/>
        <v>584713.19049179193</v>
      </c>
      <c r="AS13" s="10">
        <f t="shared" si="32"/>
        <v>1716811.567712157</v>
      </c>
      <c r="AT13" s="10">
        <f t="shared" si="32"/>
        <v>325792.68320364389</v>
      </c>
      <c r="AU13" s="10">
        <f t="shared" si="32"/>
        <v>312207.41903368535</v>
      </c>
      <c r="AV13" s="10">
        <f t="shared" si="32"/>
        <v>610303.38497414067</v>
      </c>
      <c r="AW13" s="10">
        <f t="shared" si="32"/>
        <v>508106.40279113071</v>
      </c>
      <c r="AX13" s="10">
        <f t="shared" si="32"/>
        <v>659617.74465209979</v>
      </c>
      <c r="AY13" s="10">
        <f t="shared" ref="AY13" si="33">IF(OR(AY12="",AX13=""),"",AY12+AX13)</f>
        <v>779334.24899109569</v>
      </c>
      <c r="AZ13" s="10">
        <f t="shared" ref="AZ13" si="34">IF(OR(AZ12="",AY13=""),"",AZ12+AY13)</f>
        <v>802094.26612525003</v>
      </c>
      <c r="BA13" s="10">
        <f t="shared" ref="BA13" si="35">IF(OR(BA12="",AZ13=""),"",BA12+AZ13)</f>
        <v>841930.33641425439</v>
      </c>
      <c r="BB13" s="10">
        <f t="shared" ref="BB13" si="36">IF(OR(BB12="",BA13=""),"",BB12+BA13)</f>
        <v>707886.50644999708</v>
      </c>
      <c r="BC13" s="10">
        <f t="shared" ref="BC13" si="37">IF(OR(BC12="",BB13=""),"",BC12+BB13)</f>
        <v>604551.5224999371</v>
      </c>
      <c r="BD13" s="10">
        <f t="shared" ref="BD13" si="38">IF(OR(BD12="",BC13=""),"",BD12+BC13)</f>
        <v>727934.53380841226</v>
      </c>
      <c r="BE13" s="10">
        <f t="shared" ref="BE13" si="39">IF(OR(BE12="",BD13=""),"",BE12+BD13)</f>
        <v>579094.09631142765</v>
      </c>
      <c r="BF13" s="10">
        <f t="shared" ref="BF13" si="40">IF(OR(BF12="",BE13=""),"",BF12+BE13)</f>
        <v>1081829.9070792682</v>
      </c>
      <c r="BG13" s="10">
        <f t="shared" ref="BG13" si="41">IF(OR(BG12="",BF13=""),"",BG12+BF13)</f>
        <v>1028502.6427243818</v>
      </c>
      <c r="BH13" s="10">
        <f t="shared" ref="BH13:BL13" si="42">IF(OR(BH12="",BG13=""),"",BH12+BG13)</f>
        <v>924879.44361150253</v>
      </c>
      <c r="BI13" s="10">
        <f t="shared" si="42"/>
        <v>799150.87562179461</v>
      </c>
      <c r="BJ13" s="10">
        <f t="shared" si="42"/>
        <v>348389.48113066278</v>
      </c>
      <c r="BK13" s="10">
        <f t="shared" si="42"/>
        <v>222460.72942739894</v>
      </c>
      <c r="BL13" s="10">
        <f t="shared" si="42"/>
        <v>235949.21010811522</v>
      </c>
      <c r="BM13" s="10">
        <f>IF(OR(BM12="",BL13=""),"",BM12+BL13)</f>
        <v>163264.27399818139</v>
      </c>
      <c r="BN13" s="10">
        <f t="shared" ref="BN13:BW13" si="43">IF(OR(BN12="",BM13=""),"",BN12+BM13+BN5)</f>
        <v>182936.18684699811</v>
      </c>
      <c r="BO13" s="10">
        <f t="shared" si="43"/>
        <v>118761.10835896403</v>
      </c>
      <c r="BP13" s="10">
        <f t="shared" si="43"/>
        <v>40488.061200696873</v>
      </c>
      <c r="BQ13" s="10">
        <f t="shared" si="43"/>
        <v>-160639.11748398148</v>
      </c>
      <c r="BR13" s="10">
        <f t="shared" si="43"/>
        <v>-248024.59156962542</v>
      </c>
      <c r="BS13" s="10">
        <f t="shared" si="43"/>
        <v>-340444.29363686888</v>
      </c>
      <c r="BT13" s="10">
        <f t="shared" si="43"/>
        <v>-433381.70957982348</v>
      </c>
      <c r="BU13" s="10">
        <f t="shared" si="43"/>
        <v>-446838.5192148193</v>
      </c>
      <c r="BV13" s="10">
        <f t="shared" si="43"/>
        <v>-525563.78670910513</v>
      </c>
      <c r="BW13" s="10">
        <f t="shared" si="43"/>
        <v>-599399.45627955627</v>
      </c>
    </row>
    <row r="14" spans="1:79" s="5" customFormat="1" ht="8.25" customHeight="1" x14ac:dyDescent="0.3">
      <c r="A14" s="44"/>
      <c r="B14" s="13"/>
      <c r="C14" s="13"/>
      <c r="D14" s="13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68"/>
      <c r="BM14" s="168"/>
      <c r="BN14" s="168"/>
      <c r="BO14" s="168"/>
      <c r="BP14" s="168"/>
      <c r="BQ14" s="168"/>
      <c r="BR14" s="168"/>
      <c r="BS14" s="168"/>
      <c r="BT14" s="15"/>
      <c r="BU14" s="168"/>
      <c r="BV14" s="168"/>
      <c r="BW14" s="168"/>
    </row>
    <row r="15" spans="1:79" s="5" customFormat="1" ht="15" customHeight="1" x14ac:dyDescent="0.3">
      <c r="A15" s="255" t="s">
        <v>25</v>
      </c>
      <c r="B15" s="17"/>
      <c r="C15" s="32"/>
      <c r="D15" s="32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67">
        <f>+SUM(P26,P36,P46,P56,P66)</f>
        <v>13541921.743700374</v>
      </c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66"/>
      <c r="AQ15" s="66"/>
      <c r="AR15" s="66"/>
      <c r="AS15" s="67">
        <f>'MEEIA 2 adjs'!AT37</f>
        <v>-9652.3205640208907</v>
      </c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T15" s="66"/>
    </row>
    <row r="16" spans="1:79" s="3" customFormat="1" ht="15" customHeight="1" x14ac:dyDescent="0.3">
      <c r="A16" s="255"/>
      <c r="B16" s="17" t="s">
        <v>28</v>
      </c>
      <c r="C16" s="32"/>
      <c r="D16" s="32"/>
      <c r="E16" s="21">
        <f t="shared" ref="E16:AX16" si="44">IF(E67="","",SUM(E67,E57,E47,E37,E27))</f>
        <v>0</v>
      </c>
      <c r="F16" s="21">
        <f t="shared" si="44"/>
        <v>1328.78</v>
      </c>
      <c r="G16" s="21">
        <f t="shared" si="44"/>
        <v>9526.5299999999988</v>
      </c>
      <c r="H16" s="21">
        <f t="shared" si="44"/>
        <v>131900.43</v>
      </c>
      <c r="I16" s="21">
        <f t="shared" si="44"/>
        <v>295999.55000000005</v>
      </c>
      <c r="J16" s="21">
        <f t="shared" si="44"/>
        <v>425553.79999999993</v>
      </c>
      <c r="K16" s="21">
        <f t="shared" si="44"/>
        <v>758519.65</v>
      </c>
      <c r="L16" s="21">
        <f t="shared" si="44"/>
        <v>199350.73000000013</v>
      </c>
      <c r="M16" s="21">
        <f t="shared" si="44"/>
        <v>279108.34999999986</v>
      </c>
      <c r="N16" s="21">
        <f t="shared" si="44"/>
        <v>438307.65</v>
      </c>
      <c r="O16" s="21">
        <f t="shared" si="44"/>
        <v>509660.87999999995</v>
      </c>
      <c r="P16" s="21">
        <f t="shared" si="44"/>
        <v>486201.49000000022</v>
      </c>
      <c r="Q16" s="21">
        <f t="shared" si="44"/>
        <v>514839.35999999993</v>
      </c>
      <c r="R16" s="21">
        <f t="shared" si="44"/>
        <v>312695.84999999969</v>
      </c>
      <c r="S16" s="21">
        <f t="shared" si="44"/>
        <v>392474.24999999977</v>
      </c>
      <c r="T16" s="21">
        <f t="shared" si="44"/>
        <v>1348848.3600000003</v>
      </c>
      <c r="U16" s="21">
        <f t="shared" si="44"/>
        <v>1958770.0699999998</v>
      </c>
      <c r="V16" s="21">
        <f t="shared" si="44"/>
        <v>2119352.19</v>
      </c>
      <c r="W16" s="21">
        <f t="shared" si="44"/>
        <v>1653005.4399999997</v>
      </c>
      <c r="X16" s="21">
        <f>IF(X67="","",SUM(X67,X57,X47,X37,X27))</f>
        <v>750637.88000000059</v>
      </c>
      <c r="Y16" s="21">
        <f t="shared" si="44"/>
        <v>825052.10999999894</v>
      </c>
      <c r="Z16" s="21">
        <f t="shared" si="44"/>
        <v>1097101.9800000007</v>
      </c>
      <c r="AA16" s="21">
        <f t="shared" si="44"/>
        <v>1233427.4099999992</v>
      </c>
      <c r="AB16" s="21">
        <f t="shared" si="44"/>
        <v>1062738.5799999998</v>
      </c>
      <c r="AC16" s="21">
        <f t="shared" si="44"/>
        <v>1116457.6900000016</v>
      </c>
      <c r="AD16" s="21">
        <f t="shared" si="44"/>
        <v>959793.47999999963</v>
      </c>
      <c r="AE16" s="21">
        <f t="shared" si="44"/>
        <v>1424231.0999999994</v>
      </c>
      <c r="AF16" s="21">
        <f t="shared" si="44"/>
        <v>3804569.2400000021</v>
      </c>
      <c r="AG16" s="21">
        <f t="shared" si="44"/>
        <v>5112749.5900000017</v>
      </c>
      <c r="AH16" s="21">
        <f t="shared" si="44"/>
        <v>4713867.5500000026</v>
      </c>
      <c r="AI16" s="21">
        <f t="shared" si="44"/>
        <v>3598339.959999999</v>
      </c>
      <c r="AJ16" s="21">
        <f t="shared" si="44"/>
        <v>1714525.5399999977</v>
      </c>
      <c r="AK16" s="21">
        <f t="shared" si="44"/>
        <v>1571421.2499999984</v>
      </c>
      <c r="AL16" s="21">
        <f t="shared" si="44"/>
        <v>1919519.9299999997</v>
      </c>
      <c r="AM16" s="21">
        <f t="shared" si="44"/>
        <v>2060434.7699999972</v>
      </c>
      <c r="AN16" s="21">
        <f t="shared" si="44"/>
        <v>1799627.3200000026</v>
      </c>
      <c r="AO16" s="21">
        <f t="shared" si="44"/>
        <v>2312591.7700000047</v>
      </c>
      <c r="AP16" s="21">
        <f t="shared" si="44"/>
        <v>2109913.9999999995</v>
      </c>
      <c r="AQ16" s="21">
        <f t="shared" si="44"/>
        <v>1887985.9599999981</v>
      </c>
      <c r="AR16" s="21">
        <f t="shared" si="44"/>
        <v>6123794.6400000015</v>
      </c>
      <c r="AS16" s="21">
        <f t="shared" si="44"/>
        <v>7375311.7899999972</v>
      </c>
      <c r="AT16" s="21">
        <f t="shared" si="44"/>
        <v>6969272.2200000016</v>
      </c>
      <c r="AU16" s="21">
        <f t="shared" si="44"/>
        <v>5125287.4899999984</v>
      </c>
      <c r="AV16" s="21">
        <f t="shared" si="44"/>
        <v>2223308.9999999981</v>
      </c>
      <c r="AW16" s="21">
        <f>IF(AW67="","",SUM(AW67,AW57,AW47,AW37,AW27))</f>
        <v>2078395.7300000028</v>
      </c>
      <c r="AX16" s="21">
        <f t="shared" si="44"/>
        <v>2228734.6799999988</v>
      </c>
      <c r="AY16" s="21">
        <f t="shared" ref="AY16:BJ21" si="45">IF(AY67="","",SUM(AY67,AY57,AY47,AY37,AY27))</f>
        <v>2369847.9499999993</v>
      </c>
      <c r="AZ16" s="21">
        <f t="shared" si="45"/>
        <v>217555.38999999897</v>
      </c>
      <c r="BA16" s="21">
        <f t="shared" si="45"/>
        <v>1940172.8499999971</v>
      </c>
      <c r="BB16" s="21">
        <f t="shared" si="45"/>
        <v>2286.3100000023842</v>
      </c>
      <c r="BC16" s="21">
        <f t="shared" si="45"/>
        <v>33.38999999733619</v>
      </c>
      <c r="BD16" s="21">
        <f t="shared" si="45"/>
        <v>12223.310000002384</v>
      </c>
      <c r="BE16" s="21">
        <f t="shared" si="45"/>
        <v>22853.179999999702</v>
      </c>
      <c r="BF16" s="21">
        <f t="shared" si="45"/>
        <v>37353.849999999627</v>
      </c>
      <c r="BG16" s="21">
        <f t="shared" si="45"/>
        <v>34409.610000001267</v>
      </c>
      <c r="BH16" s="21">
        <f t="shared" si="45"/>
        <v>13496.160000000149</v>
      </c>
      <c r="BI16" s="21">
        <f t="shared" si="45"/>
        <v>12870.069999998435</v>
      </c>
      <c r="BJ16" s="21">
        <f>IF(BJ67="","",SUM(BJ67,BJ57,BJ47,BJ37,BJ27))</f>
        <v>17714.029999999329</v>
      </c>
      <c r="BK16" s="21">
        <f t="shared" ref="BK16:BW21" si="46">IF(BK67="","",SUM(BK67,BK57,BK47,BK37,BK27))</f>
        <v>20826.88000000082</v>
      </c>
      <c r="BL16" s="21">
        <f t="shared" si="46"/>
        <v>19099.220000000671</v>
      </c>
      <c r="BM16" s="21">
        <f t="shared" si="46"/>
        <v>21421.460000000894</v>
      </c>
      <c r="BN16" s="21">
        <f t="shared" si="46"/>
        <v>19168.38000000082</v>
      </c>
      <c r="BO16" s="21">
        <f t="shared" si="46"/>
        <v>25465.089999996126</v>
      </c>
      <c r="BP16" s="21">
        <f t="shared" si="46"/>
        <v>70360.550000002608</v>
      </c>
      <c r="BQ16" s="21">
        <f t="shared" si="46"/>
        <v>91202.140000000596</v>
      </c>
      <c r="BR16" s="21">
        <f t="shared" si="46"/>
        <v>84499.239999998827</v>
      </c>
      <c r="BS16" s="21">
        <f t="shared" si="46"/>
        <v>53951.849999999627</v>
      </c>
      <c r="BT16" s="21">
        <f t="shared" si="46"/>
        <v>21911.110000000801</v>
      </c>
      <c r="BU16" s="21">
        <f t="shared" si="46"/>
        <v>20626.080000000002</v>
      </c>
      <c r="BV16" s="21">
        <f t="shared" si="46"/>
        <v>24775.3</v>
      </c>
      <c r="BW16" s="21">
        <f t="shared" si="46"/>
        <v>25830.019999999997</v>
      </c>
    </row>
    <row r="17" spans="1:75" s="5" customFormat="1" ht="15" customHeight="1" x14ac:dyDescent="0.3">
      <c r="A17" s="255"/>
      <c r="B17" s="18" t="s">
        <v>26</v>
      </c>
      <c r="C17" s="26"/>
      <c r="D17" s="26"/>
      <c r="E17" s="21">
        <f t="shared" ref="E17:AX17" si="47">IF(E68="","",SUM(E68,E58,E48,E38,E28))</f>
        <v>0</v>
      </c>
      <c r="F17" s="21">
        <f t="shared" si="47"/>
        <v>0</v>
      </c>
      <c r="G17" s="21">
        <f t="shared" si="47"/>
        <v>17393.11</v>
      </c>
      <c r="H17" s="21">
        <f t="shared" si="47"/>
        <v>264954.01</v>
      </c>
      <c r="I17" s="21">
        <f t="shared" si="47"/>
        <v>347680.79</v>
      </c>
      <c r="J17" s="21">
        <f t="shared" si="47"/>
        <v>348292.31</v>
      </c>
      <c r="K17" s="21">
        <f t="shared" si="47"/>
        <v>325763.31</v>
      </c>
      <c r="L17" s="21">
        <f t="shared" si="47"/>
        <v>246495.91999999998</v>
      </c>
      <c r="M17" s="21">
        <f t="shared" si="47"/>
        <v>210020.45</v>
      </c>
      <c r="N17" s="21">
        <f t="shared" si="47"/>
        <v>286405.52</v>
      </c>
      <c r="O17" s="21">
        <f t="shared" si="47"/>
        <v>537350.65</v>
      </c>
      <c r="P17" s="21">
        <f t="shared" si="47"/>
        <v>2380685.19</v>
      </c>
      <c r="Q17" s="21">
        <f t="shared" si="47"/>
        <v>1978228.74</v>
      </c>
      <c r="R17" s="21">
        <f t="shared" si="47"/>
        <v>1865586.4</v>
      </c>
      <c r="S17" s="21">
        <f t="shared" si="47"/>
        <v>1834668.94</v>
      </c>
      <c r="T17" s="21">
        <f t="shared" si="47"/>
        <v>2295880.5499999998</v>
      </c>
      <c r="U17" s="21">
        <f t="shared" si="47"/>
        <v>2739739.71</v>
      </c>
      <c r="V17" s="21">
        <f t="shared" si="47"/>
        <v>2810029.67</v>
      </c>
      <c r="W17" s="21">
        <f t="shared" si="47"/>
        <v>2397146.59</v>
      </c>
      <c r="X17" s="21">
        <f t="shared" si="47"/>
        <v>2196198.75</v>
      </c>
      <c r="Y17" s="21">
        <f t="shared" si="47"/>
        <v>1955310.19</v>
      </c>
      <c r="Z17" s="21">
        <f t="shared" si="47"/>
        <v>2272928.3199999998</v>
      </c>
      <c r="AA17" s="21">
        <f t="shared" si="47"/>
        <v>3133513.62</v>
      </c>
      <c r="AB17" s="21">
        <f t="shared" si="47"/>
        <v>2686519.3200000003</v>
      </c>
      <c r="AC17" s="21">
        <f t="shared" si="47"/>
        <v>2253809.6799999997</v>
      </c>
      <c r="AD17" s="21">
        <f>IF(AD68="","",SUM(AD68,AD58,AD48,AD38,AD28))</f>
        <v>2191880.62</v>
      </c>
      <c r="AE17" s="21">
        <f t="shared" si="47"/>
        <v>2008078.9100000001</v>
      </c>
      <c r="AF17" s="21">
        <f t="shared" si="47"/>
        <v>2628092.91</v>
      </c>
      <c r="AG17" s="21">
        <f t="shared" si="47"/>
        <v>2927384.48</v>
      </c>
      <c r="AH17" s="21">
        <f t="shared" si="47"/>
        <v>2713828.67</v>
      </c>
      <c r="AI17" s="21">
        <f t="shared" si="47"/>
        <v>2656476.0999999996</v>
      </c>
      <c r="AJ17" s="21">
        <f t="shared" si="47"/>
        <v>2241568.5700000003</v>
      </c>
      <c r="AK17" s="21">
        <f>IF(AK68="","",SUM(AK68,AK58,AK48,AK38,AK28))</f>
        <v>2050332.6400000001</v>
      </c>
      <c r="AL17" s="21">
        <f t="shared" si="47"/>
        <v>2540211.56</v>
      </c>
      <c r="AM17" s="21">
        <f t="shared" si="47"/>
        <v>2758522.64</v>
      </c>
      <c r="AN17" s="21">
        <f t="shared" si="47"/>
        <v>3731846.29</v>
      </c>
      <c r="AO17" s="21">
        <f t="shared" si="47"/>
        <v>3504116.6100000003</v>
      </c>
      <c r="AP17" s="21">
        <f t="shared" si="47"/>
        <v>2834702.33</v>
      </c>
      <c r="AQ17" s="21">
        <f t="shared" si="47"/>
        <v>2693990.75</v>
      </c>
      <c r="AR17" s="21">
        <f t="shared" si="47"/>
        <v>3224890.5700000003</v>
      </c>
      <c r="AS17" s="21">
        <f t="shared" si="47"/>
        <v>3677369.7199999997</v>
      </c>
      <c r="AT17" s="21">
        <f t="shared" si="47"/>
        <v>3821939.25</v>
      </c>
      <c r="AU17" s="21">
        <f t="shared" si="47"/>
        <v>3698449.99</v>
      </c>
      <c r="AV17" s="21">
        <f t="shared" si="47"/>
        <v>3264460.08</v>
      </c>
      <c r="AW17" s="21">
        <f t="shared" si="47"/>
        <v>2921768.73</v>
      </c>
      <c r="AX17" s="21">
        <f t="shared" si="47"/>
        <v>3431438.0600000005</v>
      </c>
      <c r="AY17" s="21">
        <f t="shared" ref="AY17:BH17" si="48">IF(AY68="","",SUM(AY68,AY58,AY48,AY38,AY28))</f>
        <v>3659744.19</v>
      </c>
      <c r="AZ17" s="21">
        <f t="shared" si="48"/>
        <v>2389556.5699999998</v>
      </c>
      <c r="BA17" s="21">
        <f t="shared" si="48"/>
        <v>693510.74000000011</v>
      </c>
      <c r="BB17" s="21">
        <f t="shared" si="48"/>
        <v>590167.07000000007</v>
      </c>
      <c r="BC17" s="21">
        <f t="shared" si="48"/>
        <v>548810.88</v>
      </c>
      <c r="BD17" s="21">
        <f t="shared" si="48"/>
        <v>622900.25999999989</v>
      </c>
      <c r="BE17" s="21">
        <f t="shared" si="48"/>
        <v>774512.69</v>
      </c>
      <c r="BF17" s="21">
        <f t="shared" si="48"/>
        <v>770258.37</v>
      </c>
      <c r="BG17" s="21">
        <f t="shared" si="48"/>
        <v>751740.30999999994</v>
      </c>
      <c r="BH17" s="21">
        <f t="shared" si="48"/>
        <v>622388.87</v>
      </c>
      <c r="BI17" s="21">
        <f t="shared" si="45"/>
        <v>618464.55999999994</v>
      </c>
      <c r="BJ17" s="21">
        <f t="shared" si="45"/>
        <v>686712.57000000007</v>
      </c>
      <c r="BK17" s="21">
        <f t="shared" si="46"/>
        <v>753788.79</v>
      </c>
      <c r="BL17" s="21">
        <f t="shared" si="46"/>
        <v>123252.23000000001</v>
      </c>
      <c r="BM17" s="21">
        <f t="shared" si="46"/>
        <v>-572800.92000000004</v>
      </c>
      <c r="BN17" s="21">
        <f t="shared" si="46"/>
        <v>-433116.61</v>
      </c>
      <c r="BO17" s="21">
        <f t="shared" si="46"/>
        <v>-422296.81</v>
      </c>
      <c r="BP17" s="21">
        <f t="shared" si="46"/>
        <v>-511624.21</v>
      </c>
      <c r="BQ17" s="21">
        <f t="shared" si="46"/>
        <v>-644535.94999999995</v>
      </c>
      <c r="BR17" s="21">
        <f t="shared" si="46"/>
        <v>-648872.89</v>
      </c>
      <c r="BS17" s="21">
        <f t="shared" si="46"/>
        <v>-646588.66999999993</v>
      </c>
      <c r="BT17" s="21">
        <f t="shared" si="46"/>
        <v>-495839.69999999995</v>
      </c>
      <c r="BU17" s="21">
        <f t="shared" si="46"/>
        <v>-444296.67879798939</v>
      </c>
      <c r="BV17" s="21">
        <f t="shared" si="46"/>
        <v>-570160.97437278205</v>
      </c>
      <c r="BW17" s="21">
        <f t="shared" si="46"/>
        <v>-688256.00969777349</v>
      </c>
    </row>
    <row r="18" spans="1:75" s="5" customFormat="1" ht="15" customHeight="1" x14ac:dyDescent="0.3">
      <c r="A18" s="255"/>
      <c r="B18" s="18" t="s">
        <v>47</v>
      </c>
      <c r="C18" s="26"/>
      <c r="D18" s="26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>
        <f>IF(O69="","",SUM(O69,O59,O49,O39,O29))</f>
        <v>0</v>
      </c>
      <c r="P18" s="21">
        <f>IF(P69="","",SUM(P69,P59,P49,P39,P29))</f>
        <v>-1207876.0699999998</v>
      </c>
      <c r="Q18" s="21">
        <f t="shared" ref="Q18:AM18" si="49">IF(Q69="","",SUM(Q69,Q59,Q49,Q39,Q29))</f>
        <v>-991453.85</v>
      </c>
      <c r="R18" s="21">
        <f t="shared" si="49"/>
        <v>-942175.03</v>
      </c>
      <c r="S18" s="21">
        <f t="shared" si="49"/>
        <v>-924830.89</v>
      </c>
      <c r="T18" s="21">
        <f t="shared" si="49"/>
        <v>-1162964.6800000002</v>
      </c>
      <c r="U18" s="21">
        <f t="shared" si="49"/>
        <v>-1377616.51</v>
      </c>
      <c r="V18" s="21">
        <f t="shared" si="49"/>
        <v>-1419206.7000000002</v>
      </c>
      <c r="W18" s="21">
        <f t="shared" si="49"/>
        <v>-1209460.76</v>
      </c>
      <c r="X18" s="21">
        <f t="shared" si="49"/>
        <v>-1107295.8</v>
      </c>
      <c r="Y18" s="21">
        <f t="shared" si="49"/>
        <v>-988276.53</v>
      </c>
      <c r="Z18" s="21">
        <f t="shared" si="49"/>
        <v>-1145553.06</v>
      </c>
      <c r="AA18" s="21">
        <f t="shared" si="49"/>
        <v>-1569459.38</v>
      </c>
      <c r="AB18" s="21">
        <f t="shared" si="49"/>
        <v>231630.62999999998</v>
      </c>
      <c r="AC18" s="21">
        <f t="shared" si="49"/>
        <v>87666.98000000001</v>
      </c>
      <c r="AD18" s="21">
        <f t="shared" si="49"/>
        <v>85411.62</v>
      </c>
      <c r="AE18" s="21">
        <f t="shared" si="49"/>
        <v>84463.6</v>
      </c>
      <c r="AF18" s="21">
        <f t="shared" si="49"/>
        <v>105228.66999999998</v>
      </c>
      <c r="AG18" s="21">
        <f t="shared" si="49"/>
        <v>100170.55</v>
      </c>
      <c r="AH18" s="21">
        <f t="shared" si="49"/>
        <v>108068.86000000002</v>
      </c>
      <c r="AI18" s="21">
        <f t="shared" si="49"/>
        <v>105313.19999999998</v>
      </c>
      <c r="AJ18" s="21">
        <f t="shared" si="49"/>
        <v>93009.289999999979</v>
      </c>
      <c r="AK18" s="21">
        <f t="shared" si="49"/>
        <v>85572.94</v>
      </c>
      <c r="AL18" s="21">
        <f t="shared" si="49"/>
        <v>97124.979999999981</v>
      </c>
      <c r="AM18" s="21">
        <f t="shared" si="49"/>
        <v>105785.10999999999</v>
      </c>
      <c r="AN18" s="21">
        <f t="shared" ref="AN18:BH18" si="50">IF(AN69="","",SUM(AN69,AN59,AN49,AN39,AN29))</f>
        <v>181359.25</v>
      </c>
      <c r="AO18" s="21">
        <f t="shared" si="50"/>
        <v>164712.29999999999</v>
      </c>
      <c r="AP18" s="21">
        <f t="shared" si="50"/>
        <v>113525.45999999999</v>
      </c>
      <c r="AQ18" s="21">
        <f t="shared" si="50"/>
        <v>93935.329999999987</v>
      </c>
      <c r="AR18" s="21">
        <f t="shared" si="50"/>
        <v>130300.17</v>
      </c>
      <c r="AS18" s="21">
        <f t="shared" si="50"/>
        <v>163717.59999999998</v>
      </c>
      <c r="AT18" s="21">
        <f t="shared" si="50"/>
        <v>174566.88</v>
      </c>
      <c r="AU18" s="21">
        <f t="shared" si="50"/>
        <v>159535.30000000002</v>
      </c>
      <c r="AV18" s="21">
        <f t="shared" si="50"/>
        <v>129573.49</v>
      </c>
      <c r="AW18" s="21">
        <f t="shared" si="50"/>
        <v>118167.16</v>
      </c>
      <c r="AX18" s="21">
        <f t="shared" si="50"/>
        <v>157541.19</v>
      </c>
      <c r="AY18" s="21">
        <f t="shared" si="50"/>
        <v>174576.71</v>
      </c>
      <c r="AZ18" s="21">
        <f t="shared" si="50"/>
        <v>591355.12999999989</v>
      </c>
      <c r="BA18" s="21">
        <f t="shared" si="50"/>
        <v>26216.720000000008</v>
      </c>
      <c r="BB18" s="21">
        <f t="shared" si="50"/>
        <v>-3251.070000000007</v>
      </c>
      <c r="BC18" s="21">
        <f t="shared" si="50"/>
        <v>-9025.43</v>
      </c>
      <c r="BD18" s="21">
        <f t="shared" si="50"/>
        <v>27230.33</v>
      </c>
      <c r="BE18" s="21">
        <f t="shared" si="50"/>
        <v>29309.849999999991</v>
      </c>
      <c r="BF18" s="21">
        <f t="shared" si="50"/>
        <v>19315.050000000017</v>
      </c>
      <c r="BG18" s="21">
        <f t="shared" si="50"/>
        <v>6613.2999999999884</v>
      </c>
      <c r="BH18" s="21">
        <f t="shared" si="50"/>
        <v>-14627.319999999992</v>
      </c>
      <c r="BI18" s="21">
        <f t="shared" si="45"/>
        <v>-8528.3399999999965</v>
      </c>
      <c r="BJ18" s="21">
        <f t="shared" si="45"/>
        <v>12811.640000000014</v>
      </c>
      <c r="BK18" s="21">
        <f t="shared" si="46"/>
        <v>47263.67</v>
      </c>
      <c r="BL18" s="21">
        <f t="shared" si="46"/>
        <v>-200239.46999999997</v>
      </c>
      <c r="BM18" s="21">
        <f t="shared" si="46"/>
        <v>614417.39</v>
      </c>
      <c r="BN18" s="21">
        <f t="shared" si="46"/>
        <v>473151.63</v>
      </c>
      <c r="BO18" s="21">
        <f t="shared" si="46"/>
        <v>463923.9</v>
      </c>
      <c r="BP18" s="21">
        <f t="shared" si="46"/>
        <v>554127.14</v>
      </c>
      <c r="BQ18" s="21">
        <f t="shared" si="46"/>
        <v>697686.94</v>
      </c>
      <c r="BR18" s="21">
        <f t="shared" si="46"/>
        <v>699968.13</v>
      </c>
      <c r="BS18" s="21">
        <f t="shared" si="46"/>
        <v>698521.77</v>
      </c>
      <c r="BT18" s="21">
        <f t="shared" si="46"/>
        <v>541136.61</v>
      </c>
      <c r="BU18" s="21">
        <f t="shared" si="46"/>
        <v>487272.51</v>
      </c>
      <c r="BV18" s="21">
        <f t="shared" si="46"/>
        <v>615841.42999999993</v>
      </c>
      <c r="BW18" s="21">
        <f t="shared" si="46"/>
        <v>736764.68</v>
      </c>
    </row>
    <row r="19" spans="1:75" s="5" customFormat="1" ht="15" customHeight="1" x14ac:dyDescent="0.3">
      <c r="A19" s="255"/>
      <c r="B19" s="18" t="s">
        <v>48</v>
      </c>
      <c r="C19" s="26"/>
      <c r="D19" s="26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>
        <f>IF(O70="","",SUM(O70,O60,O50,O40,O30))</f>
        <v>537350.65</v>
      </c>
      <c r="P19" s="21">
        <f>IF(P70="","",SUM(P70,P60,P50,P40,P30))</f>
        <v>1172809.1200000001</v>
      </c>
      <c r="Q19" s="21">
        <f t="shared" ref="Q19:AM19" si="51">IF(Q70="","",SUM(Q70,Q60,Q50,Q40,Q30))</f>
        <v>986774.89000000013</v>
      </c>
      <c r="R19" s="21">
        <f t="shared" si="51"/>
        <v>923411.36999999988</v>
      </c>
      <c r="S19" s="21">
        <f t="shared" si="51"/>
        <v>909838.04999999993</v>
      </c>
      <c r="T19" s="21">
        <f t="shared" si="51"/>
        <v>1132915.8700000001</v>
      </c>
      <c r="U19" s="21">
        <f t="shared" si="51"/>
        <v>1362123.2</v>
      </c>
      <c r="V19" s="21">
        <f t="shared" si="51"/>
        <v>1390822.9699999997</v>
      </c>
      <c r="W19" s="21">
        <f t="shared" si="51"/>
        <v>1187685.83</v>
      </c>
      <c r="X19" s="21">
        <f t="shared" si="51"/>
        <v>1088902.95</v>
      </c>
      <c r="Y19" s="21">
        <f t="shared" si="51"/>
        <v>967033.66</v>
      </c>
      <c r="Z19" s="21">
        <f t="shared" si="51"/>
        <v>1127375.2599999998</v>
      </c>
      <c r="AA19" s="21">
        <f t="shared" si="51"/>
        <v>1564054.24</v>
      </c>
      <c r="AB19" s="21">
        <f t="shared" si="51"/>
        <v>2918149.95</v>
      </c>
      <c r="AC19" s="21">
        <f t="shared" si="51"/>
        <v>2341476.66</v>
      </c>
      <c r="AD19" s="21">
        <f t="shared" si="51"/>
        <v>2277292.2400000002</v>
      </c>
      <c r="AE19" s="21">
        <f t="shared" si="51"/>
        <v>2092542.51</v>
      </c>
      <c r="AF19" s="21">
        <f t="shared" si="51"/>
        <v>2733321.58</v>
      </c>
      <c r="AG19" s="21">
        <f t="shared" si="51"/>
        <v>3027555.0300000003</v>
      </c>
      <c r="AH19" s="21">
        <f t="shared" si="51"/>
        <v>2821897.5300000003</v>
      </c>
      <c r="AI19" s="21">
        <f t="shared" si="51"/>
        <v>2761789.3</v>
      </c>
      <c r="AJ19" s="21">
        <f t="shared" si="51"/>
        <v>2334577.86</v>
      </c>
      <c r="AK19" s="21">
        <f t="shared" si="51"/>
        <v>2135905.58</v>
      </c>
      <c r="AL19" s="21">
        <f t="shared" si="51"/>
        <v>2637336.54</v>
      </c>
      <c r="AM19" s="21">
        <f t="shared" si="51"/>
        <v>2864307.75</v>
      </c>
      <c r="AN19" s="21">
        <f t="shared" ref="AN19:BH19" si="52">IF(AN70="","",SUM(AN70,AN60,AN50,AN40,AN30))</f>
        <v>3913205.54</v>
      </c>
      <c r="AO19" s="21">
        <f t="shared" si="52"/>
        <v>3668828.91</v>
      </c>
      <c r="AP19" s="21">
        <f t="shared" si="52"/>
        <v>2948227.79</v>
      </c>
      <c r="AQ19" s="21">
        <f t="shared" si="52"/>
        <v>2787926.08</v>
      </c>
      <c r="AR19" s="21">
        <f t="shared" si="52"/>
        <v>3355190.74</v>
      </c>
      <c r="AS19" s="21">
        <f t="shared" si="52"/>
        <v>3841087.32</v>
      </c>
      <c r="AT19" s="21">
        <f t="shared" si="52"/>
        <v>3996506.1300000004</v>
      </c>
      <c r="AU19" s="21">
        <f t="shared" si="52"/>
        <v>3857985.29</v>
      </c>
      <c r="AV19" s="21">
        <f t="shared" si="52"/>
        <v>3394033.5700000003</v>
      </c>
      <c r="AW19" s="21">
        <f t="shared" si="52"/>
        <v>3039935.89</v>
      </c>
      <c r="AX19" s="21">
        <f t="shared" si="52"/>
        <v>3588979.25</v>
      </c>
      <c r="AY19" s="21">
        <f t="shared" si="52"/>
        <v>3834320.9</v>
      </c>
      <c r="AZ19" s="21">
        <f t="shared" si="52"/>
        <v>2980911.7</v>
      </c>
      <c r="BA19" s="21">
        <f t="shared" si="52"/>
        <v>719727.46</v>
      </c>
      <c r="BB19" s="21">
        <f t="shared" si="52"/>
        <v>586916</v>
      </c>
      <c r="BC19" s="21">
        <f t="shared" si="52"/>
        <v>539785.45000000007</v>
      </c>
      <c r="BD19" s="21">
        <f t="shared" si="52"/>
        <v>650130.59</v>
      </c>
      <c r="BE19" s="21">
        <f t="shared" si="52"/>
        <v>803822.54</v>
      </c>
      <c r="BF19" s="21">
        <f t="shared" si="52"/>
        <v>789573.41999999993</v>
      </c>
      <c r="BG19" s="21">
        <f t="shared" si="52"/>
        <v>758353.60999999987</v>
      </c>
      <c r="BH19" s="21">
        <f t="shared" si="52"/>
        <v>607761.55000000005</v>
      </c>
      <c r="BI19" s="21">
        <f t="shared" si="45"/>
        <v>609936.22</v>
      </c>
      <c r="BJ19" s="21">
        <f t="shared" si="45"/>
        <v>699524.21000000008</v>
      </c>
      <c r="BK19" s="21">
        <f t="shared" si="46"/>
        <v>801052.46000000008</v>
      </c>
      <c r="BL19" s="21">
        <f t="shared" si="46"/>
        <v>-76987.240000000005</v>
      </c>
      <c r="BM19" s="21">
        <f t="shared" si="46"/>
        <v>41616.47</v>
      </c>
      <c r="BN19" s="21">
        <f t="shared" si="46"/>
        <v>40035.020000000019</v>
      </c>
      <c r="BO19" s="21">
        <f t="shared" si="46"/>
        <v>41627.089999999997</v>
      </c>
      <c r="BP19" s="21">
        <f t="shared" si="46"/>
        <v>42502.93</v>
      </c>
      <c r="BQ19" s="21">
        <f t="shared" si="46"/>
        <v>53150.990000000034</v>
      </c>
      <c r="BR19" s="21">
        <f>IF(BR70="","",SUM(BR70,BR60,BR50,BR40,BR30))</f>
        <v>51095.24</v>
      </c>
      <c r="BS19" s="21">
        <f t="shared" si="46"/>
        <v>51933.100000000079</v>
      </c>
      <c r="BT19" s="21">
        <f t="shared" si="46"/>
        <v>45296.909999999989</v>
      </c>
      <c r="BU19" s="21">
        <f t="shared" si="46"/>
        <v>42975.831202010653</v>
      </c>
      <c r="BV19" s="21">
        <f t="shared" si="46"/>
        <v>45680.455627217969</v>
      </c>
      <c r="BW19" s="21">
        <f t="shared" si="46"/>
        <v>48508.670302226492</v>
      </c>
    </row>
    <row r="20" spans="1:75" s="5" customFormat="1" x14ac:dyDescent="0.3">
      <c r="A20" s="255"/>
      <c r="B20" s="18" t="s">
        <v>13</v>
      </c>
      <c r="C20" s="26"/>
      <c r="D20" s="26"/>
      <c r="E20" s="21">
        <f t="shared" ref="E20:N20" si="53">IF(E71="","",SUM(E71,E61,E51,E41,E31))</f>
        <v>0</v>
      </c>
      <c r="F20" s="21">
        <f t="shared" si="53"/>
        <v>1328.78</v>
      </c>
      <c r="G20" s="21">
        <f t="shared" si="53"/>
        <v>-7866.5800000000008</v>
      </c>
      <c r="H20" s="21">
        <f t="shared" si="53"/>
        <v>-133053.58000000002</v>
      </c>
      <c r="I20" s="21">
        <f t="shared" si="53"/>
        <v>-51681.239999999976</v>
      </c>
      <c r="J20" s="21">
        <f t="shared" si="53"/>
        <v>77261.489999999903</v>
      </c>
      <c r="K20" s="21">
        <f t="shared" si="53"/>
        <v>432756.34000000008</v>
      </c>
      <c r="L20" s="21">
        <f t="shared" si="53"/>
        <v>-47145.189999999871</v>
      </c>
      <c r="M20" s="21">
        <f t="shared" si="53"/>
        <v>69087.899999999878</v>
      </c>
      <c r="N20" s="21">
        <f t="shared" si="53"/>
        <v>151902.13000000003</v>
      </c>
      <c r="O20" s="21">
        <f>IF(O71="","",SUM(O71,O61,O51,O41,O31))</f>
        <v>-27689.770000000048</v>
      </c>
      <c r="P20" s="21">
        <f t="shared" ref="P20:AM20" si="54">IF(P71="","",SUM(P71,P61,P51,P41,P31))</f>
        <v>-686607.62999999977</v>
      </c>
      <c r="Q20" s="21">
        <f t="shared" si="54"/>
        <v>-471935.5300000002</v>
      </c>
      <c r="R20" s="21">
        <f>IF(R71="","",SUM(R71,R61,R51,R41,R31))</f>
        <v>-610715.52000000025</v>
      </c>
      <c r="S20" s="21">
        <f t="shared" si="54"/>
        <v>-517363.80000000016</v>
      </c>
      <c r="T20" s="21">
        <f t="shared" si="54"/>
        <v>215932.49000000043</v>
      </c>
      <c r="U20" s="21">
        <f t="shared" si="54"/>
        <v>596646.87</v>
      </c>
      <c r="V20" s="21">
        <f t="shared" si="54"/>
        <v>728529.22</v>
      </c>
      <c r="W20" s="21">
        <f t="shared" si="54"/>
        <v>465319.60999999975</v>
      </c>
      <c r="X20" s="21">
        <f t="shared" si="54"/>
        <v>-338265.06999999942</v>
      </c>
      <c r="Y20" s="21">
        <f t="shared" si="54"/>
        <v>-141981.55000000101</v>
      </c>
      <c r="Z20" s="21">
        <f t="shared" si="54"/>
        <v>-30273.279999999155</v>
      </c>
      <c r="AA20" s="21">
        <f t="shared" si="54"/>
        <v>-330626.83000000083</v>
      </c>
      <c r="AB20" s="21">
        <f t="shared" si="54"/>
        <v>-1855411.3700000003</v>
      </c>
      <c r="AC20" s="21">
        <f t="shared" si="54"/>
        <v>-1225018.9699999983</v>
      </c>
      <c r="AD20" s="21">
        <f t="shared" si="54"/>
        <v>-1317498.7600000007</v>
      </c>
      <c r="AE20" s="21">
        <f t="shared" si="54"/>
        <v>-668311.41000000061</v>
      </c>
      <c r="AF20" s="21">
        <f t="shared" si="54"/>
        <v>1071247.660000002</v>
      </c>
      <c r="AG20" s="21">
        <f t="shared" si="54"/>
        <v>2085194.560000001</v>
      </c>
      <c r="AH20" s="21">
        <f t="shared" si="54"/>
        <v>1891970.0200000023</v>
      </c>
      <c r="AI20" s="21">
        <f t="shared" si="54"/>
        <v>836550.65999999898</v>
      </c>
      <c r="AJ20" s="21">
        <f t="shared" si="54"/>
        <v>-620052.32000000216</v>
      </c>
      <c r="AK20" s="21">
        <f t="shared" si="54"/>
        <v>-564484.33000000182</v>
      </c>
      <c r="AL20" s="21">
        <f t="shared" si="54"/>
        <v>-717816.6100000001</v>
      </c>
      <c r="AM20" s="21">
        <f t="shared" si="54"/>
        <v>-803872.98000000278</v>
      </c>
      <c r="AN20" s="21">
        <f t="shared" ref="AN20:BH20" si="55">IF(AN71="","",SUM(AN71,AN61,AN51,AN41,AN31))</f>
        <v>-2113578.2199999974</v>
      </c>
      <c r="AO20" s="21">
        <f t="shared" si="55"/>
        <v>-1356237.1399999955</v>
      </c>
      <c r="AP20" s="21">
        <f>IF(AP71="","",SUM(AP71,AP61,AP51,AP41,AP31))</f>
        <v>-838313.79000000027</v>
      </c>
      <c r="AQ20" s="21">
        <f t="shared" si="55"/>
        <v>-899940.12000000197</v>
      </c>
      <c r="AR20" s="21">
        <f t="shared" si="55"/>
        <v>2768603.9000000013</v>
      </c>
      <c r="AS20" s="21">
        <f t="shared" si="55"/>
        <v>3534224.4699999974</v>
      </c>
      <c r="AT20" s="21">
        <f t="shared" si="55"/>
        <v>2972766.0900000017</v>
      </c>
      <c r="AU20" s="21">
        <f t="shared" si="55"/>
        <v>1267302.1999999983</v>
      </c>
      <c r="AV20" s="21">
        <f t="shared" si="55"/>
        <v>-1170724.5700000017</v>
      </c>
      <c r="AW20" s="21">
        <f t="shared" si="55"/>
        <v>-961540.15999999747</v>
      </c>
      <c r="AX20" s="21">
        <f t="shared" si="55"/>
        <v>-1360244.5700000012</v>
      </c>
      <c r="AY20" s="21">
        <f t="shared" si="55"/>
        <v>-1464472.9500000002</v>
      </c>
      <c r="AZ20" s="21">
        <f t="shared" si="55"/>
        <v>-2763356.310000001</v>
      </c>
      <c r="BA20" s="21">
        <f t="shared" si="55"/>
        <v>1220445.3899999969</v>
      </c>
      <c r="BB20" s="21">
        <f t="shared" si="55"/>
        <v>-584629.68999999762</v>
      </c>
      <c r="BC20" s="21">
        <f t="shared" si="55"/>
        <v>-539752.06000000262</v>
      </c>
      <c r="BD20" s="21">
        <f t="shared" si="55"/>
        <v>-637907.27999999758</v>
      </c>
      <c r="BE20" s="21">
        <f t="shared" si="55"/>
        <v>-780969.36000000034</v>
      </c>
      <c r="BF20" s="21">
        <f t="shared" si="55"/>
        <v>-752219.5700000003</v>
      </c>
      <c r="BG20" s="21">
        <f t="shared" si="55"/>
        <v>-723943.9999999986</v>
      </c>
      <c r="BH20" s="21">
        <f t="shared" si="55"/>
        <v>-594265.3899999999</v>
      </c>
      <c r="BI20" s="21">
        <f t="shared" si="45"/>
        <v>-597066.15000000154</v>
      </c>
      <c r="BJ20" s="21">
        <f t="shared" si="45"/>
        <v>-681810.18000000075</v>
      </c>
      <c r="BK20" s="21">
        <f t="shared" si="46"/>
        <v>-780225.57999999914</v>
      </c>
      <c r="BL20" s="21">
        <f t="shared" si="46"/>
        <v>96086.460000000676</v>
      </c>
      <c r="BM20" s="21">
        <f t="shared" si="46"/>
        <v>-20195.009999999103</v>
      </c>
      <c r="BN20" s="21">
        <f t="shared" si="46"/>
        <v>-20866.639999999203</v>
      </c>
      <c r="BO20" s="21">
        <f t="shared" si="46"/>
        <v>-16162.000000003867</v>
      </c>
      <c r="BP20" s="21">
        <f t="shared" si="46"/>
        <v>27857.620000002607</v>
      </c>
      <c r="BQ20" s="21">
        <f t="shared" si="46"/>
        <v>38051.150000000562</v>
      </c>
      <c r="BR20" s="21">
        <f t="shared" si="46"/>
        <v>33403.999999998829</v>
      </c>
      <c r="BS20" s="21">
        <f t="shared" si="46"/>
        <v>2018.7499999995471</v>
      </c>
      <c r="BT20" s="21">
        <f t="shared" si="46"/>
        <v>-23385.799999999192</v>
      </c>
      <c r="BU20" s="21">
        <f t="shared" si="46"/>
        <v>-22349.751202010659</v>
      </c>
      <c r="BV20" s="21">
        <f t="shared" si="46"/>
        <v>-20905.155627217966</v>
      </c>
      <c r="BW20" s="21">
        <f t="shared" si="46"/>
        <v>-22678.650302226495</v>
      </c>
    </row>
    <row r="21" spans="1:75" s="5" customFormat="1" x14ac:dyDescent="0.3">
      <c r="A21" s="255"/>
      <c r="B21" s="19" t="s">
        <v>8</v>
      </c>
      <c r="C21" s="30"/>
      <c r="D21" s="30"/>
      <c r="E21" s="21">
        <f t="shared" ref="E21:N21" si="56">IF(E72="","",SUM(E72,E62,E52,E42,E32))</f>
        <v>0</v>
      </c>
      <c r="F21" s="21">
        <f t="shared" si="56"/>
        <v>0.8255809798499999</v>
      </c>
      <c r="G21" s="21">
        <f t="shared" si="56"/>
        <v>-4.1171717033740967</v>
      </c>
      <c r="H21" s="21">
        <f t="shared" si="56"/>
        <v>-72.859344916704288</v>
      </c>
      <c r="I21" s="21">
        <f t="shared" si="56"/>
        <v>-100.30550409638994</v>
      </c>
      <c r="J21" s="21">
        <f t="shared" si="56"/>
        <v>-72.753288511569778</v>
      </c>
      <c r="K21" s="21">
        <f t="shared" si="56"/>
        <v>200.50907880827907</v>
      </c>
      <c r="L21" s="21">
        <f t="shared" si="56"/>
        <v>172.02097202559608</v>
      </c>
      <c r="M21" s="21">
        <f t="shared" si="56"/>
        <v>217.02433769691845</v>
      </c>
      <c r="N21" s="21">
        <f t="shared" si="56"/>
        <v>395.24966455308538</v>
      </c>
      <c r="O21" s="21">
        <f>IF(O72="","",SUM(O72,O62,O52,O42,O32))</f>
        <v>349.22690574362667</v>
      </c>
      <c r="P21" s="21">
        <f t="shared" ref="P21:AM21" si="57">IF(P72="","",SUM(P72,P62,P52,P42,P32))</f>
        <v>9085.067358698212</v>
      </c>
      <c r="Q21" s="21">
        <f t="shared" si="57"/>
        <v>10214.988880944247</v>
      </c>
      <c r="R21" s="21">
        <f t="shared" si="57"/>
        <v>8736.5914682051516</v>
      </c>
      <c r="S21" s="21">
        <f t="shared" si="57"/>
        <v>7362.8607904455157</v>
      </c>
      <c r="T21" s="21">
        <f t="shared" si="57"/>
        <v>7923.3961160293629</v>
      </c>
      <c r="U21" s="21">
        <f t="shared" si="57"/>
        <v>6924.7664517725752</v>
      </c>
      <c r="V21" s="21">
        <f t="shared" si="57"/>
        <v>6462.66116279367</v>
      </c>
      <c r="W21" s="21">
        <f t="shared" si="57"/>
        <v>5489.9778987375539</v>
      </c>
      <c r="X21" s="21">
        <f t="shared" si="57"/>
        <v>3758.5776328034472</v>
      </c>
      <c r="Y21" s="21">
        <f t="shared" si="57"/>
        <v>2383.460710457091</v>
      </c>
      <c r="Z21" s="21">
        <f t="shared" si="57"/>
        <v>1195.4037651526837</v>
      </c>
      <c r="AA21" s="21">
        <f t="shared" si="57"/>
        <v>-1558.2361761768202</v>
      </c>
      <c r="AB21" s="21">
        <f t="shared" si="57"/>
        <v>-4135.4843592056523</v>
      </c>
      <c r="AC21" s="21">
        <f t="shared" si="57"/>
        <v>-6601.5401414695589</v>
      </c>
      <c r="AD21" s="21">
        <f t="shared" si="57"/>
        <v>-9814.0716615506135</v>
      </c>
      <c r="AE21" s="21">
        <f t="shared" si="57"/>
        <v>-10424.565326607853</v>
      </c>
      <c r="AF21" s="21">
        <f t="shared" si="57"/>
        <v>-8592.4080339308275</v>
      </c>
      <c r="AG21" s="21">
        <f t="shared" si="57"/>
        <v>-4589.5334392042514</v>
      </c>
      <c r="AH21" s="21">
        <f t="shared" si="57"/>
        <v>-680.13265225356713</v>
      </c>
      <c r="AI21" s="21">
        <f t="shared" si="57"/>
        <v>1145.4899555983075</v>
      </c>
      <c r="AJ21" s="21">
        <f t="shared" si="57"/>
        <v>131.71181854024999</v>
      </c>
      <c r="AK21" s="21">
        <f t="shared" si="57"/>
        <v>-872.82874485446064</v>
      </c>
      <c r="AL21" s="21">
        <f t="shared" si="57"/>
        <v>-2378.181461454757</v>
      </c>
      <c r="AM21" s="21">
        <f t="shared" si="57"/>
        <v>-4152.6707867001551</v>
      </c>
      <c r="AN21" s="21">
        <f t="shared" ref="AN21:BH21" si="58">IF(AN72="","",SUM(AN72,AN62,AN52,AN42,AN32))</f>
        <v>-8693.6427814507442</v>
      </c>
      <c r="AO21" s="21">
        <f t="shared" si="58"/>
        <v>-11321.044918425599</v>
      </c>
      <c r="AP21" s="21">
        <f t="shared" si="58"/>
        <v>-12444.339198648122</v>
      </c>
      <c r="AQ21" s="21">
        <f t="shared" si="58"/>
        <v>-14340.930585698752</v>
      </c>
      <c r="AR21" s="21">
        <f t="shared" si="58"/>
        <v>-7824.4663662353232</v>
      </c>
      <c r="AS21" s="21">
        <f>IF(AS72="","",SUM(AS72,AS62,AS52,AS42,AS32))</f>
        <v>-9334.3642759392933</v>
      </c>
      <c r="AT21" s="21">
        <f t="shared" si="58"/>
        <v>6436.4567620007265</v>
      </c>
      <c r="AU21" s="21">
        <f t="shared" si="58"/>
        <v>8716.5698904362325</v>
      </c>
      <c r="AV21" s="21">
        <f t="shared" si="58"/>
        <v>6493.0782834717565</v>
      </c>
      <c r="AW21" s="21">
        <f t="shared" si="58"/>
        <v>4311.4565601479198</v>
      </c>
      <c r="AX21" s="21">
        <f t="shared" si="58"/>
        <v>2634.364905981166</v>
      </c>
      <c r="AY21" s="21">
        <f t="shared" si="58"/>
        <v>571.98694501053819</v>
      </c>
      <c r="AZ21" s="21">
        <f t="shared" si="58"/>
        <v>-2717.5270852719018</v>
      </c>
      <c r="BA21" s="21">
        <f t="shared" si="58"/>
        <v>-887.8602214947432</v>
      </c>
      <c r="BB21" s="21">
        <f t="shared" si="58"/>
        <v>-901.63300423930241</v>
      </c>
      <c r="BC21" s="21">
        <f t="shared" si="58"/>
        <v>-183.12335601764065</v>
      </c>
      <c r="BD21" s="21">
        <f t="shared" si="58"/>
        <v>-242.20074501515484</v>
      </c>
      <c r="BE21" s="21">
        <f t="shared" si="58"/>
        <v>-494.70415668784943</v>
      </c>
      <c r="BF21" s="21">
        <f t="shared" si="58"/>
        <v>-432.37686754103748</v>
      </c>
      <c r="BG21" s="21">
        <f t="shared" si="58"/>
        <v>-466.39017441813189</v>
      </c>
      <c r="BH21" s="21">
        <f t="shared" si="58"/>
        <v>-854.31199570538581</v>
      </c>
      <c r="BI21" s="21">
        <f t="shared" si="45"/>
        <v>-1205.9083216950889</v>
      </c>
      <c r="BJ21" s="21">
        <f t="shared" si="45"/>
        <v>-1518.9937740867333</v>
      </c>
      <c r="BK21" s="21">
        <f t="shared" si="46"/>
        <v>-1226.0127552387839</v>
      </c>
      <c r="BL21" s="21">
        <f t="shared" si="46"/>
        <v>-1401.5041271901016</v>
      </c>
      <c r="BM21" s="21">
        <f t="shared" si="46"/>
        <v>-1184.0324974503467</v>
      </c>
      <c r="BN21" s="21">
        <f t="shared" si="46"/>
        <v>-1162.8472145595047</v>
      </c>
      <c r="BO21" s="21">
        <f t="shared" si="46"/>
        <v>-1074.9850853514536</v>
      </c>
      <c r="BP21" s="21">
        <f t="shared" si="46"/>
        <v>-868.97459291636187</v>
      </c>
      <c r="BQ21" s="21">
        <f t="shared" si="46"/>
        <v>-515.87606494964007</v>
      </c>
      <c r="BR21" s="21">
        <f t="shared" si="46"/>
        <v>-632.94049118212047</v>
      </c>
      <c r="BS21" s="21">
        <f t="shared" si="46"/>
        <v>-483.61735946795693</v>
      </c>
      <c r="BT21" s="21">
        <f t="shared" si="46"/>
        <v>-310.75679356401361</v>
      </c>
      <c r="BU21" s="252">
        <f t="shared" si="46"/>
        <v>-252.68029331346042</v>
      </c>
      <c r="BV21" s="252">
        <f t="shared" si="46"/>
        <v>-178.34484405352686</v>
      </c>
      <c r="BW21" s="252">
        <f t="shared" si="46"/>
        <v>-89.106383446811833</v>
      </c>
    </row>
    <row r="22" spans="1:75" s="5" customFormat="1" x14ac:dyDescent="0.3">
      <c r="A22" s="255"/>
      <c r="B22" s="19" t="s">
        <v>27</v>
      </c>
      <c r="C22" s="30"/>
      <c r="D22" s="30"/>
      <c r="E22" s="21">
        <f>IF(E21="","",E21)</f>
        <v>0</v>
      </c>
      <c r="F22" s="16">
        <f>IF(F21="","",E22+F21)</f>
        <v>0.8255809798499999</v>
      </c>
      <c r="G22" s="16">
        <f>IF(G21="","",F22+G21)</f>
        <v>-3.2915907235240969</v>
      </c>
      <c r="H22" s="16">
        <f>IF(H21="","",G22+H21)</f>
        <v>-76.150935640228383</v>
      </c>
      <c r="I22" s="16">
        <f t="shared" ref="I22:AM22" si="59">IF(I21="","",H22+I21)</f>
        <v>-176.45643973661834</v>
      </c>
      <c r="J22" s="16">
        <f t="shared" si="59"/>
        <v>-249.20972824818813</v>
      </c>
      <c r="K22" s="16">
        <f t="shared" si="59"/>
        <v>-48.700649439909057</v>
      </c>
      <c r="L22" s="16">
        <f t="shared" si="59"/>
        <v>123.32032258568702</v>
      </c>
      <c r="M22" s="16">
        <f t="shared" si="59"/>
        <v>340.34466028260545</v>
      </c>
      <c r="N22" s="16">
        <f t="shared" si="59"/>
        <v>735.59432483569083</v>
      </c>
      <c r="O22" s="16">
        <f t="shared" si="59"/>
        <v>1084.8212305793174</v>
      </c>
      <c r="P22" s="16">
        <f t="shared" si="59"/>
        <v>10169.888589277529</v>
      </c>
      <c r="Q22" s="16">
        <f t="shared" si="59"/>
        <v>20384.877470221778</v>
      </c>
      <c r="R22" s="16">
        <f t="shared" si="59"/>
        <v>29121.46893842693</v>
      </c>
      <c r="S22" s="16">
        <f t="shared" si="59"/>
        <v>36484.329728872443</v>
      </c>
      <c r="T22" s="16">
        <f t="shared" si="59"/>
        <v>44407.725844901805</v>
      </c>
      <c r="U22" s="16">
        <f t="shared" si="59"/>
        <v>51332.492296674376</v>
      </c>
      <c r="V22" s="16">
        <f t="shared" si="59"/>
        <v>57795.153459468049</v>
      </c>
      <c r="W22" s="16">
        <f t="shared" si="59"/>
        <v>63285.131358205603</v>
      </c>
      <c r="X22" s="16">
        <f t="shared" si="59"/>
        <v>67043.708991009044</v>
      </c>
      <c r="Y22" s="16">
        <f t="shared" si="59"/>
        <v>69427.169701466133</v>
      </c>
      <c r="Z22" s="16">
        <f t="shared" si="59"/>
        <v>70622.573466618822</v>
      </c>
      <c r="AA22" s="16">
        <f t="shared" si="59"/>
        <v>69064.337290441996</v>
      </c>
      <c r="AB22" s="16">
        <f t="shared" si="59"/>
        <v>64928.852931236346</v>
      </c>
      <c r="AC22" s="16">
        <f t="shared" si="59"/>
        <v>58327.312789766787</v>
      </c>
      <c r="AD22" s="16">
        <f t="shared" si="59"/>
        <v>48513.241128216177</v>
      </c>
      <c r="AE22" s="16">
        <f t="shared" si="59"/>
        <v>38088.675801608326</v>
      </c>
      <c r="AF22" s="16">
        <f t="shared" si="59"/>
        <v>29496.267767677498</v>
      </c>
      <c r="AG22" s="16">
        <f t="shared" si="59"/>
        <v>24906.734328473249</v>
      </c>
      <c r="AH22" s="16">
        <f t="shared" si="59"/>
        <v>24226.601676219681</v>
      </c>
      <c r="AI22" s="16">
        <f t="shared" si="59"/>
        <v>25372.091631817988</v>
      </c>
      <c r="AJ22" s="16">
        <f t="shared" si="59"/>
        <v>25503.803450358238</v>
      </c>
      <c r="AK22" s="16">
        <f t="shared" si="59"/>
        <v>24630.974705503777</v>
      </c>
      <c r="AL22" s="16">
        <f t="shared" si="59"/>
        <v>22252.793244049019</v>
      </c>
      <c r="AM22" s="16">
        <f t="shared" si="59"/>
        <v>18100.122457348865</v>
      </c>
      <c r="AN22" s="16">
        <f t="shared" ref="AN22" si="60">IF(AN21="","",AM22+AN21)</f>
        <v>9406.4796758981211</v>
      </c>
      <c r="AO22" s="16">
        <f t="shared" ref="AO22" si="61">IF(AO21="","",AN22+AO21)</f>
        <v>-1914.5652425274784</v>
      </c>
      <c r="AP22" s="16">
        <f t="shared" ref="AP22" si="62">IF(AP21="","",AO22+AP21)</f>
        <v>-14358.9044411756</v>
      </c>
      <c r="AQ22" s="16">
        <f t="shared" ref="AQ22" si="63">IF(AQ21="","",AP22+AQ21)</f>
        <v>-28699.835026874352</v>
      </c>
      <c r="AR22" s="16">
        <f t="shared" ref="AR22" si="64">IF(AR21="","",AQ22+AR21)</f>
        <v>-36524.301393109679</v>
      </c>
      <c r="AS22" s="16">
        <f>IF(AS21="","",AR22+AS21)</f>
        <v>-45858.665669048976</v>
      </c>
      <c r="AT22" s="16">
        <f t="shared" ref="AT22" si="65">IF(AT21="","",AS22+AT21)</f>
        <v>-39422.208907048247</v>
      </c>
      <c r="AU22" s="16">
        <f t="shared" ref="AU22" si="66">IF(AU21="","",AT22+AU21)</f>
        <v>-30705.639016612015</v>
      </c>
      <c r="AV22" s="16">
        <f t="shared" ref="AV22" si="67">IF(AV21="","",AU22+AV21)</f>
        <v>-24212.560733140257</v>
      </c>
      <c r="AW22" s="16">
        <f t="shared" ref="AW22" si="68">IF(AW21="","",AV22+AW21)</f>
        <v>-19901.104172992338</v>
      </c>
      <c r="AX22" s="16">
        <f t="shared" ref="AX22" si="69">IF(AX21="","",AW22+AX21)</f>
        <v>-17266.739267011173</v>
      </c>
      <c r="AY22" s="16">
        <f t="shared" ref="AY22" si="70">IF(AY21="","",AX22+AY21)</f>
        <v>-16694.752322000633</v>
      </c>
      <c r="AZ22" s="16">
        <f t="shared" ref="AZ22" si="71">IF(AZ21="","",AY22+AZ21)</f>
        <v>-19412.279407272534</v>
      </c>
      <c r="BA22" s="16">
        <f t="shared" ref="BA22" si="72">IF(BA21="","",AZ22+BA21)</f>
        <v>-20300.139628767276</v>
      </c>
      <c r="BB22" s="16">
        <f t="shared" ref="BB22" si="73">IF(BB21="","",BA22+BB21)</f>
        <v>-21201.772633006578</v>
      </c>
      <c r="BC22" s="16">
        <f t="shared" ref="BC22" si="74">IF(BC21="","",BB22+BC21)</f>
        <v>-21384.895989024219</v>
      </c>
      <c r="BD22" s="16">
        <f t="shared" ref="BD22" si="75">IF(BD21="","",BC22+BD21)</f>
        <v>-21627.096734039373</v>
      </c>
      <c r="BE22" s="16">
        <f t="shared" ref="BE22" si="76">IF(BE21="","",BD22+BE21)</f>
        <v>-22121.800890727223</v>
      </c>
      <c r="BF22" s="16">
        <f t="shared" ref="BF22" si="77">IF(BF21="","",BE22+BF21)</f>
        <v>-22554.177758268263</v>
      </c>
      <c r="BG22" s="16">
        <f t="shared" ref="BG22" si="78">IF(BG21="","",BF22+BG21)</f>
        <v>-23020.567932686394</v>
      </c>
      <c r="BH22" s="16">
        <f t="shared" ref="BH22:BW22" si="79">IF(BH21="","",BG22+BH21)</f>
        <v>-23874.87992839178</v>
      </c>
      <c r="BI22" s="16">
        <f t="shared" si="79"/>
        <v>-25080.788250086869</v>
      </c>
      <c r="BJ22" s="16">
        <f t="shared" si="79"/>
        <v>-26599.782024173601</v>
      </c>
      <c r="BK22" s="16">
        <f t="shared" si="79"/>
        <v>-27825.794779412383</v>
      </c>
      <c r="BL22" s="16">
        <f t="shared" si="79"/>
        <v>-29227.298906602486</v>
      </c>
      <c r="BM22" s="16">
        <f t="shared" si="79"/>
        <v>-30411.331404052831</v>
      </c>
      <c r="BN22" s="16">
        <f t="shared" si="79"/>
        <v>-31574.178618612335</v>
      </c>
      <c r="BO22" s="16">
        <f t="shared" si="79"/>
        <v>-32649.16370396379</v>
      </c>
      <c r="BP22" s="16">
        <f t="shared" si="79"/>
        <v>-33518.138296880148</v>
      </c>
      <c r="BQ22" s="16">
        <f t="shared" si="79"/>
        <v>-34034.014361829788</v>
      </c>
      <c r="BR22" s="16">
        <f t="shared" si="79"/>
        <v>-34666.954853011906</v>
      </c>
      <c r="BS22" s="16">
        <f t="shared" si="79"/>
        <v>-35150.572212479863</v>
      </c>
      <c r="BT22" s="16">
        <f t="shared" si="79"/>
        <v>-35461.329006043874</v>
      </c>
      <c r="BU22" s="16">
        <f t="shared" si="79"/>
        <v>-35714.009299357334</v>
      </c>
      <c r="BV22" s="16">
        <f t="shared" si="79"/>
        <v>-35892.354143410863</v>
      </c>
      <c r="BW22" s="16">
        <f t="shared" si="79"/>
        <v>-35981.460526857678</v>
      </c>
    </row>
    <row r="23" spans="1:75" s="5" customFormat="1" x14ac:dyDescent="0.3">
      <c r="A23" s="255"/>
      <c r="B23" s="18" t="s">
        <v>14</v>
      </c>
      <c r="C23" s="26"/>
      <c r="D23" s="26"/>
      <c r="E23" s="21">
        <f t="shared" ref="E23:AM23" si="80">IF(E73="","",SUM(E73,E63,E53,E43,E33))</f>
        <v>0</v>
      </c>
      <c r="F23" s="21">
        <f t="shared" si="80"/>
        <v>1329.6055809798499</v>
      </c>
      <c r="G23" s="21">
        <f t="shared" si="80"/>
        <v>-7870.6971717033748</v>
      </c>
      <c r="H23" s="21">
        <f t="shared" si="80"/>
        <v>-133126.43934491673</v>
      </c>
      <c r="I23" s="21">
        <f t="shared" si="80"/>
        <v>-51781.545504096364</v>
      </c>
      <c r="J23" s="21">
        <f t="shared" si="80"/>
        <v>77188.736711488338</v>
      </c>
      <c r="K23" s="21">
        <f t="shared" si="80"/>
        <v>432956.84907880833</v>
      </c>
      <c r="L23" s="21">
        <f t="shared" si="80"/>
        <v>-46973.169027974276</v>
      </c>
      <c r="M23" s="21">
        <f t="shared" si="80"/>
        <v>69304.924337696793</v>
      </c>
      <c r="N23" s="21">
        <f t="shared" si="80"/>
        <v>152297.37966455313</v>
      </c>
      <c r="O23" s="21">
        <f t="shared" si="80"/>
        <v>-27340.54309425642</v>
      </c>
      <c r="P23" s="21">
        <f>IF(P73="","",SUM(P73,P63,P53,P43,P33))</f>
        <v>-677522.56264130166</v>
      </c>
      <c r="Q23" s="21">
        <f t="shared" si="80"/>
        <v>-461720.541119056</v>
      </c>
      <c r="R23" s="21">
        <f t="shared" si="80"/>
        <v>-601978.92853179516</v>
      </c>
      <c r="S23" s="21">
        <f t="shared" si="80"/>
        <v>-510000.93920955458</v>
      </c>
      <c r="T23" s="21">
        <f t="shared" si="80"/>
        <v>223855.88611602981</v>
      </c>
      <c r="U23" s="21">
        <f t="shared" si="80"/>
        <v>603571.63645177253</v>
      </c>
      <c r="V23" s="21">
        <f t="shared" si="80"/>
        <v>734991.88116279361</v>
      </c>
      <c r="W23" s="21">
        <f t="shared" si="80"/>
        <v>470809.58789873729</v>
      </c>
      <c r="X23" s="21">
        <f t="shared" si="80"/>
        <v>-334506.49236719596</v>
      </c>
      <c r="Y23" s="21">
        <f t="shared" si="80"/>
        <v>-139598.08928954392</v>
      </c>
      <c r="Z23" s="21">
        <f t="shared" si="80"/>
        <v>-29077.876234846466</v>
      </c>
      <c r="AA23" s="21">
        <f t="shared" si="80"/>
        <v>-332185.06617617764</v>
      </c>
      <c r="AB23" s="21">
        <f t="shared" si="80"/>
        <v>-1859546.8543592058</v>
      </c>
      <c r="AC23" s="21">
        <f t="shared" si="80"/>
        <v>-1231620.5101414677</v>
      </c>
      <c r="AD23" s="21">
        <f t="shared" si="80"/>
        <v>-1327312.8316615513</v>
      </c>
      <c r="AE23" s="21">
        <f t="shared" si="80"/>
        <v>-678735.9753266084</v>
      </c>
      <c r="AF23" s="21">
        <f t="shared" si="80"/>
        <v>1062655.2519660713</v>
      </c>
      <c r="AG23" s="21">
        <f t="shared" si="80"/>
        <v>2080605.0265607969</v>
      </c>
      <c r="AH23" s="21">
        <f t="shared" si="80"/>
        <v>1891289.887347749</v>
      </c>
      <c r="AI23" s="21">
        <f t="shared" si="80"/>
        <v>837696.14995559736</v>
      </c>
      <c r="AJ23" s="21">
        <f t="shared" si="80"/>
        <v>-619920.60818146192</v>
      </c>
      <c r="AK23" s="21">
        <f t="shared" si="80"/>
        <v>-565357.15874485637</v>
      </c>
      <c r="AL23" s="21">
        <f t="shared" si="80"/>
        <v>-720194.79146145482</v>
      </c>
      <c r="AM23" s="21">
        <f t="shared" si="80"/>
        <v>-808025.65078670287</v>
      </c>
      <c r="AN23" s="21">
        <f t="shared" ref="AN23:BS24" si="81">IF(AN73="","",SUM(AN73,AN63,AN53,AN43,AN33))</f>
        <v>-2122271.8627814483</v>
      </c>
      <c r="AO23" s="21">
        <f t="shared" si="81"/>
        <v>-1367558.1849184209</v>
      </c>
      <c r="AP23" s="21">
        <f t="shared" si="81"/>
        <v>-850758.1291986485</v>
      </c>
      <c r="AQ23" s="21">
        <f t="shared" si="81"/>
        <v>-914281.05058570066</v>
      </c>
      <c r="AR23" s="21">
        <f t="shared" si="81"/>
        <v>2760779.4336337661</v>
      </c>
      <c r="AS23" s="21">
        <f>IF(AS73="","",SUM(AS73,AS63,AS53,AS43,AS33))</f>
        <v>3524890.1057240581</v>
      </c>
      <c r="AT23" s="21">
        <f t="shared" si="81"/>
        <v>2979202.5467620026</v>
      </c>
      <c r="AU23" s="21">
        <f t="shared" si="81"/>
        <v>1276018.7698904346</v>
      </c>
      <c r="AV23" s="21">
        <f t="shared" si="81"/>
        <v>-1164231.4917165299</v>
      </c>
      <c r="AW23" s="21">
        <f t="shared" si="81"/>
        <v>-957228.70343984955</v>
      </c>
      <c r="AX23" s="21">
        <f t="shared" si="81"/>
        <v>-1357610.2050940199</v>
      </c>
      <c r="AY23" s="21">
        <f t="shared" si="81"/>
        <v>-1463900.9630549895</v>
      </c>
      <c r="AZ23" s="21">
        <f t="shared" si="81"/>
        <v>-2766073.8370852727</v>
      </c>
      <c r="BA23" s="21">
        <f t="shared" si="81"/>
        <v>1219557.5297785022</v>
      </c>
      <c r="BB23" s="21">
        <f t="shared" si="81"/>
        <v>-585531.32300423691</v>
      </c>
      <c r="BC23" s="21">
        <f t="shared" si="81"/>
        <v>-539935.18335602037</v>
      </c>
      <c r="BD23" s="21">
        <f t="shared" si="81"/>
        <v>-638149.48074501276</v>
      </c>
      <c r="BE23" s="21">
        <f t="shared" si="81"/>
        <v>-781464.06415668817</v>
      </c>
      <c r="BF23" s="21">
        <f t="shared" si="81"/>
        <v>-752651.94686754141</v>
      </c>
      <c r="BG23" s="21">
        <f t="shared" si="81"/>
        <v>-724410.39017441683</v>
      </c>
      <c r="BH23" s="21">
        <f t="shared" si="81"/>
        <v>-595119.70199570525</v>
      </c>
      <c r="BI23" s="21">
        <f t="shared" si="81"/>
        <v>-598272.05832169659</v>
      </c>
      <c r="BJ23" s="21">
        <f t="shared" si="81"/>
        <v>-683329.17377408745</v>
      </c>
      <c r="BK23" s="21">
        <f t="shared" si="81"/>
        <v>-781451.59275523794</v>
      </c>
      <c r="BL23" s="21">
        <f t="shared" si="81"/>
        <v>94684.955872810577</v>
      </c>
      <c r="BM23" s="21">
        <f t="shared" si="81"/>
        <v>-21379.042497449453</v>
      </c>
      <c r="BN23" s="21">
        <f t="shared" si="81"/>
        <v>-22029.487214558707</v>
      </c>
      <c r="BO23" s="21">
        <f t="shared" si="81"/>
        <v>-17236.985085355322</v>
      </c>
      <c r="BP23" s="21">
        <f t="shared" si="81"/>
        <v>26988.645407086242</v>
      </c>
      <c r="BQ23" s="21">
        <f t="shared" si="81"/>
        <v>37535.273935050915</v>
      </c>
      <c r="BR23" s="21">
        <f t="shared" si="81"/>
        <v>32771.05950881671</v>
      </c>
      <c r="BS23" s="21">
        <f t="shared" si="81"/>
        <v>1535.1326405315895</v>
      </c>
      <c r="BT23" s="21">
        <f t="shared" ref="BT23:BT24" si="82">IF(BT73="","",SUM(BT73,BT63,BT53,BT43,BT33))</f>
        <v>-23696.556793563206</v>
      </c>
      <c r="BU23" s="21">
        <f t="shared" ref="BU23:BW24" si="83">IF(BU73="","",SUM(BU73,BU63,BU53,BU43,BU33))</f>
        <v>-22602.431495324123</v>
      </c>
      <c r="BV23" s="21">
        <f t="shared" si="83"/>
        <v>-21083.500471271494</v>
      </c>
      <c r="BW23" s="21">
        <f t="shared" si="83"/>
        <v>-22767.756685673303</v>
      </c>
    </row>
    <row r="24" spans="1:75" s="5" customFormat="1" x14ac:dyDescent="0.3">
      <c r="A24" s="255"/>
      <c r="B24" s="20" t="s">
        <v>2</v>
      </c>
      <c r="C24" s="28"/>
      <c r="D24" s="28"/>
      <c r="E24" s="21">
        <f t="shared" ref="E24:AM24" si="84">IF(E74="","",SUM(E74,E64,E54,E44,E34))</f>
        <v>0</v>
      </c>
      <c r="F24" s="21">
        <f t="shared" si="84"/>
        <v>1329.6055809798499</v>
      </c>
      <c r="G24" s="21">
        <f t="shared" si="84"/>
        <v>-6541.0915907235249</v>
      </c>
      <c r="H24" s="21">
        <f t="shared" si="84"/>
        <v>-139667.53093564024</v>
      </c>
      <c r="I24" s="21">
        <f t="shared" si="84"/>
        <v>-191449.07643973659</v>
      </c>
      <c r="J24" s="21">
        <f t="shared" si="84"/>
        <v>-114260.33972824829</v>
      </c>
      <c r="K24" s="21">
        <f t="shared" si="84"/>
        <v>318696.50935056002</v>
      </c>
      <c r="L24" s="21">
        <f t="shared" si="84"/>
        <v>271723.34032258578</v>
      </c>
      <c r="M24" s="21">
        <f t="shared" si="84"/>
        <v>341028.26466028253</v>
      </c>
      <c r="N24" s="21">
        <f t="shared" si="84"/>
        <v>493325.64432483562</v>
      </c>
      <c r="O24" s="21">
        <f t="shared" si="84"/>
        <v>465985.1012305792</v>
      </c>
      <c r="P24" s="21">
        <f>IF(P74="","",SUM(P74,P64,P54,P44,P34))</f>
        <v>12122508.21228965</v>
      </c>
      <c r="Q24" s="21">
        <f t="shared" si="84"/>
        <v>10669333.821170595</v>
      </c>
      <c r="R24" s="21">
        <f t="shared" si="84"/>
        <v>9125179.8626387995</v>
      </c>
      <c r="S24" s="21">
        <f t="shared" si="84"/>
        <v>7690348.0334292455</v>
      </c>
      <c r="T24" s="21">
        <f t="shared" si="84"/>
        <v>6751239.2395452745</v>
      </c>
      <c r="U24" s="21">
        <f t="shared" si="84"/>
        <v>5977194.3659970472</v>
      </c>
      <c r="V24" s="21">
        <f t="shared" si="84"/>
        <v>5292979.5471598413</v>
      </c>
      <c r="W24" s="21">
        <f t="shared" si="84"/>
        <v>4554328.3750585774</v>
      </c>
      <c r="X24" s="21">
        <f t="shared" si="84"/>
        <v>3112526.0826913817</v>
      </c>
      <c r="Y24" s="21">
        <f t="shared" si="84"/>
        <v>1984651.4634018382</v>
      </c>
      <c r="Z24" s="21">
        <f t="shared" si="84"/>
        <v>810020.52716699161</v>
      </c>
      <c r="AA24" s="21">
        <f t="shared" si="84"/>
        <v>-1091623.9190091861</v>
      </c>
      <c r="AB24" s="21">
        <f t="shared" si="84"/>
        <v>-2719540.1433683923</v>
      </c>
      <c r="AC24" s="21">
        <f t="shared" si="84"/>
        <v>-3863493.6735098599</v>
      </c>
      <c r="AD24" s="21">
        <f t="shared" si="84"/>
        <v>-5105394.8851714116</v>
      </c>
      <c r="AE24" s="21">
        <f t="shared" si="84"/>
        <v>-5699667.2604980189</v>
      </c>
      <c r="AF24" s="21">
        <f t="shared" si="84"/>
        <v>-4531783.3385319486</v>
      </c>
      <c r="AG24" s="21">
        <f t="shared" si="84"/>
        <v>-2351007.7619711515</v>
      </c>
      <c r="AH24" s="21">
        <f t="shared" si="84"/>
        <v>-351649.0146234025</v>
      </c>
      <c r="AI24" s="21">
        <f t="shared" si="84"/>
        <v>591360.33533219481</v>
      </c>
      <c r="AJ24" s="21">
        <f t="shared" si="84"/>
        <v>64449.017150732921</v>
      </c>
      <c r="AK24" s="21">
        <f t="shared" si="84"/>
        <v>-415335.20159412327</v>
      </c>
      <c r="AL24" s="21">
        <f t="shared" si="84"/>
        <v>-1038405.0130555781</v>
      </c>
      <c r="AM24" s="21">
        <f t="shared" si="84"/>
        <v>-1740645.5538422812</v>
      </c>
      <c r="AN24" s="21">
        <f t="shared" ref="AN24:BH24" si="85">IF(AN74="","",SUM(AN74,AN64,AN54,AN44,AN34))</f>
        <v>-3681558.1666237293</v>
      </c>
      <c r="AO24" s="21">
        <f t="shared" si="85"/>
        <v>-4884404.0515421508</v>
      </c>
      <c r="AP24" s="21">
        <f t="shared" si="85"/>
        <v>-5621636.7207407989</v>
      </c>
      <c r="AQ24" s="21">
        <f t="shared" si="85"/>
        <v>-6441982.4413264999</v>
      </c>
      <c r="AR24" s="21">
        <f t="shared" si="85"/>
        <v>-3550902.8376927339</v>
      </c>
      <c r="AS24" s="21">
        <f>IF(AS74="","",SUM(AS74,AS64,AS54,AS44,AS34))</f>
        <v>137704.86803132389</v>
      </c>
      <c r="AT24" s="21">
        <f t="shared" si="85"/>
        <v>3291474.2947933264</v>
      </c>
      <c r="AU24" s="21">
        <f t="shared" si="85"/>
        <v>4727028.3646837613</v>
      </c>
      <c r="AV24" s="21">
        <f t="shared" si="85"/>
        <v>3692370.3629672313</v>
      </c>
      <c r="AW24" s="21">
        <f t="shared" si="85"/>
        <v>2853308.819527382</v>
      </c>
      <c r="AX24" s="21">
        <f t="shared" si="85"/>
        <v>1653239.8044333621</v>
      </c>
      <c r="AY24" s="21">
        <f t="shared" si="85"/>
        <v>363915.55137837201</v>
      </c>
      <c r="AZ24" s="21">
        <f t="shared" si="85"/>
        <v>-1810803.1557069002</v>
      </c>
      <c r="BA24" s="21">
        <f t="shared" si="85"/>
        <v>-565028.90592839848</v>
      </c>
      <c r="BB24" s="21">
        <f t="shared" si="85"/>
        <v>-1153811.2989326352</v>
      </c>
      <c r="BC24" s="21">
        <f t="shared" si="85"/>
        <v>-1702771.9122886555</v>
      </c>
      <c r="BD24" s="21">
        <f t="shared" si="85"/>
        <v>-2313691.0630336679</v>
      </c>
      <c r="BE24" s="21">
        <f t="shared" si="85"/>
        <v>-3065845.2771903565</v>
      </c>
      <c r="BF24" s="21">
        <f t="shared" si="85"/>
        <v>-3799182.1740578976</v>
      </c>
      <c r="BG24" s="21">
        <f t="shared" si="85"/>
        <v>-4516979.2642323151</v>
      </c>
      <c r="BH24" s="21">
        <f t="shared" si="85"/>
        <v>-5126726.2862280197</v>
      </c>
      <c r="BI24" s="21">
        <f t="shared" si="81"/>
        <v>-5733526.6845497163</v>
      </c>
      <c r="BJ24" s="21">
        <f t="shared" si="81"/>
        <v>-6404044.2183238044</v>
      </c>
      <c r="BK24" s="21">
        <f t="shared" si="81"/>
        <v>-7138232.1410790421</v>
      </c>
      <c r="BL24" s="21">
        <f t="shared" si="81"/>
        <v>-7243786.6552062314</v>
      </c>
      <c r="BM24" s="21">
        <f t="shared" si="81"/>
        <v>-6650748.3077036813</v>
      </c>
      <c r="BN24" s="21">
        <f t="shared" si="81"/>
        <v>-6199626.1649182402</v>
      </c>
      <c r="BO24" s="21">
        <f t="shared" si="81"/>
        <v>-5752939.2500035949</v>
      </c>
      <c r="BP24" s="21">
        <f t="shared" si="81"/>
        <v>-5171823.4645965081</v>
      </c>
      <c r="BQ24" s="21">
        <f t="shared" si="81"/>
        <v>-4436601.2506614579</v>
      </c>
      <c r="BR24" s="21">
        <f t="shared" si="81"/>
        <v>-3703862.0611526407</v>
      </c>
      <c r="BS24" s="21">
        <f t="shared" si="81"/>
        <v>-3003805.1585121094</v>
      </c>
      <c r="BT24" s="21">
        <f t="shared" si="82"/>
        <v>-2486365.1053056726</v>
      </c>
      <c r="BU24" s="21">
        <f t="shared" si="83"/>
        <v>-2021695.0268009966</v>
      </c>
      <c r="BV24" s="21">
        <f t="shared" si="83"/>
        <v>-1426937.097272268</v>
      </c>
      <c r="BW24" s="21">
        <f t="shared" si="83"/>
        <v>-712940.17395794136</v>
      </c>
    </row>
    <row r="25" spans="1:75" s="5" customFormat="1" ht="8.25" customHeight="1" x14ac:dyDescent="0.3">
      <c r="A25" s="44"/>
      <c r="B25" s="13"/>
      <c r="C25" s="13"/>
      <c r="D25" s="13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</row>
    <row r="26" spans="1:75" s="5" customFormat="1" ht="15" hidden="1" customHeight="1" outlineLevel="1" x14ac:dyDescent="0.3">
      <c r="A26" s="255" t="s">
        <v>20</v>
      </c>
      <c r="B26" s="17"/>
      <c r="C26" s="32"/>
      <c r="D26" s="32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67">
        <v>7611904.5234541874</v>
      </c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67">
        <f>'MEEIA 2 adjs'!AT37</f>
        <v>-9652.3205640208907</v>
      </c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</row>
    <row r="27" spans="1:75" s="3" customFormat="1" ht="15" hidden="1" customHeight="1" outlineLevel="1" x14ac:dyDescent="0.3">
      <c r="A27" s="255"/>
      <c r="B27" s="17" t="s">
        <v>28</v>
      </c>
      <c r="C27" s="32"/>
      <c r="D27" s="32"/>
      <c r="E27" s="22">
        <f>IF('M2 Allocations - TD'!D5="","",'M2 Allocations - TD'!D31)</f>
        <v>0</v>
      </c>
      <c r="F27" s="22">
        <f>IF('M2 Allocations - TD'!E5="","",'M2 Allocations - TD'!E31)</f>
        <v>1328.78</v>
      </c>
      <c r="G27" s="22">
        <f>IF('M2 Allocations - TD'!F5="","",'M2 Allocations - TD'!F31)</f>
        <v>9526.5299999999988</v>
      </c>
      <c r="H27" s="22">
        <f>IF('M2 Allocations - TD'!G5="","",'M2 Allocations - TD'!G31)</f>
        <v>120352.88</v>
      </c>
      <c r="I27" s="22">
        <f>IF('M2 Allocations - TD'!H5="","",'M2 Allocations - TD'!H31)</f>
        <v>256080.65000000002</v>
      </c>
      <c r="J27" s="22">
        <f>IF('M2 Allocations - TD'!I5="","",'M2 Allocations - TD'!I31)</f>
        <v>373393.34435846674</v>
      </c>
      <c r="K27" s="22">
        <f>IF('M2 Allocations - TD'!J5="","",'M2 Allocations - TD'!J31)</f>
        <v>671736.21363575384</v>
      </c>
      <c r="L27" s="22">
        <f>IF('M2 Allocations - TD'!K5="","",'M2 Allocations - TD'!K31)</f>
        <v>120839.84990541483</v>
      </c>
      <c r="M27" s="22">
        <f>IF('M2 Allocations - TD'!L5="","",'M2 Allocations - TD'!L31)</f>
        <v>185093.49881649271</v>
      </c>
      <c r="N27" s="22">
        <f>IF('M2 Allocations - TD'!M5="","",'M2 Allocations - TD'!M31)</f>
        <v>303285.19452852954</v>
      </c>
      <c r="O27" s="22">
        <f>IF('M2 Allocations - TD'!N5="","",'M2 Allocations - TD'!N31)</f>
        <v>329743.7910035231</v>
      </c>
      <c r="P27" s="22">
        <f>IF('M2 Allocations - TD'!O5="","",'M2 Allocations - TD'!O31)</f>
        <v>319589.12614734296</v>
      </c>
      <c r="Q27" s="22">
        <f>IF('M2 Allocations - TD'!P5="","",'M2 Allocations - TD'!P31)</f>
        <v>307416.51622437377</v>
      </c>
      <c r="R27" s="22">
        <f>IF('M2 Allocations - TD'!Q5="","",'M2 Allocations - TD'!Q31)</f>
        <v>202009.99758789604</v>
      </c>
      <c r="S27" s="22">
        <f>IF('M2 Allocations - TD'!R5="","",'M2 Allocations - TD'!R31)</f>
        <v>201518.00847600689</v>
      </c>
      <c r="T27" s="22">
        <f>IF('M2 Allocations - TD'!S5="","",'M2 Allocations - TD'!S31)</f>
        <v>884196.51701427973</v>
      </c>
      <c r="U27" s="22">
        <f>IF('M2 Allocations - TD'!T5="","",'M2 Allocations - TD'!T31)</f>
        <v>1282604.3399999999</v>
      </c>
      <c r="V27" s="22">
        <f>IF('M2 Allocations - TD'!U5="","",'M2 Allocations - TD'!U31)</f>
        <v>1412760.5841518985</v>
      </c>
      <c r="W27" s="22">
        <f>IF('M2 Allocations - TD'!V5="","",'M2 Allocations - TD'!V31)</f>
        <v>912043.87330211163</v>
      </c>
      <c r="X27" s="22">
        <f>IF('M2 Allocations - TD'!W5="","",'M2 Allocations - TD'!W31)</f>
        <v>279976.46619588812</v>
      </c>
      <c r="Y27" s="22">
        <f>IF('M2 Allocations - TD'!X5="","",'M2 Allocations - TD'!X31)</f>
        <v>377438.47759872582</v>
      </c>
      <c r="Z27" s="22">
        <f>IF('M2 Allocations - TD'!Y5="","",'M2 Allocations - TD'!Y31)</f>
        <v>565267.94576951256</v>
      </c>
      <c r="AA27" s="22">
        <f>IF('M2 Allocations - TD'!Z5="","",'M2 Allocations - TD'!Z31)</f>
        <v>607215.02747681318</v>
      </c>
      <c r="AB27" s="22">
        <f>IF('M2 Allocations - TD'!AA5="","",'M2 Allocations - TD'!AA31)</f>
        <v>515316.53827609093</v>
      </c>
      <c r="AC27" s="22">
        <f>IF('M2 Allocations - TD'!AB5="","",'M2 Allocations - TD'!AB31)</f>
        <v>473150.50916160172</v>
      </c>
      <c r="AD27" s="22">
        <f>IF('M2 Allocations - TD'!AC5="","",'M2 Allocations - TD'!AC31)</f>
        <v>270731.77958850004</v>
      </c>
      <c r="AE27" s="22">
        <f>IF('M2 Allocations - TD'!AD5="","",'M2 Allocations - TD'!AD31)</f>
        <v>491596.14834248205</v>
      </c>
      <c r="AF27" s="22">
        <f>IF('M2 Allocations - TD'!AE5="","",'M2 Allocations - TD'!AE31)</f>
        <v>2024956.6659391024</v>
      </c>
      <c r="AG27" s="22">
        <f>IF('M2 Allocations - TD'!AF5="","",'M2 Allocations - TD'!AF31)</f>
        <v>2753783.435947692</v>
      </c>
      <c r="AH27" s="22">
        <f>IF('M2 Allocations - TD'!AG5="","",'M2 Allocations - TD'!AG31)</f>
        <v>2655187.2707727067</v>
      </c>
      <c r="AI27" s="22">
        <f>IF('M2 Allocations - TD'!AH5="","",'M2 Allocations - TD'!AH31)</f>
        <v>1585670.784126644</v>
      </c>
      <c r="AJ27" s="22">
        <f>IF('M2 Allocations - TD'!AI5="","",'M2 Allocations - TD'!AI31)</f>
        <v>556118.7299202627</v>
      </c>
      <c r="AK27" s="22">
        <f>IF('M2 Allocations - TD'!AJ5="","",'M2 Allocations - TD'!AJ31)</f>
        <v>513458.06050710165</v>
      </c>
      <c r="AL27" s="22">
        <f>IF('M2 Allocations - TD'!AK5="","",'M2 Allocations - TD'!AK31)</f>
        <v>702799.89768350183</v>
      </c>
      <c r="AM27" s="22">
        <f>IF('M2 Allocations - TD'!AL5="","",'M2 Allocations - TD'!AL31)</f>
        <v>705267.00941836974</v>
      </c>
      <c r="AN27" s="22">
        <f>IF('M2 Allocations - TD'!AM5="","",'M2 Allocations - TD'!AM31)</f>
        <v>626813.61963691877</v>
      </c>
      <c r="AO27" s="22">
        <f>IF('M2 Allocations - TD'!AN5="","",'M2 Allocations - TD'!AN31)</f>
        <v>733376.44916449382</v>
      </c>
      <c r="AP27" s="22">
        <f>IF('M2 Allocations - TD'!AO5="","",'M2 Allocations - TD'!AO31)</f>
        <v>579952.0325992658</v>
      </c>
      <c r="AQ27" s="22">
        <f>IF('M2 Allocations - TD'!AP5="","",'M2 Allocations - TD'!AP31)</f>
        <v>371011.49182013981</v>
      </c>
      <c r="AR27" s="22">
        <f>IF('M2 Allocations - TD'!AQ5="","",'M2 Allocations - TD'!AQ31)</f>
        <v>2723256.6958003566</v>
      </c>
      <c r="AS27" s="22">
        <f>IF('M2 Allocations - TD'!AR5="","",'M2 Allocations - TD'!AR31)</f>
        <v>3090240.1159956334</v>
      </c>
      <c r="AT27" s="22">
        <f>IF('M2 Allocations - TD'!AS5="","",'M2 Allocations - TD'!AS31)</f>
        <v>3319235.3330920129</v>
      </c>
      <c r="AU27" s="22">
        <f>IF('M2 Allocations - TD'!AT5="","",'M2 Allocations - TD'!AT31)</f>
        <v>1872423.9163418177</v>
      </c>
      <c r="AV27" s="22">
        <f>IF('M2 Allocations - TD'!AU5="","",'M2 Allocations - TD'!AU31)</f>
        <v>468639.40013933519</v>
      </c>
      <c r="AW27" s="22">
        <f>IF('M2 Allocations - TD'!AV5="","",'M2 Allocations - TD'!AV31)</f>
        <v>573430.06293424976</v>
      </c>
      <c r="AX27" s="22">
        <f>IF('M2 Allocations - TD'!AW5="","",'M2 Allocations - TD'!AW31)</f>
        <v>729001.68500178226</v>
      </c>
      <c r="AY27" s="22">
        <f>IF('M2 Allocations - TD'!AX5="","",'M2 Allocations - TD'!AX31)</f>
        <v>731448.99925192562</v>
      </c>
      <c r="AZ27" s="22">
        <f>IF('M2 Allocations - TD'!AY5="","",'M2 Allocations - TD'!AY31)</f>
        <v>-1101511.7645830091</v>
      </c>
      <c r="BA27" s="22">
        <f>IF('M2 Allocations - TD'!AZ5="","",'M2 Allocations - TD'!AZ31)</f>
        <v>502297.9307248104</v>
      </c>
      <c r="BB27" s="22">
        <f>IF('M2 Allocations - TD'!BA5="","",'M2 Allocations - TD'!BA31)</f>
        <v>0</v>
      </c>
      <c r="BC27" s="22">
        <f>IF('M2 Allocations - TD'!BB5="","",'M2 Allocations - TD'!BB31)</f>
        <v>-1201.9391278357582</v>
      </c>
      <c r="BD27" s="22">
        <f>IF('M2 Allocations - TD'!BC5="","",'M2 Allocations - TD'!BC31)</f>
        <v>0</v>
      </c>
      <c r="BE27" s="22">
        <f>IF('M2 Allocations - TD'!BD5="","",'M2 Allocations - TD'!BD31)</f>
        <v>0</v>
      </c>
      <c r="BF27" s="22">
        <f>IF('M2 Allocations - TD'!BE5="","",'M2 Allocations - TD'!BE31)</f>
        <v>0</v>
      </c>
      <c r="BG27" s="22">
        <f>IF('M2 Allocations - TD'!BF5="","",'M2 Allocations - TD'!BF31)</f>
        <v>0</v>
      </c>
      <c r="BH27" s="22">
        <f>IF('M2 Allocations - TD'!BG5="","",'M2 Allocations - TD'!BG31)</f>
        <v>0</v>
      </c>
      <c r="BI27" s="22">
        <v>0</v>
      </c>
      <c r="BJ27" s="22">
        <v>0</v>
      </c>
      <c r="BK27" s="22">
        <v>0</v>
      </c>
      <c r="BL27" s="22">
        <v>0</v>
      </c>
      <c r="BM27" s="22">
        <v>0</v>
      </c>
      <c r="BN27" s="22">
        <v>0</v>
      </c>
      <c r="BO27" s="22">
        <v>0</v>
      </c>
      <c r="BP27" s="22">
        <v>0</v>
      </c>
      <c r="BQ27" s="22">
        <v>0</v>
      </c>
      <c r="BR27" s="22">
        <v>0</v>
      </c>
      <c r="BS27" s="22">
        <v>0</v>
      </c>
      <c r="BT27" s="22">
        <v>0</v>
      </c>
      <c r="BU27" s="22">
        <f>IF('M2 Allocations - TD'!BT5="","",'M2 Allocations - TD'!BT31)</f>
        <v>0</v>
      </c>
      <c r="BV27" s="22">
        <f>IF('M2 Allocations - TD'!BU5="","",'M2 Allocations - TD'!BU31)</f>
        <v>0</v>
      </c>
      <c r="BW27" s="22">
        <f>IF('M2 Allocations - TD'!BV5="","",'M2 Allocations - TD'!BV31)</f>
        <v>0</v>
      </c>
    </row>
    <row r="28" spans="1:75" s="5" customFormat="1" ht="15" hidden="1" customHeight="1" outlineLevel="1" x14ac:dyDescent="0.3">
      <c r="A28" s="255"/>
      <c r="B28" s="18" t="s">
        <v>26</v>
      </c>
      <c r="C28" s="26"/>
      <c r="D28" s="26"/>
      <c r="E28" s="24">
        <v>0</v>
      </c>
      <c r="F28" s="24">
        <v>0</v>
      </c>
      <c r="G28" s="24">
        <v>12454.76</v>
      </c>
      <c r="H28" s="24">
        <v>191642.45</v>
      </c>
      <c r="I28" s="24">
        <v>257925.06</v>
      </c>
      <c r="J28" s="24">
        <v>258848.42</v>
      </c>
      <c r="K28" s="24">
        <v>234125.18</v>
      </c>
      <c r="L28" s="24">
        <v>166948.49</v>
      </c>
      <c r="M28" s="24">
        <v>136842.14000000001</v>
      </c>
      <c r="N28" s="24">
        <v>210493.55</v>
      </c>
      <c r="O28" s="24">
        <v>406285.42</v>
      </c>
      <c r="P28" s="24">
        <f>1370046.97-157.19</f>
        <v>1369889.78</v>
      </c>
      <c r="Q28" s="24">
        <f>1103156-126.94</f>
        <v>1103029.06</v>
      </c>
      <c r="R28" s="22">
        <f>IF('M2 Allocations - TD'!Q50="","",'M2 Allocations - TD'!Q68)</f>
        <v>983976.8055998187</v>
      </c>
      <c r="S28" s="22">
        <f>IF('M2 Allocations - TD'!R50="","",'M2 Allocations - TD'!R68)</f>
        <v>936126.67058040295</v>
      </c>
      <c r="T28" s="22">
        <f>IF('M2 Allocations - TD'!S50="","",'M2 Allocations - TD'!S68)</f>
        <v>1254886.244789884</v>
      </c>
      <c r="U28" s="22">
        <f>IF('M2 Allocations - TD'!T50="","",'M2 Allocations - TD'!T68)</f>
        <v>1666724.2213379955</v>
      </c>
      <c r="V28" s="22">
        <f>IF('M2 Allocations - TD'!U50="","",'M2 Allocations - TD'!U68)</f>
        <v>1687867.967739454</v>
      </c>
      <c r="W28" s="22">
        <f>IF('M2 Allocations - TD'!V50="","",'M2 Allocations - TD'!V68)</f>
        <v>1336984.8118306769</v>
      </c>
      <c r="X28" s="22">
        <f>IF('M2 Allocations - TD'!W50="","",'M2 Allocations - TD'!W68)</f>
        <v>1174985.3507627479</v>
      </c>
      <c r="Y28" s="22">
        <f>IF('M2 Allocations - TD'!X50="","",'M2 Allocations - TD'!X68)</f>
        <v>1029531.6444714632</v>
      </c>
      <c r="Z28" s="22">
        <f>IF('M2 Allocations - TD'!Y50="","",'M2 Allocations - TD'!Y68)</f>
        <v>1326453.2350570641</v>
      </c>
      <c r="AA28" s="22">
        <f>IF('M2 Allocations - TD'!Z50="","",'M2 Allocations - TD'!Z68)</f>
        <v>2030661.7411402338</v>
      </c>
      <c r="AB28" s="22">
        <f>IF('M2 Allocations - TD'!AA50="","",'M2 Allocations - TD'!AA68)</f>
        <v>1388250.35</v>
      </c>
      <c r="AC28" s="22">
        <f>IF('M2 Allocations - TD'!AB50="","",'M2 Allocations - TD'!AB68)</f>
        <v>1120654.6531242458</v>
      </c>
      <c r="AD28" s="22">
        <f>IF('M2 Allocations - TD'!AC50="","",'M2 Allocations - TD'!AC68)</f>
        <v>1082451.6725849968</v>
      </c>
      <c r="AE28" s="22">
        <f>IF('M2 Allocations - TD'!AD50="","",'M2 Allocations - TD'!AD68)</f>
        <v>880251.85351460415</v>
      </c>
      <c r="AF28" s="22">
        <f>IF('M2 Allocations - TD'!AE50="","",'M2 Allocations - TD'!AE68)</f>
        <v>1301284.1891339927</v>
      </c>
      <c r="AG28" s="22">
        <f>IF('M2 Allocations - TD'!AF50="","",'M2 Allocations - TD'!AF68)</f>
        <v>1524704.8572049867</v>
      </c>
      <c r="AH28" s="22">
        <f>IF('M2 Allocations - TD'!AG50="","",'M2 Allocations - TD'!AG68)</f>
        <v>1366723.6950669868</v>
      </c>
      <c r="AI28" s="22">
        <f>IF('M2 Allocations - TD'!AH50="","",'M2 Allocations - TD'!AH68)</f>
        <v>1314605.108458352</v>
      </c>
      <c r="AJ28" s="22">
        <f>IF('M2 Allocations - TD'!AI50="","",'M2 Allocations - TD'!AI68)</f>
        <v>1020432.9529194708</v>
      </c>
      <c r="AK28" s="22">
        <f>IF('M2 Allocations - TD'!AJ50="","",'M2 Allocations - TD'!AJ68)</f>
        <v>950195.40735321853</v>
      </c>
      <c r="AL28" s="22">
        <f>IF('M2 Allocations - TD'!AK50="","",'M2 Allocations - TD'!AK68)</f>
        <v>1320371.9817385538</v>
      </c>
      <c r="AM28" s="22">
        <f>IF('M2 Allocations - TD'!AL50="","",'M2 Allocations - TD'!AL68)</f>
        <v>1462433.5546846255</v>
      </c>
      <c r="AN28" s="22">
        <f>IF('M2 Allocations - TD'!AM50="","",'M2 Allocations - TD'!AM68)</f>
        <v>1529137.4028414818</v>
      </c>
      <c r="AO28" s="22">
        <f>IF('M2 Allocations - TD'!AN50="","",'M2 Allocations - TD'!AN68)</f>
        <v>1378360.7270812315</v>
      </c>
      <c r="AP28" s="22">
        <f>IF('M2 Allocations - TD'!AO50="","",'M2 Allocations - TD'!AO68)</f>
        <v>951160.98963883938</v>
      </c>
      <c r="AQ28" s="22">
        <f>IF('M2 Allocations - TD'!AP50="","",'M2 Allocations - TD'!AP68)</f>
        <v>807723.67786616471</v>
      </c>
      <c r="AR28" s="22">
        <f>IF('M2 Allocations - TD'!AQ50="","",'M2 Allocations - TD'!AQ68)</f>
        <v>1071830.4459348798</v>
      </c>
      <c r="AS28" s="22">
        <f>IF('M2 Allocations - TD'!AR50="","",'M2 Allocations - TD'!AR68)</f>
        <v>1361027.792333117</v>
      </c>
      <c r="AT28" s="22">
        <f>IF('M2 Allocations - TD'!AS50="","",'M2 Allocations - TD'!AS68)</f>
        <v>1432733.48651519</v>
      </c>
      <c r="AU28" s="22">
        <f>IF('M2 Allocations - TD'!AT50="","",'M2 Allocations - TD'!AT68)</f>
        <v>1322179.2642833882</v>
      </c>
      <c r="AV28" s="22">
        <f>IF('M2 Allocations - TD'!AU50="","",'M2 Allocations - TD'!AU68)</f>
        <v>1087865.4265500808</v>
      </c>
      <c r="AW28" s="22">
        <f>IF('M2 Allocations - TD'!AV50="","",'M2 Allocations - TD'!AV68)</f>
        <v>979499.93887924904</v>
      </c>
      <c r="AX28" s="22">
        <f>IF('M2 Allocations - TD'!AW50="","",'M2 Allocations - TD'!AW68)</f>
        <v>1315854.6359199637</v>
      </c>
      <c r="AY28" s="22">
        <f>IF('M2 Allocations - TD'!AX50="","",'M2 Allocations - TD'!AX68)</f>
        <v>1452342.8430098211</v>
      </c>
      <c r="AZ28" s="22">
        <f>IF('M2 Allocations - TD'!AY50="","",'M2 Allocations - TD'!AY68)</f>
        <v>852786.52127385803</v>
      </c>
      <c r="BA28" s="22">
        <f>IF('M2 Allocations - TD'!AZ50="","",'M2 Allocations - TD'!AZ68)</f>
        <v>125873.38282544476</v>
      </c>
      <c r="BB28" s="22">
        <f>IF('M2 Allocations - TD'!BA50="","",'M2 Allocations - TD'!BA68)</f>
        <v>94402.787188311384</v>
      </c>
      <c r="BC28" s="22">
        <f>IF('M2 Allocations - TD'!BB50="","",'M2 Allocations - TD'!BB68)</f>
        <v>84175.513069788271</v>
      </c>
      <c r="BD28" s="22">
        <f>IF('M2 Allocations - TD'!BC50="","",'M2 Allocations - TD'!BC68)</f>
        <v>111088.05405709325</v>
      </c>
      <c r="BE28" s="22">
        <f>IF('M2 Allocations - TD'!BD50="","",'M2 Allocations - TD'!BD68)</f>
        <v>148912.4914773225</v>
      </c>
      <c r="BF28" s="22">
        <f>IF('M2 Allocations - TD'!BE50="","",'M2 Allocations - TD'!BE68)</f>
        <v>139614.44094102815</v>
      </c>
      <c r="BG28" s="22">
        <f>IF('M2 Allocations - TD'!BF50="","",'M2 Allocations - TD'!BF68)</f>
        <v>125976.71022904465</v>
      </c>
      <c r="BH28" s="22">
        <f>IF('M2 Allocations - TD'!BG50="","",'M2 Allocations - TD'!BG68)</f>
        <v>85433.845861912778</v>
      </c>
      <c r="BI28" s="22">
        <v>91258.917890257697</v>
      </c>
      <c r="BJ28" s="22">
        <v>120857.06275512144</v>
      </c>
      <c r="BK28" s="22">
        <v>157131.76386056477</v>
      </c>
      <c r="BL28" s="22">
        <v>-115197.03218943029</v>
      </c>
      <c r="BM28" s="22">
        <v>-330846.44785598782</v>
      </c>
      <c r="BN28" s="22">
        <v>-223865.36362995688</v>
      </c>
      <c r="BO28" s="22">
        <v>-210176.78057078717</v>
      </c>
      <c r="BP28" s="22">
        <v>-274664.86631310626</v>
      </c>
      <c r="BQ28" s="22">
        <v>-362529.15554440091</v>
      </c>
      <c r="BR28" s="22">
        <v>-369792.94310600177</v>
      </c>
      <c r="BS28" s="22">
        <v>-363385.55298456381</v>
      </c>
      <c r="BT28" s="22">
        <v>-252118.8064792598</v>
      </c>
      <c r="BU28" s="22">
        <f>IF('M2 Allocations - TD'!BT50="","",'M2 Allocations - TD'!BT68)</f>
        <v>-222494.27575388903</v>
      </c>
      <c r="BV28" s="22">
        <f>IF('M2 Allocations - TD'!BU50="","",'M2 Allocations - TD'!BU68)</f>
        <v>-322437.00488693145</v>
      </c>
      <c r="BW28" s="22">
        <f>IF('M2 Allocations - TD'!BV50="","",'M2 Allocations - TD'!BV68)</f>
        <v>-411419.60598783859</v>
      </c>
    </row>
    <row r="29" spans="1:75" s="5" customFormat="1" ht="15" hidden="1" customHeight="1" outlineLevel="1" x14ac:dyDescent="0.3">
      <c r="A29" s="255"/>
      <c r="B29" s="18" t="s">
        <v>47</v>
      </c>
      <c r="C29" s="26"/>
      <c r="D29" s="26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>
        <f>+'M2 TD amort'!C8</f>
        <v>0</v>
      </c>
      <c r="P29" s="24">
        <f>IF(P28="","",-'M2 TD amort'!D8)</f>
        <v>-711911.22</v>
      </c>
      <c r="Q29" s="24">
        <f>IF(Q28="","",-'M2 TD amort'!E8)</f>
        <v>-573227.69999999995</v>
      </c>
      <c r="R29" s="22">
        <f>IF(R28="","",-'M2 TD amort'!F8)</f>
        <v>-501096.29</v>
      </c>
      <c r="S29" s="22">
        <f>IF(S28="","",-'M2 TD amort'!G8)</f>
        <v>-477583.74</v>
      </c>
      <c r="T29" s="22">
        <f>IF(T28="","",-'M2 TD amort'!H8)</f>
        <v>-641985.30000000005</v>
      </c>
      <c r="U29" s="22">
        <f>IF(U28="","",-'M2 TD amort'!I8)</f>
        <v>-854211.51</v>
      </c>
      <c r="V29" s="22">
        <f>IF(V28="","",-'M2 TD amort'!J8)</f>
        <v>-864751.39</v>
      </c>
      <c r="W29" s="22">
        <f>IF(W28="","",-'M2 TD amort'!K8)</f>
        <v>-683761.31</v>
      </c>
      <c r="X29" s="22">
        <f>IF(X28="","",-'M2 TD amort'!L8)</f>
        <v>-600310.41</v>
      </c>
      <c r="Y29" s="22">
        <f>IF(Y28="","",-'M2 TD amort'!M8)</f>
        <v>-524179.13</v>
      </c>
      <c r="Z29" s="22">
        <f>IF(Z28="","",-'M2 TD amort'!N8)</f>
        <v>-675963.66</v>
      </c>
      <c r="AA29" s="22">
        <f>IF(AA28="","",-'M2 TD amort'!O8)</f>
        <v>-1036876.86</v>
      </c>
      <c r="AB29" s="22">
        <f>IF(AB28="","",-'M2 TD amort'!P8)</f>
        <v>46701.32</v>
      </c>
      <c r="AC29" s="22">
        <f>IF(AC28="","",-'M2 TD amort'!Q8)</f>
        <v>37642.160000000003</v>
      </c>
      <c r="AD29" s="22">
        <f>IF(AD28="","",-'M2 TD amort'!R8)</f>
        <v>36342.15</v>
      </c>
      <c r="AE29" s="22">
        <f>IF(AE28="","",-'M2 TD amort'!S8)</f>
        <v>29599.11</v>
      </c>
      <c r="AF29" s="22">
        <f>IF(AF28="","",-'M2 TD amort'!T8)</f>
        <v>43963.199999999997</v>
      </c>
      <c r="AG29" s="22">
        <f>IF(AG28="","",-'M2 TD amort'!U8)</f>
        <v>51549.48</v>
      </c>
      <c r="AH29" s="22">
        <f>IF(AH28="","",-'M2 TD amort'!V8)</f>
        <v>46197.58</v>
      </c>
      <c r="AI29" s="22">
        <f>IF(AI28="","",-'M2 TD amort'!W8)</f>
        <v>44433.38</v>
      </c>
      <c r="AJ29" s="22">
        <f>IF(AJ28="","",-'M2 TD amort'!X8)</f>
        <v>34383.949999999997</v>
      </c>
      <c r="AK29" s="22">
        <f>IF(AK28="","",-'M2 TD amort'!Y8)</f>
        <v>31905.63</v>
      </c>
      <c r="AL29" s="22">
        <f>IF(AL28="","",-'M2 TD amort'!Z8)</f>
        <v>44394.77</v>
      </c>
      <c r="AM29" s="22">
        <f>IF(AM28="","",-'M2 TD amort'!AA8)</f>
        <v>49232.21</v>
      </c>
      <c r="AN29" s="22">
        <f>IF(AN28="","",-'M2 TD amort'!AB8)</f>
        <v>216071.84</v>
      </c>
      <c r="AO29" s="22">
        <f>IF(AO28="","",-'M2 TD amort'!AC8)</f>
        <v>194591.59</v>
      </c>
      <c r="AP29" s="22">
        <f>IF(AP28="","",-'M2 TD amort'!AD8)</f>
        <v>134071.35999999999</v>
      </c>
      <c r="AQ29" s="22">
        <f>IF(AQ28="","",-'M2 TD amort'!AE8)</f>
        <v>113984.64</v>
      </c>
      <c r="AR29" s="22">
        <f>IF(AR28="","",-'M2 TD amort'!AF8)</f>
        <v>151800.88</v>
      </c>
      <c r="AS29" s="22">
        <f>IF(AS28="","",-'M2 TD amort'!AG8)</f>
        <v>193122.18</v>
      </c>
      <c r="AT29" s="22">
        <f>IF(AT28="","",-'M2 TD amort'!AH8)</f>
        <v>203284.46</v>
      </c>
      <c r="AU29" s="22">
        <f>IF(AU28="","",-'M2 TD amort'!AI8)</f>
        <v>187531.79</v>
      </c>
      <c r="AV29" s="22">
        <f>IF(AV28="","",-'M2 TD amort'!AJ8)</f>
        <v>154102.16</v>
      </c>
      <c r="AW29" s="22">
        <f>IF(AW28="","",-'M2 TD amort'!AK8)</f>
        <v>138255.22</v>
      </c>
      <c r="AX29" s="22">
        <f>IF(AX28="","",-'M2 TD amort'!AL8)</f>
        <v>186023.43</v>
      </c>
      <c r="AY29" s="22">
        <f>IF(AY28="","",-'M2 TD amort'!AM8)</f>
        <v>205426.33</v>
      </c>
      <c r="AZ29" s="22">
        <f>IF(AZ28="","",-'M2 TD amort'!AN8)</f>
        <v>594409.85</v>
      </c>
      <c r="BA29" s="22">
        <f>IF(BA28="","",-'M2 TD amort'!AO8)</f>
        <v>87726.16</v>
      </c>
      <c r="BB29" s="22">
        <f>IF(BB28="","",-'M2 TD amort'!AP8)</f>
        <v>65829.27</v>
      </c>
      <c r="BC29" s="22">
        <f>IF(BC28="","",-'M2 TD amort'!AQ8)</f>
        <v>58757.52</v>
      </c>
      <c r="BD29" s="22">
        <f>IF(BD28="","",-'M2 TD amort'!AR8)</f>
        <v>77792.009999999995</v>
      </c>
      <c r="BE29" s="22">
        <f>IF(BE28="","",-'M2 TD amort'!AS8)</f>
        <v>104447.8</v>
      </c>
      <c r="BF29" s="22">
        <f>IF(BF28="","",-'M2 TD amort'!AT8)</f>
        <v>97903.88</v>
      </c>
      <c r="BG29" s="22">
        <f>IF(BG28="","",-'M2 TD amort'!AU8)</f>
        <v>88306.68</v>
      </c>
      <c r="BH29" s="22">
        <f>IF(BH28="","",-'M2 TD amort'!AV8)</f>
        <v>59672.800000000003</v>
      </c>
      <c r="BI29" s="22">
        <v>63668.09</v>
      </c>
      <c r="BJ29" s="22">
        <v>84398.080000000002</v>
      </c>
      <c r="BK29" s="22">
        <v>109860.73</v>
      </c>
      <c r="BL29" s="22">
        <v>113458.01</v>
      </c>
      <c r="BM29" s="22">
        <v>325175.89</v>
      </c>
      <c r="BN29" s="22">
        <v>219552.89</v>
      </c>
      <c r="BO29" s="22">
        <v>206267.22</v>
      </c>
      <c r="BP29" s="22">
        <v>270595.87</v>
      </c>
      <c r="BQ29" s="22">
        <v>357386.66</v>
      </c>
      <c r="BR29" s="22">
        <v>364675.44</v>
      </c>
      <c r="BS29" s="22">
        <v>358208.47</v>
      </c>
      <c r="BT29" s="22">
        <v>248050.58</v>
      </c>
      <c r="BU29" s="22">
        <f>IF(BU28="","",-'M2 TD amort'!BI8)</f>
        <v>218489.18</v>
      </c>
      <c r="BV29" s="22">
        <f>IF(BV28="","",-'M2 TD amort'!BJ8)</f>
        <v>317355.17</v>
      </c>
      <c r="BW29" s="22">
        <f>IF(BW28="","",-'M2 TD amort'!BK8)</f>
        <v>405447.38</v>
      </c>
    </row>
    <row r="30" spans="1:75" s="5" customFormat="1" ht="15" hidden="1" customHeight="1" outlineLevel="1" x14ac:dyDescent="0.3">
      <c r="A30" s="255"/>
      <c r="B30" s="18" t="s">
        <v>48</v>
      </c>
      <c r="C30" s="26"/>
      <c r="D30" s="26"/>
      <c r="E30" s="9"/>
      <c r="F30" s="9"/>
      <c r="G30" s="9"/>
      <c r="H30" s="9"/>
      <c r="I30" s="9"/>
      <c r="J30" s="9"/>
      <c r="K30" s="9"/>
      <c r="L30" s="9"/>
      <c r="M30" s="9"/>
      <c r="N30" s="9"/>
      <c r="O30" s="9">
        <f>IF(OR(O29="",O28=""),"",O28+O29)</f>
        <v>406285.42</v>
      </c>
      <c r="P30" s="9">
        <f>IF(OR(P29="",P28=""),"",P28+P29)</f>
        <v>657978.56000000006</v>
      </c>
      <c r="Q30" s="9">
        <f t="shared" ref="Q30:AM30" si="86">IF(OR(Q29="",Q28=""),"",Q28+Q29)</f>
        <v>529801.3600000001</v>
      </c>
      <c r="R30" s="9">
        <f t="shared" si="86"/>
        <v>482880.51559981873</v>
      </c>
      <c r="S30" s="9">
        <f t="shared" si="86"/>
        <v>458542.93058040296</v>
      </c>
      <c r="T30" s="9">
        <f t="shared" si="86"/>
        <v>612900.94478988391</v>
      </c>
      <c r="U30" s="9">
        <f t="shared" si="86"/>
        <v>812512.71133799548</v>
      </c>
      <c r="V30" s="9">
        <f t="shared" si="86"/>
        <v>823116.57773945399</v>
      </c>
      <c r="W30" s="9">
        <f t="shared" si="86"/>
        <v>653223.5018306768</v>
      </c>
      <c r="X30" s="9">
        <f t="shared" si="86"/>
        <v>574674.94076274789</v>
      </c>
      <c r="Y30" s="9">
        <f t="shared" si="86"/>
        <v>505352.51447146316</v>
      </c>
      <c r="Z30" s="9">
        <f t="shared" si="86"/>
        <v>650489.57505706407</v>
      </c>
      <c r="AA30" s="9">
        <f>IF(OR(AA29="",AA28=""),"",AA28+AA29)</f>
        <v>993784.88114023383</v>
      </c>
      <c r="AB30" s="9">
        <f t="shared" si="86"/>
        <v>1434951.6700000002</v>
      </c>
      <c r="AC30" s="9">
        <f t="shared" si="86"/>
        <v>1158296.8131242457</v>
      </c>
      <c r="AD30" s="9">
        <f t="shared" si="86"/>
        <v>1118793.8225849967</v>
      </c>
      <c r="AE30" s="9">
        <f t="shared" si="86"/>
        <v>909850.96351460414</v>
      </c>
      <c r="AF30" s="9">
        <f t="shared" si="86"/>
        <v>1345247.3891339926</v>
      </c>
      <c r="AG30" s="9">
        <f t="shared" si="86"/>
        <v>1576254.3372049867</v>
      </c>
      <c r="AH30" s="9">
        <f t="shared" si="86"/>
        <v>1412921.2750669869</v>
      </c>
      <c r="AI30" s="9">
        <f t="shared" si="86"/>
        <v>1359038.4884583519</v>
      </c>
      <c r="AJ30" s="9">
        <f t="shared" si="86"/>
        <v>1054816.9029194708</v>
      </c>
      <c r="AK30" s="9">
        <f t="shared" si="86"/>
        <v>982101.03735321853</v>
      </c>
      <c r="AL30" s="9">
        <f t="shared" si="86"/>
        <v>1364766.7517385539</v>
      </c>
      <c r="AM30" s="9">
        <f t="shared" si="86"/>
        <v>1511665.7646846254</v>
      </c>
      <c r="AN30" s="9">
        <f t="shared" ref="AN30:BW30" si="87">IF(OR(AN29="",AN28=""),"",AN28+AN29)</f>
        <v>1745209.2428414819</v>
      </c>
      <c r="AO30" s="9">
        <f t="shared" si="87"/>
        <v>1572952.3170812316</v>
      </c>
      <c r="AP30" s="9">
        <f t="shared" si="87"/>
        <v>1085232.3496388393</v>
      </c>
      <c r="AQ30" s="9">
        <f t="shared" si="87"/>
        <v>921708.31786616473</v>
      </c>
      <c r="AR30" s="9">
        <f t="shared" si="87"/>
        <v>1223631.3259348799</v>
      </c>
      <c r="AS30" s="9">
        <f>IF(OR(AS29="",AS28=""),"",AS28+AS29)</f>
        <v>1554149.9723331169</v>
      </c>
      <c r="AT30" s="9">
        <f t="shared" si="87"/>
        <v>1636017.9465151899</v>
      </c>
      <c r="AU30" s="9">
        <f t="shared" si="87"/>
        <v>1509711.0542833882</v>
      </c>
      <c r="AV30" s="9">
        <f t="shared" si="87"/>
        <v>1241967.5865500807</v>
      </c>
      <c r="AW30" s="9">
        <f t="shared" si="87"/>
        <v>1117755.1588792491</v>
      </c>
      <c r="AX30" s="9">
        <f t="shared" si="87"/>
        <v>1501878.0659199636</v>
      </c>
      <c r="AY30" s="9">
        <f t="shared" si="87"/>
        <v>1657769.1730098212</v>
      </c>
      <c r="AZ30" s="9">
        <f t="shared" si="87"/>
        <v>1447196.371273858</v>
      </c>
      <c r="BA30" s="9">
        <f t="shared" si="87"/>
        <v>213599.54282544478</v>
      </c>
      <c r="BB30" s="9">
        <f t="shared" si="87"/>
        <v>160232.05718831139</v>
      </c>
      <c r="BC30" s="9">
        <f t="shared" si="87"/>
        <v>142933.03306978827</v>
      </c>
      <c r="BD30" s="9">
        <f t="shared" si="87"/>
        <v>188880.06405709323</v>
      </c>
      <c r="BE30" s="9">
        <f t="shared" si="87"/>
        <v>253360.29147732252</v>
      </c>
      <c r="BF30" s="9">
        <f t="shared" si="87"/>
        <v>237518.32094102816</v>
      </c>
      <c r="BG30" s="9">
        <f t="shared" si="87"/>
        <v>214283.39022904466</v>
      </c>
      <c r="BH30" s="9">
        <f t="shared" si="87"/>
        <v>145106.64586191278</v>
      </c>
      <c r="BI30" s="9">
        <f t="shared" si="87"/>
        <v>154927.00789025769</v>
      </c>
      <c r="BJ30" s="9">
        <f t="shared" si="87"/>
        <v>205255.14275512146</v>
      </c>
      <c r="BK30" s="9">
        <f t="shared" si="87"/>
        <v>266992.49386056478</v>
      </c>
      <c r="BL30" s="9">
        <f t="shared" si="87"/>
        <v>-1739.0221894302958</v>
      </c>
      <c r="BM30" s="9">
        <f t="shared" si="87"/>
        <v>-5670.5578559878049</v>
      </c>
      <c r="BN30" s="9">
        <f t="shared" si="87"/>
        <v>-4312.4736299568613</v>
      </c>
      <c r="BO30" s="9">
        <f t="shared" si="87"/>
        <v>-3909.5605707871728</v>
      </c>
      <c r="BP30" s="9">
        <f t="shared" si="87"/>
        <v>-4068.9963131062686</v>
      </c>
      <c r="BQ30" s="9">
        <f t="shared" si="87"/>
        <v>-5142.4955444009393</v>
      </c>
      <c r="BR30" s="9">
        <f t="shared" si="87"/>
        <v>-5117.5031060017645</v>
      </c>
      <c r="BS30" s="9">
        <f t="shared" si="87"/>
        <v>-5177.0829845638364</v>
      </c>
      <c r="BT30" s="9">
        <f t="shared" si="87"/>
        <v>-4068.2264792598144</v>
      </c>
      <c r="BU30" s="9">
        <f t="shared" si="87"/>
        <v>-4005.0957538890361</v>
      </c>
      <c r="BV30" s="9">
        <f t="shared" si="87"/>
        <v>-5081.834886931465</v>
      </c>
      <c r="BW30" s="9">
        <f t="shared" si="87"/>
        <v>-5972.2259878385812</v>
      </c>
    </row>
    <row r="31" spans="1:75" s="5" customFormat="1" hidden="1" outlineLevel="1" x14ac:dyDescent="0.3">
      <c r="A31" s="255"/>
      <c r="B31" s="18" t="s">
        <v>13</v>
      </c>
      <c r="C31" s="26"/>
      <c r="D31" s="26"/>
      <c r="E31" s="9">
        <f>IF(OR(E28="",E27=""),"",E27-E28)</f>
        <v>0</v>
      </c>
      <c r="F31" s="9">
        <f t="shared" ref="F31:N31" si="88">IF(OR(F28="",F27=""),"",F27-F28)</f>
        <v>1328.78</v>
      </c>
      <c r="G31" s="9">
        <f t="shared" si="88"/>
        <v>-2928.2300000000014</v>
      </c>
      <c r="H31" s="9">
        <f t="shared" si="88"/>
        <v>-71289.570000000007</v>
      </c>
      <c r="I31" s="9">
        <f t="shared" si="88"/>
        <v>-1844.4099999999744</v>
      </c>
      <c r="J31" s="9">
        <f t="shared" si="88"/>
        <v>114544.92435846673</v>
      </c>
      <c r="K31" s="9">
        <f t="shared" si="88"/>
        <v>437611.03363575385</v>
      </c>
      <c r="L31" s="9">
        <f t="shared" si="88"/>
        <v>-46108.640094585164</v>
      </c>
      <c r="M31" s="9">
        <f t="shared" si="88"/>
        <v>48251.358816492691</v>
      </c>
      <c r="N31" s="9">
        <f t="shared" si="88"/>
        <v>92791.644528529549</v>
      </c>
      <c r="O31" s="9">
        <f>IF(OR(O30="",O27=""),"",O27-O30)</f>
        <v>-76541.62899647688</v>
      </c>
      <c r="P31" s="9">
        <f>IF(OR(P30="",P27=""),"",P27-P30)</f>
        <v>-338389.43385265709</v>
      </c>
      <c r="Q31" s="9">
        <f t="shared" ref="Q31:AM31" si="89">IF(OR(Q30="",Q27=""),"",Q27-Q30)</f>
        <v>-222384.84377562633</v>
      </c>
      <c r="R31" s="9">
        <f t="shared" si="89"/>
        <v>-280870.51801192272</v>
      </c>
      <c r="S31" s="9">
        <f t="shared" si="89"/>
        <v>-257024.92210439607</v>
      </c>
      <c r="T31" s="9">
        <f t="shared" si="89"/>
        <v>271295.57222439582</v>
      </c>
      <c r="U31" s="9">
        <f t="shared" si="89"/>
        <v>470091.62866200437</v>
      </c>
      <c r="V31" s="9">
        <f t="shared" si="89"/>
        <v>589644.00641244452</v>
      </c>
      <c r="W31" s="9">
        <f t="shared" si="89"/>
        <v>258820.37147143483</v>
      </c>
      <c r="X31" s="9">
        <f t="shared" si="89"/>
        <v>-294698.47456685978</v>
      </c>
      <c r="Y31" s="9">
        <f t="shared" si="89"/>
        <v>-127914.03687273734</v>
      </c>
      <c r="Z31" s="9">
        <f t="shared" si="89"/>
        <v>-85221.629287551506</v>
      </c>
      <c r="AA31" s="9">
        <f>IF(OR(AA30="",AA27=""),"",AA27-AA30)</f>
        <v>-386569.85366342065</v>
      </c>
      <c r="AB31" s="9">
        <f t="shared" si="89"/>
        <v>-919635.13172390917</v>
      </c>
      <c r="AC31" s="9">
        <f t="shared" si="89"/>
        <v>-685146.30396264396</v>
      </c>
      <c r="AD31" s="9">
        <f t="shared" si="89"/>
        <v>-848062.04299649666</v>
      </c>
      <c r="AE31" s="9">
        <f t="shared" si="89"/>
        <v>-418254.81517212209</v>
      </c>
      <c r="AF31" s="9">
        <f t="shared" si="89"/>
        <v>679709.27680510981</v>
      </c>
      <c r="AG31" s="9">
        <f t="shared" si="89"/>
        <v>1177529.0987427053</v>
      </c>
      <c r="AH31" s="9">
        <f t="shared" si="89"/>
        <v>1242265.9957057198</v>
      </c>
      <c r="AI31" s="9">
        <f t="shared" si="89"/>
        <v>226632.29566829209</v>
      </c>
      <c r="AJ31" s="9">
        <f t="shared" si="89"/>
        <v>-498698.17299920809</v>
      </c>
      <c r="AK31" s="9">
        <f t="shared" si="89"/>
        <v>-468642.97684611689</v>
      </c>
      <c r="AL31" s="9">
        <f t="shared" si="89"/>
        <v>-661966.85405505204</v>
      </c>
      <c r="AM31" s="9">
        <f t="shared" si="89"/>
        <v>-806398.7552662557</v>
      </c>
      <c r="AN31" s="9">
        <f t="shared" ref="AN31:BW31" si="90">IF(OR(AN30="",AN27=""),"",AN27-AN30)</f>
        <v>-1118395.6232045633</v>
      </c>
      <c r="AO31" s="9">
        <f t="shared" si="90"/>
        <v>-839575.8679167378</v>
      </c>
      <c r="AP31" s="9">
        <f>IF(OR(AP30="",AP27=""),"",AP27-AP30)</f>
        <v>-505280.31703957345</v>
      </c>
      <c r="AQ31" s="9">
        <f t="shared" si="90"/>
        <v>-550696.82604602491</v>
      </c>
      <c r="AR31" s="9">
        <f t="shared" si="90"/>
        <v>1499625.3698654766</v>
      </c>
      <c r="AS31" s="9">
        <f>IF(OR(AS30="",AS27=""),"",AS27-AS30)</f>
        <v>1536090.1436625165</v>
      </c>
      <c r="AT31" s="9">
        <f t="shared" si="90"/>
        <v>1683217.386576823</v>
      </c>
      <c r="AU31" s="9">
        <f t="shared" si="90"/>
        <v>362712.86205842951</v>
      </c>
      <c r="AV31" s="9">
        <f t="shared" si="90"/>
        <v>-773328.18641074549</v>
      </c>
      <c r="AW31" s="9">
        <f t="shared" si="90"/>
        <v>-544325.09594499937</v>
      </c>
      <c r="AX31" s="9">
        <f t="shared" si="90"/>
        <v>-772876.38091818138</v>
      </c>
      <c r="AY31" s="9">
        <f t="shared" si="90"/>
        <v>-926320.17375789559</v>
      </c>
      <c r="AZ31" s="9">
        <f t="shared" si="90"/>
        <v>-2548708.1358568668</v>
      </c>
      <c r="BA31" s="9">
        <f t="shared" si="90"/>
        <v>288698.38789936563</v>
      </c>
      <c r="BB31" s="9">
        <f t="shared" si="90"/>
        <v>-160232.05718831139</v>
      </c>
      <c r="BC31" s="9">
        <f t="shared" si="90"/>
        <v>-144134.97219762404</v>
      </c>
      <c r="BD31" s="9">
        <f t="shared" si="90"/>
        <v>-188880.06405709323</v>
      </c>
      <c r="BE31" s="9">
        <f t="shared" si="90"/>
        <v>-253360.29147732252</v>
      </c>
      <c r="BF31" s="9">
        <f t="shared" si="90"/>
        <v>-237518.32094102816</v>
      </c>
      <c r="BG31" s="9">
        <f t="shared" si="90"/>
        <v>-214283.39022904466</v>
      </c>
      <c r="BH31" s="9">
        <f t="shared" si="90"/>
        <v>-145106.64586191278</v>
      </c>
      <c r="BI31" s="9">
        <f t="shared" si="90"/>
        <v>-154927.00789025769</v>
      </c>
      <c r="BJ31" s="9">
        <f t="shared" si="90"/>
        <v>-205255.14275512146</v>
      </c>
      <c r="BK31" s="9">
        <f t="shared" si="90"/>
        <v>-266992.49386056478</v>
      </c>
      <c r="BL31" s="9">
        <f t="shared" si="90"/>
        <v>1739.0221894302958</v>
      </c>
      <c r="BM31" s="9">
        <f t="shared" si="90"/>
        <v>5670.5578559878049</v>
      </c>
      <c r="BN31" s="9">
        <f t="shared" si="90"/>
        <v>4312.4736299568613</v>
      </c>
      <c r="BO31" s="9">
        <f t="shared" si="90"/>
        <v>3909.5605707871728</v>
      </c>
      <c r="BP31" s="9">
        <f t="shared" si="90"/>
        <v>4068.9963131062686</v>
      </c>
      <c r="BQ31" s="9">
        <f t="shared" si="90"/>
        <v>5142.4955444009393</v>
      </c>
      <c r="BR31" s="9">
        <f t="shared" si="90"/>
        <v>5117.5031060017645</v>
      </c>
      <c r="BS31" s="9">
        <f t="shared" si="90"/>
        <v>5177.0829845638364</v>
      </c>
      <c r="BT31" s="9">
        <f t="shared" si="90"/>
        <v>4068.2264792598144</v>
      </c>
      <c r="BU31" s="9">
        <f t="shared" si="90"/>
        <v>4005.0957538890361</v>
      </c>
      <c r="BV31" s="9">
        <f t="shared" si="90"/>
        <v>5081.834886931465</v>
      </c>
      <c r="BW31" s="9">
        <f t="shared" si="90"/>
        <v>5972.2259878385812</v>
      </c>
    </row>
    <row r="32" spans="1:75" s="5" customFormat="1" hidden="1" outlineLevel="1" x14ac:dyDescent="0.3">
      <c r="A32" s="255"/>
      <c r="B32" s="19" t="s">
        <v>8</v>
      </c>
      <c r="C32" s="30"/>
      <c r="D32" s="30"/>
      <c r="E32" s="9">
        <f>IF(OR(E9="",E31=""),"",(E31+D34)*E9/12)</f>
        <v>0</v>
      </c>
      <c r="F32" s="9">
        <f t="shared" ref="F32:N32" si="91">IF(OR(F9="",F31=""),"",(F31+E34)*F9/12)</f>
        <v>0.8255809798499999</v>
      </c>
      <c r="G32" s="9">
        <f t="shared" si="91"/>
        <v>-1.0068589534574304</v>
      </c>
      <c r="H32" s="9">
        <f t="shared" si="91"/>
        <v>-38.04342526901916</v>
      </c>
      <c r="I32" s="9">
        <f t="shared" si="91"/>
        <v>-39.19548832457653</v>
      </c>
      <c r="J32" s="9">
        <f t="shared" si="91"/>
        <v>25.316101791241433</v>
      </c>
      <c r="K32" s="9">
        <f t="shared" si="91"/>
        <v>300.52843321651994</v>
      </c>
      <c r="L32" s="9">
        <f t="shared" si="91"/>
        <v>273.38393574818252</v>
      </c>
      <c r="M32" s="9">
        <f t="shared" si="91"/>
        <v>305.71343553283026</v>
      </c>
      <c r="N32" s="9">
        <f t="shared" si="91"/>
        <v>459.60027907263867</v>
      </c>
      <c r="O32" s="10">
        <f>IF(OR(O9="",O31=""),"",(O29+O31+N34)*O9/12)</f>
        <v>372.82678818148116</v>
      </c>
      <c r="P32" s="10">
        <f>IF(OR(P9="",P31=""),"",(P29+P31+O34+P26)*P9/12)</f>
        <v>5294.3093104737645</v>
      </c>
      <c r="Q32" s="10">
        <f t="shared" ref="Q32:AM32" si="92">IF(OR(Q9="",Q31=""),"",(Q29+Q31+P34)*Q9/12)</f>
        <v>6007.5624775762617</v>
      </c>
      <c r="R32" s="10">
        <f t="shared" si="92"/>
        <v>5263.9348672725127</v>
      </c>
      <c r="S32" s="10">
        <f t="shared" si="92"/>
        <v>4564.9795036702699</v>
      </c>
      <c r="T32" s="10">
        <f t="shared" si="92"/>
        <v>5166.8652470196785</v>
      </c>
      <c r="U32" s="10">
        <f t="shared" si="92"/>
        <v>4660.8174690886708</v>
      </c>
      <c r="V32" s="10">
        <f t="shared" si="92"/>
        <v>4581.7725750611253</v>
      </c>
      <c r="W32" s="10">
        <f t="shared" si="92"/>
        <v>4016.0372167419896</v>
      </c>
      <c r="X32" s="10">
        <f t="shared" si="92"/>
        <v>2945.88677481181</v>
      </c>
      <c r="Y32" s="10">
        <f t="shared" si="92"/>
        <v>2149.1932054558397</v>
      </c>
      <c r="Z32" s="10">
        <f t="shared" si="92"/>
        <v>1519.9204299095629</v>
      </c>
      <c r="AA32" s="10">
        <f t="shared" si="92"/>
        <v>-562.54602891992351</v>
      </c>
      <c r="AB32" s="10">
        <f t="shared" si="92"/>
        <v>-1929.6446952083068</v>
      </c>
      <c r="AC32" s="10">
        <f t="shared" si="92"/>
        <v>-3280.2540933795021</v>
      </c>
      <c r="AD32" s="10">
        <f t="shared" si="92"/>
        <v>-5260.7827266771046</v>
      </c>
      <c r="AE32" s="10">
        <f t="shared" si="92"/>
        <v>-5726.7183733822167</v>
      </c>
      <c r="AF32" s="10">
        <f t="shared" si="92"/>
        <v>-4573.2375408809512</v>
      </c>
      <c r="AG32" s="10">
        <f t="shared" si="92"/>
        <v>-2313.7713700853533</v>
      </c>
      <c r="AH32" s="10">
        <f t="shared" si="92"/>
        <v>200.03580045925753</v>
      </c>
      <c r="AI32" s="10">
        <f t="shared" si="92"/>
        <v>726.81119312183489</v>
      </c>
      <c r="AJ32" s="10">
        <f t="shared" si="92"/>
        <v>-182.45721726894439</v>
      </c>
      <c r="AK32" s="10">
        <f t="shared" si="92"/>
        <v>-1107.7550263704416</v>
      </c>
      <c r="AL32" s="10">
        <f t="shared" si="92"/>
        <v>-2627.6316115780096</v>
      </c>
      <c r="AM32" s="10">
        <f t="shared" si="92"/>
        <v>-4554.4236734393371</v>
      </c>
      <c r="AN32" s="10">
        <f t="shared" ref="AN32" si="93">IF(OR(AN9="",AN31=""),"",(AN29+AN31+AM34)*AN9/12)</f>
        <v>-6654.4899163949822</v>
      </c>
      <c r="AO32" s="10">
        <f t="shared" ref="AO32" si="94">IF(OR(AO9="",AO31=""),"",(AO29+AO31+AN34)*AO9/12)</f>
        <v>-8045.1880681861367</v>
      </c>
      <c r="AP32" s="10">
        <f t="shared" ref="AP32" si="95">IF(OR(AP9="",AP31=""),"",(AP29+AP31+AO34)*AP9/12)</f>
        <v>-8524.2955357193568</v>
      </c>
      <c r="AQ32" s="10">
        <f t="shared" ref="AQ32" si="96">IF(OR(AQ9="",AQ31=""),"",(AQ29+AQ31+AP34)*AQ9/12)</f>
        <v>-9565.9847029969114</v>
      </c>
      <c r="AR32" s="10">
        <f t="shared" ref="AR32" si="97">IF(OR(AR9="",AR31=""),"",(AR29+AR31+AQ34)*AR9/12)</f>
        <v>-5842.5770767012573</v>
      </c>
      <c r="AS32" s="10">
        <f>IF(OR(AS9="",AS31=""),"",(AS29+AS31+AR34)*AS9/12)+AS26</f>
        <v>-11646.625789448468</v>
      </c>
      <c r="AT32" s="10">
        <f t="shared" ref="AT32" si="98">IF(OR(AT9="",AT31=""),"",(AT29+AT31+AS34)*AT9/12)</f>
        <v>1866.4267273905355</v>
      </c>
      <c r="AU32" s="10">
        <f t="shared" ref="AU32" si="99">IF(OR(AU9="",AU31=""),"",(AU29+AU31+AT34)*AU9/12)</f>
        <v>2779.7659407100673</v>
      </c>
      <c r="AV32" s="10">
        <f t="shared" ref="AV32" si="100">IF(OR(AV9="",AV31=""),"",(AV29+AV31+AU34)*AV9/12)</f>
        <v>1564.7525696417642</v>
      </c>
      <c r="AW32" s="10">
        <f t="shared" ref="AW32" si="101">IF(OR(AW9="",AW31=""),"",(AW29+AW31+AV34)*AW9/12)</f>
        <v>732.06494889487897</v>
      </c>
      <c r="AX32" s="10">
        <f t="shared" ref="AX32" si="102">IF(OR(AX9="",AX31=""),"",(AX29+AX31+AW34)*AX9/12)</f>
        <v>-163.38977227779409</v>
      </c>
      <c r="AY32" s="10">
        <f t="shared" ref="AY32" si="103">IF(OR(AY9="",AY31=""),"",(AY29+AY31+AX34)*AY9/12)</f>
        <v>-1296.272463729247</v>
      </c>
      <c r="AZ32" s="10">
        <f t="shared" ref="AZ32" si="104">IF(OR(AZ9="",AZ31=""),"",(AZ29+AZ31+AY34)*AZ9/12)</f>
        <v>-4176.8372936348169</v>
      </c>
      <c r="BA32" s="10">
        <f t="shared" ref="BA32" si="105">IF(OR(BA9="",BA31=""),"",(BA29+BA31+AZ34)*BA9/12)</f>
        <v>-3787.8524653539448</v>
      </c>
      <c r="BB32" s="10">
        <f t="shared" ref="BB32" si="106">IF(OR(BB9="",BB31=""),"",(BB29+BB31+BA34)*BB9/12)</f>
        <v>-1959.0112554438863</v>
      </c>
      <c r="BC32" s="10">
        <f t="shared" ref="BC32" si="107">IF(OR(BC9="",BC31=""),"",(BC29+BC31+BB34)*BC9/12)</f>
        <v>-278.81760862053488</v>
      </c>
      <c r="BD32" s="10">
        <f t="shared" ref="BD32" si="108">IF(OR(BD9="",BD31=""),"",(BD29+BD31+BC34)*BD9/12)</f>
        <v>-283.05424927706468</v>
      </c>
      <c r="BE32" s="10">
        <f t="shared" ref="BE32" si="109">IF(OR(BE9="",BE31=""),"",(BE29+BE31+BD34)*BE9/12)</f>
        <v>-460.41251172314611</v>
      </c>
      <c r="BF32" s="10">
        <f t="shared" ref="BF32" si="110">IF(OR(BF9="",BF31=""),"",(BF29+BF31+BE34)*BF9/12)</f>
        <v>-340.65927237573527</v>
      </c>
      <c r="BG32" s="10">
        <f t="shared" ref="BG32" si="111">IF(OR(BG9="",BG31=""),"",(BG29+BG31+BF34)*BG9/12)</f>
        <v>-322.10522872963594</v>
      </c>
      <c r="BH32" s="10">
        <f t="shared" ref="BH32:BW32" si="112">IF(OR(BH9="",BH31=""),"",(BH29+BH31+BG34)*BH9/12)</f>
        <v>-534.16939554605699</v>
      </c>
      <c r="BI32" s="10">
        <f t="shared" si="112"/>
        <v>-693.54980621845846</v>
      </c>
      <c r="BJ32" s="10">
        <f t="shared" si="112"/>
        <v>-811.0030787151527</v>
      </c>
      <c r="BK32" s="10">
        <f t="shared" si="112"/>
        <v>-614.34624262308205</v>
      </c>
      <c r="BL32" s="10">
        <f t="shared" si="112"/>
        <v>-669.89189085695466</v>
      </c>
      <c r="BM32" s="10">
        <f t="shared" si="112"/>
        <v>-557.60787232606663</v>
      </c>
      <c r="BN32" s="10">
        <f t="shared" si="112"/>
        <v>-545.59231462256969</v>
      </c>
      <c r="BO32" s="10">
        <f t="shared" si="112"/>
        <v>-504.35121916051708</v>
      </c>
      <c r="BP32" s="10">
        <f t="shared" si="112"/>
        <v>-407.42581719607477</v>
      </c>
      <c r="BQ32" s="10">
        <f t="shared" si="112"/>
        <v>-239.82919158135164</v>
      </c>
      <c r="BR32" s="10">
        <f t="shared" si="112"/>
        <v>-289.32107476462022</v>
      </c>
      <c r="BS32" s="10">
        <f t="shared" si="112"/>
        <v>-214.11392923140355</v>
      </c>
      <c r="BT32" s="10">
        <f t="shared" si="112"/>
        <v>-134.72104636770419</v>
      </c>
      <c r="BU32" s="10">
        <f t="shared" si="112"/>
        <v>-106.92610202926402</v>
      </c>
      <c r="BV32" s="10">
        <f t="shared" si="112"/>
        <v>-66.634842181151242</v>
      </c>
      <c r="BW32" s="10">
        <f t="shared" si="112"/>
        <v>-15.215720787944056</v>
      </c>
    </row>
    <row r="33" spans="1:75" s="5" customFormat="1" hidden="1" outlineLevel="1" x14ac:dyDescent="0.3">
      <c r="A33" s="255"/>
      <c r="B33" s="18" t="s">
        <v>14</v>
      </c>
      <c r="C33" s="26"/>
      <c r="D33" s="26"/>
      <c r="E33" s="9">
        <f>IF(OR(E31="",E32=""),"",E31+E32)</f>
        <v>0</v>
      </c>
      <c r="F33" s="9">
        <f>IF(OR(F31="",F32=""),"",F31+F32)</f>
        <v>1329.6055809798499</v>
      </c>
      <c r="G33" s="9">
        <f t="shared" ref="G33:N33" si="113">IF(OR(G31="",G32=""),"",G31+G32)</f>
        <v>-2929.236858953459</v>
      </c>
      <c r="H33" s="9">
        <f t="shared" si="113"/>
        <v>-71327.613425269024</v>
      </c>
      <c r="I33" s="9">
        <f t="shared" si="113"/>
        <v>-1883.6054883245508</v>
      </c>
      <c r="J33" s="9">
        <f t="shared" si="113"/>
        <v>114570.24046025796</v>
      </c>
      <c r="K33" s="9">
        <f t="shared" si="113"/>
        <v>437911.56206897035</v>
      </c>
      <c r="L33" s="9">
        <f t="shared" si="113"/>
        <v>-45835.256158836979</v>
      </c>
      <c r="M33" s="9">
        <f t="shared" si="113"/>
        <v>48557.072252025522</v>
      </c>
      <c r="N33" s="9">
        <f t="shared" si="113"/>
        <v>93251.244807602183</v>
      </c>
      <c r="O33" s="9">
        <f>IF(OR(O31="",O32=""),"",O31+O32)</f>
        <v>-76168.802208295398</v>
      </c>
      <c r="P33" s="9">
        <f>IF(OR(P31="",P32=""),"",P31+P32)</f>
        <v>-333095.1245421833</v>
      </c>
      <c r="Q33" s="9">
        <f t="shared" ref="Q33:AM33" si="114">IF(OR(Q31="",Q32=""),"",Q31+Q32)</f>
        <v>-216377.28129805007</v>
      </c>
      <c r="R33" s="9">
        <f>IF(OR(R31="",R32=""),"",R31+R32)</f>
        <v>-275606.58314465021</v>
      </c>
      <c r="S33" s="9">
        <f t="shared" si="114"/>
        <v>-252459.9426007258</v>
      </c>
      <c r="T33" s="9">
        <f t="shared" si="114"/>
        <v>276462.4374714155</v>
      </c>
      <c r="U33" s="9">
        <f t="shared" si="114"/>
        <v>474752.44613109302</v>
      </c>
      <c r="V33" s="9">
        <f t="shared" si="114"/>
        <v>594225.77898750559</v>
      </c>
      <c r="W33" s="9">
        <f t="shared" si="114"/>
        <v>262836.40868817683</v>
      </c>
      <c r="X33" s="9">
        <f t="shared" si="114"/>
        <v>-291752.58779204794</v>
      </c>
      <c r="Y33" s="9">
        <f t="shared" si="114"/>
        <v>-125764.8436672815</v>
      </c>
      <c r="Z33" s="9">
        <f t="shared" si="114"/>
        <v>-83701.708857641948</v>
      </c>
      <c r="AA33" s="9">
        <f t="shared" si="114"/>
        <v>-387132.39969234058</v>
      </c>
      <c r="AB33" s="9">
        <f t="shared" si="114"/>
        <v>-921564.77641911746</v>
      </c>
      <c r="AC33" s="9">
        <f t="shared" si="114"/>
        <v>-688426.55805602344</v>
      </c>
      <c r="AD33" s="9">
        <f t="shared" si="114"/>
        <v>-853322.8257231738</v>
      </c>
      <c r="AE33" s="9">
        <f t="shared" si="114"/>
        <v>-423981.53354550432</v>
      </c>
      <c r="AF33" s="9">
        <f t="shared" si="114"/>
        <v>675136.03926422889</v>
      </c>
      <c r="AG33" s="9">
        <f t="shared" si="114"/>
        <v>1175215.3273726199</v>
      </c>
      <c r="AH33" s="9">
        <f t="shared" si="114"/>
        <v>1242466.0315061791</v>
      </c>
      <c r="AI33" s="9">
        <f t="shared" si="114"/>
        <v>227359.10686141392</v>
      </c>
      <c r="AJ33" s="9">
        <f t="shared" si="114"/>
        <v>-498880.63021647703</v>
      </c>
      <c r="AK33" s="9">
        <f t="shared" si="114"/>
        <v>-469750.73187248735</v>
      </c>
      <c r="AL33" s="9">
        <f t="shared" si="114"/>
        <v>-664594.48566663009</v>
      </c>
      <c r="AM33" s="9">
        <f t="shared" si="114"/>
        <v>-810953.178939695</v>
      </c>
      <c r="AN33" s="9">
        <f t="shared" ref="AN33:BW33" si="115">IF(OR(AN31="",AN32=""),"",AN31+AN32)</f>
        <v>-1125050.1131209582</v>
      </c>
      <c r="AO33" s="9">
        <f t="shared" si="115"/>
        <v>-847621.05598492397</v>
      </c>
      <c r="AP33" s="9">
        <f t="shared" si="115"/>
        <v>-513804.61257529282</v>
      </c>
      <c r="AQ33" s="9">
        <f t="shared" si="115"/>
        <v>-560262.81074902182</v>
      </c>
      <c r="AR33" s="9">
        <f t="shared" si="115"/>
        <v>1493782.7927887754</v>
      </c>
      <c r="AS33" s="9">
        <f>IF(OR(AS31="",AS32=""),"",AS31+AS32)</f>
        <v>1524443.5178730681</v>
      </c>
      <c r="AT33" s="9">
        <f t="shared" si="115"/>
        <v>1685083.8133042136</v>
      </c>
      <c r="AU33" s="9">
        <f t="shared" si="115"/>
        <v>365492.6279991396</v>
      </c>
      <c r="AV33" s="9">
        <f t="shared" si="115"/>
        <v>-771763.43384110369</v>
      </c>
      <c r="AW33" s="9">
        <f t="shared" si="115"/>
        <v>-543593.03099610447</v>
      </c>
      <c r="AX33" s="9">
        <f t="shared" si="115"/>
        <v>-773039.77069045918</v>
      </c>
      <c r="AY33" s="9">
        <f t="shared" si="115"/>
        <v>-927616.44622162485</v>
      </c>
      <c r="AZ33" s="9">
        <f t="shared" si="115"/>
        <v>-2552884.9731505015</v>
      </c>
      <c r="BA33" s="9">
        <f t="shared" si="115"/>
        <v>284910.53543401166</v>
      </c>
      <c r="BB33" s="9">
        <f t="shared" si="115"/>
        <v>-162191.06844375527</v>
      </c>
      <c r="BC33" s="9">
        <f t="shared" si="115"/>
        <v>-144413.78980624457</v>
      </c>
      <c r="BD33" s="9">
        <f t="shared" si="115"/>
        <v>-189163.11830637031</v>
      </c>
      <c r="BE33" s="9">
        <f t="shared" si="115"/>
        <v>-253820.70398904567</v>
      </c>
      <c r="BF33" s="9">
        <f t="shared" si="115"/>
        <v>-237858.98021340391</v>
      </c>
      <c r="BG33" s="9">
        <f t="shared" si="115"/>
        <v>-214605.49545777429</v>
      </c>
      <c r="BH33" s="9">
        <f t="shared" si="115"/>
        <v>-145640.81525745883</v>
      </c>
      <c r="BI33" s="9">
        <f t="shared" si="115"/>
        <v>-155620.55769647614</v>
      </c>
      <c r="BJ33" s="9">
        <f t="shared" si="115"/>
        <v>-206066.14583383661</v>
      </c>
      <c r="BK33" s="9">
        <f t="shared" si="115"/>
        <v>-267606.84010318783</v>
      </c>
      <c r="BL33" s="9">
        <f t="shared" si="115"/>
        <v>1069.1302985733412</v>
      </c>
      <c r="BM33" s="9">
        <f t="shared" si="115"/>
        <v>5112.9499836617379</v>
      </c>
      <c r="BN33" s="9">
        <f t="shared" si="115"/>
        <v>3766.8813153342917</v>
      </c>
      <c r="BO33" s="9">
        <f t="shared" si="115"/>
        <v>3405.2093516266559</v>
      </c>
      <c r="BP33" s="9">
        <f t="shared" si="115"/>
        <v>3661.570495910194</v>
      </c>
      <c r="BQ33" s="9">
        <f t="shared" si="115"/>
        <v>4902.6663528195877</v>
      </c>
      <c r="BR33" s="9">
        <f t="shared" si="115"/>
        <v>4828.1820312371447</v>
      </c>
      <c r="BS33" s="9">
        <f t="shared" si="115"/>
        <v>4962.9690553324326</v>
      </c>
      <c r="BT33" s="9">
        <f t="shared" si="115"/>
        <v>3933.5054328921101</v>
      </c>
      <c r="BU33" s="9">
        <f t="shared" si="115"/>
        <v>3898.1696518597723</v>
      </c>
      <c r="BV33" s="9">
        <f t="shared" si="115"/>
        <v>5015.2000447503142</v>
      </c>
      <c r="BW33" s="9">
        <f t="shared" si="115"/>
        <v>5957.0102670506376</v>
      </c>
    </row>
    <row r="34" spans="1:75" s="5" customFormat="1" hidden="1" outlineLevel="1" x14ac:dyDescent="0.3">
      <c r="A34" s="255"/>
      <c r="B34" s="20" t="s">
        <v>15</v>
      </c>
      <c r="C34" s="28"/>
      <c r="D34" s="28"/>
      <c r="E34" s="9">
        <f>E33</f>
        <v>0</v>
      </c>
      <c r="F34" s="9">
        <f>IF(OR(F33="",E34=""),"",F33+E34)</f>
        <v>1329.6055809798499</v>
      </c>
      <c r="G34" s="9">
        <f t="shared" ref="G34:N34" si="116">IF(OR(G33="",F34=""),"",G33+F34)</f>
        <v>-1599.631277973609</v>
      </c>
      <c r="H34" s="9">
        <f t="shared" si="116"/>
        <v>-72927.244703242628</v>
      </c>
      <c r="I34" s="9">
        <f t="shared" si="116"/>
        <v>-74810.85019156718</v>
      </c>
      <c r="J34" s="9">
        <f t="shared" si="116"/>
        <v>39759.390268690782</v>
      </c>
      <c r="K34" s="9">
        <f t="shared" si="116"/>
        <v>477670.95233766112</v>
      </c>
      <c r="L34" s="9">
        <f t="shared" si="116"/>
        <v>431835.69617882412</v>
      </c>
      <c r="M34" s="9">
        <f t="shared" si="116"/>
        <v>480392.76843084965</v>
      </c>
      <c r="N34" s="9">
        <f t="shared" si="116"/>
        <v>573644.01323845179</v>
      </c>
      <c r="O34" s="9">
        <f>IF(OR(O33="",N34=""),"",O33+O29+N34)</f>
        <v>497475.21103015641</v>
      </c>
      <c r="P34" s="9">
        <f>IF(OR(P33="",O34=""),"",P33+P29+O34+P26)</f>
        <v>7064373.3899421608</v>
      </c>
      <c r="Q34" s="9">
        <f>IF(OR(Q33="",P34=""),"",Q33+Q29+P34)</f>
        <v>6274768.4086441109</v>
      </c>
      <c r="R34" s="9">
        <f>IF(OR(R33="",Q34=""),"",R33+R29+Q34)</f>
        <v>5498065.535499461</v>
      </c>
      <c r="S34" s="9">
        <f t="shared" ref="S34:AM34" si="117">IF(OR(S33="",R34=""),"",S33+S29+R34)</f>
        <v>4768021.8528987356</v>
      </c>
      <c r="T34" s="9">
        <f>IF(OR(T33="",S34=""),"",T33+T29+S34)</f>
        <v>4402498.9903701507</v>
      </c>
      <c r="U34" s="9">
        <f t="shared" si="117"/>
        <v>4023039.9265012438</v>
      </c>
      <c r="V34" s="9">
        <f t="shared" si="117"/>
        <v>3752514.3154887492</v>
      </c>
      <c r="W34" s="9">
        <f t="shared" si="117"/>
        <v>3331589.414176926</v>
      </c>
      <c r="X34" s="9">
        <f t="shared" si="117"/>
        <v>2439526.4163848781</v>
      </c>
      <c r="Y34" s="9">
        <f t="shared" si="117"/>
        <v>1789582.4427175967</v>
      </c>
      <c r="Z34" s="9">
        <f t="shared" si="117"/>
        <v>1029917.0738599547</v>
      </c>
      <c r="AA34" s="9">
        <f t="shared" si="117"/>
        <v>-394092.18583238591</v>
      </c>
      <c r="AB34" s="9">
        <f t="shared" si="117"/>
        <v>-1268955.6422515034</v>
      </c>
      <c r="AC34" s="9">
        <f t="shared" si="117"/>
        <v>-1919740.0403075269</v>
      </c>
      <c r="AD34" s="9">
        <f t="shared" si="117"/>
        <v>-2736720.7160307006</v>
      </c>
      <c r="AE34" s="9">
        <f t="shared" si="117"/>
        <v>-3131103.1395762051</v>
      </c>
      <c r="AF34" s="9">
        <f t="shared" si="117"/>
        <v>-2412003.9003119762</v>
      </c>
      <c r="AG34" s="9">
        <f t="shared" si="117"/>
        <v>-1185239.0929393563</v>
      </c>
      <c r="AH34" s="9">
        <f t="shared" si="117"/>
        <v>103424.51856682287</v>
      </c>
      <c r="AI34" s="9">
        <f t="shared" si="117"/>
        <v>375217.00542823679</v>
      </c>
      <c r="AJ34" s="9">
        <f t="shared" si="117"/>
        <v>-89279.674788240227</v>
      </c>
      <c r="AK34" s="9">
        <f t="shared" si="117"/>
        <v>-527124.77666072757</v>
      </c>
      <c r="AL34" s="9">
        <f t="shared" si="117"/>
        <v>-1147324.4923273576</v>
      </c>
      <c r="AM34" s="9">
        <f t="shared" si="117"/>
        <v>-1909045.4612670527</v>
      </c>
      <c r="AN34" s="9">
        <f t="shared" ref="AN34" si="118">IF(OR(AN33="",AM34=""),"",AN33+AN29+AM34)</f>
        <v>-2818023.734388011</v>
      </c>
      <c r="AO34" s="9">
        <f t="shared" ref="AO34" si="119">IF(OR(AO33="",AN34=""),"",AO33+AO29+AN34)</f>
        <v>-3471053.2003729353</v>
      </c>
      <c r="AP34" s="9">
        <f t="shared" ref="AP34" si="120">IF(OR(AP33="",AO34=""),"",AP33+AP29+AO34)</f>
        <v>-3850786.452948228</v>
      </c>
      <c r="AQ34" s="9">
        <f t="shared" ref="AQ34" si="121">IF(OR(AQ33="",AP34=""),"",AQ33+AQ29+AP34)</f>
        <v>-4297064.6236972502</v>
      </c>
      <c r="AR34" s="9">
        <f t="shared" ref="AR34" si="122">IF(OR(AR33="",AQ34=""),"",AR33+AR29+AQ34)</f>
        <v>-2651480.9509084746</v>
      </c>
      <c r="AS34" s="9">
        <f>IF(OR(AS33="",AR34=""),"",AS33+AS29+AR34)</f>
        <v>-933915.25303540658</v>
      </c>
      <c r="AT34" s="9">
        <f t="shared" ref="AT34" si="123">IF(OR(AT33="",AS34=""),"",AT33+AT29+AS34)</f>
        <v>954453.02026880695</v>
      </c>
      <c r="AU34" s="9">
        <f t="shared" ref="AU34" si="124">IF(OR(AU33="",AT34=""),"",AU33+AU29+AT34)</f>
        <v>1507477.4382679467</v>
      </c>
      <c r="AV34" s="9">
        <f t="shared" ref="AV34" si="125">IF(OR(AV33="",AU34=""),"",AV33+AV29+AU34)</f>
        <v>889816.16442684305</v>
      </c>
      <c r="AW34" s="9">
        <f t="shared" ref="AW34" si="126">IF(OR(AW33="",AV34=""),"",AW33+AW29+AV34)</f>
        <v>484478.35343073856</v>
      </c>
      <c r="AX34" s="9">
        <f t="shared" ref="AX34" si="127">IF(OR(AX33="",AW34=""),"",AX33+AX29+AW34)</f>
        <v>-102537.98725972057</v>
      </c>
      <c r="AY34" s="9">
        <f t="shared" ref="AY34" si="128">IF(OR(AY33="",AX34=""),"",AY33+AY29+AX34)</f>
        <v>-824728.10348134546</v>
      </c>
      <c r="AZ34" s="9">
        <f t="shared" ref="AZ34" si="129">IF(OR(AZ33="",AY34=""),"",AZ33+AZ29+AY34)</f>
        <v>-2783203.2266318467</v>
      </c>
      <c r="BA34" s="9">
        <f t="shared" ref="BA34" si="130">IF(OR(BA33="",AZ34=""),"",BA33+BA29+AZ34)</f>
        <v>-2410566.5311978352</v>
      </c>
      <c r="BB34" s="9">
        <f t="shared" ref="BB34" si="131">IF(OR(BB33="",BA34=""),"",BB33+BB29+BA34)</f>
        <v>-2506928.3296415904</v>
      </c>
      <c r="BC34" s="9">
        <f t="shared" ref="BC34" si="132">IF(OR(BC33="",BB34=""),"",BC33+BC29+BB34)</f>
        <v>-2592584.5994478348</v>
      </c>
      <c r="BD34" s="9">
        <f t="shared" ref="BD34" si="133">IF(OR(BD33="",BC34=""),"",BD33+BD29+BC34)</f>
        <v>-2703955.707754205</v>
      </c>
      <c r="BE34" s="9">
        <f t="shared" ref="BE34" si="134">IF(OR(BE33="",BD34=""),"",BE33+BE29+BD34)</f>
        <v>-2853328.6117432509</v>
      </c>
      <c r="BF34" s="9">
        <f t="shared" ref="BF34" si="135">IF(OR(BF33="",BE34=""),"",BF33+BF29+BE34)</f>
        <v>-2993283.7119566547</v>
      </c>
      <c r="BG34" s="9">
        <f t="shared" ref="BG34" si="136">IF(OR(BG33="",BF34=""),"",BG33+BG29+BF34)</f>
        <v>-3119582.527414429</v>
      </c>
      <c r="BH34" s="9">
        <f t="shared" ref="BH34:BW34" si="137">IF(OR(BH33="",BG34=""),"",BH33+BH29+BG34)</f>
        <v>-3205550.5426718877</v>
      </c>
      <c r="BI34" s="9">
        <f t="shared" si="137"/>
        <v>-3297503.0103683639</v>
      </c>
      <c r="BJ34" s="9">
        <f t="shared" si="137"/>
        <v>-3419171.0762022007</v>
      </c>
      <c r="BK34" s="9">
        <f t="shared" si="137"/>
        <v>-3576917.1863053888</v>
      </c>
      <c r="BL34" s="9">
        <f t="shared" si="137"/>
        <v>-3462390.0460068155</v>
      </c>
      <c r="BM34" s="9">
        <f t="shared" si="137"/>
        <v>-3132101.2060231538</v>
      </c>
      <c r="BN34" s="9">
        <f t="shared" si="137"/>
        <v>-2908781.4347078195</v>
      </c>
      <c r="BO34" s="9">
        <f t="shared" si="137"/>
        <v>-2699109.0053561926</v>
      </c>
      <c r="BP34" s="9">
        <f t="shared" si="137"/>
        <v>-2424851.5648602825</v>
      </c>
      <c r="BQ34" s="9">
        <f t="shared" si="137"/>
        <v>-2062562.2385074629</v>
      </c>
      <c r="BR34" s="9">
        <f t="shared" si="137"/>
        <v>-1693058.6164762257</v>
      </c>
      <c r="BS34" s="9">
        <f t="shared" si="137"/>
        <v>-1329887.1774208932</v>
      </c>
      <c r="BT34" s="9">
        <f t="shared" si="137"/>
        <v>-1077903.091988001</v>
      </c>
      <c r="BU34" s="9">
        <f t="shared" si="137"/>
        <v>-855515.74233614129</v>
      </c>
      <c r="BV34" s="9">
        <f t="shared" si="137"/>
        <v>-533145.37229139102</v>
      </c>
      <c r="BW34" s="9">
        <f t="shared" si="137"/>
        <v>-121740.98202434037</v>
      </c>
    </row>
    <row r="35" spans="1:75" s="5" customFormat="1" ht="8.25" hidden="1" customHeight="1" outlineLevel="1" x14ac:dyDescent="0.3">
      <c r="A35" s="44"/>
      <c r="B35" s="13"/>
      <c r="C35" s="13"/>
      <c r="D35" s="13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</row>
    <row r="36" spans="1:75" s="5" customFormat="1" ht="15" hidden="1" customHeight="1" outlineLevel="1" x14ac:dyDescent="0.3">
      <c r="A36" s="255" t="s">
        <v>21</v>
      </c>
      <c r="B36" s="17"/>
      <c r="C36" s="32"/>
      <c r="D36" s="32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67">
        <v>668388.03466751985</v>
      </c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</row>
    <row r="37" spans="1:75" s="3" customFormat="1" ht="15" hidden="1" customHeight="1" outlineLevel="1" x14ac:dyDescent="0.3">
      <c r="A37" s="255"/>
      <c r="B37" s="17" t="s">
        <v>28</v>
      </c>
      <c r="C37" s="32"/>
      <c r="D37" s="32"/>
      <c r="E37" s="22">
        <f>IF('M2 Allocations - TD'!D6="","",'M2 Allocations - TD'!D32)</f>
        <v>0</v>
      </c>
      <c r="F37" s="22">
        <f>IF('M2 Allocations - TD'!E6="","",'M2 Allocations - TD'!E32)</f>
        <v>0</v>
      </c>
      <c r="G37" s="22">
        <f>IF('M2 Allocations - TD'!F6="","",'M2 Allocations - TD'!F32)</f>
        <v>0</v>
      </c>
      <c r="H37" s="22">
        <f>IF('M2 Allocations - TD'!G6="","",'M2 Allocations - TD'!G32)</f>
        <v>4167.9399999999996</v>
      </c>
      <c r="I37" s="22">
        <f>IF('M2 Allocations - TD'!H6="","",'M2 Allocations - TD'!H32)</f>
        <v>13357.940000000002</v>
      </c>
      <c r="J37" s="22">
        <f>IF('M2 Allocations - TD'!I6="","",'M2 Allocations - TD'!I32)</f>
        <v>14670.985238775314</v>
      </c>
      <c r="K37" s="22">
        <f>IF('M2 Allocations - TD'!J6="","",'M2 Allocations - TD'!J32)</f>
        <v>22602.465674921033</v>
      </c>
      <c r="L37" s="22">
        <f>IF('M2 Allocations - TD'!K6="","",'M2 Allocations - TD'!K32)</f>
        <v>23670.862866768453</v>
      </c>
      <c r="M37" s="22">
        <f>IF('M2 Allocations - TD'!L6="","",'M2 Allocations - TD'!L32)</f>
        <v>27753.308601536653</v>
      </c>
      <c r="N37" s="22">
        <f>IF('M2 Allocations - TD'!M6="","",'M2 Allocations - TD'!M32)</f>
        <v>37258.575758638253</v>
      </c>
      <c r="O37" s="22">
        <f>IF('M2 Allocations - TD'!N6="","",'M2 Allocations - TD'!N32)</f>
        <v>47579.322188278435</v>
      </c>
      <c r="P37" s="22">
        <f>IF('M2 Allocations - TD'!O6="","",'M2 Allocations - TD'!O32)</f>
        <v>42911.041729266297</v>
      </c>
      <c r="Q37" s="22">
        <f>IF('M2 Allocations - TD'!P6="","",'M2 Allocations - TD'!P32)</f>
        <v>52823.001162257649</v>
      </c>
      <c r="R37" s="22">
        <f>IF('M2 Allocations - TD'!Q6="","",'M2 Allocations - TD'!Q32)</f>
        <v>25950.307634173645</v>
      </c>
      <c r="S37" s="22">
        <f>IF('M2 Allocations - TD'!R6="","",'M2 Allocations - TD'!R32)</f>
        <v>48983.559131334005</v>
      </c>
      <c r="T37" s="22">
        <f>IF('M2 Allocations - TD'!S6="","",'M2 Allocations - TD'!S32)</f>
        <v>90621.489340586311</v>
      </c>
      <c r="U37" s="22">
        <f>IF('M2 Allocations - TD'!T6="","",'M2 Allocations - TD'!T32)</f>
        <v>138931.90000000002</v>
      </c>
      <c r="V37" s="22">
        <f>IF('M2 Allocations - TD'!U6="","",'M2 Allocations - TD'!U32)</f>
        <v>133700.2685394297</v>
      </c>
      <c r="W37" s="22">
        <f>IF('M2 Allocations - TD'!V6="","",'M2 Allocations - TD'!V32)</f>
        <v>151757.81340251025</v>
      </c>
      <c r="X37" s="22">
        <f>IF('M2 Allocations - TD'!W6="","",'M2 Allocations - TD'!W32)</f>
        <v>116837.79257470783</v>
      </c>
      <c r="Y37" s="22">
        <f>IF('M2 Allocations - TD'!X6="","",'M2 Allocations - TD'!X32)</f>
        <v>88133.517269885691</v>
      </c>
      <c r="Z37" s="22">
        <f>IF('M2 Allocations - TD'!Y6="","",'M2 Allocations - TD'!Y32)</f>
        <v>126989.00719390194</v>
      </c>
      <c r="AA37" s="22">
        <f>IF('M2 Allocations - TD'!Z6="","",'M2 Allocations - TD'!Z32)</f>
        <v>151376.91870679389</v>
      </c>
      <c r="AB37" s="22">
        <f>IF('M2 Allocations - TD'!AA6="","",'M2 Allocations - TD'!AA32)</f>
        <v>131012.65264951537</v>
      </c>
      <c r="AC37" s="22">
        <f>IF('M2 Allocations - TD'!AB6="","",'M2 Allocations - TD'!AB32)</f>
        <v>161984.73662810036</v>
      </c>
      <c r="AD37" s="22">
        <f>IF('M2 Allocations - TD'!AC6="","",'M2 Allocations - TD'!AC32)</f>
        <v>186884.98622710272</v>
      </c>
      <c r="AE37" s="22">
        <f>IF('M2 Allocations - TD'!AD6="","",'M2 Allocations - TD'!AD32)</f>
        <v>260709.07600105793</v>
      </c>
      <c r="AF37" s="22">
        <f>IF('M2 Allocations - TD'!AE6="","",'M2 Allocations - TD'!AE32)</f>
        <v>394275.90039880731</v>
      </c>
      <c r="AG37" s="22">
        <f>IF('M2 Allocations - TD'!AF6="","",'M2 Allocations - TD'!AF32)</f>
        <v>517564.58433629415</v>
      </c>
      <c r="AH37" s="22">
        <f>IF('M2 Allocations - TD'!AG6="","",'M2 Allocations - TD'!AG32)</f>
        <v>456642.37398614379</v>
      </c>
      <c r="AI37" s="22">
        <f>IF('M2 Allocations - TD'!AH6="","",'M2 Allocations - TD'!AH32)</f>
        <v>495377.09665466635</v>
      </c>
      <c r="AJ37" s="22">
        <f>IF('M2 Allocations - TD'!AI6="","",'M2 Allocations - TD'!AI32)</f>
        <v>348239.88671273278</v>
      </c>
      <c r="AK37" s="22">
        <f>IF('M2 Allocations - TD'!AJ6="","",'M2 Allocations - TD'!AJ32)</f>
        <v>315404.35918017995</v>
      </c>
      <c r="AL37" s="22">
        <f>IF('M2 Allocations - TD'!AK6="","",'M2 Allocations - TD'!AK32)</f>
        <v>349367.88347835495</v>
      </c>
      <c r="AM37" s="22">
        <f>IF('M2 Allocations - TD'!AL6="","",'M2 Allocations - TD'!AL32)</f>
        <v>376670.80776353204</v>
      </c>
      <c r="AN37" s="22">
        <f>IF('M2 Allocations - TD'!AM6="","",'M2 Allocations - TD'!AM32)</f>
        <v>315666.15712072933</v>
      </c>
      <c r="AO37" s="22">
        <f>IF('M2 Allocations - TD'!AN6="","",'M2 Allocations - TD'!AN32)</f>
        <v>426235.9958025862</v>
      </c>
      <c r="AP37" s="22">
        <f>IF('M2 Allocations - TD'!AO6="","",'M2 Allocations - TD'!AO32)</f>
        <v>429805.50677490461</v>
      </c>
      <c r="AQ37" s="22">
        <f>IF('M2 Allocations - TD'!AP6="","",'M2 Allocations - TD'!AP32)</f>
        <v>425502.70439957909</v>
      </c>
      <c r="AR37" s="22">
        <f>IF('M2 Allocations - TD'!AQ6="","",'M2 Allocations - TD'!AQ32)</f>
        <v>711026.13316380861</v>
      </c>
      <c r="AS37" s="22">
        <f>IF('M2 Allocations - TD'!AR6="","",'M2 Allocations - TD'!AR32)</f>
        <v>906630.75933951</v>
      </c>
      <c r="AT37" s="22">
        <f>IF('M2 Allocations - TD'!AS6="","",'M2 Allocations - TD'!AS32)</f>
        <v>735303.71734464087</v>
      </c>
      <c r="AU37" s="22">
        <f>IF('M2 Allocations - TD'!AT6="","",'M2 Allocations - TD'!AT32)</f>
        <v>765682.15647802898</v>
      </c>
      <c r="AV37" s="22">
        <f>IF('M2 Allocations - TD'!AU6="","",'M2 Allocations - TD'!AU32)</f>
        <v>522721.08210263157</v>
      </c>
      <c r="AW37" s="22">
        <f>IF('M2 Allocations - TD'!AV6="","",'M2 Allocations - TD'!AV32)</f>
        <v>445892.99890309712</v>
      </c>
      <c r="AX37" s="22">
        <f>IF('M2 Allocations - TD'!AW6="","",'M2 Allocations - TD'!AW32)</f>
        <v>380966.65670412086</v>
      </c>
      <c r="AY37" s="22">
        <f>IF('M2 Allocations - TD'!AX6="","",'M2 Allocations - TD'!AX32)</f>
        <v>451558.90985025105</v>
      </c>
      <c r="AZ37" s="22">
        <f>IF('M2 Allocations - TD'!AY6="","",'M2 Allocations - TD'!AY32)</f>
        <v>349160.22599545511</v>
      </c>
      <c r="BA37" s="22">
        <f>IF('M2 Allocations - TD'!AZ6="","",'M2 Allocations - TD'!AZ32)</f>
        <v>388715.00802980497</v>
      </c>
      <c r="BB37" s="22">
        <f>IF('M2 Allocations - TD'!BA6="","",'M2 Allocations - TD'!BA32)</f>
        <v>0</v>
      </c>
      <c r="BC37" s="22">
        <f>IF('M2 Allocations - TD'!BB6="","",'M2 Allocations - TD'!BB32)</f>
        <v>-280.76739666505853</v>
      </c>
      <c r="BD37" s="22">
        <f>IF('M2 Allocations - TD'!BC6="","",'M2 Allocations - TD'!BC32)</f>
        <v>0</v>
      </c>
      <c r="BE37" s="22">
        <f>IF('M2 Allocations - TD'!BD6="","",'M2 Allocations - TD'!BD32)</f>
        <v>0</v>
      </c>
      <c r="BF37" s="22">
        <f>IF('M2 Allocations - TD'!BE6="","",'M2 Allocations - TD'!BE32)</f>
        <v>0</v>
      </c>
      <c r="BG37" s="22">
        <f>IF('M2 Allocations - TD'!BF6="","",'M2 Allocations - TD'!BF32)</f>
        <v>0</v>
      </c>
      <c r="BH37" s="22">
        <f>IF('M2 Allocations - TD'!BG6="","",'M2 Allocations - TD'!BG32)</f>
        <v>0</v>
      </c>
      <c r="BI37" s="22">
        <f>IF('M2 Allocations - TD'!BH6="","",'M2 Allocations - TD'!BH32)</f>
        <v>0</v>
      </c>
      <c r="BJ37" s="22">
        <f>IF('M2 Allocations - TD'!BI6="","",'M2 Allocations - TD'!BI32)</f>
        <v>0</v>
      </c>
      <c r="BK37" s="22">
        <f>IF('M2 Allocations - TD'!BJ6="","",'M2 Allocations - TD'!BJ32)</f>
        <v>0</v>
      </c>
      <c r="BL37" s="22">
        <f>IF('M2 Allocations - TD'!BK6="","",'M2 Allocations - TD'!BK32)</f>
        <v>255.64000000059605</v>
      </c>
      <c r="BM37" s="22">
        <f>IF('M2 Allocations - TD'!BL6="","",'M2 Allocations - TD'!BL32)</f>
        <v>592.33999999985099</v>
      </c>
      <c r="BN37" s="22">
        <f>IF('M2 Allocations - TD'!BM6="","",'M2 Allocations - TD'!BM32)</f>
        <v>632.41000000014901</v>
      </c>
      <c r="BO37" s="22">
        <f>IF('M2 Allocations - TD'!BN6="","",'M2 Allocations - TD'!BN32)</f>
        <v>892.52999999932945</v>
      </c>
      <c r="BP37" s="22">
        <f>IF('M2 Allocations - TD'!BO6="","",'M2 Allocations - TD'!BO32)</f>
        <v>1958.390000000596</v>
      </c>
      <c r="BQ37" s="22">
        <f>IF('M2 Allocations - TD'!BP6="","",'M2 Allocations - TD'!BP32)</f>
        <v>2575.9900000002235</v>
      </c>
      <c r="BR37" s="22">
        <f>IF('M2 Allocations - TD'!BQ6="","",'M2 Allocations - TD'!BQ32)</f>
        <v>2901.589999999851</v>
      </c>
      <c r="BS37" s="22">
        <f>IF('M2 Allocations - TD'!BR6="","",'M2 Allocations - TD'!BR32)</f>
        <v>2255.2100000008941</v>
      </c>
      <c r="BT37" s="22">
        <f>IF('M2 Allocations - TD'!BS6="","",'M2 Allocations - TD'!BS32)</f>
        <v>1201.0499999988824</v>
      </c>
      <c r="BU37" s="22">
        <f>IF('M2 Allocations - TD'!BT6="","",'M2 Allocations - TD'!BT32)</f>
        <v>993.04</v>
      </c>
      <c r="BV37" s="22">
        <f>IF('M2 Allocations - TD'!BU6="","",'M2 Allocations - TD'!BU32)</f>
        <v>1022.71</v>
      </c>
      <c r="BW37" s="22">
        <f>IF('M2 Allocations - TD'!BV6="","",'M2 Allocations - TD'!BV32)</f>
        <v>1061.0999999999999</v>
      </c>
    </row>
    <row r="38" spans="1:75" s="5" customFormat="1" ht="15" hidden="1" customHeight="1" outlineLevel="1" x14ac:dyDescent="0.3">
      <c r="A38" s="255"/>
      <c r="B38" s="18" t="s">
        <v>26</v>
      </c>
      <c r="C38" s="26"/>
      <c r="D38" s="26"/>
      <c r="E38" s="24">
        <v>0</v>
      </c>
      <c r="F38" s="24">
        <v>0</v>
      </c>
      <c r="G38" s="24">
        <v>856.28</v>
      </c>
      <c r="H38" s="24">
        <v>12419.27</v>
      </c>
      <c r="I38" s="24">
        <v>14760.05</v>
      </c>
      <c r="J38" s="24">
        <v>14736.25</v>
      </c>
      <c r="K38" s="24">
        <v>14174.52</v>
      </c>
      <c r="L38" s="24">
        <v>12053.27</v>
      </c>
      <c r="M38" s="24">
        <v>10707.26</v>
      </c>
      <c r="N38" s="24">
        <v>12431.58</v>
      </c>
      <c r="O38" s="24">
        <v>27338.89</v>
      </c>
      <c r="P38" s="24">
        <f>144458.09+268.19</f>
        <v>144726.28</v>
      </c>
      <c r="Q38" s="24">
        <f>128591.46-105.49</f>
        <v>128485.97</v>
      </c>
      <c r="R38" s="22">
        <f>IF('M2 Allocations - TD'!Q51="","",'M2 Allocations - TD'!Q69)</f>
        <v>117754.86766427531</v>
      </c>
      <c r="S38" s="22">
        <f>IF('M2 Allocations - TD'!R51="","",'M2 Allocations - TD'!R69)</f>
        <v>117111.78358657917</v>
      </c>
      <c r="T38" s="22">
        <f>IF('M2 Allocations - TD'!S51="","",'M2 Allocations - TD'!S69)</f>
        <v>139211.1271761941</v>
      </c>
      <c r="U38" s="22">
        <f>IF('M2 Allocations - TD'!T51="","",'M2 Allocations - TD'!T69)</f>
        <v>160900.46992761682</v>
      </c>
      <c r="V38" s="22">
        <f>IF('M2 Allocations - TD'!U51="","",'M2 Allocations - TD'!U69)</f>
        <v>162415.72720926077</v>
      </c>
      <c r="W38" s="22">
        <f>IF('M2 Allocations - TD'!V51="","",'M2 Allocations - TD'!V69)</f>
        <v>145481.1603029698</v>
      </c>
      <c r="X38" s="22">
        <f>IF('M2 Allocations - TD'!W51="","",'M2 Allocations - TD'!W69)</f>
        <v>137867.15538119225</v>
      </c>
      <c r="Y38" s="22">
        <f>IF('M2 Allocations - TD'!X51="","",'M2 Allocations - TD'!X69)</f>
        <v>122671.59779667509</v>
      </c>
      <c r="Z38" s="22">
        <f>IF('M2 Allocations - TD'!Y51="","",'M2 Allocations - TD'!Y69)</f>
        <v>134648.09810155624</v>
      </c>
      <c r="AA38" s="22">
        <f>IF('M2 Allocations - TD'!Z51="","",'M2 Allocations - TD'!Z69)</f>
        <v>193970.45230344273</v>
      </c>
      <c r="AB38" s="22">
        <f>IF('M2 Allocations - TD'!AA51="","",'M2 Allocations - TD'!AA69)</f>
        <v>337014.49</v>
      </c>
      <c r="AC38" s="22">
        <f>IF('M2 Allocations - TD'!AB51="","",'M2 Allocations - TD'!AB69)</f>
        <v>295708.57620644657</v>
      </c>
      <c r="AD38" s="22">
        <f>IF('M2 Allocations - TD'!AC51="","",'M2 Allocations - TD'!AC69)</f>
        <v>291406.59328999976</v>
      </c>
      <c r="AE38" s="22">
        <f>IF('M2 Allocations - TD'!AD51="","",'M2 Allocations - TD'!AD69)</f>
        <v>264923.25566753082</v>
      </c>
      <c r="AF38" s="22">
        <f>IF('M2 Allocations - TD'!AE51="","",'M2 Allocations - TD'!AE69)</f>
        <v>333657.21503767214</v>
      </c>
      <c r="AG38" s="22">
        <f>IF('M2 Allocations - TD'!AF51="","",'M2 Allocations - TD'!AF69)</f>
        <v>367915.86365673423</v>
      </c>
      <c r="AH38" s="22">
        <f>IF('M2 Allocations - TD'!AG51="","",'M2 Allocations - TD'!AG69)</f>
        <v>344001.06732957577</v>
      </c>
      <c r="AI38" s="22">
        <f>IF('M2 Allocations - TD'!AH51="","",'M2 Allocations - TD'!AH69)</f>
        <v>338126.29031171976</v>
      </c>
      <c r="AJ38" s="22">
        <f>IF('M2 Allocations - TD'!AI51="","",'M2 Allocations - TD'!AI69)</f>
        <v>297845.76900715684</v>
      </c>
      <c r="AK38" s="22">
        <f>IF('M2 Allocations - TD'!AJ51="","",'M2 Allocations - TD'!AJ69)</f>
        <v>267618.62093979405</v>
      </c>
      <c r="AL38" s="22">
        <f>IF('M2 Allocations - TD'!AK51="","",'M2 Allocations - TD'!AK69)</f>
        <v>322555.10705520917</v>
      </c>
      <c r="AM38" s="22">
        <f>IF('M2 Allocations - TD'!AL51="","",'M2 Allocations - TD'!AL69)</f>
        <v>371341.16797562933</v>
      </c>
      <c r="AN38" s="22">
        <f>IF('M2 Allocations - TD'!AM51="","",'M2 Allocations - TD'!AM69)</f>
        <v>701136.2388481237</v>
      </c>
      <c r="AO38" s="22">
        <f>IF('M2 Allocations - TD'!AN51="","",'M2 Allocations - TD'!AN69)</f>
        <v>660367.02395744435</v>
      </c>
      <c r="AP38" s="22">
        <f>IF('M2 Allocations - TD'!AO51="","",'M2 Allocations - TD'!AO69)</f>
        <v>536256.50994038768</v>
      </c>
      <c r="AQ38" s="22">
        <f>IF('M2 Allocations - TD'!AP51="","",'M2 Allocations - TD'!AP69)</f>
        <v>506299.41162084811</v>
      </c>
      <c r="AR38" s="22">
        <f>IF('M2 Allocations - TD'!AQ51="","",'M2 Allocations - TD'!AQ69)</f>
        <v>591277.49932374491</v>
      </c>
      <c r="AS38" s="22">
        <f>IF('M2 Allocations - TD'!AR51="","",'M2 Allocations - TD'!AR69)</f>
        <v>676039.62753147213</v>
      </c>
      <c r="AT38" s="22">
        <f>IF('M2 Allocations - TD'!AS51="","",'M2 Allocations - TD'!AS69)</f>
        <v>694696.60025960801</v>
      </c>
      <c r="AU38" s="22">
        <f>IF('M2 Allocations - TD'!AT51="","",'M2 Allocations - TD'!AT69)</f>
        <v>670877.10139883822</v>
      </c>
      <c r="AV38" s="22">
        <f>IF('M2 Allocations - TD'!AU51="","",'M2 Allocations - TD'!AU69)</f>
        <v>604713.02387172775</v>
      </c>
      <c r="AW38" s="22">
        <f>IF('M2 Allocations - TD'!AV51="","",'M2 Allocations - TD'!AV69)</f>
        <v>541098.36747130833</v>
      </c>
      <c r="AX38" s="22">
        <f>IF('M2 Allocations - TD'!AW51="","",'M2 Allocations - TD'!AW69)</f>
        <v>635047.56064080668</v>
      </c>
      <c r="AY38" s="22">
        <f>IF('M2 Allocations - TD'!AX51="","",'M2 Allocations - TD'!AX69)</f>
        <v>677042.48835283797</v>
      </c>
      <c r="AZ38" s="22">
        <f>IF('M2 Allocations - TD'!AY51="","",'M2 Allocations - TD'!AY69)</f>
        <v>415381.06618172349</v>
      </c>
      <c r="BA38" s="22">
        <f>IF('M2 Allocations - TD'!AZ51="","",'M2 Allocations - TD'!AZ69)</f>
        <v>87488.365088698483</v>
      </c>
      <c r="BB38" s="22">
        <f>IF('M2 Allocations - TD'!BA51="","",'M2 Allocations - TD'!BA69)</f>
        <v>64808.481988010986</v>
      </c>
      <c r="BC38" s="22">
        <f>IF('M2 Allocations - TD'!BB51="","",'M2 Allocations - TD'!BB69)</f>
        <v>59023.185490174175</v>
      </c>
      <c r="BD38" s="22">
        <f>IF('M2 Allocations - TD'!BC51="","",'M2 Allocations - TD'!BC69)</f>
        <v>73834.949720540346</v>
      </c>
      <c r="BE38" s="22">
        <f>IF('M2 Allocations - TD'!BD51="","",'M2 Allocations - TD'!BD69)</f>
        <v>92018.552084119583</v>
      </c>
      <c r="BF38" s="22">
        <f>IF('M2 Allocations - TD'!BE51="","",'M2 Allocations - TD'!BE69)</f>
        <v>90580.739582948823</v>
      </c>
      <c r="BG38" s="22">
        <f>IF('M2 Allocations - TD'!BF51="","",'M2 Allocations - TD'!BF69)</f>
        <v>86046.105340623792</v>
      </c>
      <c r="BH38" s="22">
        <f>IF('M2 Allocations - TD'!BG51="","",'M2 Allocations - TD'!BG69)</f>
        <v>69862.512633552527</v>
      </c>
      <c r="BI38" s="22">
        <f>IF('M2 Allocations - TD'!BH51="","",'M2 Allocations - TD'!BH69)</f>
        <v>69704.10872407959</v>
      </c>
      <c r="BJ38" s="22">
        <f>IF('M2 Allocations - TD'!BI51="","",'M2 Allocations - TD'!BI69)</f>
        <v>80360.687024982573</v>
      </c>
      <c r="BK38" s="22">
        <f>IF('M2 Allocations - TD'!BJ51="","",'M2 Allocations - TD'!BJ69)</f>
        <v>95761.440926806667</v>
      </c>
      <c r="BL38" s="22">
        <f>IF('M2 Allocations - TD'!BK51="","",'M2 Allocations - TD'!BK69)</f>
        <v>-1907.9937762007746</v>
      </c>
      <c r="BM38" s="22">
        <f>IF('M2 Allocations - TD'!BL51="","",'M2 Allocations - TD'!BL69)</f>
        <v>-102362.10040602235</v>
      </c>
      <c r="BN38" s="22">
        <f>IF('M2 Allocations - TD'!BM51="","",'M2 Allocations - TD'!BM69)</f>
        <v>-81659.759942022312</v>
      </c>
      <c r="BO38" s="22">
        <f>IF('M2 Allocations - TD'!BN51="","",'M2 Allocations - TD'!BN69)</f>
        <v>-80583.41964173934</v>
      </c>
      <c r="BP38" s="22">
        <f>IF('M2 Allocations - TD'!BO51="","",'M2 Allocations - TD'!BO69)</f>
        <v>-95520.020947600293</v>
      </c>
      <c r="BQ38" s="22">
        <f>IF('M2 Allocations - TD'!BP51="","",'M2 Allocations - TD'!BP69)</f>
        <v>-112468.59809397052</v>
      </c>
      <c r="BR38" s="22">
        <f>IF('M2 Allocations - TD'!BQ51="","",'M2 Allocations - TD'!BQ69)</f>
        <v>-112970.29647430769</v>
      </c>
      <c r="BS38" s="22">
        <f>IF('M2 Allocations - TD'!BR51="","",'M2 Allocations - TD'!BR69)</f>
        <v>-114176.56432782451</v>
      </c>
      <c r="BT38" s="22">
        <f>IF('M2 Allocations - TD'!BS51="","",'M2 Allocations - TD'!BS69)</f>
        <v>-95359.199900074542</v>
      </c>
      <c r="BU38" s="22">
        <f>IF('M2 Allocations - TD'!BT51="","",'M2 Allocations - TD'!BT69)</f>
        <v>-84611.331340096178</v>
      </c>
      <c r="BV38" s="22">
        <f>IF('M2 Allocations - TD'!BU51="","",'M2 Allocations - TD'!BU69)</f>
        <v>-100978.66181902603</v>
      </c>
      <c r="BW38" s="22">
        <f>IF('M2 Allocations - TD'!BV51="","",'M2 Allocations - TD'!BV69)</f>
        <v>-118602.70482514749</v>
      </c>
    </row>
    <row r="39" spans="1:75" s="5" customFormat="1" ht="15" hidden="1" customHeight="1" outlineLevel="1" x14ac:dyDescent="0.3">
      <c r="A39" s="255"/>
      <c r="B39" s="18" t="s">
        <v>47</v>
      </c>
      <c r="C39" s="26"/>
      <c r="D39" s="26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>
        <f>+'M2 TD amort'!C15</f>
        <v>0</v>
      </c>
      <c r="P39" s="24">
        <f>IF(P38="","",-'M2 TD amort'!D15)</f>
        <v>-57670.81</v>
      </c>
      <c r="Q39" s="24">
        <f>IF(Q38="","",-'M2 TD amort'!E15)</f>
        <v>-51199.34</v>
      </c>
      <c r="R39" s="22">
        <f>IF(R38="","",-'M2 TD amort'!F15)</f>
        <v>-48454.46</v>
      </c>
      <c r="S39" s="22">
        <f>IF(S38="","",-'M2 TD amort'!G15)</f>
        <v>-47961.66</v>
      </c>
      <c r="T39" s="22">
        <f>IF(T38="","",-'M2 TD amort'!H15)</f>
        <v>-56993.58</v>
      </c>
      <c r="U39" s="22">
        <f>IF(U38="","",-'M2 TD amort'!I15)</f>
        <v>-66068.81</v>
      </c>
      <c r="V39" s="22">
        <f>IF(V38="","",-'M2 TD amort'!J15)</f>
        <v>-66699.539999999994</v>
      </c>
      <c r="W39" s="22">
        <f>IF(W38="","",-'M2 TD amort'!K15)</f>
        <v>-59653.25</v>
      </c>
      <c r="X39" s="22">
        <f>IF(X38="","",-'M2 TD amort'!L15)</f>
        <v>-56484.08</v>
      </c>
      <c r="Y39" s="22">
        <f>IF(Y38="","",-'M2 TD amort'!M15)</f>
        <v>-50487.58</v>
      </c>
      <c r="Z39" s="22">
        <f>IF(Z38="","",-'M2 TD amort'!N15)</f>
        <v>-55758.36</v>
      </c>
      <c r="AA39" s="22">
        <f>IF(AA38="","",-'M2 TD amort'!O15)</f>
        <v>-80581.48</v>
      </c>
      <c r="AB39" s="22">
        <f>IF(AB38="","",-'M2 TD amort'!P15)</f>
        <v>-22915.75</v>
      </c>
      <c r="AC39" s="22">
        <f>IF(AC38="","",-'M2 TD amort'!Q15)</f>
        <v>-20081.22</v>
      </c>
      <c r="AD39" s="22">
        <f>IF(AD38="","",-'M2 TD amort'!R15)</f>
        <v>-19791.830000000002</v>
      </c>
      <c r="AE39" s="22">
        <f>IF(AE38="","",-'M2 TD amort'!S15)</f>
        <v>-17914.810000000001</v>
      </c>
      <c r="AF39" s="22">
        <f>IF(AF38="","",-'M2 TD amort'!T15)</f>
        <v>-22552.86</v>
      </c>
      <c r="AG39" s="22">
        <f>IF(AG38="","",-'M2 TD amort'!U15)</f>
        <v>-24883.18</v>
      </c>
      <c r="AH39" s="22">
        <f>IF(AH38="","",-'M2 TD amort'!V15)</f>
        <v>-23251.17</v>
      </c>
      <c r="AI39" s="22">
        <f>IF(AI38="","",-'M2 TD amort'!W15)</f>
        <v>-22846.74</v>
      </c>
      <c r="AJ39" s="22">
        <f>IF(AJ38="","",-'M2 TD amort'!X15)</f>
        <v>-20130.740000000002</v>
      </c>
      <c r="AK39" s="22">
        <f>IF(AK38="","",-'M2 TD amort'!Y15)</f>
        <v>-18136.46</v>
      </c>
      <c r="AL39" s="22">
        <f>IF(AL38="","",-'M2 TD amort'!Z15)</f>
        <v>-21919.72</v>
      </c>
      <c r="AM39" s="22">
        <f>IF(AM38="","",-'M2 TD amort'!AA15)</f>
        <v>-25229.34</v>
      </c>
      <c r="AN39" s="22">
        <f>IF(AN38="","",-'M2 TD amort'!AB15)</f>
        <v>-41190.97</v>
      </c>
      <c r="AO39" s="22">
        <f>IF(AO38="","",-'M2 TD amort'!AC15)</f>
        <v>-38787.67</v>
      </c>
      <c r="AP39" s="22">
        <f>IF(AP38="","",-'M2 TD amort'!AD15)</f>
        <v>-31443.78</v>
      </c>
      <c r="AQ39" s="22">
        <f>IF(AQ38="","",-'M2 TD amort'!AE15)</f>
        <v>-29644</v>
      </c>
      <c r="AR39" s="22">
        <f>IF(AR38="","",-'M2 TD amort'!AF15)</f>
        <v>-34609.08</v>
      </c>
      <c r="AS39" s="22">
        <f>IF(AS38="","",-'M2 TD amort'!AG15)</f>
        <v>-39585.75</v>
      </c>
      <c r="AT39" s="22">
        <f>IF(AT38="","",-'M2 TD amort'!AH15)</f>
        <v>-40683.480000000003</v>
      </c>
      <c r="AU39" s="22">
        <f>IF(AU38="","",-'M2 TD amort'!AI15)</f>
        <v>-39274.67</v>
      </c>
      <c r="AV39" s="22">
        <f>IF(AV38="","",-'M2 TD amort'!AJ15)</f>
        <v>-35394.61</v>
      </c>
      <c r="AW39" s="22">
        <f>IF(AW38="","",-'M2 TD amort'!AK15)</f>
        <v>-31714.62</v>
      </c>
      <c r="AX39" s="22">
        <f>IF(AX38="","",-'M2 TD amort'!AL15)</f>
        <v>-37264.32</v>
      </c>
      <c r="AY39" s="22">
        <f>IF(AY38="","",-'M2 TD amort'!AM15)</f>
        <v>-39738.61</v>
      </c>
      <c r="AZ39" s="22">
        <f>IF(AZ38="","",-'M2 TD amort'!AN15)</f>
        <v>259244.3</v>
      </c>
      <c r="BA39" s="22">
        <f>IF(BA38="","",-'M2 TD amort'!AO15)</f>
        <v>54461.07</v>
      </c>
      <c r="BB39" s="22">
        <f>IF(BB38="","",-'M2 TD amort'!AP15)</f>
        <v>40308.699999999997</v>
      </c>
      <c r="BC39" s="22">
        <f>IF(BC38="","",-'M2 TD amort'!AQ15)</f>
        <v>36689.64</v>
      </c>
      <c r="BD39" s="22">
        <f>IF(BD38="","",-'M2 TD amort'!AR15)</f>
        <v>45879.44</v>
      </c>
      <c r="BE39" s="22">
        <f>IF(BE38="","",-'M2 TD amort'!AS15)</f>
        <v>57185.74</v>
      </c>
      <c r="BF39" s="22">
        <f>IF(BF38="","",-'M2 TD amort'!AT15)</f>
        <v>56277.09</v>
      </c>
      <c r="BG39" s="22">
        <f>IF(BG38="","",-'M2 TD amort'!AU15)</f>
        <v>53447.12</v>
      </c>
      <c r="BH39" s="22">
        <f>IF(BH38="","",-'M2 TD amort'!AV15)</f>
        <v>43395.75</v>
      </c>
      <c r="BI39" s="22">
        <f>IF(BI38="","",-'M2 TD amort'!AW15)</f>
        <v>43326.04</v>
      </c>
      <c r="BJ39" s="22">
        <f>IF(BJ38="","",-'M2 TD amort'!AX15)</f>
        <v>49988.83</v>
      </c>
      <c r="BK39" s="22">
        <f>IF(BK38="","",-'M2 TD amort'!AY15)</f>
        <v>59615.22</v>
      </c>
      <c r="BL39" s="22">
        <f>IF(BL38="","",-'M2 TD amort'!AZ15)</f>
        <v>2335.62</v>
      </c>
      <c r="BM39" s="22">
        <f>IF(BM38="","",-'M2 TD amort'!BA15)</f>
        <v>104083.7</v>
      </c>
      <c r="BN39" s="22">
        <f>IF(BN38="","",-'M2 TD amort'!BB15)</f>
        <v>82832.47</v>
      </c>
      <c r="BO39" s="22">
        <f>IF(BO38="","",-'M2 TD amort'!BC15)</f>
        <v>81630.89</v>
      </c>
      <c r="BP39" s="22">
        <f>IF(BP38="","",-'M2 TD amort'!BD15)</f>
        <v>96732.3</v>
      </c>
      <c r="BQ39" s="22">
        <f>IF(BQ38="","",-'M2 TD amort'!BE15)</f>
        <v>113949.84</v>
      </c>
      <c r="BR39" s="22">
        <f>IF(BR38="","",-'M2 TD amort'!BF15)</f>
        <v>114477</v>
      </c>
      <c r="BS39" s="22">
        <f>IF(BS38="","",-'M2 TD amort'!BG15)</f>
        <v>115688.1</v>
      </c>
      <c r="BT39" s="22">
        <f>IF(BT38="","",-'M2 TD amort'!BH15)</f>
        <v>96527.89</v>
      </c>
      <c r="BU39" s="22">
        <f>IF(BU38="","",-'M2 TD amort'!BI15)</f>
        <v>85698.98</v>
      </c>
      <c r="BV39" s="22">
        <f>IF(BV38="","",-'M2 TD amort'!BJ15)</f>
        <v>102444.41</v>
      </c>
      <c r="BW39" s="22">
        <f>IF(BW38="","",-'M2 TD amort'!BK15)</f>
        <v>120433.59</v>
      </c>
    </row>
    <row r="40" spans="1:75" s="5" customFormat="1" ht="15" hidden="1" customHeight="1" outlineLevel="1" x14ac:dyDescent="0.3">
      <c r="A40" s="255"/>
      <c r="B40" s="18" t="s">
        <v>48</v>
      </c>
      <c r="C40" s="26"/>
      <c r="D40" s="26"/>
      <c r="E40" s="9"/>
      <c r="F40" s="9"/>
      <c r="G40" s="9"/>
      <c r="H40" s="9"/>
      <c r="I40" s="9"/>
      <c r="J40" s="9"/>
      <c r="K40" s="9"/>
      <c r="L40" s="9"/>
      <c r="M40" s="9"/>
      <c r="N40" s="9"/>
      <c r="O40" s="9">
        <f>IF(OR(O39="",O38=""),"",O38+O39)</f>
        <v>27338.89</v>
      </c>
      <c r="P40" s="9">
        <f t="shared" ref="P40" si="138">IF(OR(P39="",P38=""),"",P38+P39)</f>
        <v>87055.47</v>
      </c>
      <c r="Q40" s="9">
        <f t="shared" ref="Q40" si="139">IF(OR(Q39="",Q38=""),"",Q38+Q39)</f>
        <v>77286.63</v>
      </c>
      <c r="R40" s="9">
        <f t="shared" ref="R40" si="140">IF(OR(R39="",R38=""),"",R38+R39)</f>
        <v>69300.407664275321</v>
      </c>
      <c r="S40" s="9">
        <f t="shared" ref="S40" si="141">IF(OR(S39="",S38=""),"",S38+S39)</f>
        <v>69150.123586579168</v>
      </c>
      <c r="T40" s="9">
        <f t="shared" ref="T40" si="142">IF(OR(T39="",T38=""),"",T38+T39)</f>
        <v>82217.547176194101</v>
      </c>
      <c r="U40" s="9">
        <f t="shared" ref="U40" si="143">IF(OR(U39="",U38=""),"",U38+U39)</f>
        <v>94831.659927616827</v>
      </c>
      <c r="V40" s="9">
        <f t="shared" ref="V40" si="144">IF(OR(V39="",V38=""),"",V38+V39)</f>
        <v>95716.187209260781</v>
      </c>
      <c r="W40" s="9">
        <f t="shared" ref="W40" si="145">IF(OR(W39="",W38=""),"",W38+W39)</f>
        <v>85827.910302969802</v>
      </c>
      <c r="X40" s="9">
        <f t="shared" ref="X40" si="146">IF(OR(X39="",X38=""),"",X38+X39)</f>
        <v>81383.075381192248</v>
      </c>
      <c r="Y40" s="9">
        <f t="shared" ref="Y40" si="147">IF(OR(Y39="",Y38=""),"",Y38+Y39)</f>
        <v>72184.017796675093</v>
      </c>
      <c r="Z40" s="9">
        <f t="shared" ref="Z40" si="148">IF(OR(Z39="",Z38=""),"",Z38+Z39)</f>
        <v>78889.738101556242</v>
      </c>
      <c r="AA40" s="9">
        <f t="shared" ref="AA40" si="149">IF(OR(AA39="",AA38=""),"",AA38+AA39)</f>
        <v>113388.97230344273</v>
      </c>
      <c r="AB40" s="9">
        <f t="shared" ref="AB40" si="150">IF(OR(AB39="",AB38=""),"",AB38+AB39)</f>
        <v>314098.74</v>
      </c>
      <c r="AC40" s="9">
        <f t="shared" ref="AC40" si="151">IF(OR(AC39="",AC38=""),"",AC38+AC39)</f>
        <v>275627.35620644654</v>
      </c>
      <c r="AD40" s="9">
        <f t="shared" ref="AD40" si="152">IF(OR(AD39="",AD38=""),"",AD38+AD39)</f>
        <v>271614.76328999974</v>
      </c>
      <c r="AE40" s="9">
        <f t="shared" ref="AE40" si="153">IF(OR(AE39="",AE38=""),"",AE38+AE39)</f>
        <v>247008.44566753082</v>
      </c>
      <c r="AF40" s="9">
        <f t="shared" ref="AF40" si="154">IF(OR(AF39="",AF38=""),"",AF38+AF39)</f>
        <v>311104.35503767215</v>
      </c>
      <c r="AG40" s="9">
        <f t="shared" ref="AG40" si="155">IF(OR(AG39="",AG38=""),"",AG38+AG39)</f>
        <v>343032.68365673424</v>
      </c>
      <c r="AH40" s="9">
        <f t="shared" ref="AH40" si="156">IF(OR(AH39="",AH38=""),"",AH38+AH39)</f>
        <v>320749.89732957579</v>
      </c>
      <c r="AI40" s="9">
        <f t="shared" ref="AI40" si="157">IF(OR(AI39="",AI38=""),"",AI38+AI39)</f>
        <v>315279.55031171977</v>
      </c>
      <c r="AJ40" s="9">
        <f t="shared" ref="AJ40" si="158">IF(OR(AJ39="",AJ38=""),"",AJ38+AJ39)</f>
        <v>277715.02900715685</v>
      </c>
      <c r="AK40" s="9">
        <f t="shared" ref="AK40" si="159">IF(OR(AK39="",AK38=""),"",AK38+AK39)</f>
        <v>249482.16093979406</v>
      </c>
      <c r="AL40" s="9">
        <f t="shared" ref="AL40" si="160">IF(OR(AL39="",AL38=""),"",AL38+AL39)</f>
        <v>300635.38705520914</v>
      </c>
      <c r="AM40" s="9">
        <f t="shared" ref="AM40:BW40" si="161">IF(OR(AM39="",AM38=""),"",AM38+AM39)</f>
        <v>346111.82797562931</v>
      </c>
      <c r="AN40" s="9">
        <f t="shared" si="161"/>
        <v>659945.26884812373</v>
      </c>
      <c r="AO40" s="9">
        <f t="shared" si="161"/>
        <v>621579.35395744431</v>
      </c>
      <c r="AP40" s="9">
        <f t="shared" si="161"/>
        <v>504812.72994038765</v>
      </c>
      <c r="AQ40" s="9">
        <f t="shared" si="161"/>
        <v>476655.41162084811</v>
      </c>
      <c r="AR40" s="9">
        <f t="shared" si="161"/>
        <v>556668.41932374495</v>
      </c>
      <c r="AS40" s="9">
        <f t="shared" si="161"/>
        <v>636453.87753147213</v>
      </c>
      <c r="AT40" s="9">
        <f t="shared" si="161"/>
        <v>654013.12025960803</v>
      </c>
      <c r="AU40" s="9">
        <f t="shared" si="161"/>
        <v>631602.43139883818</v>
      </c>
      <c r="AV40" s="9">
        <f t="shared" si="161"/>
        <v>569318.41387172777</v>
      </c>
      <c r="AW40" s="9">
        <f t="shared" si="161"/>
        <v>509383.74747130834</v>
      </c>
      <c r="AX40" s="9">
        <f t="shared" si="161"/>
        <v>597783.24064080673</v>
      </c>
      <c r="AY40" s="9">
        <f t="shared" si="161"/>
        <v>637303.87835283799</v>
      </c>
      <c r="AZ40" s="9">
        <f t="shared" si="161"/>
        <v>674625.36618172354</v>
      </c>
      <c r="BA40" s="9">
        <f t="shared" si="161"/>
        <v>141949.43508869849</v>
      </c>
      <c r="BB40" s="9">
        <f t="shared" si="161"/>
        <v>105117.18198801098</v>
      </c>
      <c r="BC40" s="9">
        <f t="shared" si="161"/>
        <v>95712.825490174175</v>
      </c>
      <c r="BD40" s="9">
        <f t="shared" si="161"/>
        <v>119714.38972054035</v>
      </c>
      <c r="BE40" s="9">
        <f t="shared" si="161"/>
        <v>149204.29208411957</v>
      </c>
      <c r="BF40" s="9">
        <f t="shared" si="161"/>
        <v>146857.82958294882</v>
      </c>
      <c r="BG40" s="9">
        <f t="shared" si="161"/>
        <v>139493.22534062379</v>
      </c>
      <c r="BH40" s="9">
        <f t="shared" si="161"/>
        <v>113258.26263355253</v>
      </c>
      <c r="BI40" s="9">
        <f t="shared" si="161"/>
        <v>113030.1487240796</v>
      </c>
      <c r="BJ40" s="9">
        <f t="shared" si="161"/>
        <v>130349.51702498258</v>
      </c>
      <c r="BK40" s="9">
        <f t="shared" si="161"/>
        <v>155376.66092680668</v>
      </c>
      <c r="BL40" s="9">
        <f t="shared" si="161"/>
        <v>427.62622379922527</v>
      </c>
      <c r="BM40" s="9">
        <f t="shared" si="161"/>
        <v>1721.5995939776476</v>
      </c>
      <c r="BN40" s="9">
        <f t="shared" si="161"/>
        <v>1172.7100579776888</v>
      </c>
      <c r="BO40" s="9">
        <f t="shared" si="161"/>
        <v>1047.4703582606599</v>
      </c>
      <c r="BP40" s="9">
        <f t="shared" si="161"/>
        <v>1212.2790523997101</v>
      </c>
      <c r="BQ40" s="9">
        <f t="shared" si="161"/>
        <v>1481.2419060294778</v>
      </c>
      <c r="BR40" s="9">
        <f t="shared" si="161"/>
        <v>1506.7035256923118</v>
      </c>
      <c r="BS40" s="9">
        <f t="shared" si="161"/>
        <v>1511.5356721754943</v>
      </c>
      <c r="BT40" s="9">
        <f t="shared" si="161"/>
        <v>1168.6900999254576</v>
      </c>
      <c r="BU40" s="9">
        <f t="shared" si="161"/>
        <v>1087.648659903818</v>
      </c>
      <c r="BV40" s="9">
        <f t="shared" si="161"/>
        <v>1465.7481809739693</v>
      </c>
      <c r="BW40" s="9">
        <f t="shared" si="161"/>
        <v>1830.8851748525049</v>
      </c>
    </row>
    <row r="41" spans="1:75" s="5" customFormat="1" hidden="1" outlineLevel="1" x14ac:dyDescent="0.3">
      <c r="A41" s="255"/>
      <c r="B41" s="18" t="s">
        <v>13</v>
      </c>
      <c r="C41" s="26"/>
      <c r="D41" s="26"/>
      <c r="E41" s="9">
        <f t="shared" ref="E41:N41" si="162">IF(OR(E38="",E37=""),"",E37-E38)</f>
        <v>0</v>
      </c>
      <c r="F41" s="9">
        <f t="shared" si="162"/>
        <v>0</v>
      </c>
      <c r="G41" s="9">
        <f t="shared" si="162"/>
        <v>-856.28</v>
      </c>
      <c r="H41" s="9">
        <f t="shared" si="162"/>
        <v>-8251.3300000000017</v>
      </c>
      <c r="I41" s="9">
        <f t="shared" si="162"/>
        <v>-1402.1099999999969</v>
      </c>
      <c r="J41" s="9">
        <f t="shared" si="162"/>
        <v>-65.264761224685572</v>
      </c>
      <c r="K41" s="9">
        <f t="shared" si="162"/>
        <v>8427.9456749210331</v>
      </c>
      <c r="L41" s="9">
        <f t="shared" si="162"/>
        <v>11617.592866768453</v>
      </c>
      <c r="M41" s="9">
        <f t="shared" si="162"/>
        <v>17046.048601536655</v>
      </c>
      <c r="N41" s="9">
        <f t="shared" si="162"/>
        <v>24826.995758638252</v>
      </c>
      <c r="O41" s="9">
        <f>IF(OR(O40="",O37=""),"",O37-O40)</f>
        <v>20240.432188278435</v>
      </c>
      <c r="P41" s="9">
        <f t="shared" ref="P41:AM41" si="163">IF(OR(P40="",P37=""),"",P37-P40)</f>
        <v>-44144.428270733704</v>
      </c>
      <c r="Q41" s="9">
        <f t="shared" si="163"/>
        <v>-24463.628837742355</v>
      </c>
      <c r="R41" s="9">
        <f>IF(OR(R40="",R37=""),"",R37-R40)</f>
        <v>-43350.100030101676</v>
      </c>
      <c r="S41" s="9">
        <f t="shared" si="163"/>
        <v>-20166.564455245163</v>
      </c>
      <c r="T41" s="9">
        <f t="shared" si="163"/>
        <v>8403.9421643922105</v>
      </c>
      <c r="U41" s="9">
        <f t="shared" si="163"/>
        <v>44100.240072383196</v>
      </c>
      <c r="V41" s="9">
        <f t="shared" si="163"/>
        <v>37984.08133016892</v>
      </c>
      <c r="W41" s="9">
        <f t="shared" si="163"/>
        <v>65929.903099540446</v>
      </c>
      <c r="X41" s="9">
        <f t="shared" si="163"/>
        <v>35454.717193515578</v>
      </c>
      <c r="Y41" s="9">
        <f t="shared" si="163"/>
        <v>15949.499473210599</v>
      </c>
      <c r="Z41" s="9">
        <f t="shared" si="163"/>
        <v>48099.269092345698</v>
      </c>
      <c r="AA41" s="9">
        <f t="shared" si="163"/>
        <v>37987.946403351161</v>
      </c>
      <c r="AB41" s="9">
        <f t="shared" si="163"/>
        <v>-183086.08735048462</v>
      </c>
      <c r="AC41" s="9">
        <f t="shared" si="163"/>
        <v>-113642.61957834617</v>
      </c>
      <c r="AD41" s="9">
        <f t="shared" si="163"/>
        <v>-84729.777062897017</v>
      </c>
      <c r="AE41" s="9">
        <f t="shared" si="163"/>
        <v>13700.630333527108</v>
      </c>
      <c r="AF41" s="9">
        <f t="shared" si="163"/>
        <v>83171.545361135155</v>
      </c>
      <c r="AG41" s="9">
        <f t="shared" si="163"/>
        <v>174531.90067955991</v>
      </c>
      <c r="AH41" s="9">
        <f t="shared" si="163"/>
        <v>135892.476656568</v>
      </c>
      <c r="AI41" s="9">
        <f t="shared" si="163"/>
        <v>180097.54634294659</v>
      </c>
      <c r="AJ41" s="9">
        <f t="shared" si="163"/>
        <v>70524.857705575938</v>
      </c>
      <c r="AK41" s="9">
        <f t="shared" si="163"/>
        <v>65922.198240385886</v>
      </c>
      <c r="AL41" s="9">
        <f t="shared" si="163"/>
        <v>48732.496423145814</v>
      </c>
      <c r="AM41" s="9">
        <f t="shared" si="163"/>
        <v>30558.979787902732</v>
      </c>
      <c r="AN41" s="9">
        <f t="shared" ref="AN41:BW41" si="164">IF(OR(AN40="",AN37=""),"",AN37-AN40)</f>
        <v>-344279.1117273944</v>
      </c>
      <c r="AO41" s="9">
        <f t="shared" si="164"/>
        <v>-195343.35815485811</v>
      </c>
      <c r="AP41" s="9">
        <f t="shared" si="164"/>
        <v>-75007.223165483039</v>
      </c>
      <c r="AQ41" s="9">
        <f t="shared" si="164"/>
        <v>-51152.707221269025</v>
      </c>
      <c r="AR41" s="9">
        <f t="shared" si="164"/>
        <v>154357.71384006366</v>
      </c>
      <c r="AS41" s="9">
        <f t="shared" si="164"/>
        <v>270176.88180803787</v>
      </c>
      <c r="AT41" s="9">
        <f t="shared" si="164"/>
        <v>81290.597085032845</v>
      </c>
      <c r="AU41" s="9">
        <f t="shared" si="164"/>
        <v>134079.7250791908</v>
      </c>
      <c r="AV41" s="9">
        <f t="shared" si="164"/>
        <v>-46597.331769096199</v>
      </c>
      <c r="AW41" s="9">
        <f t="shared" si="164"/>
        <v>-63490.748568211216</v>
      </c>
      <c r="AX41" s="9">
        <f t="shared" si="164"/>
        <v>-216816.58393668587</v>
      </c>
      <c r="AY41" s="9">
        <f t="shared" si="164"/>
        <v>-185744.96850258694</v>
      </c>
      <c r="AZ41" s="9">
        <f t="shared" si="164"/>
        <v>-325465.14018626843</v>
      </c>
      <c r="BA41" s="9">
        <f t="shared" si="164"/>
        <v>246765.57294110648</v>
      </c>
      <c r="BB41" s="9">
        <f t="shared" si="164"/>
        <v>-105117.18198801098</v>
      </c>
      <c r="BC41" s="9">
        <f t="shared" si="164"/>
        <v>-95993.592886839237</v>
      </c>
      <c r="BD41" s="9">
        <f t="shared" si="164"/>
        <v>-119714.38972054035</v>
      </c>
      <c r="BE41" s="9">
        <f t="shared" si="164"/>
        <v>-149204.29208411957</v>
      </c>
      <c r="BF41" s="9">
        <f t="shared" si="164"/>
        <v>-146857.82958294882</v>
      </c>
      <c r="BG41" s="9">
        <f t="shared" si="164"/>
        <v>-139493.22534062379</v>
      </c>
      <c r="BH41" s="9">
        <f t="shared" si="164"/>
        <v>-113258.26263355253</v>
      </c>
      <c r="BI41" s="9">
        <f t="shared" si="164"/>
        <v>-113030.1487240796</v>
      </c>
      <c r="BJ41" s="9">
        <f t="shared" si="164"/>
        <v>-130349.51702498258</v>
      </c>
      <c r="BK41" s="9">
        <f t="shared" si="164"/>
        <v>-155376.66092680668</v>
      </c>
      <c r="BL41" s="9">
        <f t="shared" si="164"/>
        <v>-171.98622379862923</v>
      </c>
      <c r="BM41" s="9">
        <f t="shared" si="164"/>
        <v>-1129.2595939777966</v>
      </c>
      <c r="BN41" s="9">
        <f t="shared" si="164"/>
        <v>-540.30005797753984</v>
      </c>
      <c r="BO41" s="9">
        <f t="shared" si="164"/>
        <v>-154.9403582613304</v>
      </c>
      <c r="BP41" s="9">
        <f t="shared" si="164"/>
        <v>746.11094760088599</v>
      </c>
      <c r="BQ41" s="9">
        <f t="shared" si="164"/>
        <v>1094.7480939707457</v>
      </c>
      <c r="BR41" s="9">
        <f t="shared" si="164"/>
        <v>1394.8864743075392</v>
      </c>
      <c r="BS41" s="9">
        <f t="shared" si="164"/>
        <v>743.67432782539981</v>
      </c>
      <c r="BT41" s="9">
        <f t="shared" si="164"/>
        <v>32.359900073424797</v>
      </c>
      <c r="BU41" s="9">
        <f t="shared" si="164"/>
        <v>-94.608659903818079</v>
      </c>
      <c r="BV41" s="9">
        <f t="shared" si="164"/>
        <v>-443.03818097396925</v>
      </c>
      <c r="BW41" s="9">
        <f t="shared" si="164"/>
        <v>-769.78517485250495</v>
      </c>
    </row>
    <row r="42" spans="1:75" s="5" customFormat="1" hidden="1" outlineLevel="1" x14ac:dyDescent="0.3">
      <c r="A42" s="255"/>
      <c r="B42" s="19" t="s">
        <v>8</v>
      </c>
      <c r="C42" s="30"/>
      <c r="D42" s="30"/>
      <c r="E42" s="9">
        <f t="shared" ref="E42:N42" si="165">IF(OR(E9="",E41=""),"",(E41+D44)*E9/12)</f>
        <v>0</v>
      </c>
      <c r="F42" s="9">
        <f t="shared" si="165"/>
        <v>0</v>
      </c>
      <c r="G42" s="9">
        <f t="shared" si="165"/>
        <v>-0.5393094052666666</v>
      </c>
      <c r="H42" s="9">
        <f t="shared" si="165"/>
        <v>-4.7538619098044377</v>
      </c>
      <c r="I42" s="9">
        <f t="shared" si="165"/>
        <v>-5.5119961919362872</v>
      </c>
      <c r="J42" s="9">
        <f t="shared" si="165"/>
        <v>-6.7446125522088956</v>
      </c>
      <c r="K42" s="9">
        <f t="shared" si="165"/>
        <v>-1.3627163896022407</v>
      </c>
      <c r="L42" s="9">
        <f t="shared" si="165"/>
        <v>5.9873784623920256</v>
      </c>
      <c r="M42" s="9">
        <f t="shared" si="165"/>
        <v>16.877210385758971</v>
      </c>
      <c r="N42" s="9">
        <f t="shared" si="165"/>
        <v>41.17234852035925</v>
      </c>
      <c r="O42" s="10">
        <f>IF(OR(O9="",O41=""),"",(O39+O41+N44)*O9/12)</f>
        <v>53.721866077378365</v>
      </c>
      <c r="P42" s="10">
        <f>IF(OR(P9="",P41=""),"",(P39+P41+O44+P36)*P9/12)</f>
        <v>478.69175477452603</v>
      </c>
      <c r="Q42" s="10">
        <f t="shared" ref="Q42:AM42" si="166">IF(OR(Q9="",Q41=""),"",(Q39+Q41+P44)*Q9/12)</f>
        <v>539.61008778516134</v>
      </c>
      <c r="R42" s="10">
        <f t="shared" si="166"/>
        <v>452.14784409044137</v>
      </c>
      <c r="S42" s="10">
        <f t="shared" si="166"/>
        <v>387.29160400475143</v>
      </c>
      <c r="T42" s="10">
        <f t="shared" si="166"/>
        <v>418.21542721847476</v>
      </c>
      <c r="U42" s="10">
        <f t="shared" si="166"/>
        <v>387.83629844195974</v>
      </c>
      <c r="V42" s="10">
        <f t="shared" si="166"/>
        <v>374.1400605921101</v>
      </c>
      <c r="W42" s="10">
        <f t="shared" si="166"/>
        <v>377.3976007996996</v>
      </c>
      <c r="X42" s="10">
        <f t="shared" si="166"/>
        <v>353.09439018686572</v>
      </c>
      <c r="Y42" s="10">
        <f t="shared" si="166"/>
        <v>310.0531538233613</v>
      </c>
      <c r="Z42" s="10">
        <f t="shared" si="166"/>
        <v>370.24863184733528</v>
      </c>
      <c r="AA42" s="10">
        <f t="shared" si="166"/>
        <v>297.75036265972221</v>
      </c>
      <c r="AB42" s="10">
        <f t="shared" si="166"/>
        <v>3.9406562977996047</v>
      </c>
      <c r="AC42" s="10">
        <f t="shared" si="166"/>
        <v>-224.44909216069141</v>
      </c>
      <c r="AD42" s="10">
        <f t="shared" si="166"/>
        <v>-454.30115981031298</v>
      </c>
      <c r="AE42" s="10">
        <f t="shared" si="166"/>
        <v>-440.76120617858192</v>
      </c>
      <c r="AF42" s="10">
        <f t="shared" si="166"/>
        <v>-342.63517834923005</v>
      </c>
      <c r="AG42" s="10">
        <f t="shared" si="166"/>
        <v>-60.758323521348053</v>
      </c>
      <c r="AH42" s="10">
        <f t="shared" si="166"/>
        <v>157.9706483243875</v>
      </c>
      <c r="AI42" s="10">
        <f t="shared" si="166"/>
        <v>463.7087116264438</v>
      </c>
      <c r="AJ42" s="10">
        <f t="shared" si="166"/>
        <v>593.43289154580566</v>
      </c>
      <c r="AK42" s="10">
        <f t="shared" si="166"/>
        <v>712.14839637795876</v>
      </c>
      <c r="AL42" s="10">
        <f t="shared" si="166"/>
        <v>839.43109276045823</v>
      </c>
      <c r="AM42" s="10">
        <f t="shared" si="166"/>
        <v>889.26436458247372</v>
      </c>
      <c r="AN42" s="10">
        <f t="shared" ref="AN42" si="167">IF(OR(AN9="",AN41=""),"",(AN39+AN41+AM44)*AN9/12)</f>
        <v>-30.116302752414814</v>
      </c>
      <c r="AO42" s="10">
        <f t="shared" ref="AO42" si="168">IF(OR(AO9="",AO41=""),"",(AO39+AO41+AN44)*AO9/12)</f>
        <v>-573.5571385907167</v>
      </c>
      <c r="AP42" s="10">
        <f t="shared" ref="AP42" si="169">IF(OR(AP9="",AP41=""),"",(AP39+AP41+AO44)*AP9/12)</f>
        <v>-785.1692767648583</v>
      </c>
      <c r="AQ42" s="10">
        <f t="shared" ref="AQ42" si="170">IF(OR(AQ9="",AQ41=""),"",(AQ39+AQ41+AP44)*AQ9/12)</f>
        <v>-971.63891160630089</v>
      </c>
      <c r="AR42" s="10">
        <f t="shared" ref="AR42" si="171">IF(OR(AR9="",AR41=""),"",(AR39+AR41+AQ44)*AR9/12)</f>
        <v>-699.42520004406572</v>
      </c>
      <c r="AS42" s="10">
        <f t="shared" ref="AS42" si="172">IF(OR(AS9="",AS41=""),"",(AS39+AS41+AR44)*AS9/12)</f>
        <v>-187.74380263959725</v>
      </c>
      <c r="AT42" s="10">
        <f t="shared" ref="AT42" si="173">IF(OR(AT9="",AT41=""),"",(AT39+AT41+AS44)*AT9/12)</f>
        <v>-90.918466029773697</v>
      </c>
      <c r="AU42" s="10">
        <f t="shared" ref="AU42" si="174">IF(OR(AU9="",AU41=""),"",(AU39+AU41+AT44)*AU9/12)</f>
        <v>89.249677878880377</v>
      </c>
      <c r="AV42" s="10">
        <f t="shared" ref="AV42" si="175">IF(OR(AV9="",AV41=""),"",(AV39+AV41+AU44)*AV9/12)</f>
        <v>-59.175137378642411</v>
      </c>
      <c r="AW42" s="10">
        <f t="shared" ref="AW42" si="176">IF(OR(AW9="",AW41=""),"",(AW39+AW41+AV44)*AW9/12)</f>
        <v>-195.00097790125935</v>
      </c>
      <c r="AX42" s="10">
        <f t="shared" ref="AX42" si="177">IF(OR(AX9="",AX41=""),"",(AX39+AX41+AW44)*AX9/12)</f>
        <v>-611.47828436867201</v>
      </c>
      <c r="AY42" s="10">
        <f t="shared" ref="AY42" si="178">IF(OR(AY9="",AY41=""),"",(AY39+AY41+AX44)*AY9/12)</f>
        <v>-959.06445756177061</v>
      </c>
      <c r="AZ42" s="10">
        <f t="shared" ref="AZ42" si="179">IF(OR(AZ9="",AZ41=""),"",(AZ39+AZ41+AY44)*AZ9/12)</f>
        <v>-1016.6300162275015</v>
      </c>
      <c r="BA42" s="10">
        <f t="shared" ref="BA42" si="180">IF(OR(BA9="",BA41=""),"",(BA39+BA41+AZ44)*BA9/12)</f>
        <v>-592.06872207218237</v>
      </c>
      <c r="BB42" s="10">
        <f t="shared" ref="BB42" si="181">IF(OR(BB9="",BB41=""),"",(BB39+BB41+BA44)*BB9/12)</f>
        <v>-345.35129076763513</v>
      </c>
      <c r="BC42" s="10">
        <f t="shared" ref="BC42" si="182">IF(OR(BC9="",BC41=""),"",(BC39+BC41+BB44)*BC9/12)</f>
        <v>-53.912013038185101</v>
      </c>
      <c r="BD42" s="10">
        <f t="shared" ref="BD42" si="183">IF(OR(BD9="",BD41=""),"",(BD39+BD41+BC44)*BD9/12)</f>
        <v>-60.212386137477118</v>
      </c>
      <c r="BE42" s="10">
        <f t="shared" ref="BE42" si="184">IF(OR(BE9="",BE41=""),"",(BE39+BE41+BD44)*BE9/12)</f>
        <v>-107.67894982065157</v>
      </c>
      <c r="BF42" s="10">
        <f t="shared" ref="BF42" si="185">IF(OR(BF9="",BF41=""),"",(BF39+BF41+BE44)*BF9/12)</f>
        <v>-86.265128885081481</v>
      </c>
      <c r="BG42" s="10">
        <f t="shared" ref="BG42" si="186">IF(OR(BG9="",BG41=""),"",(BG39+BG41+BF44)*BG9/12)</f>
        <v>-87.157885700694521</v>
      </c>
      <c r="BH42" s="10">
        <f t="shared" ref="BH42:BW42" si="187">IF(OR(BH9="",BH41=""),"",(BH39+BH41+BG44)*BH9/12)</f>
        <v>-152.33080771503441</v>
      </c>
      <c r="BI42" s="10">
        <f t="shared" si="187"/>
        <v>-206.97069129837439</v>
      </c>
      <c r="BJ42" s="10">
        <f t="shared" si="187"/>
        <v>-252.53013484700446</v>
      </c>
      <c r="BK42" s="10">
        <f t="shared" si="187"/>
        <v>-199.34034932726351</v>
      </c>
      <c r="BL42" s="10">
        <f t="shared" si="187"/>
        <v>-224.17815469412071</v>
      </c>
      <c r="BM42" s="10">
        <f t="shared" si="187"/>
        <v>-187.98475113686871</v>
      </c>
      <c r="BN42" s="10">
        <f t="shared" si="187"/>
        <v>-182.65432905234135</v>
      </c>
      <c r="BO42" s="10">
        <f t="shared" si="187"/>
        <v>-166.77069230383159</v>
      </c>
      <c r="BP42" s="10">
        <f t="shared" si="187"/>
        <v>-133.60232045723757</v>
      </c>
      <c r="BQ42" s="10">
        <f t="shared" si="187"/>
        <v>-79.090355427234613</v>
      </c>
      <c r="BR42" s="10">
        <f t="shared" si="187"/>
        <v>-96.450446471347718</v>
      </c>
      <c r="BS42" s="10">
        <f t="shared" si="187"/>
        <v>-72.137120768288469</v>
      </c>
      <c r="BT42" s="10">
        <f t="shared" si="187"/>
        <v>-43.936502451226438</v>
      </c>
      <c r="BU42" s="10">
        <f t="shared" si="187"/>
        <v>-33.241448096520813</v>
      </c>
      <c r="BV42" s="10">
        <f t="shared" si="187"/>
        <v>-20.495431800154623</v>
      </c>
      <c r="BW42" s="10">
        <f t="shared" si="187"/>
        <v>-5.540018125986208</v>
      </c>
    </row>
    <row r="43" spans="1:75" s="5" customFormat="1" hidden="1" outlineLevel="1" x14ac:dyDescent="0.3">
      <c r="A43" s="255"/>
      <c r="B43" s="18" t="s">
        <v>14</v>
      </c>
      <c r="C43" s="26"/>
      <c r="D43" s="26"/>
      <c r="E43" s="9">
        <f t="shared" ref="E43:N43" si="188">IF(OR(E41="",E42=""),"",E41+E42)</f>
        <v>0</v>
      </c>
      <c r="F43" s="9">
        <f t="shared" si="188"/>
        <v>0</v>
      </c>
      <c r="G43" s="9">
        <f t="shared" si="188"/>
        <v>-856.81930940526661</v>
      </c>
      <c r="H43" s="9">
        <f t="shared" si="188"/>
        <v>-8256.0838619098067</v>
      </c>
      <c r="I43" s="9">
        <f t="shared" si="188"/>
        <v>-1407.6219961919332</v>
      </c>
      <c r="J43" s="9">
        <f t="shared" si="188"/>
        <v>-72.009373776894464</v>
      </c>
      <c r="K43" s="9">
        <f t="shared" si="188"/>
        <v>8426.5829585314314</v>
      </c>
      <c r="L43" s="9">
        <f t="shared" si="188"/>
        <v>11623.580245230845</v>
      </c>
      <c r="M43" s="9">
        <f t="shared" si="188"/>
        <v>17062.925811922414</v>
      </c>
      <c r="N43" s="9">
        <f t="shared" si="188"/>
        <v>24868.16810715861</v>
      </c>
      <c r="O43" s="9">
        <f>IF(OR(O41="",O42=""),"",O41+O42)</f>
        <v>20294.154054355815</v>
      </c>
      <c r="P43" s="9">
        <f t="shared" ref="P43:AM43" si="189">IF(OR(P41="",P42=""),"",P41+P42)</f>
        <v>-43665.736515959179</v>
      </c>
      <c r="Q43" s="9">
        <f t="shared" si="189"/>
        <v>-23924.018749957195</v>
      </c>
      <c r="R43" s="9">
        <f t="shared" si="189"/>
        <v>-42897.952186011236</v>
      </c>
      <c r="S43" s="9">
        <f t="shared" si="189"/>
        <v>-19779.27285124041</v>
      </c>
      <c r="T43" s="9">
        <f t="shared" si="189"/>
        <v>8822.1575916106849</v>
      </c>
      <c r="U43" s="9">
        <f t="shared" si="189"/>
        <v>44488.076370825154</v>
      </c>
      <c r="V43" s="9">
        <f t="shared" si="189"/>
        <v>38358.221390761028</v>
      </c>
      <c r="W43" s="9">
        <f t="shared" si="189"/>
        <v>66307.300700340144</v>
      </c>
      <c r="X43" s="9">
        <f t="shared" si="189"/>
        <v>35807.811583702445</v>
      </c>
      <c r="Y43" s="9">
        <f t="shared" si="189"/>
        <v>16259.55262703396</v>
      </c>
      <c r="Z43" s="9">
        <f t="shared" si="189"/>
        <v>48469.517724193036</v>
      </c>
      <c r="AA43" s="9">
        <f t="shared" si="189"/>
        <v>38285.696766010886</v>
      </c>
      <c r="AB43" s="9">
        <f t="shared" si="189"/>
        <v>-183082.14669418681</v>
      </c>
      <c r="AC43" s="9">
        <f t="shared" si="189"/>
        <v>-113867.06867050687</v>
      </c>
      <c r="AD43" s="9">
        <f t="shared" si="189"/>
        <v>-85184.078222707336</v>
      </c>
      <c r="AE43" s="9">
        <f t="shared" si="189"/>
        <v>13259.869127348526</v>
      </c>
      <c r="AF43" s="9">
        <f t="shared" si="189"/>
        <v>82828.910182785927</v>
      </c>
      <c r="AG43" s="9">
        <f t="shared" si="189"/>
        <v>174471.14235603856</v>
      </c>
      <c r="AH43" s="9">
        <f t="shared" si="189"/>
        <v>136050.44730489238</v>
      </c>
      <c r="AI43" s="9">
        <f t="shared" si="189"/>
        <v>180561.25505457303</v>
      </c>
      <c r="AJ43" s="9">
        <f t="shared" si="189"/>
        <v>71118.290597121741</v>
      </c>
      <c r="AK43" s="9">
        <f t="shared" si="189"/>
        <v>66634.346636763847</v>
      </c>
      <c r="AL43" s="9">
        <f t="shared" si="189"/>
        <v>49571.927515906274</v>
      </c>
      <c r="AM43" s="9">
        <f t="shared" si="189"/>
        <v>31448.244152485204</v>
      </c>
      <c r="AN43" s="9">
        <f t="shared" ref="AN43:BW43" si="190">IF(OR(AN41="",AN42=""),"",AN41+AN42)</f>
        <v>-344309.2280301468</v>
      </c>
      <c r="AO43" s="9">
        <f t="shared" si="190"/>
        <v>-195916.91529344884</v>
      </c>
      <c r="AP43" s="9">
        <f t="shared" si="190"/>
        <v>-75792.392442247903</v>
      </c>
      <c r="AQ43" s="9">
        <f t="shared" si="190"/>
        <v>-52124.346132875326</v>
      </c>
      <c r="AR43" s="9">
        <f t="shared" si="190"/>
        <v>153658.2886400196</v>
      </c>
      <c r="AS43" s="9">
        <f t="shared" si="190"/>
        <v>269989.13800539827</v>
      </c>
      <c r="AT43" s="9">
        <f t="shared" si="190"/>
        <v>81199.678619003069</v>
      </c>
      <c r="AU43" s="9">
        <f t="shared" si="190"/>
        <v>134168.97475706969</v>
      </c>
      <c r="AV43" s="9">
        <f t="shared" si="190"/>
        <v>-46656.506906474839</v>
      </c>
      <c r="AW43" s="9">
        <f t="shared" si="190"/>
        <v>-63685.749546112478</v>
      </c>
      <c r="AX43" s="9">
        <f t="shared" si="190"/>
        <v>-217428.06222105454</v>
      </c>
      <c r="AY43" s="9">
        <f t="shared" si="190"/>
        <v>-186704.0329601487</v>
      </c>
      <c r="AZ43" s="9">
        <f t="shared" si="190"/>
        <v>-326481.77020249591</v>
      </c>
      <c r="BA43" s="9">
        <f t="shared" si="190"/>
        <v>246173.50421903431</v>
      </c>
      <c r="BB43" s="9">
        <f t="shared" si="190"/>
        <v>-105462.53327877862</v>
      </c>
      <c r="BC43" s="9">
        <f t="shared" si="190"/>
        <v>-96047.504899877415</v>
      </c>
      <c r="BD43" s="9">
        <f t="shared" si="190"/>
        <v>-119774.60210667782</v>
      </c>
      <c r="BE43" s="9">
        <f t="shared" si="190"/>
        <v>-149311.97103394024</v>
      </c>
      <c r="BF43" s="9">
        <f t="shared" si="190"/>
        <v>-146944.0947118339</v>
      </c>
      <c r="BG43" s="9">
        <f t="shared" si="190"/>
        <v>-139580.38322632448</v>
      </c>
      <c r="BH43" s="9">
        <f t="shared" si="190"/>
        <v>-113410.59344126756</v>
      </c>
      <c r="BI43" s="9">
        <f t="shared" si="190"/>
        <v>-113237.11941537797</v>
      </c>
      <c r="BJ43" s="9">
        <f t="shared" si="190"/>
        <v>-130602.04715982958</v>
      </c>
      <c r="BK43" s="9">
        <f t="shared" si="190"/>
        <v>-155576.00127613393</v>
      </c>
      <c r="BL43" s="9">
        <f t="shared" si="190"/>
        <v>-396.16437849274996</v>
      </c>
      <c r="BM43" s="9">
        <f t="shared" si="190"/>
        <v>-1317.2443451146653</v>
      </c>
      <c r="BN43" s="9">
        <f t="shared" si="190"/>
        <v>-722.95438702988122</v>
      </c>
      <c r="BO43" s="9">
        <f t="shared" si="190"/>
        <v>-321.711050565162</v>
      </c>
      <c r="BP43" s="9">
        <f t="shared" si="190"/>
        <v>612.50862714364848</v>
      </c>
      <c r="BQ43" s="9">
        <f t="shared" si="190"/>
        <v>1015.6577385435111</v>
      </c>
      <c r="BR43" s="9">
        <f t="shared" si="190"/>
        <v>1298.4360278361914</v>
      </c>
      <c r="BS43" s="9">
        <f t="shared" si="190"/>
        <v>671.53720705711135</v>
      </c>
      <c r="BT43" s="9">
        <f t="shared" si="190"/>
        <v>-11.576602377801642</v>
      </c>
      <c r="BU43" s="9">
        <f t="shared" si="190"/>
        <v>-127.85010800033889</v>
      </c>
      <c r="BV43" s="9">
        <f t="shared" si="190"/>
        <v>-463.53361277412387</v>
      </c>
      <c r="BW43" s="9">
        <f t="shared" si="190"/>
        <v>-775.32519297849115</v>
      </c>
    </row>
    <row r="44" spans="1:75" s="5" customFormat="1" hidden="1" outlineLevel="1" x14ac:dyDescent="0.3">
      <c r="A44" s="255"/>
      <c r="B44" s="20" t="s">
        <v>16</v>
      </c>
      <c r="C44" s="28"/>
      <c r="D44" s="28"/>
      <c r="E44" s="9">
        <f>E43</f>
        <v>0</v>
      </c>
      <c r="F44" s="9">
        <f>IF(OR(F43="",E44=""),"",F43+E44)</f>
        <v>0</v>
      </c>
      <c r="G44" s="9">
        <f t="shared" ref="G44:N44" si="191">IF(OR(G43="",F44=""),"",G43+F44)</f>
        <v>-856.81930940526661</v>
      </c>
      <c r="H44" s="9">
        <f t="shared" si="191"/>
        <v>-9112.9031713150725</v>
      </c>
      <c r="I44" s="9">
        <f t="shared" si="191"/>
        <v>-10520.525167507007</v>
      </c>
      <c r="J44" s="9">
        <f t="shared" si="191"/>
        <v>-10592.534541283901</v>
      </c>
      <c r="K44" s="9">
        <f t="shared" si="191"/>
        <v>-2165.9515827524701</v>
      </c>
      <c r="L44" s="9">
        <f t="shared" si="191"/>
        <v>9457.6286624783752</v>
      </c>
      <c r="M44" s="9">
        <f t="shared" si="191"/>
        <v>26520.554474400789</v>
      </c>
      <c r="N44" s="9">
        <f t="shared" si="191"/>
        <v>51388.722581559399</v>
      </c>
      <c r="O44" s="9">
        <f>IF(OR(O43="",N44=""),"",O43+O39+N44)</f>
        <v>71682.876635915221</v>
      </c>
      <c r="P44" s="9">
        <f>IF(OR(P43="",O44=""),"",P43+P39+O44+P36)</f>
        <v>638734.3647874759</v>
      </c>
      <c r="Q44" s="9">
        <f t="shared" ref="Q44" si="192">IF(OR(Q43="",P44=""),"",Q43+Q39+P44)</f>
        <v>563611.00603751873</v>
      </c>
      <c r="R44" s="9">
        <f t="shared" ref="R44" si="193">IF(OR(R43="",Q44=""),"",R43+R39+Q44)</f>
        <v>472258.59385150752</v>
      </c>
      <c r="S44" s="9">
        <f t="shared" ref="S44" si="194">IF(OR(S43="",R44=""),"",S43+S39+R44)</f>
        <v>404517.66100026714</v>
      </c>
      <c r="T44" s="9">
        <f t="shared" ref="T44" si="195">IF(OR(T43="",S44=""),"",T43+T39+S44)</f>
        <v>356346.2385918778</v>
      </c>
      <c r="U44" s="9">
        <f t="shared" ref="U44" si="196">IF(OR(U43="",T44=""),"",U43+U39+T44)</f>
        <v>334765.50496270298</v>
      </c>
      <c r="V44" s="9">
        <f t="shared" ref="V44" si="197">IF(OR(V43="",U44=""),"",V43+V39+U44)</f>
        <v>306424.18635346403</v>
      </c>
      <c r="W44" s="9">
        <f t="shared" ref="W44" si="198">IF(OR(W43="",V44=""),"",W43+W39+V44)</f>
        <v>313078.23705380416</v>
      </c>
      <c r="X44" s="9">
        <f t="shared" ref="X44" si="199">IF(OR(X43="",W44=""),"",X43+X39+W44)</f>
        <v>292401.96863750659</v>
      </c>
      <c r="Y44" s="9">
        <f t="shared" ref="Y44" si="200">IF(OR(Y43="",X44=""),"",Y43+Y39+X44)</f>
        <v>258173.94126454054</v>
      </c>
      <c r="Z44" s="9">
        <f t="shared" ref="Z44" si="201">IF(OR(Z43="",Y44=""),"",Z43+Z39+Y44)</f>
        <v>250885.09898873357</v>
      </c>
      <c r="AA44" s="9">
        <f t="shared" ref="AA44" si="202">IF(OR(AA43="",Z44=""),"",AA43+AA39+Z44)</f>
        <v>208589.31575474446</v>
      </c>
      <c r="AB44" s="9">
        <f t="shared" ref="AB44" si="203">IF(OR(AB43="",AA44=""),"",AB43+AB39+AA44)</f>
        <v>2591.4190605576441</v>
      </c>
      <c r="AC44" s="9">
        <f t="shared" ref="AC44" si="204">IF(OR(AC43="",AB44=""),"",AC43+AC39+AB44)</f>
        <v>-131356.86960994921</v>
      </c>
      <c r="AD44" s="9">
        <f t="shared" ref="AD44" si="205">IF(OR(AD43="",AC44=""),"",AD43+AD39+AC44)</f>
        <v>-236332.77783265655</v>
      </c>
      <c r="AE44" s="9">
        <f t="shared" ref="AE44" si="206">IF(OR(AE43="",AD44=""),"",AE43+AE39+AD44)</f>
        <v>-240987.71870530801</v>
      </c>
      <c r="AF44" s="9">
        <f t="shared" ref="AF44" si="207">IF(OR(AF43="",AE44=""),"",AF43+AF39+AE44)</f>
        <v>-180711.66852252209</v>
      </c>
      <c r="AG44" s="9">
        <f t="shared" ref="AG44" si="208">IF(OR(AG43="",AF44=""),"",AG43+AG39+AF44)</f>
        <v>-31123.70616648352</v>
      </c>
      <c r="AH44" s="9">
        <f t="shared" ref="AH44" si="209">IF(OR(AH43="",AG44=""),"",AH43+AH39+AG44)</f>
        <v>81675.571138408864</v>
      </c>
      <c r="AI44" s="9">
        <f t="shared" ref="AI44" si="210">IF(OR(AI43="",AH44=""),"",AI43+AI39+AH44)</f>
        <v>239390.08619298192</v>
      </c>
      <c r="AJ44" s="9">
        <f t="shared" ref="AJ44" si="211">IF(OR(AJ43="",AI44=""),"",AJ43+AJ39+AI44)</f>
        <v>290377.63679010363</v>
      </c>
      <c r="AK44" s="9">
        <f t="shared" ref="AK44" si="212">IF(OR(AK43="",AJ44=""),"",AK43+AK39+AJ44)</f>
        <v>338875.5234268675</v>
      </c>
      <c r="AL44" s="9">
        <f t="shared" ref="AL44" si="213">IF(OR(AL43="",AK44=""),"",AL43+AL39+AK44)</f>
        <v>366527.73094277375</v>
      </c>
      <c r="AM44" s="9">
        <f t="shared" ref="AM44" si="214">IF(OR(AM43="",AL44=""),"",AM43+AM39+AL44)</f>
        <v>372746.63509525894</v>
      </c>
      <c r="AN44" s="9">
        <f t="shared" ref="AN44" si="215">IF(OR(AN43="",AM44=""),"",AN43+AN39+AM44)</f>
        <v>-12753.562934887828</v>
      </c>
      <c r="AO44" s="9">
        <f t="shared" ref="AO44" si="216">IF(OR(AO43="",AN44=""),"",AO43+AO39+AN44)</f>
        <v>-247458.14822833665</v>
      </c>
      <c r="AP44" s="9">
        <f t="shared" ref="AP44" si="217">IF(OR(AP43="",AO44=""),"",AP43+AP39+AO44)</f>
        <v>-354694.32067058457</v>
      </c>
      <c r="AQ44" s="9">
        <f t="shared" ref="AQ44" si="218">IF(OR(AQ43="",AP44=""),"",AQ43+AQ39+AP44)</f>
        <v>-436462.66680345987</v>
      </c>
      <c r="AR44" s="9">
        <f t="shared" ref="AR44" si="219">IF(OR(AR43="",AQ44=""),"",AR43+AR39+AQ44)</f>
        <v>-317413.45816344029</v>
      </c>
      <c r="AS44" s="9">
        <f t="shared" ref="AS44" si="220">IF(OR(AS43="",AR44=""),"",AS43+AS39+AR44)</f>
        <v>-87010.070158042014</v>
      </c>
      <c r="AT44" s="9">
        <f t="shared" ref="AT44" si="221">IF(OR(AT43="",AS44=""),"",AT43+AT39+AS44)</f>
        <v>-46493.871539038948</v>
      </c>
      <c r="AU44" s="9">
        <f t="shared" ref="AU44" si="222">IF(OR(AU43="",AT44=""),"",AU43+AU39+AT44)</f>
        <v>48400.433218030747</v>
      </c>
      <c r="AV44" s="9">
        <f t="shared" ref="AV44" si="223">IF(OR(AV43="",AU44=""),"",AV43+AV39+AU44)</f>
        <v>-33650.683688444093</v>
      </c>
      <c r="AW44" s="9">
        <f t="shared" ref="AW44" si="224">IF(OR(AW43="",AV44=""),"",AW43+AW39+AV44)</f>
        <v>-129051.05323455657</v>
      </c>
      <c r="AX44" s="9">
        <f t="shared" ref="AX44" si="225">IF(OR(AX43="",AW44=""),"",AX43+AX39+AW44)</f>
        <v>-383743.43545561109</v>
      </c>
      <c r="AY44" s="9">
        <f t="shared" ref="AY44" si="226">IF(OR(AY43="",AX44=""),"",AY43+AY39+AX44)</f>
        <v>-610186.07841575984</v>
      </c>
      <c r="AZ44" s="9">
        <f t="shared" ref="AZ44" si="227">IF(OR(AZ43="",AY44=""),"",AZ43+AZ39+AY44)</f>
        <v>-677423.54861825577</v>
      </c>
      <c r="BA44" s="9">
        <f t="shared" ref="BA44" si="228">IF(OR(BA43="",AZ44=""),"",BA43+BA39+AZ44)</f>
        <v>-376788.97439922148</v>
      </c>
      <c r="BB44" s="9">
        <f t="shared" ref="BB44" si="229">IF(OR(BB43="",BA44=""),"",BB43+BB39+BA44)</f>
        <v>-441942.80767800007</v>
      </c>
      <c r="BC44" s="9">
        <f t="shared" ref="BC44" si="230">IF(OR(BC43="",BB44=""),"",BC43+BC39+BB44)</f>
        <v>-501300.67257787747</v>
      </c>
      <c r="BD44" s="9">
        <f t="shared" ref="BD44" si="231">IF(OR(BD43="",BC44=""),"",BD43+BD39+BC44)</f>
        <v>-575195.8346845553</v>
      </c>
      <c r="BE44" s="9">
        <f t="shared" ref="BE44" si="232">IF(OR(BE43="",BD44=""),"",BE43+BE39+BD44)</f>
        <v>-667322.06571849552</v>
      </c>
      <c r="BF44" s="9">
        <f t="shared" ref="BF44" si="233">IF(OR(BF43="",BE44=""),"",BF43+BF39+BE44)</f>
        <v>-757989.07043032942</v>
      </c>
      <c r="BG44" s="9">
        <f t="shared" ref="BG44" si="234">IF(OR(BG43="",BF44=""),"",BG43+BG39+BF44)</f>
        <v>-844122.33365665388</v>
      </c>
      <c r="BH44" s="9">
        <f t="shared" ref="BH44:BW44" si="235">IF(OR(BH43="",BG44=""),"",BH43+BH39+BG44)</f>
        <v>-914137.17709792149</v>
      </c>
      <c r="BI44" s="9">
        <f t="shared" si="235"/>
        <v>-984048.25651329942</v>
      </c>
      <c r="BJ44" s="9">
        <f t="shared" si="235"/>
        <v>-1064661.473673129</v>
      </c>
      <c r="BK44" s="9">
        <f t="shared" si="235"/>
        <v>-1160622.2549492628</v>
      </c>
      <c r="BL44" s="9">
        <f t="shared" si="235"/>
        <v>-1158682.7993277556</v>
      </c>
      <c r="BM44" s="9">
        <f t="shared" si="235"/>
        <v>-1055916.3436728702</v>
      </c>
      <c r="BN44" s="9">
        <f t="shared" si="235"/>
        <v>-973806.82805990009</v>
      </c>
      <c r="BO44" s="9">
        <f t="shared" si="235"/>
        <v>-892497.64911046531</v>
      </c>
      <c r="BP44" s="9">
        <f t="shared" si="235"/>
        <v>-795152.84048332169</v>
      </c>
      <c r="BQ44" s="9">
        <f t="shared" si="235"/>
        <v>-680187.34274477814</v>
      </c>
      <c r="BR44" s="9">
        <f t="shared" si="235"/>
        <v>-564411.90671694197</v>
      </c>
      <c r="BS44" s="9">
        <f t="shared" si="235"/>
        <v>-448052.26950988488</v>
      </c>
      <c r="BT44" s="9">
        <f t="shared" si="235"/>
        <v>-351535.95611226268</v>
      </c>
      <c r="BU44" s="9">
        <f t="shared" si="235"/>
        <v>-265964.82622026303</v>
      </c>
      <c r="BV44" s="9">
        <f t="shared" si="235"/>
        <v>-163983.94983303716</v>
      </c>
      <c r="BW44" s="9">
        <f t="shared" si="235"/>
        <v>-44325.68502601565</v>
      </c>
    </row>
    <row r="45" spans="1:75" s="5" customFormat="1" ht="8.25" hidden="1" customHeight="1" outlineLevel="1" x14ac:dyDescent="0.3">
      <c r="A45" s="44"/>
      <c r="B45" s="13"/>
      <c r="C45" s="13"/>
      <c r="D45" s="13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</row>
    <row r="46" spans="1:75" s="5" customFormat="1" ht="15" hidden="1" customHeight="1" outlineLevel="1" x14ac:dyDescent="0.3">
      <c r="A46" s="255" t="s">
        <v>22</v>
      </c>
      <c r="B46" s="17"/>
      <c r="C46" s="32"/>
      <c r="D46" s="32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67">
        <v>905880.95458707912</v>
      </c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</row>
    <row r="47" spans="1:75" s="3" customFormat="1" ht="15" hidden="1" customHeight="1" outlineLevel="1" x14ac:dyDescent="0.3">
      <c r="A47" s="255"/>
      <c r="B47" s="17" t="s">
        <v>28</v>
      </c>
      <c r="C47" s="32"/>
      <c r="D47" s="32"/>
      <c r="E47" s="22">
        <f>IF('M2 Allocations - TD'!D7="","",'M2 Allocations - TD'!D33)</f>
        <v>0</v>
      </c>
      <c r="F47" s="22">
        <f>IF('M2 Allocations - TD'!E7="","",'M2 Allocations - TD'!E33)</f>
        <v>0</v>
      </c>
      <c r="G47" s="22">
        <f>IF('M2 Allocations - TD'!F7="","",'M2 Allocations - TD'!F33)</f>
        <v>0</v>
      </c>
      <c r="H47" s="22">
        <f>IF('M2 Allocations - TD'!G7="","",'M2 Allocations - TD'!G33)</f>
        <v>6853.38</v>
      </c>
      <c r="I47" s="22">
        <f>IF('M2 Allocations - TD'!H7="","",'M2 Allocations - TD'!H33)</f>
        <v>24493.5</v>
      </c>
      <c r="J47" s="22">
        <f>IF('M2 Allocations - TD'!I7="","",'M2 Allocations - TD'!I33)</f>
        <v>33902.946879751129</v>
      </c>
      <c r="K47" s="22">
        <f>IF('M2 Allocations - TD'!J7="","",'M2 Allocations - TD'!J33)</f>
        <v>57130.941306139037</v>
      </c>
      <c r="L47" s="22">
        <f>IF('M2 Allocations - TD'!K7="","",'M2 Allocations - TD'!K33)</f>
        <v>48568.434840680449</v>
      </c>
      <c r="M47" s="22">
        <f>IF('M2 Allocations - TD'!L7="","",'M2 Allocations - TD'!L33)</f>
        <v>56402.832716238408</v>
      </c>
      <c r="N47" s="22">
        <f>IF('M2 Allocations - TD'!M7="","",'M2 Allocations - TD'!M33)</f>
        <v>76416.403445979842</v>
      </c>
      <c r="O47" s="22">
        <f>IF('M2 Allocations - TD'!N7="","",'M2 Allocations - TD'!N33)</f>
        <v>98464.472713338357</v>
      </c>
      <c r="P47" s="22">
        <f>IF('M2 Allocations - TD'!O7="","",'M2 Allocations - TD'!O33)</f>
        <v>92820.247439449406</v>
      </c>
      <c r="Q47" s="22">
        <f>IF('M2 Allocations - TD'!P7="","",'M2 Allocations - TD'!P33)</f>
        <v>115878.51859125202</v>
      </c>
      <c r="R47" s="22">
        <f>IF('M2 Allocations - TD'!Q7="","",'M2 Allocations - TD'!Q33)</f>
        <v>64178.344243350926</v>
      </c>
      <c r="S47" s="22">
        <f>IF('M2 Allocations - TD'!R7="","",'M2 Allocations - TD'!R33)</f>
        <v>102867.21859456625</v>
      </c>
      <c r="T47" s="22">
        <f>IF('M2 Allocations - TD'!S7="","",'M2 Allocations - TD'!S33)</f>
        <v>225026.10782354834</v>
      </c>
      <c r="U47" s="22">
        <f>IF('M2 Allocations - TD'!T7="","",'M2 Allocations - TD'!T33)</f>
        <v>332206.05000000005</v>
      </c>
      <c r="V47" s="22">
        <f>IF('M2 Allocations - TD'!U7="","",'M2 Allocations - TD'!U33)</f>
        <v>326565.43828407576</v>
      </c>
      <c r="W47" s="22">
        <f>IF('M2 Allocations - TD'!V7="","",'M2 Allocations - TD'!V33)</f>
        <v>357152.1332604558</v>
      </c>
      <c r="X47" s="22">
        <f>IF('M2 Allocations - TD'!W7="","",'M2 Allocations - TD'!W33)</f>
        <v>233165.34998028661</v>
      </c>
      <c r="Y47" s="22">
        <f>IF('M2 Allocations - TD'!X7="","",'M2 Allocations - TD'!X33)</f>
        <v>242735.19909115109</v>
      </c>
      <c r="Z47" s="22">
        <f>IF('M2 Allocations - TD'!Y7="","",'M2 Allocations - TD'!Y33)</f>
        <v>270260.8911173091</v>
      </c>
      <c r="AA47" s="22">
        <f>IF('M2 Allocations - TD'!Z7="","",'M2 Allocations - TD'!Z33)</f>
        <v>318931.98735694966</v>
      </c>
      <c r="AB47" s="22">
        <f>IF('M2 Allocations - TD'!AA7="","",'M2 Allocations - TD'!AA33)</f>
        <v>278425.9450890508</v>
      </c>
      <c r="AC47" s="22">
        <f>IF('M2 Allocations - TD'!AB7="","",'M2 Allocations - TD'!AB33)</f>
        <v>325174.04680208978</v>
      </c>
      <c r="AD47" s="22">
        <f>IF('M2 Allocations - TD'!AC7="","",'M2 Allocations - TD'!AC33)</f>
        <v>343158.29248776339</v>
      </c>
      <c r="AE47" s="22">
        <f>IF('M2 Allocations - TD'!AD7="","",'M2 Allocations - TD'!AD33)</f>
        <v>457118.03014316031</v>
      </c>
      <c r="AF47" s="22">
        <f>IF('M2 Allocations - TD'!AE7="","",'M2 Allocations - TD'!AE33)</f>
        <v>886825.58305134752</v>
      </c>
      <c r="AG47" s="22">
        <f>IF('M2 Allocations - TD'!AF7="","",'M2 Allocations - TD'!AF33)</f>
        <v>1197518.2821251666</v>
      </c>
      <c r="AH47" s="22">
        <f>IF('M2 Allocations - TD'!AG7="","",'M2 Allocations - TD'!AG33)</f>
        <v>1030275.3853313371</v>
      </c>
      <c r="AI47" s="22">
        <f>IF('M2 Allocations - TD'!AH7="","",'M2 Allocations - TD'!AH33)</f>
        <v>1033786.813176945</v>
      </c>
      <c r="AJ47" s="22">
        <f>IF('M2 Allocations - TD'!AI7="","",'M2 Allocations - TD'!AI33)</f>
        <v>565137.42472021224</v>
      </c>
      <c r="AK47" s="22">
        <f>IF('M2 Allocations - TD'!AJ7="","",'M2 Allocations - TD'!AJ33)</f>
        <v>515386.54786655982</v>
      </c>
      <c r="AL47" s="22">
        <f>IF('M2 Allocations - TD'!AK7="","",'M2 Allocations - TD'!AK33)</f>
        <v>600621.60749234632</v>
      </c>
      <c r="AM47" s="22">
        <f>IF('M2 Allocations - TD'!AL7="","",'M2 Allocations - TD'!AL33)</f>
        <v>677840.83886779845</v>
      </c>
      <c r="AN47" s="22">
        <f>IF('M2 Allocations - TD'!AM7="","",'M2 Allocations - TD'!AM33)</f>
        <v>590569.34077565547</v>
      </c>
      <c r="AO47" s="22">
        <f>IF('M2 Allocations - TD'!AN7="","",'M2 Allocations - TD'!AN33)</f>
        <v>785533.21729427099</v>
      </c>
      <c r="AP47" s="22">
        <f>IF('M2 Allocations - TD'!AO7="","",'M2 Allocations - TD'!AO33)</f>
        <v>759722.89069128735</v>
      </c>
      <c r="AQ47" s="22">
        <f>IF('M2 Allocations - TD'!AP7="","",'M2 Allocations - TD'!AP33)</f>
        <v>730573.86433008127</v>
      </c>
      <c r="AR47" s="22">
        <f>IF('M2 Allocations - TD'!AQ7="","",'M2 Allocations - TD'!AQ33)</f>
        <v>1701261.2984572235</v>
      </c>
      <c r="AS47" s="22">
        <f>IF('M2 Allocations - TD'!AR7="","",'M2 Allocations - TD'!AR33)</f>
        <v>2138329.3142225798</v>
      </c>
      <c r="AT47" s="22">
        <f>IF('M2 Allocations - TD'!AS7="","",'M2 Allocations - TD'!AS33)</f>
        <v>1807748.5219926799</v>
      </c>
      <c r="AU47" s="22">
        <f>IF('M2 Allocations - TD'!AT7="","",'M2 Allocations - TD'!AT33)</f>
        <v>1650674.4488178033</v>
      </c>
      <c r="AV47" s="22">
        <f>IF('M2 Allocations - TD'!AU7="","",'M2 Allocations - TD'!AU33)</f>
        <v>846164.39074269368</v>
      </c>
      <c r="AW47" s="22">
        <f>IF('M2 Allocations - TD'!AV7="","",'M2 Allocations - TD'!AV33)</f>
        <v>722912.52035272913</v>
      </c>
      <c r="AX47" s="22">
        <f>IF('M2 Allocations - TD'!AW7="","",'M2 Allocations - TD'!AW33)</f>
        <v>787449.04813982907</v>
      </c>
      <c r="AY47" s="22">
        <f>IF('M2 Allocations - TD'!AX7="","",'M2 Allocations - TD'!AX33)</f>
        <v>821876.98404895363</v>
      </c>
      <c r="AZ47" s="22">
        <f>IF('M2 Allocations - TD'!AY7="","",'M2 Allocations - TD'!AY33)</f>
        <v>663143.00246334542</v>
      </c>
      <c r="BA47" s="22">
        <f>IF('M2 Allocations - TD'!AZ7="","",'M2 Allocations - TD'!AZ33)</f>
        <v>717865.1381538827</v>
      </c>
      <c r="BB47" s="22">
        <f>IF('M2 Allocations - TD'!BA7="","",'M2 Allocations - TD'!BA33)</f>
        <v>2286.3100000023842</v>
      </c>
      <c r="BC47" s="22">
        <f>IF('M2 Allocations - TD'!BB7="","",'M2 Allocations - TD'!BB33)</f>
        <v>1973.3555017490889</v>
      </c>
      <c r="BD47" s="22">
        <f>IF('M2 Allocations - TD'!BC7="","",'M2 Allocations - TD'!BC33)</f>
        <v>12223.310000002384</v>
      </c>
      <c r="BE47" s="22">
        <f>IF('M2 Allocations - TD'!BD7="","",'M2 Allocations - TD'!BD33)</f>
        <v>22853.179999999702</v>
      </c>
      <c r="BF47" s="22">
        <f>IF('M2 Allocations - TD'!BE7="","",'M2 Allocations - TD'!BE33)</f>
        <v>20540.269999999553</v>
      </c>
      <c r="BG47" s="22">
        <f>IF('M2 Allocations - TD'!BF7="","",'M2 Allocations - TD'!BF33)</f>
        <v>15022.210000000894</v>
      </c>
      <c r="BH47" s="22">
        <f>IF('M2 Allocations - TD'!BG7="","",'M2 Allocations - TD'!BG33)</f>
        <v>6711.089999999851</v>
      </c>
      <c r="BI47" s="22">
        <f>IF('M2 Allocations - TD'!BH7="","",'M2 Allocations - TD'!BH33)</f>
        <v>6702.839999999851</v>
      </c>
      <c r="BJ47" s="22">
        <f>IF('M2 Allocations - TD'!BI7="","",'M2 Allocations - TD'!BI33)</f>
        <v>8127.0399999991059</v>
      </c>
      <c r="BK47" s="22">
        <f>IF('M2 Allocations - TD'!BJ7="","",'M2 Allocations - TD'!BJ33)</f>
        <v>8329.3000000007451</v>
      </c>
      <c r="BL47" s="22">
        <f>IF('M2 Allocations - TD'!BK7="","",'M2 Allocations - TD'!BK33)</f>
        <v>8800.269999999553</v>
      </c>
      <c r="BM47" s="22">
        <f>IF('M2 Allocations - TD'!BL7="","",'M2 Allocations - TD'!BL33)</f>
        <v>10333.070000000298</v>
      </c>
      <c r="BN47" s="22">
        <f>IF('M2 Allocations - TD'!BM7="","",'M2 Allocations - TD'!BM33)</f>
        <v>8760.0100000016391</v>
      </c>
      <c r="BO47" s="22">
        <f>IF('M2 Allocations - TD'!BN7="","",'M2 Allocations - TD'!BN33)</f>
        <v>11044.909999996424</v>
      </c>
      <c r="BP47" s="22">
        <f>IF('M2 Allocations - TD'!BO7="","",'M2 Allocations - TD'!BO33)</f>
        <v>31907.310000002384</v>
      </c>
      <c r="BQ47" s="22">
        <f>IF('M2 Allocations - TD'!BP7="","",'M2 Allocations - TD'!BP33)</f>
        <v>40946.179999999702</v>
      </c>
      <c r="BR47" s="22">
        <f>IF('M2 Allocations - TD'!BQ7="","",'M2 Allocations - TD'!BQ33)</f>
        <v>36410.359999999404</v>
      </c>
      <c r="BS47" s="22">
        <f>IF('M2 Allocations - TD'!BR7="","",'M2 Allocations - TD'!BR33)</f>
        <v>22318.39999999851</v>
      </c>
      <c r="BT47" s="22">
        <f>IF('M2 Allocations - TD'!BS7="","",'M2 Allocations - TD'!BS33)</f>
        <v>8944.2900000028312</v>
      </c>
      <c r="BU47" s="22">
        <f>IF('M2 Allocations - TD'!BT7="","",'M2 Allocations - TD'!BT33)</f>
        <v>9312.65</v>
      </c>
      <c r="BV47" s="22">
        <f>IF('M2 Allocations - TD'!BU7="","",'M2 Allocations - TD'!BU33)</f>
        <v>11751.72</v>
      </c>
      <c r="BW47" s="22">
        <f>IF('M2 Allocations - TD'!BV7="","",'M2 Allocations - TD'!BV33)</f>
        <v>12005.31</v>
      </c>
    </row>
    <row r="48" spans="1:75" s="5" customFormat="1" ht="15" hidden="1" customHeight="1" outlineLevel="1" x14ac:dyDescent="0.3">
      <c r="A48" s="255"/>
      <c r="B48" s="18" t="s">
        <v>26</v>
      </c>
      <c r="C48" s="26"/>
      <c r="D48" s="26"/>
      <c r="E48" s="24">
        <v>0</v>
      </c>
      <c r="F48" s="24">
        <v>0</v>
      </c>
      <c r="G48" s="24">
        <v>2460.2199999999998</v>
      </c>
      <c r="H48" s="24">
        <v>40611.43</v>
      </c>
      <c r="I48" s="24">
        <v>46133.34</v>
      </c>
      <c r="J48" s="24">
        <v>46227.56</v>
      </c>
      <c r="K48" s="24">
        <v>46423.360000000001</v>
      </c>
      <c r="L48" s="24">
        <v>40852.160000000003</v>
      </c>
      <c r="M48" s="24">
        <v>37249.85</v>
      </c>
      <c r="N48" s="24">
        <v>38727.83</v>
      </c>
      <c r="O48" s="24">
        <v>63808.639999999999</v>
      </c>
      <c r="P48" s="24">
        <f>327646.54+7266.21</f>
        <v>334912.75</v>
      </c>
      <c r="Q48" s="24">
        <f>311663.08+196.57</f>
        <v>311859.65000000002</v>
      </c>
      <c r="R48" s="22">
        <f>IF('M2 Allocations - TD'!Q52="","",'M2 Allocations - TD'!Q70)</f>
        <v>297067.25661237026</v>
      </c>
      <c r="S48" s="22">
        <f>IF('M2 Allocations - TD'!R52="","",'M2 Allocations - TD'!R70)</f>
        <v>306858.76704664429</v>
      </c>
      <c r="T48" s="22">
        <f>IF('M2 Allocations - TD'!S52="","",'M2 Allocations - TD'!S70)</f>
        <v>347930.82125503593</v>
      </c>
      <c r="U48" s="22">
        <f>IF('M2 Allocations - TD'!T52="","",'M2 Allocations - TD'!T70)</f>
        <v>377801.41744412482</v>
      </c>
      <c r="V48" s="22">
        <f>IF('M2 Allocations - TD'!U52="","",'M2 Allocations - TD'!U70)</f>
        <v>384838.10767902108</v>
      </c>
      <c r="W48" s="22">
        <f>IF('M2 Allocations - TD'!V52="","",'M2 Allocations - TD'!V70)</f>
        <v>363327.24534638016</v>
      </c>
      <c r="X48" s="22">
        <f>IF('M2 Allocations - TD'!W52="","",'M2 Allocations - TD'!W70)</f>
        <v>349151.70540680212</v>
      </c>
      <c r="Y48" s="22">
        <f>IF('M2 Allocations - TD'!X52="","",'M2 Allocations - TD'!X70)</f>
        <v>312029.63241835893</v>
      </c>
      <c r="Z48" s="22">
        <f>IF('M2 Allocations - TD'!Y52="","",'M2 Allocations - TD'!Y70)</f>
        <v>324930.27431740938</v>
      </c>
      <c r="AA48" s="22">
        <f>IF('M2 Allocations - TD'!Z52="","",'M2 Allocations - TD'!Z70)</f>
        <v>389339.8693849984</v>
      </c>
      <c r="AB48" s="22">
        <f>IF('M2 Allocations - TD'!AA52="","",'M2 Allocations - TD'!AA70)</f>
        <v>556625.86</v>
      </c>
      <c r="AC48" s="22">
        <f>IF('M2 Allocations - TD'!AB52="","",'M2 Allocations - TD'!AB70)</f>
        <v>519727.84944586566</v>
      </c>
      <c r="AD48" s="22">
        <f>IF('M2 Allocations - TD'!AC52="","",'M2 Allocations - TD'!AC70)</f>
        <v>524323.57207482436</v>
      </c>
      <c r="AE48" s="22">
        <f>IF('M2 Allocations - TD'!AD52="","",'M2 Allocations - TD'!AD70)</f>
        <v>522730.47478252684</v>
      </c>
      <c r="AF48" s="22">
        <f>IF('M2 Allocations - TD'!AE52="","",'M2 Allocations - TD'!AE70)</f>
        <v>623624.8655420111</v>
      </c>
      <c r="AG48" s="22">
        <f>IF('M2 Allocations - TD'!AF52="","",'M2 Allocations - TD'!AF70)</f>
        <v>661725.50586693978</v>
      </c>
      <c r="AH48" s="22">
        <f>IF('M2 Allocations - TD'!AG52="","",'M2 Allocations - TD'!AG70)</f>
        <v>626757.48216571088</v>
      </c>
      <c r="AI48" s="22">
        <f>IF('M2 Allocations - TD'!AH52="","",'M2 Allocations - TD'!AH70)</f>
        <v>638007.84216665139</v>
      </c>
      <c r="AJ48" s="22">
        <f>IF('M2 Allocations - TD'!AI52="","",'M2 Allocations - TD'!AI70)</f>
        <v>579490.47761485481</v>
      </c>
      <c r="AK48" s="22">
        <f>IF('M2 Allocations - TD'!AJ52="","",'M2 Allocations - TD'!AJ70)</f>
        <v>513641.84877388977</v>
      </c>
      <c r="AL48" s="22">
        <f>IF('M2 Allocations - TD'!AK52="","",'M2 Allocations - TD'!AK70)</f>
        <v>557457.11362508603</v>
      </c>
      <c r="AM48" s="22">
        <f>IF('M2 Allocations - TD'!AL52="","",'M2 Allocations - TD'!AL70)</f>
        <v>608808.22123092401</v>
      </c>
      <c r="AN48" s="22">
        <f>IF('M2 Allocations - TD'!AM52="","",'M2 Allocations - TD'!AM70)</f>
        <v>1107018.1450648431</v>
      </c>
      <c r="AO48" s="22">
        <f>IF('M2 Allocations - TD'!AN52="","",'M2 Allocations - TD'!AN70)</f>
        <v>1050923.1514029966</v>
      </c>
      <c r="AP48" s="22">
        <f>IF('M2 Allocations - TD'!AO52="","",'M2 Allocations - TD'!AO70)</f>
        <v>946394.49189445085</v>
      </c>
      <c r="AQ48" s="22">
        <f>IF('M2 Allocations - TD'!AP52="","",'M2 Allocations - TD'!AP70)</f>
        <v>980269.66694109701</v>
      </c>
      <c r="AR48" s="22">
        <f>IF('M2 Allocations - TD'!AQ52="","",'M2 Allocations - TD'!AQ70)</f>
        <v>1091122.5576982794</v>
      </c>
      <c r="AS48" s="22">
        <f>IF('M2 Allocations - TD'!AR52="","",'M2 Allocations - TD'!AR70)</f>
        <v>1173345.4165751</v>
      </c>
      <c r="AT48" s="22">
        <f>IF('M2 Allocations - TD'!AS52="","",'M2 Allocations - TD'!AS70)</f>
        <v>1200301.9882335844</v>
      </c>
      <c r="AU48" s="22">
        <f>IF('M2 Allocations - TD'!AT52="","",'M2 Allocations - TD'!AT70)</f>
        <v>1212308.9277305761</v>
      </c>
      <c r="AV48" s="22">
        <f>IF('M2 Allocations - TD'!AU52="","",'M2 Allocations - TD'!AU70)</f>
        <v>1113467.1918631792</v>
      </c>
      <c r="AW48" s="22">
        <f>IF('M2 Allocations - TD'!AV52="","",'M2 Allocations - TD'!AV70)</f>
        <v>981117.22422696999</v>
      </c>
      <c r="AX48" s="22">
        <f>IF('M2 Allocations - TD'!AW52="","",'M2 Allocations - TD'!AW70)</f>
        <v>1062930.0447087046</v>
      </c>
      <c r="AY48" s="22">
        <f>IF('M2 Allocations - TD'!AX52="","",'M2 Allocations - TD'!AX70)</f>
        <v>1099098.7608177634</v>
      </c>
      <c r="AZ48" s="22">
        <f>IF('M2 Allocations - TD'!AY52="","",'M2 Allocations - TD'!AY70)</f>
        <v>764411.39598139795</v>
      </c>
      <c r="BA48" s="22">
        <f>IF('M2 Allocations - TD'!AZ52="","",'M2 Allocations - TD'!AZ70)</f>
        <v>318623.73714683513</v>
      </c>
      <c r="BB48" s="22">
        <f>IF('M2 Allocations - TD'!BA52="","",'M2 Allocations - TD'!BA70)</f>
        <v>268197.12227908301</v>
      </c>
      <c r="BC48" s="22">
        <f>IF('M2 Allocations - TD'!BB52="","",'M2 Allocations - TD'!BB70)</f>
        <v>249075.16076692482</v>
      </c>
      <c r="BD48" s="22">
        <f>IF('M2 Allocations - TD'!BC52="","",'M2 Allocations - TD'!BC70)</f>
        <v>296551.86746010336</v>
      </c>
      <c r="BE48" s="22">
        <f>IF('M2 Allocations - TD'!BD52="","",'M2 Allocations - TD'!BD70)</f>
        <v>346227.00320999854</v>
      </c>
      <c r="BF48" s="22">
        <f>IF('M2 Allocations - TD'!BE52="","",'M2 Allocations - TD'!BE70)</f>
        <v>344571.98080537363</v>
      </c>
      <c r="BG48" s="22">
        <f>IF('M2 Allocations - TD'!BF52="","",'M2 Allocations - TD'!BF70)</f>
        <v>343418.65957003599</v>
      </c>
      <c r="BH48" s="22">
        <f>IF('M2 Allocations - TD'!BG52="","",'M2 Allocations - TD'!BG70)</f>
        <v>293034.59528354992</v>
      </c>
      <c r="BI48" s="22">
        <f>IF('M2 Allocations - TD'!BH52="","",'M2 Allocations - TD'!BH70)</f>
        <v>285307.32387214003</v>
      </c>
      <c r="BJ48" s="22">
        <f>IF('M2 Allocations - TD'!BI52="","",'M2 Allocations - TD'!BI70)</f>
        <v>306551.46210147406</v>
      </c>
      <c r="BK48" s="22">
        <f>IF('M2 Allocations - TD'!BJ52="","",'M2 Allocations - TD'!BJ70)</f>
        <v>328395.30665898882</v>
      </c>
      <c r="BL48" s="22">
        <f>IF('M2 Allocations - TD'!BK52="","",'M2 Allocations - TD'!BK70)</f>
        <v>129041.97894362173</v>
      </c>
      <c r="BM48" s="22">
        <f>IF('M2 Allocations - TD'!BL52="","",'M2 Allocations - TD'!BL70)</f>
        <v>-116248.37555983226</v>
      </c>
      <c r="BN48" s="22">
        <f>IF('M2 Allocations - TD'!BM52="","",'M2 Allocations - TD'!BM70)</f>
        <v>-104613.38045356744</v>
      </c>
      <c r="BO48" s="22">
        <f>IF('M2 Allocations - TD'!BN52="","",'M2 Allocations - TD'!BN70)</f>
        <v>-106758.31587632833</v>
      </c>
      <c r="BP48" s="22">
        <f>IF('M2 Allocations - TD'!BO52="","",'M2 Allocations - TD'!BO70)</f>
        <v>-119183.41184852651</v>
      </c>
      <c r="BQ48" s="22">
        <f>IF('M2 Allocations - TD'!BP52="","",'M2 Allocations - TD'!BP70)</f>
        <v>-138596.39079341319</v>
      </c>
      <c r="BR48" s="22">
        <f>IF('M2 Allocations - TD'!BQ52="","",'M2 Allocations - TD'!BQ70)</f>
        <v>-137793.28735156739</v>
      </c>
      <c r="BS48" s="22">
        <f>IF('M2 Allocations - TD'!BR52="","",'M2 Allocations - TD'!BR70)</f>
        <v>-140452.99254978076</v>
      </c>
      <c r="BT48" s="22">
        <f>IF('M2 Allocations - TD'!BS52="","",'M2 Allocations - TD'!BS70)</f>
        <v>-123659.88827741763</v>
      </c>
      <c r="BU48" s="22">
        <f>IF('M2 Allocations - TD'!BT52="","",'M2 Allocations - TD'!BT70)</f>
        <v>-112248.85347716155</v>
      </c>
      <c r="BV48" s="22">
        <f>IF('M2 Allocations - TD'!BU52="","",'M2 Allocations - TD'!BU70)</f>
        <v>-120979.45863564272</v>
      </c>
      <c r="BW48" s="22">
        <f>IF('M2 Allocations - TD'!BV52="","",'M2 Allocations - TD'!BV70)</f>
        <v>-132099.30925276288</v>
      </c>
    </row>
    <row r="49" spans="1:75" s="5" customFormat="1" ht="15" hidden="1" customHeight="1" outlineLevel="1" x14ac:dyDescent="0.3">
      <c r="A49" s="255"/>
      <c r="B49" s="18" t="s">
        <v>47</v>
      </c>
      <c r="C49" s="26"/>
      <c r="D49" s="26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>
        <f>+'M2 TD amort'!C22</f>
        <v>0</v>
      </c>
      <c r="P49" s="24">
        <f>IF(P48="","",-'M2 TD amort'!D22)</f>
        <v>-71898.7</v>
      </c>
      <c r="Q49" s="24">
        <f>IF(Q48="","",-'M2 TD amort'!E22)</f>
        <v>-66949.69</v>
      </c>
      <c r="R49" s="22">
        <f>IF(R48="","",-'M2 TD amort'!F22)</f>
        <v>-65784.28</v>
      </c>
      <c r="S49" s="22">
        <f>IF(S48="","",-'M2 TD amort'!G22)</f>
        <v>-67640.86</v>
      </c>
      <c r="T49" s="22">
        <f>IF(T48="","",-'M2 TD amort'!H22)</f>
        <v>-76671.17</v>
      </c>
      <c r="U49" s="22">
        <f>IF(U48="","",-'M2 TD amort'!I22)</f>
        <v>-83492.649999999994</v>
      </c>
      <c r="V49" s="22">
        <f>IF(V48="","",-'M2 TD amort'!J22)</f>
        <v>-85057.91</v>
      </c>
      <c r="W49" s="22">
        <f>IF(W48="","",-'M2 TD amort'!K22)</f>
        <v>-80184.02</v>
      </c>
      <c r="X49" s="22">
        <f>IF(X48="","",-'M2 TD amort'!L22)</f>
        <v>-76993.81</v>
      </c>
      <c r="Y49" s="22">
        <f>IF(Y48="","",-'M2 TD amort'!M22)</f>
        <v>-69111.11</v>
      </c>
      <c r="Z49" s="22">
        <f>IF(Z48="","",-'M2 TD amort'!N22)</f>
        <v>-72387.59</v>
      </c>
      <c r="AA49" s="22">
        <f>IF(AA48="","",-'M2 TD amort'!O22)</f>
        <v>-87183.75</v>
      </c>
      <c r="AB49" s="22">
        <f>IF(AB48="","",-'M2 TD amort'!P22)</f>
        <v>41861.18</v>
      </c>
      <c r="AC49" s="22">
        <f>IF(AC48="","",-'M2 TD amort'!Q22)</f>
        <v>39019.480000000003</v>
      </c>
      <c r="AD49" s="22">
        <f>IF(AD48="","",-'M2 TD amort'!R22)</f>
        <v>39371.050000000003</v>
      </c>
      <c r="AE49" s="22">
        <f>IF(AE48="","",-'M2 TD amort'!S22)</f>
        <v>39036.15</v>
      </c>
      <c r="AF49" s="22">
        <f>IF(AF48="","",-'M2 TD amort'!T22)</f>
        <v>46545.52</v>
      </c>
      <c r="AG49" s="22">
        <f>IF(AG48="","",-'M2 TD amort'!U22)</f>
        <v>49426.59</v>
      </c>
      <c r="AH49" s="22">
        <f>IF(AH48="","",-'M2 TD amort'!V22)</f>
        <v>46776.66</v>
      </c>
      <c r="AI49" s="22">
        <f>IF(AI48="","",-'M2 TD amort'!W22)</f>
        <v>47596.959999999999</v>
      </c>
      <c r="AJ49" s="22">
        <f>IF(AJ48="","",-'M2 TD amort'!X22)</f>
        <v>43247.34</v>
      </c>
      <c r="AK49" s="22">
        <f>IF(AK48="","",-'M2 TD amort'!Y22)</f>
        <v>38462.730000000003</v>
      </c>
      <c r="AL49" s="22">
        <f>IF(AL48="","",-'M2 TD amort'!Z22)</f>
        <v>41888.32</v>
      </c>
      <c r="AM49" s="22">
        <f>IF(AM48="","",-'M2 TD amort'!AA22)</f>
        <v>45748.6</v>
      </c>
      <c r="AN49" s="22">
        <f>IF(AN48="","",-'M2 TD amort'!AB22)</f>
        <v>-39945.300000000003</v>
      </c>
      <c r="AO49" s="22">
        <f>IF(AO48="","",-'M2 TD amort'!AC22)</f>
        <v>-37916.46</v>
      </c>
      <c r="AP49" s="22">
        <f>IF(AP48="","",-'M2 TD amort'!AD22)</f>
        <v>-34074.25</v>
      </c>
      <c r="AQ49" s="22">
        <f>IF(AQ48="","",-'M2 TD amort'!AE22)</f>
        <v>-35217.550000000003</v>
      </c>
      <c r="AR49" s="22">
        <f>IF(AR48="","",-'M2 TD amort'!AF22)</f>
        <v>-39184.730000000003</v>
      </c>
      <c r="AS49" s="22">
        <f>IF(AS48="","",-'M2 TD amort'!AG22)</f>
        <v>-42158.83</v>
      </c>
      <c r="AT49" s="22">
        <f>IF(AT48="","",-'M2 TD amort'!AH22)</f>
        <v>-43134.47</v>
      </c>
      <c r="AU49" s="22">
        <f>IF(AU48="","",-'M2 TD amort'!AI22)</f>
        <v>-43546.37</v>
      </c>
      <c r="AV49" s="22">
        <f>IF(AV48="","",-'M2 TD amort'!AJ22)</f>
        <v>-39985.99</v>
      </c>
      <c r="AW49" s="22">
        <f>IF(AW48="","",-'M2 TD amort'!AK22)</f>
        <v>-35295.050000000003</v>
      </c>
      <c r="AX49" s="22">
        <f>IF(AX48="","",-'M2 TD amort'!AL22)</f>
        <v>-38295.129999999997</v>
      </c>
      <c r="AY49" s="22">
        <f>IF(AY48="","",-'M2 TD amort'!AM22)</f>
        <v>-39611.050000000003</v>
      </c>
      <c r="AZ49" s="22">
        <f>IF(AZ48="","",-'M2 TD amort'!AN22)</f>
        <v>-135781.93</v>
      </c>
      <c r="BA49" s="22">
        <f>IF(BA48="","",-'M2 TD amort'!AO22)</f>
        <v>-56245.39</v>
      </c>
      <c r="BB49" s="22">
        <f>IF(BB48="","",-'M2 TD amort'!AP22)</f>
        <v>-47316.91</v>
      </c>
      <c r="BC49" s="22">
        <f>IF(BC48="","",-'M2 TD amort'!AQ22)</f>
        <v>-43930.2</v>
      </c>
      <c r="BD49" s="22">
        <f>IF(BD48="","",-'M2 TD amort'!AR22)</f>
        <v>-52291.199999999997</v>
      </c>
      <c r="BE49" s="22">
        <f>IF(BE48="","",-'M2 TD amort'!AS22)</f>
        <v>-61054.93</v>
      </c>
      <c r="BF49" s="22">
        <f>IF(BF48="","",-'M2 TD amort'!AT22)</f>
        <v>-60755.16</v>
      </c>
      <c r="BG49" s="22">
        <f>IF(BG48="","",-'M2 TD amort'!AU22)</f>
        <v>-60542.36</v>
      </c>
      <c r="BH49" s="22">
        <f>IF(BH48="","",-'M2 TD amort'!AV22)</f>
        <v>-51660.87</v>
      </c>
      <c r="BI49" s="22">
        <f>IF(BI48="","",-'M2 TD amort'!AW22)</f>
        <v>-50317.66</v>
      </c>
      <c r="BJ49" s="22">
        <f>IF(BJ48="","",-'M2 TD amort'!AX22)</f>
        <v>-54088.43</v>
      </c>
      <c r="BK49" s="22">
        <f>IF(BK48="","",-'M2 TD amort'!AY22)</f>
        <v>-57968.47</v>
      </c>
      <c r="BL49" s="22">
        <f>IF(BL48="","",-'M2 TD amort'!AZ22)</f>
        <v>-155185.29</v>
      </c>
      <c r="BM49" s="22">
        <f>IF(BM48="","",-'M2 TD amort'!BA22)</f>
        <v>144151.20000000001</v>
      </c>
      <c r="BN49" s="22">
        <f>IF(BN48="","",-'M2 TD amort'!BB22)</f>
        <v>129139.73</v>
      </c>
      <c r="BO49" s="22">
        <f>IF(BO48="","",-'M2 TD amort'!BC22)</f>
        <v>131496.01999999999</v>
      </c>
      <c r="BP49" s="22">
        <f>IF(BP48="","",-'M2 TD amort'!BD22)</f>
        <v>146683.67000000001</v>
      </c>
      <c r="BQ49" s="22">
        <f>IF(BQ48="","",-'M2 TD amort'!BE22)</f>
        <v>170727.8</v>
      </c>
      <c r="BR49" s="22">
        <f>IF(BR48="","",-'M2 TD amort'!BF22)</f>
        <v>169792.6</v>
      </c>
      <c r="BS49" s="22">
        <f>IF(BS48="","",-'M2 TD amort'!BG22)</f>
        <v>173041.64</v>
      </c>
      <c r="BT49" s="22">
        <f>IF(BT48="","",-'M2 TD amort'!BH22)</f>
        <v>152089.43</v>
      </c>
      <c r="BU49" s="22">
        <f>IF(BU48="","",-'M2 TD amort'!BI22)</f>
        <v>138201.09</v>
      </c>
      <c r="BV49" s="22">
        <f>IF(BV48="","",-'M2 TD amort'!BJ22)</f>
        <v>149387.29</v>
      </c>
      <c r="BW49" s="22">
        <f>IF(BW48="","",-'M2 TD amort'!BK22)</f>
        <v>163383.66</v>
      </c>
    </row>
    <row r="50" spans="1:75" s="5" customFormat="1" ht="15" hidden="1" customHeight="1" outlineLevel="1" x14ac:dyDescent="0.3">
      <c r="A50" s="255"/>
      <c r="B50" s="18" t="s">
        <v>48</v>
      </c>
      <c r="C50" s="26"/>
      <c r="D50" s="26"/>
      <c r="E50" s="9"/>
      <c r="F50" s="9"/>
      <c r="G50" s="9"/>
      <c r="H50" s="9"/>
      <c r="I50" s="9"/>
      <c r="J50" s="9"/>
      <c r="K50" s="9"/>
      <c r="L50" s="9"/>
      <c r="M50" s="9"/>
      <c r="N50" s="9"/>
      <c r="O50" s="9">
        <f>IF(OR(O49="",O48=""),"",O48+O49)</f>
        <v>63808.639999999999</v>
      </c>
      <c r="P50" s="9">
        <f t="shared" ref="P50" si="236">IF(OR(P49="",P48=""),"",P48+P49)</f>
        <v>263014.05</v>
      </c>
      <c r="Q50" s="9">
        <f t="shared" ref="Q50" si="237">IF(OR(Q49="",Q48=""),"",Q48+Q49)</f>
        <v>244909.96000000002</v>
      </c>
      <c r="R50" s="9">
        <f t="shared" ref="R50" si="238">IF(OR(R49="",R48=""),"",R48+R49)</f>
        <v>231282.97661237026</v>
      </c>
      <c r="S50" s="9">
        <f t="shared" ref="S50" si="239">IF(OR(S49="",S48=""),"",S48+S49)</f>
        <v>239217.90704664431</v>
      </c>
      <c r="T50" s="9">
        <f t="shared" ref="T50" si="240">IF(OR(T49="",T48=""),"",T48+T49)</f>
        <v>271259.65125503595</v>
      </c>
      <c r="U50" s="9">
        <f t="shared" ref="U50" si="241">IF(OR(U49="",U48=""),"",U48+U49)</f>
        <v>294308.76744412479</v>
      </c>
      <c r="V50" s="9">
        <f t="shared" ref="V50" si="242">IF(OR(V49="",V48=""),"",V48+V49)</f>
        <v>299780.19767902105</v>
      </c>
      <c r="W50" s="9">
        <f t="shared" ref="W50" si="243">IF(OR(W49="",W48=""),"",W48+W49)</f>
        <v>283143.22534638015</v>
      </c>
      <c r="X50" s="9">
        <f t="shared" ref="X50" si="244">IF(OR(X49="",X48=""),"",X48+X49)</f>
        <v>272157.89540680213</v>
      </c>
      <c r="Y50" s="9">
        <f t="shared" ref="Y50" si="245">IF(OR(Y49="",Y48=""),"",Y48+Y49)</f>
        <v>242918.52241835895</v>
      </c>
      <c r="Z50" s="9">
        <f t="shared" ref="Z50" si="246">IF(OR(Z49="",Z48=""),"",Z48+Z49)</f>
        <v>252542.68431740938</v>
      </c>
      <c r="AA50" s="9">
        <f t="shared" ref="AA50" si="247">IF(OR(AA49="",AA48=""),"",AA48+AA49)</f>
        <v>302156.1193849984</v>
      </c>
      <c r="AB50" s="9">
        <f t="shared" ref="AB50" si="248">IF(OR(AB49="",AB48=""),"",AB48+AB49)</f>
        <v>598487.04000000004</v>
      </c>
      <c r="AC50" s="9">
        <f t="shared" ref="AC50" si="249">IF(OR(AC49="",AC48=""),"",AC48+AC49)</f>
        <v>558747.3294458657</v>
      </c>
      <c r="AD50" s="9">
        <f t="shared" ref="AD50" si="250">IF(OR(AD49="",AD48=""),"",AD48+AD49)</f>
        <v>563694.62207482441</v>
      </c>
      <c r="AE50" s="9">
        <f t="shared" ref="AE50" si="251">IF(OR(AE49="",AE48=""),"",AE48+AE49)</f>
        <v>561766.62478252687</v>
      </c>
      <c r="AF50" s="9">
        <f t="shared" ref="AF50" si="252">IF(OR(AF49="",AF48=""),"",AF48+AF49)</f>
        <v>670170.38554201112</v>
      </c>
      <c r="AG50" s="9">
        <f t="shared" ref="AG50" si="253">IF(OR(AG49="",AG48=""),"",AG48+AG49)</f>
        <v>711152.09586693975</v>
      </c>
      <c r="AH50" s="9">
        <f t="shared" ref="AH50" si="254">IF(OR(AH49="",AH48=""),"",AH48+AH49)</f>
        <v>673534.14216571092</v>
      </c>
      <c r="AI50" s="9">
        <f t="shared" ref="AI50" si="255">IF(OR(AI49="",AI48=""),"",AI48+AI49)</f>
        <v>685604.80216665135</v>
      </c>
      <c r="AJ50" s="9">
        <f t="shared" ref="AJ50" si="256">IF(OR(AJ49="",AJ48=""),"",AJ48+AJ49)</f>
        <v>622737.81761485478</v>
      </c>
      <c r="AK50" s="9">
        <f t="shared" ref="AK50" si="257">IF(OR(AK49="",AK48=""),"",AK48+AK49)</f>
        <v>552104.57877388981</v>
      </c>
      <c r="AL50" s="9">
        <f t="shared" ref="AL50" si="258">IF(OR(AL49="",AL48=""),"",AL48+AL49)</f>
        <v>599345.43362508598</v>
      </c>
      <c r="AM50" s="9">
        <f t="shared" ref="AM50:BW50" si="259">IF(OR(AM49="",AM48=""),"",AM48+AM49)</f>
        <v>654556.82123092399</v>
      </c>
      <c r="AN50" s="9">
        <f t="shared" si="259"/>
        <v>1067072.8450648431</v>
      </c>
      <c r="AO50" s="9">
        <f t="shared" si="259"/>
        <v>1013006.6914029967</v>
      </c>
      <c r="AP50" s="9">
        <f t="shared" si="259"/>
        <v>912320.24189445085</v>
      </c>
      <c r="AQ50" s="9">
        <f t="shared" si="259"/>
        <v>945052.11694109696</v>
      </c>
      <c r="AR50" s="9">
        <f t="shared" si="259"/>
        <v>1051937.8276982794</v>
      </c>
      <c r="AS50" s="9">
        <f t="shared" si="259"/>
        <v>1131186.5865751</v>
      </c>
      <c r="AT50" s="9">
        <f t="shared" si="259"/>
        <v>1157167.5182335845</v>
      </c>
      <c r="AU50" s="9">
        <f t="shared" si="259"/>
        <v>1168762.557730576</v>
      </c>
      <c r="AV50" s="9">
        <f t="shared" si="259"/>
        <v>1073481.2018631792</v>
      </c>
      <c r="AW50" s="9">
        <f t="shared" si="259"/>
        <v>945822.17422696995</v>
      </c>
      <c r="AX50" s="9">
        <f t="shared" si="259"/>
        <v>1024634.9147087046</v>
      </c>
      <c r="AY50" s="9">
        <f t="shared" si="259"/>
        <v>1059487.7108177633</v>
      </c>
      <c r="AZ50" s="9">
        <f t="shared" si="259"/>
        <v>628629.46598139801</v>
      </c>
      <c r="BA50" s="9">
        <f t="shared" si="259"/>
        <v>262378.34714683512</v>
      </c>
      <c r="BB50" s="9">
        <f t="shared" si="259"/>
        <v>220880.212279083</v>
      </c>
      <c r="BC50" s="9">
        <f t="shared" si="259"/>
        <v>205144.96076692484</v>
      </c>
      <c r="BD50" s="9">
        <f t="shared" si="259"/>
        <v>244260.66746010334</v>
      </c>
      <c r="BE50" s="9">
        <f t="shared" si="259"/>
        <v>285172.07320999855</v>
      </c>
      <c r="BF50" s="9">
        <f t="shared" si="259"/>
        <v>283816.8208053736</v>
      </c>
      <c r="BG50" s="9">
        <f t="shared" si="259"/>
        <v>282876.299570036</v>
      </c>
      <c r="BH50" s="9">
        <f t="shared" si="259"/>
        <v>241373.72528354992</v>
      </c>
      <c r="BI50" s="9">
        <f t="shared" si="259"/>
        <v>234989.66387214002</v>
      </c>
      <c r="BJ50" s="9">
        <f t="shared" si="259"/>
        <v>252463.03210147406</v>
      </c>
      <c r="BK50" s="9">
        <f t="shared" si="259"/>
        <v>270426.83665898885</v>
      </c>
      <c r="BL50" s="9">
        <f t="shared" si="259"/>
        <v>-26143.311056378283</v>
      </c>
      <c r="BM50" s="9">
        <f t="shared" si="259"/>
        <v>27902.824440167751</v>
      </c>
      <c r="BN50" s="9">
        <f t="shared" si="259"/>
        <v>24526.349546432553</v>
      </c>
      <c r="BO50" s="9">
        <f t="shared" si="259"/>
        <v>24737.704123671661</v>
      </c>
      <c r="BP50" s="9">
        <f t="shared" si="259"/>
        <v>27500.258151473507</v>
      </c>
      <c r="BQ50" s="9">
        <f t="shared" si="259"/>
        <v>32131.409206586803</v>
      </c>
      <c r="BR50" s="9">
        <f t="shared" si="259"/>
        <v>31999.31264843262</v>
      </c>
      <c r="BS50" s="9">
        <f t="shared" si="259"/>
        <v>32588.647450219258</v>
      </c>
      <c r="BT50" s="9">
        <f t="shared" si="259"/>
        <v>28429.541722582362</v>
      </c>
      <c r="BU50" s="9">
        <f t="shared" si="259"/>
        <v>25952.236522838444</v>
      </c>
      <c r="BV50" s="9">
        <f t="shared" si="259"/>
        <v>28407.831364357291</v>
      </c>
      <c r="BW50" s="9">
        <f t="shared" si="259"/>
        <v>31284.350747237128</v>
      </c>
    </row>
    <row r="51" spans="1:75" s="5" customFormat="1" hidden="1" outlineLevel="1" x14ac:dyDescent="0.3">
      <c r="A51" s="255"/>
      <c r="B51" s="18" t="s">
        <v>13</v>
      </c>
      <c r="C51" s="26"/>
      <c r="D51" s="26"/>
      <c r="E51" s="9">
        <f t="shared" ref="E51:N51" si="260">IF(OR(E48="",E47=""),"",E47-E48)</f>
        <v>0</v>
      </c>
      <c r="F51" s="9">
        <f t="shared" si="260"/>
        <v>0</v>
      </c>
      <c r="G51" s="9">
        <f t="shared" si="260"/>
        <v>-2460.2199999999998</v>
      </c>
      <c r="H51" s="9">
        <f t="shared" si="260"/>
        <v>-33758.050000000003</v>
      </c>
      <c r="I51" s="9">
        <f t="shared" si="260"/>
        <v>-21639.839999999997</v>
      </c>
      <c r="J51" s="9">
        <f t="shared" si="260"/>
        <v>-12324.613120248869</v>
      </c>
      <c r="K51" s="9">
        <f t="shared" si="260"/>
        <v>10707.581306139036</v>
      </c>
      <c r="L51" s="9">
        <f t="shared" si="260"/>
        <v>7716.2748406804458</v>
      </c>
      <c r="M51" s="9">
        <f t="shared" si="260"/>
        <v>19152.98271623841</v>
      </c>
      <c r="N51" s="9">
        <f t="shared" si="260"/>
        <v>37688.57344597984</v>
      </c>
      <c r="O51" s="9">
        <f>IF(OR(O50="",O47=""),"",O47-O50)</f>
        <v>34655.832713338357</v>
      </c>
      <c r="P51" s="9">
        <f t="shared" ref="P51:AM51" si="261">IF(OR(P50="",P47=""),"",P47-P50)</f>
        <v>-170193.80256055057</v>
      </c>
      <c r="Q51" s="9">
        <f t="shared" si="261"/>
        <v>-129031.441408748</v>
      </c>
      <c r="R51" s="9">
        <f t="shared" si="261"/>
        <v>-167104.63236901932</v>
      </c>
      <c r="S51" s="9">
        <f t="shared" si="261"/>
        <v>-136350.68845207806</v>
      </c>
      <c r="T51" s="9">
        <f t="shared" si="261"/>
        <v>-46233.543431487604</v>
      </c>
      <c r="U51" s="9">
        <f t="shared" si="261"/>
        <v>37897.282555875252</v>
      </c>
      <c r="V51" s="9">
        <f t="shared" si="261"/>
        <v>26785.240605054714</v>
      </c>
      <c r="W51" s="9">
        <f t="shared" si="261"/>
        <v>74008.907914075651</v>
      </c>
      <c r="X51" s="9">
        <f t="shared" si="261"/>
        <v>-38992.545426515513</v>
      </c>
      <c r="Y51" s="9">
        <f t="shared" si="261"/>
        <v>-183.32332720785053</v>
      </c>
      <c r="Z51" s="9">
        <f t="shared" si="261"/>
        <v>17718.206799899723</v>
      </c>
      <c r="AA51" s="9">
        <f t="shared" si="261"/>
        <v>16775.867971951258</v>
      </c>
      <c r="AB51" s="9">
        <f t="shared" si="261"/>
        <v>-320061.09491094924</v>
      </c>
      <c r="AC51" s="9">
        <f t="shared" si="261"/>
        <v>-233573.28264377592</v>
      </c>
      <c r="AD51" s="9">
        <f t="shared" si="261"/>
        <v>-220536.32958706102</v>
      </c>
      <c r="AE51" s="9">
        <f t="shared" si="261"/>
        <v>-104648.59463936655</v>
      </c>
      <c r="AF51" s="9">
        <f t="shared" si="261"/>
        <v>216655.1975093364</v>
      </c>
      <c r="AG51" s="9">
        <f t="shared" si="261"/>
        <v>486366.18625822687</v>
      </c>
      <c r="AH51" s="9">
        <f t="shared" si="261"/>
        <v>356741.24316562619</v>
      </c>
      <c r="AI51" s="9">
        <f t="shared" si="261"/>
        <v>348182.01101029362</v>
      </c>
      <c r="AJ51" s="9">
        <f t="shared" si="261"/>
        <v>-57600.392894642544</v>
      </c>
      <c r="AK51" s="9">
        <f t="shared" si="261"/>
        <v>-36718.030907329987</v>
      </c>
      <c r="AL51" s="9">
        <f t="shared" si="261"/>
        <v>1276.1738672603387</v>
      </c>
      <c r="AM51" s="9">
        <f t="shared" si="261"/>
        <v>23284.017636874458</v>
      </c>
      <c r="AN51" s="9">
        <f t="shared" ref="AN51:BW51" si="262">IF(OR(AN50="",AN47=""),"",AN47-AN50)</f>
        <v>-476503.50428918761</v>
      </c>
      <c r="AO51" s="9">
        <f t="shared" si="262"/>
        <v>-227473.47410872567</v>
      </c>
      <c r="AP51" s="9">
        <f t="shared" si="262"/>
        <v>-152597.3512031635</v>
      </c>
      <c r="AQ51" s="9">
        <f t="shared" si="262"/>
        <v>-214478.25261101569</v>
      </c>
      <c r="AR51" s="9">
        <f t="shared" si="262"/>
        <v>649323.47075894405</v>
      </c>
      <c r="AS51" s="9">
        <f t="shared" si="262"/>
        <v>1007142.7276474799</v>
      </c>
      <c r="AT51" s="9">
        <f t="shared" si="262"/>
        <v>650581.00375909545</v>
      </c>
      <c r="AU51" s="9">
        <f t="shared" si="262"/>
        <v>481911.89108722727</v>
      </c>
      <c r="AV51" s="9">
        <f t="shared" si="262"/>
        <v>-227316.81112048554</v>
      </c>
      <c r="AW51" s="9">
        <f t="shared" si="262"/>
        <v>-222909.65387424082</v>
      </c>
      <c r="AX51" s="9">
        <f t="shared" si="262"/>
        <v>-237185.8665688755</v>
      </c>
      <c r="AY51" s="9">
        <f t="shared" si="262"/>
        <v>-237610.72676880972</v>
      </c>
      <c r="AZ51" s="9">
        <f t="shared" si="262"/>
        <v>34513.536481947405</v>
      </c>
      <c r="BA51" s="9">
        <f t="shared" si="262"/>
        <v>455486.79100704758</v>
      </c>
      <c r="BB51" s="9">
        <f t="shared" si="262"/>
        <v>-218593.90227908062</v>
      </c>
      <c r="BC51" s="9">
        <f t="shared" si="262"/>
        <v>-203171.60526517575</v>
      </c>
      <c r="BD51" s="9">
        <f t="shared" si="262"/>
        <v>-232037.35746010096</v>
      </c>
      <c r="BE51" s="9">
        <f t="shared" si="262"/>
        <v>-262318.89320999885</v>
      </c>
      <c r="BF51" s="9">
        <f t="shared" si="262"/>
        <v>-263276.55080537405</v>
      </c>
      <c r="BG51" s="9">
        <f t="shared" si="262"/>
        <v>-267854.08957003511</v>
      </c>
      <c r="BH51" s="9">
        <f t="shared" si="262"/>
        <v>-234662.63528355007</v>
      </c>
      <c r="BI51" s="9">
        <f t="shared" si="262"/>
        <v>-228286.82387214017</v>
      </c>
      <c r="BJ51" s="9">
        <f t="shared" si="262"/>
        <v>-244335.99210147496</v>
      </c>
      <c r="BK51" s="9">
        <f t="shared" si="262"/>
        <v>-262097.5366589881</v>
      </c>
      <c r="BL51" s="9">
        <f t="shared" si="262"/>
        <v>34943.581056377836</v>
      </c>
      <c r="BM51" s="9">
        <f t="shared" si="262"/>
        <v>-17569.754440167453</v>
      </c>
      <c r="BN51" s="9">
        <f t="shared" si="262"/>
        <v>-15766.339546430914</v>
      </c>
      <c r="BO51" s="9">
        <f t="shared" si="262"/>
        <v>-13692.794123675238</v>
      </c>
      <c r="BP51" s="9">
        <f t="shared" si="262"/>
        <v>4407.0518485288776</v>
      </c>
      <c r="BQ51" s="9">
        <f t="shared" si="262"/>
        <v>8814.7707934128994</v>
      </c>
      <c r="BR51" s="9">
        <f t="shared" si="262"/>
        <v>4411.0473515667836</v>
      </c>
      <c r="BS51" s="9">
        <f t="shared" si="262"/>
        <v>-10270.247450220748</v>
      </c>
      <c r="BT51" s="9">
        <f t="shared" si="262"/>
        <v>-19485.251722579531</v>
      </c>
      <c r="BU51" s="9">
        <f t="shared" si="262"/>
        <v>-16639.586522838443</v>
      </c>
      <c r="BV51" s="9">
        <f t="shared" si="262"/>
        <v>-16656.11136435729</v>
      </c>
      <c r="BW51" s="9">
        <f t="shared" si="262"/>
        <v>-19279.04074723713</v>
      </c>
    </row>
    <row r="52" spans="1:75" s="5" customFormat="1" hidden="1" outlineLevel="1" x14ac:dyDescent="0.3">
      <c r="A52" s="255"/>
      <c r="B52" s="19" t="s">
        <v>8</v>
      </c>
      <c r="C52" s="30"/>
      <c r="D52" s="30"/>
      <c r="E52" s="9">
        <f t="shared" ref="E52:N52" si="263">IF(OR(E9="",E51=""),"",(E51+D54)*E9/12)</f>
        <v>0</v>
      </c>
      <c r="F52" s="9">
        <f t="shared" si="263"/>
        <v>0</v>
      </c>
      <c r="G52" s="9">
        <f t="shared" si="263"/>
        <v>-1.5495162622333332</v>
      </c>
      <c r="H52" s="9">
        <f t="shared" si="263"/>
        <v>-18.904391499220328</v>
      </c>
      <c r="I52" s="9">
        <f t="shared" si="263"/>
        <v>-30.340087896858321</v>
      </c>
      <c r="J52" s="9">
        <f t="shared" si="263"/>
        <v>-44.748466039367251</v>
      </c>
      <c r="K52" s="9">
        <f t="shared" si="263"/>
        <v>-37.502709666462287</v>
      </c>
      <c r="L52" s="9">
        <f t="shared" si="263"/>
        <v>-32.872229045923085</v>
      </c>
      <c r="M52" s="9">
        <f t="shared" si="263"/>
        <v>-20.868673648039628</v>
      </c>
      <c r="N52" s="9">
        <f t="shared" si="263"/>
        <v>3.925714633838659</v>
      </c>
      <c r="O52" s="10">
        <f>IF(OR(O9="",O51=""),"",(O49+O51+N54)*O9/12)</f>
        <v>29.666746157027216</v>
      </c>
      <c r="P52" s="10">
        <f>IF(OR(P9="",P51=""),"",(P49+P51+O54+P46)*P9/12)</f>
        <v>527.5303352365413</v>
      </c>
      <c r="Q52" s="10">
        <f t="shared" ref="Q52:AM52" si="264">IF(OR(Q9="",Q51=""),"",(Q49+Q51+P54)*Q9/12)</f>
        <v>486.75683844013219</v>
      </c>
      <c r="R52" s="10">
        <f t="shared" si="264"/>
        <v>264.03810605666047</v>
      </c>
      <c r="S52" s="10">
        <f t="shared" si="264"/>
        <v>68.799241975056603</v>
      </c>
      <c r="T52" s="10">
        <f t="shared" si="264"/>
        <v>-59.978345968477406</v>
      </c>
      <c r="U52" s="10">
        <f t="shared" si="264"/>
        <v>-112.16077847929522</v>
      </c>
      <c r="V52" s="10">
        <f t="shared" si="264"/>
        <v>-189.58901591149342</v>
      </c>
      <c r="W52" s="10">
        <f t="shared" si="264"/>
        <v>-194.85380221735295</v>
      </c>
      <c r="X52" s="10">
        <f t="shared" si="264"/>
        <v>-335.66340871323001</v>
      </c>
      <c r="Y52" s="10">
        <f t="shared" si="264"/>
        <v>-417.54411625669201</v>
      </c>
      <c r="Z52" s="10">
        <f t="shared" si="264"/>
        <v>-594.6513173750152</v>
      </c>
      <c r="AA52" s="10">
        <f t="shared" si="264"/>
        <v>-676.64979570680418</v>
      </c>
      <c r="AB52" s="10">
        <f t="shared" si="264"/>
        <v>-1145.6213357305476</v>
      </c>
      <c r="AC52" s="10">
        <f t="shared" si="264"/>
        <v>-1622.4924484479159</v>
      </c>
      <c r="AD52" s="10">
        <f t="shared" si="264"/>
        <v>-2177.7529458384515</v>
      </c>
      <c r="AE52" s="10">
        <f t="shared" si="264"/>
        <v>-2196.055673068317</v>
      </c>
      <c r="AF52" s="10">
        <f t="shared" si="264"/>
        <v>-1780.9076789998578</v>
      </c>
      <c r="AG52" s="10">
        <f t="shared" si="264"/>
        <v>-789.21302857668149</v>
      </c>
      <c r="AH52" s="10">
        <f t="shared" si="264"/>
        <v>-1.4723605345587236</v>
      </c>
      <c r="AI52" s="10">
        <f t="shared" si="264"/>
        <v>766.65104231200587</v>
      </c>
      <c r="AJ52" s="10">
        <f t="shared" si="264"/>
        <v>781.11189243826402</v>
      </c>
      <c r="AK52" s="10">
        <f t="shared" si="264"/>
        <v>808.58682932986676</v>
      </c>
      <c r="AL52" s="10">
        <f t="shared" si="264"/>
        <v>982.3062995736251</v>
      </c>
      <c r="AM52" s="10">
        <f t="shared" si="264"/>
        <v>1190.7922085434036</v>
      </c>
      <c r="AN52" s="10">
        <f t="shared" ref="AN52" si="265">IF(OR(AN9="",AN51=""),"",(AN49+AN51+AM54)*AN9/12)</f>
        <v>-40.979461694536845</v>
      </c>
      <c r="AO52" s="10">
        <f t="shared" ref="AO52" si="266">IF(OR(AO9="",AO51=""),"",(AO49+AO51+AN54)*AO9/12)</f>
        <v>-656.86449522344037</v>
      </c>
      <c r="AP52" s="10">
        <f t="shared" ref="AP52" si="267">IF(OR(AP9="",AP51=""),"",(AP49+AP51+AO54)*AP9/12)</f>
        <v>-1042.8842992710304</v>
      </c>
      <c r="AQ52" s="10">
        <f t="shared" ref="AQ52" si="268">IF(OR(AQ9="",AQ51=""),"",(AQ49+AQ51+AP54)*AQ9/12)</f>
        <v>-1608.2259340456974</v>
      </c>
      <c r="AR52" s="10">
        <f t="shared" ref="AR52" si="269">IF(OR(AR9="",AR51=""),"",(AR49+AR51+AQ54)*AR9/12)</f>
        <v>-247.95795683516053</v>
      </c>
      <c r="AS52" s="10">
        <f t="shared" ref="AS52" si="270">IF(OR(AS9="",AS51=""),"",(AS49+AS51+AR54)*AS9/12)</f>
        <v>1843.341972866099</v>
      </c>
      <c r="AT52" s="10">
        <f t="shared" ref="AT52" si="271">IF(OR(AT9="",AT51=""),"",(AT49+AT51+AS54)*AT9/12)</f>
        <v>2864.0342708477115</v>
      </c>
      <c r="AU52" s="10">
        <f t="shared" ref="AU52" si="272">IF(OR(AU9="",AU51=""),"",(AU49+AU51+AT54)*AU9/12)</f>
        <v>3515.5400413965067</v>
      </c>
      <c r="AV52" s="10">
        <f t="shared" ref="AV52" si="273">IF(OR(AV9="",AV51=""),"",(AV49+AV51+AU54)*AV9/12)</f>
        <v>2887.6094026440933</v>
      </c>
      <c r="AW52" s="10">
        <f t="shared" ref="AW52" si="274">IF(OR(AW9="",AW51=""),"",(AW49+AW51+AV54)*AW9/12)</f>
        <v>2094.2447951894328</v>
      </c>
      <c r="AX52" s="10">
        <f t="shared" ref="AX52" si="275">IF(OR(AX9="",AX51=""),"",(AX49+AX51+AW54)*AX9/12)</f>
        <v>1772.3312675428433</v>
      </c>
      <c r="AY52" s="10">
        <f t="shared" ref="AY52" si="276">IF(OR(AY9="",AY51=""),"",(AY49+AY51+AX54)*AY9/12)</f>
        <v>1314.5375710958215</v>
      </c>
      <c r="AZ52" s="10">
        <f t="shared" ref="AZ52" si="277">IF(OR(AZ9="",AZ51=""),"",(AZ49+AZ51+AY54)*AZ9/12)</f>
        <v>1104.8156210230293</v>
      </c>
      <c r="BA52" s="10">
        <f t="shared" ref="BA52" si="278">IF(OR(BA9="",BA51=""),"",(BA49+BA51+AZ54)*BA9/12)</f>
        <v>1786.9648898729204</v>
      </c>
      <c r="BB52" s="10">
        <f t="shared" ref="BB52" si="279">IF(OR(BB9="",BB51=""),"",(BB49+BB51+BA54)*BB9/12)</f>
        <v>681.40243134752825</v>
      </c>
      <c r="BC52" s="10">
        <f t="shared" ref="BC52" si="280">IF(OR(BC9="",BC51=""),"",(BC49+BC51+BB54)*BC9/12)</f>
        <v>67.209757498420615</v>
      </c>
      <c r="BD52" s="10">
        <f t="shared" ref="BD52" si="281">IF(OR(BD9="",BD51=""),"",(BD49+BD51+BC54)*BD9/12)</f>
        <v>35.660479476362262</v>
      </c>
      <c r="BE52" s="10">
        <f t="shared" ref="BE52" si="282">IF(OR(BE9="",BE51=""),"",(BE49+BE51+BD54)*BE9/12)</f>
        <v>2.7892288867433432</v>
      </c>
      <c r="BF52" s="10">
        <f t="shared" ref="BF52" si="283">IF(OR(BF9="",BF51=""),"",(BF49+BF51+BE54)*BF9/12)</f>
        <v>-34.914078157991433</v>
      </c>
      <c r="BG52" s="10">
        <f t="shared" ref="BG52" si="284">IF(OR(BG9="",BG51=""),"",(BG49+BG51+BF54)*BG9/12)</f>
        <v>-65.590525310840874</v>
      </c>
      <c r="BH52" s="10">
        <f t="shared" ref="BH52:BW52" si="285">IF(OR(BH9="",BH51=""),"",(BH49+BH51+BG54)*BH9/12)</f>
        <v>-153.5943993905278</v>
      </c>
      <c r="BI52" s="10">
        <f t="shared" si="285"/>
        <v>-252.51225972469396</v>
      </c>
      <c r="BJ52" s="10">
        <f t="shared" si="285"/>
        <v>-355.63683511169074</v>
      </c>
      <c r="BK52" s="10">
        <f t="shared" si="285"/>
        <v>-312.54504051092721</v>
      </c>
      <c r="BL52" s="10">
        <f t="shared" si="285"/>
        <v>-375.41309181071557</v>
      </c>
      <c r="BM52" s="10">
        <f t="shared" si="285"/>
        <v>-322.96313599808968</v>
      </c>
      <c r="BN52" s="10">
        <f t="shared" si="285"/>
        <v>-319.05948263713418</v>
      </c>
      <c r="BO52" s="10">
        <f t="shared" si="285"/>
        <v>-295.89638063216751</v>
      </c>
      <c r="BP52" s="10">
        <f t="shared" si="285"/>
        <v>-240.7206599987627</v>
      </c>
      <c r="BQ52" s="10">
        <f t="shared" si="285"/>
        <v>-145.72869542682304</v>
      </c>
      <c r="BR52" s="10">
        <f t="shared" si="285"/>
        <v>-184.43221396673536</v>
      </c>
      <c r="BS52" s="10">
        <f t="shared" si="285"/>
        <v>-147.5809188506916</v>
      </c>
      <c r="BT52" s="10">
        <f t="shared" si="285"/>
        <v>-98.004816040377037</v>
      </c>
      <c r="BU52" s="10">
        <f t="shared" si="285"/>
        <v>-82.8218787077369</v>
      </c>
      <c r="BV52" s="10">
        <f t="shared" si="285"/>
        <v>-66.24083411312003</v>
      </c>
      <c r="BW52" s="10">
        <f t="shared" si="285"/>
        <v>-48.236036810788811</v>
      </c>
    </row>
    <row r="53" spans="1:75" s="5" customFormat="1" hidden="1" outlineLevel="1" x14ac:dyDescent="0.3">
      <c r="A53" s="255"/>
      <c r="B53" s="18" t="s">
        <v>14</v>
      </c>
      <c r="C53" s="26"/>
      <c r="D53" s="26"/>
      <c r="E53" s="9">
        <f t="shared" ref="E53:N53" si="286">IF(OR(E51="",E52=""),"",E51+E52)</f>
        <v>0</v>
      </c>
      <c r="F53" s="9">
        <f t="shared" si="286"/>
        <v>0</v>
      </c>
      <c r="G53" s="9">
        <f t="shared" si="286"/>
        <v>-2461.7695162622331</v>
      </c>
      <c r="H53" s="9">
        <f t="shared" si="286"/>
        <v>-33776.954391499225</v>
      </c>
      <c r="I53" s="9">
        <f t="shared" si="286"/>
        <v>-21670.180087896853</v>
      </c>
      <c r="J53" s="9">
        <f t="shared" si="286"/>
        <v>-12369.361586288236</v>
      </c>
      <c r="K53" s="9">
        <f t="shared" si="286"/>
        <v>10670.078596472575</v>
      </c>
      <c r="L53" s="9">
        <f t="shared" si="286"/>
        <v>7683.4026116345231</v>
      </c>
      <c r="M53" s="9">
        <f t="shared" si="286"/>
        <v>19132.114042590369</v>
      </c>
      <c r="N53" s="9">
        <f t="shared" si="286"/>
        <v>37692.499160613683</v>
      </c>
      <c r="O53" s="9">
        <f>IF(OR(O51="",O52=""),"",O51+O52)</f>
        <v>34685.499459495382</v>
      </c>
      <c r="P53" s="9">
        <f>IF(OR(P51="",P52=""),"",P51+P52)</f>
        <v>-169666.27222531402</v>
      </c>
      <c r="Q53" s="9">
        <f t="shared" ref="Q53:AM53" si="287">IF(OR(Q51="",Q52=""),"",Q51+Q52)</f>
        <v>-128544.68457030786</v>
      </c>
      <c r="R53" s="9">
        <f t="shared" si="287"/>
        <v>-166840.59426296267</v>
      </c>
      <c r="S53" s="9">
        <f t="shared" si="287"/>
        <v>-136281.88921010299</v>
      </c>
      <c r="T53" s="9">
        <f t="shared" si="287"/>
        <v>-46293.521777456081</v>
      </c>
      <c r="U53" s="9">
        <f t="shared" si="287"/>
        <v>37785.121777395958</v>
      </c>
      <c r="V53" s="9">
        <f t="shared" si="287"/>
        <v>26595.651589143221</v>
      </c>
      <c r="W53" s="9">
        <f t="shared" si="287"/>
        <v>73814.054111858291</v>
      </c>
      <c r="X53" s="9">
        <f t="shared" si="287"/>
        <v>-39328.208835228746</v>
      </c>
      <c r="Y53" s="9">
        <f t="shared" si="287"/>
        <v>-600.86744346454248</v>
      </c>
      <c r="Z53" s="9">
        <f t="shared" si="287"/>
        <v>17123.555482524709</v>
      </c>
      <c r="AA53" s="9">
        <f t="shared" si="287"/>
        <v>16099.218176244454</v>
      </c>
      <c r="AB53" s="9">
        <f t="shared" si="287"/>
        <v>-321206.71624667977</v>
      </c>
      <c r="AC53" s="9">
        <f t="shared" si="287"/>
        <v>-235195.77509222383</v>
      </c>
      <c r="AD53" s="9">
        <f t="shared" si="287"/>
        <v>-222714.08253289945</v>
      </c>
      <c r="AE53" s="9">
        <f t="shared" si="287"/>
        <v>-106844.65031243487</v>
      </c>
      <c r="AF53" s="9">
        <f t="shared" si="287"/>
        <v>214874.28983033655</v>
      </c>
      <c r="AG53" s="9">
        <f t="shared" si="287"/>
        <v>485576.97322965018</v>
      </c>
      <c r="AH53" s="9">
        <f t="shared" si="287"/>
        <v>356739.77080509166</v>
      </c>
      <c r="AI53" s="9">
        <f t="shared" si="287"/>
        <v>348948.66205260565</v>
      </c>
      <c r="AJ53" s="9">
        <f t="shared" si="287"/>
        <v>-56819.281002204283</v>
      </c>
      <c r="AK53" s="9">
        <f t="shared" si="287"/>
        <v>-35909.444078000117</v>
      </c>
      <c r="AL53" s="9">
        <f t="shared" si="287"/>
        <v>2258.4801668339637</v>
      </c>
      <c r="AM53" s="9">
        <f t="shared" si="287"/>
        <v>24474.809845417862</v>
      </c>
      <c r="AN53" s="9">
        <f t="shared" ref="AN53:BW53" si="288">IF(OR(AN51="",AN52=""),"",AN51+AN52)</f>
        <v>-476544.48375088215</v>
      </c>
      <c r="AO53" s="9">
        <f t="shared" si="288"/>
        <v>-228130.33860394912</v>
      </c>
      <c r="AP53" s="9">
        <f t="shared" si="288"/>
        <v>-153640.23550243455</v>
      </c>
      <c r="AQ53" s="9">
        <f t="shared" si="288"/>
        <v>-216086.4785450614</v>
      </c>
      <c r="AR53" s="9">
        <f t="shared" si="288"/>
        <v>649075.51280210889</v>
      </c>
      <c r="AS53" s="9">
        <f t="shared" si="288"/>
        <v>1008986.069620346</v>
      </c>
      <c r="AT53" s="9">
        <f t="shared" si="288"/>
        <v>653445.03802994313</v>
      </c>
      <c r="AU53" s="9">
        <f t="shared" si="288"/>
        <v>485427.43112862378</v>
      </c>
      <c r="AV53" s="9">
        <f t="shared" si="288"/>
        <v>-224429.20171784144</v>
      </c>
      <c r="AW53" s="9">
        <f t="shared" si="288"/>
        <v>-220815.40907905137</v>
      </c>
      <c r="AX53" s="9">
        <f t="shared" si="288"/>
        <v>-235413.53530133265</v>
      </c>
      <c r="AY53" s="9">
        <f t="shared" si="288"/>
        <v>-236296.18919771389</v>
      </c>
      <c r="AZ53" s="9">
        <f t="shared" si="288"/>
        <v>35618.352102970435</v>
      </c>
      <c r="BA53" s="9">
        <f t="shared" si="288"/>
        <v>457273.75589692051</v>
      </c>
      <c r="BB53" s="9">
        <f t="shared" si="288"/>
        <v>-217912.4998477331</v>
      </c>
      <c r="BC53" s="9">
        <f t="shared" si="288"/>
        <v>-203104.39550767734</v>
      </c>
      <c r="BD53" s="9">
        <f t="shared" si="288"/>
        <v>-232001.69698062461</v>
      </c>
      <c r="BE53" s="9">
        <f t="shared" si="288"/>
        <v>-262316.10398111213</v>
      </c>
      <c r="BF53" s="9">
        <f t="shared" si="288"/>
        <v>-263311.46488353203</v>
      </c>
      <c r="BG53" s="9">
        <f t="shared" si="288"/>
        <v>-267919.68009534595</v>
      </c>
      <c r="BH53" s="9">
        <f t="shared" si="288"/>
        <v>-234816.22968294061</v>
      </c>
      <c r="BI53" s="9">
        <f t="shared" si="288"/>
        <v>-228539.33613186487</v>
      </c>
      <c r="BJ53" s="9">
        <f t="shared" si="288"/>
        <v>-244691.62893658664</v>
      </c>
      <c r="BK53" s="9">
        <f t="shared" si="288"/>
        <v>-262410.08169949905</v>
      </c>
      <c r="BL53" s="9">
        <f t="shared" si="288"/>
        <v>34568.167964567117</v>
      </c>
      <c r="BM53" s="9">
        <f t="shared" si="288"/>
        <v>-17892.717576165542</v>
      </c>
      <c r="BN53" s="9">
        <f t="shared" si="288"/>
        <v>-16085.399029068049</v>
      </c>
      <c r="BO53" s="9">
        <f t="shared" si="288"/>
        <v>-13988.690504307406</v>
      </c>
      <c r="BP53" s="9">
        <f t="shared" si="288"/>
        <v>4166.3311885301146</v>
      </c>
      <c r="BQ53" s="9">
        <f t="shared" si="288"/>
        <v>8669.0420979860755</v>
      </c>
      <c r="BR53" s="9">
        <f t="shared" si="288"/>
        <v>4226.615137600048</v>
      </c>
      <c r="BS53" s="9">
        <f t="shared" si="288"/>
        <v>-10417.82836907144</v>
      </c>
      <c r="BT53" s="9">
        <f t="shared" si="288"/>
        <v>-19583.256538619909</v>
      </c>
      <c r="BU53" s="9">
        <f t="shared" si="288"/>
        <v>-16722.408401546181</v>
      </c>
      <c r="BV53" s="9">
        <f t="shared" si="288"/>
        <v>-16722.352198470409</v>
      </c>
      <c r="BW53" s="9">
        <f t="shared" si="288"/>
        <v>-19327.276784047917</v>
      </c>
    </row>
    <row r="54" spans="1:75" s="5" customFormat="1" hidden="1" outlineLevel="1" x14ac:dyDescent="0.3">
      <c r="A54" s="255"/>
      <c r="B54" s="20" t="s">
        <v>17</v>
      </c>
      <c r="C54" s="28"/>
      <c r="D54" s="28"/>
      <c r="E54" s="9">
        <f>E53</f>
        <v>0</v>
      </c>
      <c r="F54" s="9">
        <f>IF(OR(F53="",E54=""),"",F53+E54)</f>
        <v>0</v>
      </c>
      <c r="G54" s="9">
        <f t="shared" ref="G54:N54" si="289">IF(OR(G53="",F54=""),"",G53+F54)</f>
        <v>-2461.7695162622331</v>
      </c>
      <c r="H54" s="9">
        <f t="shared" si="289"/>
        <v>-36238.723907761458</v>
      </c>
      <c r="I54" s="9">
        <f t="shared" si="289"/>
        <v>-57908.903995658315</v>
      </c>
      <c r="J54" s="9">
        <f t="shared" si="289"/>
        <v>-70278.265581946558</v>
      </c>
      <c r="K54" s="9">
        <f t="shared" si="289"/>
        <v>-59608.186985473985</v>
      </c>
      <c r="L54" s="9">
        <f t="shared" si="289"/>
        <v>-51924.784373839459</v>
      </c>
      <c r="M54" s="9">
        <f t="shared" si="289"/>
        <v>-32792.670331249086</v>
      </c>
      <c r="N54" s="9">
        <f t="shared" si="289"/>
        <v>4899.8288293645965</v>
      </c>
      <c r="O54" s="9">
        <f>IF(OR(O53="",N54=""),"",O53+O49+N54)</f>
        <v>39585.328288859979</v>
      </c>
      <c r="P54" s="9">
        <f>IF(OR(P53="",O54=""),"",P53+P49+O54+P46)</f>
        <v>703901.31065062503</v>
      </c>
      <c r="Q54" s="9">
        <f t="shared" ref="Q54" si="290">IF(OR(Q53="",P54=""),"",Q53+Q49+P54)</f>
        <v>508406.93608031719</v>
      </c>
      <c r="R54" s="9">
        <f t="shared" ref="R54" si="291">IF(OR(R53="",Q54=""),"",R53+R49+Q54)</f>
        <v>275782.06181735452</v>
      </c>
      <c r="S54" s="9">
        <f t="shared" ref="S54" si="292">IF(OR(S53="",R54=""),"",S53+S49+R54)</f>
        <v>71859.312607251515</v>
      </c>
      <c r="T54" s="9">
        <f t="shared" ref="T54" si="293">IF(OR(T53="",S54=""),"",T53+T49+S54)</f>
        <v>-51105.379170204571</v>
      </c>
      <c r="U54" s="9">
        <f t="shared" ref="U54" si="294">IF(OR(U53="",T54=""),"",U53+U49+T54)</f>
        <v>-96812.907392808615</v>
      </c>
      <c r="V54" s="9">
        <f t="shared" ref="V54" si="295">IF(OR(V53="",U54=""),"",V53+V49+U54)</f>
        <v>-155275.16580366541</v>
      </c>
      <c r="W54" s="9">
        <f t="shared" ref="W54" si="296">IF(OR(W53="",V54=""),"",W53+W49+V54)</f>
        <v>-161645.13169180712</v>
      </c>
      <c r="X54" s="9">
        <f t="shared" ref="X54" si="297">IF(OR(X53="",W54=""),"",X53+X49+W54)</f>
        <v>-277967.15052703588</v>
      </c>
      <c r="Y54" s="9">
        <f t="shared" ref="Y54" si="298">IF(OR(Y53="",X54=""),"",Y53+Y49+X54)</f>
        <v>-347679.12797050038</v>
      </c>
      <c r="Z54" s="9">
        <f t="shared" ref="Z54" si="299">IF(OR(Z53="",Y54=""),"",Z53+Z49+Y54)</f>
        <v>-402943.16248797567</v>
      </c>
      <c r="AA54" s="9">
        <f t="shared" ref="AA54" si="300">IF(OR(AA53="",Z54=""),"",AA53+AA49+Z54)</f>
        <v>-474027.6943117312</v>
      </c>
      <c r="AB54" s="9">
        <f t="shared" ref="AB54" si="301">IF(OR(AB53="",AA54=""),"",AB53+AB49+AA54)</f>
        <v>-753373.23055841099</v>
      </c>
      <c r="AC54" s="9">
        <f t="shared" ref="AC54" si="302">IF(OR(AC53="",AB54=""),"",AC53+AC49+AB54)</f>
        <v>-949549.52565063478</v>
      </c>
      <c r="AD54" s="9">
        <f t="shared" ref="AD54" si="303">IF(OR(AD53="",AC54=""),"",AD53+AD49+AC54)</f>
        <v>-1132892.5581835343</v>
      </c>
      <c r="AE54" s="9">
        <f t="shared" ref="AE54" si="304">IF(OR(AE53="",AD54=""),"",AE53+AE49+AD54)</f>
        <v>-1200701.058495969</v>
      </c>
      <c r="AF54" s="9">
        <f t="shared" ref="AF54" si="305">IF(OR(AF53="",AE54=""),"",AF53+AF49+AE54)</f>
        <v>-939281.24866563245</v>
      </c>
      <c r="AG54" s="9">
        <f t="shared" ref="AG54" si="306">IF(OR(AG53="",AF54=""),"",AG53+AG49+AF54)</f>
        <v>-404277.6854359823</v>
      </c>
      <c r="AH54" s="9">
        <f t="shared" ref="AH54" si="307">IF(OR(AH53="",AG54=""),"",AH53+AH49+AG54)</f>
        <v>-761.25463089067489</v>
      </c>
      <c r="AI54" s="9">
        <f t="shared" ref="AI54" si="308">IF(OR(AI53="",AH54=""),"",AI53+AI49+AH54)</f>
        <v>395784.367421715</v>
      </c>
      <c r="AJ54" s="9">
        <f t="shared" ref="AJ54" si="309">IF(OR(AJ53="",AI54=""),"",AJ53+AJ49+AI54)</f>
        <v>382212.42641951074</v>
      </c>
      <c r="AK54" s="9">
        <f t="shared" ref="AK54" si="310">IF(OR(AK53="",AJ54=""),"",AK53+AK49+AJ54)</f>
        <v>384765.71234151063</v>
      </c>
      <c r="AL54" s="9">
        <f t="shared" ref="AL54" si="311">IF(OR(AL53="",AK54=""),"",AL53+AL49+AK54)</f>
        <v>428912.5125083446</v>
      </c>
      <c r="AM54" s="9">
        <f t="shared" ref="AM54" si="312">IF(OR(AM53="",AL54=""),"",AM53+AM49+AL54)</f>
        <v>499135.92235376243</v>
      </c>
      <c r="AN54" s="9">
        <f t="shared" ref="AN54" si="313">IF(OR(AN53="",AM54=""),"",AN53+AN49+AM54)</f>
        <v>-17353.861397119705</v>
      </c>
      <c r="AO54" s="9">
        <f t="shared" ref="AO54" si="314">IF(OR(AO53="",AN54=""),"",AO53+AO49+AN54)</f>
        <v>-283400.66000106884</v>
      </c>
      <c r="AP54" s="9">
        <f t="shared" ref="AP54" si="315">IF(OR(AP53="",AO54=""),"",AP53+AP49+AO54)</f>
        <v>-471115.14550350339</v>
      </c>
      <c r="AQ54" s="9">
        <f t="shared" ref="AQ54" si="316">IF(OR(AQ53="",AP54=""),"",AQ53+AQ49+AP54)</f>
        <v>-722419.17404856486</v>
      </c>
      <c r="AR54" s="9">
        <f t="shared" ref="AR54" si="317">IF(OR(AR53="",AQ54=""),"",AR53+AR49+AQ54)</f>
        <v>-112528.39124645595</v>
      </c>
      <c r="AS54" s="9">
        <f t="shared" ref="AS54" si="318">IF(OR(AS53="",AR54=""),"",AS53+AS49+AR54)</f>
        <v>854298.84837389004</v>
      </c>
      <c r="AT54" s="9">
        <f t="shared" ref="AT54" si="319">IF(OR(AT53="",AS54=""),"",AT53+AT49+AS54)</f>
        <v>1464609.4164038333</v>
      </c>
      <c r="AU54" s="9">
        <f t="shared" ref="AU54" si="320">IF(OR(AU53="",AT54=""),"",AU53+AU49+AT54)</f>
        <v>1906490.4775324571</v>
      </c>
      <c r="AV54" s="9">
        <f t="shared" ref="AV54" si="321">IF(OR(AV53="",AU54=""),"",AV53+AV49+AU54)</f>
        <v>1642075.2858146157</v>
      </c>
      <c r="AW54" s="9">
        <f t="shared" ref="AW54" si="322">IF(OR(AW53="",AV54=""),"",AW53+AW49+AV54)</f>
        <v>1385964.8267355643</v>
      </c>
      <c r="AX54" s="9">
        <f t="shared" ref="AX54" si="323">IF(OR(AX53="",AW54=""),"",AX53+AX49+AW54)</f>
        <v>1112256.1614342316</v>
      </c>
      <c r="AY54" s="9">
        <f t="shared" ref="AY54" si="324">IF(OR(AY53="",AX54=""),"",AY53+AY49+AX54)</f>
        <v>836348.92223651765</v>
      </c>
      <c r="AZ54" s="9">
        <f t="shared" ref="AZ54" si="325">IF(OR(AZ53="",AY54=""),"",AZ53+AZ49+AY54)</f>
        <v>736185.34433948807</v>
      </c>
      <c r="BA54" s="9">
        <f t="shared" ref="BA54" si="326">IF(OR(BA53="",AZ54=""),"",BA53+BA49+AZ54)</f>
        <v>1137213.7102364085</v>
      </c>
      <c r="BB54" s="9">
        <f t="shared" ref="BB54" si="327">IF(OR(BB53="",BA54=""),"",BB53+BB49+BA54)</f>
        <v>871984.30038867542</v>
      </c>
      <c r="BC54" s="9">
        <f t="shared" ref="BC54" si="328">IF(OR(BC53="",BB54=""),"",BC53+BC49+BB54)</f>
        <v>624949.704880998</v>
      </c>
      <c r="BD54" s="9">
        <f t="shared" ref="BD54" si="329">IF(OR(BD53="",BC54=""),"",BD53+BD49+BC54)</f>
        <v>340656.80790037342</v>
      </c>
      <c r="BE54" s="9">
        <f t="shared" ref="BE54" si="330">IF(OR(BE53="",BD54=""),"",BE53+BE49+BD54)</f>
        <v>17285.773919261293</v>
      </c>
      <c r="BF54" s="9">
        <f t="shared" ref="BF54" si="331">IF(OR(BF53="",BE54=""),"",BF53+BF49+BE54)</f>
        <v>-306780.85096427076</v>
      </c>
      <c r="BG54" s="9">
        <f t="shared" ref="BG54" si="332">IF(OR(BG53="",BF54=""),"",BG53+BG49+BF54)</f>
        <v>-635242.8910596167</v>
      </c>
      <c r="BH54" s="9">
        <f t="shared" ref="BH54:BW54" si="333">IF(OR(BH53="",BG54=""),"",BH53+BH49+BG54)</f>
        <v>-921719.99074255733</v>
      </c>
      <c r="BI54" s="9">
        <f t="shared" si="333"/>
        <v>-1200576.9868744221</v>
      </c>
      <c r="BJ54" s="9">
        <f t="shared" si="333"/>
        <v>-1499357.0458110087</v>
      </c>
      <c r="BK54" s="9">
        <f t="shared" si="333"/>
        <v>-1819735.5975105078</v>
      </c>
      <c r="BL54" s="9">
        <f t="shared" si="333"/>
        <v>-1940352.7195459406</v>
      </c>
      <c r="BM54" s="9">
        <f t="shared" si="333"/>
        <v>-1814094.2371221061</v>
      </c>
      <c r="BN54" s="9">
        <f t="shared" si="333"/>
        <v>-1701039.9061511741</v>
      </c>
      <c r="BO54" s="9">
        <f t="shared" si="333"/>
        <v>-1583532.5766554815</v>
      </c>
      <c r="BP54" s="9">
        <f t="shared" si="333"/>
        <v>-1432682.5754669514</v>
      </c>
      <c r="BQ54" s="9">
        <f t="shared" si="333"/>
        <v>-1253285.7333689653</v>
      </c>
      <c r="BR54" s="9">
        <f t="shared" si="333"/>
        <v>-1079266.5182313654</v>
      </c>
      <c r="BS54" s="9">
        <f t="shared" si="333"/>
        <v>-916642.70660043682</v>
      </c>
      <c r="BT54" s="9">
        <f t="shared" si="333"/>
        <v>-784136.53313905676</v>
      </c>
      <c r="BU54" s="9">
        <f t="shared" si="333"/>
        <v>-662657.85154060298</v>
      </c>
      <c r="BV54" s="9">
        <f t="shared" si="333"/>
        <v>-529992.91373907332</v>
      </c>
      <c r="BW54" s="9">
        <f t="shared" si="333"/>
        <v>-385936.53052312124</v>
      </c>
    </row>
    <row r="55" spans="1:75" s="5" customFormat="1" ht="8.25" hidden="1" customHeight="1" outlineLevel="1" x14ac:dyDescent="0.3">
      <c r="A55" s="44"/>
      <c r="B55" s="13"/>
      <c r="C55" s="13"/>
      <c r="D55" s="13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</row>
    <row r="56" spans="1:75" s="5" customFormat="1" ht="15" hidden="1" customHeight="1" outlineLevel="1" x14ac:dyDescent="0.3">
      <c r="A56" s="255" t="s">
        <v>23</v>
      </c>
      <c r="B56" s="17"/>
      <c r="C56" s="32"/>
      <c r="D56" s="32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67">
        <v>2477461.885016053</v>
      </c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</row>
    <row r="57" spans="1:75" s="3" customFormat="1" ht="15" hidden="1" customHeight="1" outlineLevel="1" x14ac:dyDescent="0.3">
      <c r="A57" s="255"/>
      <c r="B57" s="17" t="s">
        <v>28</v>
      </c>
      <c r="C57" s="32"/>
      <c r="D57" s="32"/>
      <c r="E57" s="22">
        <f>IF('M2 Allocations - TD'!D8="","",'M2 Allocations - TD'!D34)</f>
        <v>0</v>
      </c>
      <c r="F57" s="22">
        <f>IF('M2 Allocations - TD'!E8="","",'M2 Allocations - TD'!E34)</f>
        <v>0</v>
      </c>
      <c r="G57" s="22">
        <f>IF('M2 Allocations - TD'!F8="","",'M2 Allocations - TD'!F34)</f>
        <v>0</v>
      </c>
      <c r="H57" s="22">
        <f>IF('M2 Allocations - TD'!G8="","",'M2 Allocations - TD'!G34)</f>
        <v>526.23</v>
      </c>
      <c r="I57" s="22">
        <f>IF('M2 Allocations - TD'!H8="","",'M2 Allocations - TD'!H34)</f>
        <v>1707.2399999999998</v>
      </c>
      <c r="J57" s="22">
        <f>IF('M2 Allocations - TD'!I8="","",'M2 Allocations - TD'!I34)</f>
        <v>2230.0207254609436</v>
      </c>
      <c r="K57" s="22">
        <f>IF('M2 Allocations - TD'!J8="","",'M2 Allocations - TD'!J34)</f>
        <v>4794.6581417484167</v>
      </c>
      <c r="L57" s="22">
        <f>IF('M2 Allocations - TD'!K8="","",'M2 Allocations - TD'!K34)</f>
        <v>4373.862445788076</v>
      </c>
      <c r="M57" s="22">
        <f>IF('M2 Allocations - TD'!L8="","",'M2 Allocations - TD'!L34)</f>
        <v>7453.242982336099</v>
      </c>
      <c r="N57" s="22">
        <f>IF('M2 Allocations - TD'!M8="","",'M2 Allocations - TD'!M34)</f>
        <v>18084.577784318448</v>
      </c>
      <c r="O57" s="22">
        <f>IF('M2 Allocations - TD'!N8="","",'M2 Allocations - TD'!N34)</f>
        <v>27963.810761260709</v>
      </c>
      <c r="P57" s="22">
        <f>IF('M2 Allocations - TD'!O8="","",'M2 Allocations - TD'!O34)</f>
        <v>24456.059952649921</v>
      </c>
      <c r="Q57" s="22">
        <f>IF('M2 Allocations - TD'!P8="","",'M2 Allocations - TD'!P34)</f>
        <v>29615.310672687767</v>
      </c>
      <c r="R57" s="22">
        <f>IF('M2 Allocations - TD'!Q8="","",'M2 Allocations - TD'!Q34)</f>
        <v>12166.436689655247</v>
      </c>
      <c r="S57" s="22">
        <f>IF('M2 Allocations - TD'!R8="","",'M2 Allocations - TD'!R34)</f>
        <v>28108.084360485296</v>
      </c>
      <c r="T57" s="22">
        <f>IF('M2 Allocations - TD'!S8="","",'M2 Allocations - TD'!S34)</f>
        <v>128148.15141495112</v>
      </c>
      <c r="U57" s="22">
        <f>IF('M2 Allocations - TD'!T8="","",'M2 Allocations - TD'!T34)</f>
        <v>175689.74</v>
      </c>
      <c r="V57" s="22">
        <f>IF('M2 Allocations - TD'!U8="","",'M2 Allocations - TD'!U34)</f>
        <v>218402.52810095585</v>
      </c>
      <c r="W57" s="22">
        <f>IF('M2 Allocations - TD'!V8="","",'M2 Allocations - TD'!V34)</f>
        <v>205067.89849978662</v>
      </c>
      <c r="X57" s="22">
        <f>IF('M2 Allocations - TD'!W8="","",'M2 Allocations - TD'!W34)</f>
        <v>101187.08297273742</v>
      </c>
      <c r="Y57" s="22">
        <f>IF('M2 Allocations - TD'!X8="","",'M2 Allocations - TD'!X34)</f>
        <v>97773.438006020719</v>
      </c>
      <c r="Z57" s="22">
        <f>IF('M2 Allocations - TD'!Y8="","",'M2 Allocations - TD'!Y34)</f>
        <v>113746.10309897989</v>
      </c>
      <c r="AA57" s="22">
        <f>IF('M2 Allocations - TD'!Z8="","",'M2 Allocations - TD'!Z34)</f>
        <v>131796.02801249109</v>
      </c>
      <c r="AB57" s="22">
        <f>IF('M2 Allocations - TD'!AA8="","",'M2 Allocations - TD'!AA34)</f>
        <v>116090.38160247794</v>
      </c>
      <c r="AC57" s="22">
        <f>IF('M2 Allocations - TD'!AB8="","",'M2 Allocations - TD'!AB34)</f>
        <v>132068.16497570253</v>
      </c>
      <c r="AD57" s="22">
        <f>IF('M2 Allocations - TD'!AC8="","",'M2 Allocations - TD'!AC34)</f>
        <v>133321.08677453059</v>
      </c>
      <c r="AE57" s="22">
        <f>IF('M2 Allocations - TD'!AD8="","",'M2 Allocations - TD'!AD34)</f>
        <v>180104.81791441111</v>
      </c>
      <c r="AF57" s="22">
        <f>IF('M2 Allocations - TD'!AE8="","",'M2 Allocations - TD'!AE34)</f>
        <v>422991.61425343697</v>
      </c>
      <c r="AG57" s="22">
        <f>IF('M2 Allocations - TD'!AF8="","",'M2 Allocations - TD'!AF34)</f>
        <v>543609.86073367961</v>
      </c>
      <c r="AH57" s="22">
        <f>IF('M2 Allocations - TD'!AG8="","",'M2 Allocations - TD'!AG34)</f>
        <v>486263.01132460969</v>
      </c>
      <c r="AI57" s="22">
        <f>IF('M2 Allocations - TD'!AH8="","",'M2 Allocations - TD'!AH34)</f>
        <v>414107.44556621916</v>
      </c>
      <c r="AJ57" s="22">
        <f>IF('M2 Allocations - TD'!AI8="","",'M2 Allocations - TD'!AI34)</f>
        <v>207208.35422995902</v>
      </c>
      <c r="AK57" s="22">
        <f>IF('M2 Allocations - TD'!AJ8="","",'M2 Allocations - TD'!AJ34)</f>
        <v>191307.18426831797</v>
      </c>
      <c r="AL57" s="22">
        <f>IF('M2 Allocations - TD'!AK8="","",'M2 Allocations - TD'!AK34)</f>
        <v>223825.29632810416</v>
      </c>
      <c r="AM57" s="22">
        <f>IF('M2 Allocations - TD'!AL8="","",'M2 Allocations - TD'!AL34)</f>
        <v>251714.86075436554</v>
      </c>
      <c r="AN57" s="22">
        <f>IF('M2 Allocations - TD'!AM8="","",'M2 Allocations - TD'!AM34)</f>
        <v>220841.99668727524</v>
      </c>
      <c r="AO57" s="22">
        <f>IF('M2 Allocations - TD'!AN8="","",'M2 Allocations - TD'!AN34)</f>
        <v>305651.11265488941</v>
      </c>
      <c r="AP57" s="22">
        <f>IF('M2 Allocations - TD'!AO8="","",'M2 Allocations - TD'!AO34)</f>
        <v>284274.24631552736</v>
      </c>
      <c r="AQ57" s="22">
        <f>IF('M2 Allocations - TD'!AP8="","",'M2 Allocations - TD'!AP34)</f>
        <v>294781.80288519792</v>
      </c>
      <c r="AR57" s="22">
        <f>IF('M2 Allocations - TD'!AQ8="","",'M2 Allocations - TD'!AQ34)</f>
        <v>791914.33120203775</v>
      </c>
      <c r="AS57" s="22">
        <f>IF('M2 Allocations - TD'!AR8="","",'M2 Allocations - TD'!AR34)</f>
        <v>978344.05317777325</v>
      </c>
      <c r="AT57" s="22">
        <f>IF('M2 Allocations - TD'!AS8="","",'M2 Allocations - TD'!AS34)</f>
        <v>874777.66117086785</v>
      </c>
      <c r="AU57" s="22">
        <f>IF('M2 Allocations - TD'!AT8="","",'M2 Allocations - TD'!AT34)</f>
        <v>686805.48036969628</v>
      </c>
      <c r="AV57" s="22">
        <f>IF('M2 Allocations - TD'!AU8="","",'M2 Allocations - TD'!AU34)</f>
        <v>321802.45107933023</v>
      </c>
      <c r="AW57" s="22">
        <f>IF('M2 Allocations - TD'!AV8="","",'M2 Allocations - TD'!AV34)</f>
        <v>280028.89151037188</v>
      </c>
      <c r="AX57" s="22">
        <f>IF('M2 Allocations - TD'!AW8="","",'M2 Allocations - TD'!AW34)</f>
        <v>274144.21732121875</v>
      </c>
      <c r="AY57" s="22">
        <f>IF('M2 Allocations - TD'!AX8="","",'M2 Allocations - TD'!AX34)</f>
        <v>303711.11912158254</v>
      </c>
      <c r="AZ57" s="22">
        <f>IF('M2 Allocations - TD'!AY8="","",'M2 Allocations - TD'!AY34)</f>
        <v>251998.46611210689</v>
      </c>
      <c r="BA57" s="22">
        <f>IF('M2 Allocations - TD'!AZ8="","",'M2 Allocations - TD'!AZ34)</f>
        <v>276069.3565741299</v>
      </c>
      <c r="BB57" s="22">
        <f>IF('M2 Allocations - TD'!BA8="","",'M2 Allocations - TD'!BA34)</f>
        <v>0</v>
      </c>
      <c r="BC57" s="22">
        <f>IF('M2 Allocations - TD'!BB8="","",'M2 Allocations - TD'!BB34)</f>
        <v>-315.01218360235936</v>
      </c>
      <c r="BD57" s="22">
        <f>IF('M2 Allocations - TD'!BC8="","",'M2 Allocations - TD'!BC34)</f>
        <v>0</v>
      </c>
      <c r="BE57" s="22">
        <f>IF('M2 Allocations - TD'!BD8="","",'M2 Allocations - TD'!BD34)</f>
        <v>0</v>
      </c>
      <c r="BF57" s="22">
        <f>IF('M2 Allocations - TD'!BE8="","",'M2 Allocations - TD'!BE34)</f>
        <v>16813.580000000075</v>
      </c>
      <c r="BG57" s="22">
        <f>IF('M2 Allocations - TD'!BF8="","",'M2 Allocations - TD'!BF34)</f>
        <v>19387.400000000373</v>
      </c>
      <c r="BH57" s="22">
        <f>IF('M2 Allocations - TD'!BG8="","",'M2 Allocations - TD'!BG34)</f>
        <v>6785.070000000298</v>
      </c>
      <c r="BI57" s="22">
        <f>IF('M2 Allocations - TD'!BH8="","",'M2 Allocations - TD'!BH34)</f>
        <v>6167.2299999985844</v>
      </c>
      <c r="BJ57" s="22">
        <f>IF('M2 Allocations - TD'!BI8="","",'M2 Allocations - TD'!BI34)</f>
        <v>9586.9900000002235</v>
      </c>
      <c r="BK57" s="22">
        <f>IF('M2 Allocations - TD'!BJ8="","",'M2 Allocations - TD'!BJ34)</f>
        <v>12497.580000000075</v>
      </c>
      <c r="BL57" s="22">
        <f>IF('M2 Allocations - TD'!BK8="","",'M2 Allocations - TD'!BK34)</f>
        <v>10043.310000000522</v>
      </c>
      <c r="BM57" s="22">
        <f>IF('M2 Allocations - TD'!BL8="","",'M2 Allocations - TD'!BL34)</f>
        <v>10496.050000000745</v>
      </c>
      <c r="BN57" s="22">
        <f>IF('M2 Allocations - TD'!BM8="","",'M2 Allocations - TD'!BM34)</f>
        <v>9775.9599999990314</v>
      </c>
      <c r="BO57" s="22">
        <f>IF('M2 Allocations - TD'!BN8="","",'M2 Allocations - TD'!BN34)</f>
        <v>13527.650000000373</v>
      </c>
      <c r="BP57" s="22">
        <f>IF('M2 Allocations - TD'!BO8="","",'M2 Allocations - TD'!BO34)</f>
        <v>36494.849999999627</v>
      </c>
      <c r="BQ57" s="22">
        <f>IF('M2 Allocations - TD'!BP8="","",'M2 Allocations - TD'!BP34)</f>
        <v>47679.970000000671</v>
      </c>
      <c r="BR57" s="22">
        <f>IF('M2 Allocations - TD'!BQ8="","",'M2 Allocations - TD'!BQ34)</f>
        <v>45288.439999999478</v>
      </c>
      <c r="BS57" s="22">
        <f>IF('M2 Allocations - TD'!BR8="","",'M2 Allocations - TD'!BR34)</f>
        <v>29486.400000000373</v>
      </c>
      <c r="BT57" s="22">
        <f>IF('M2 Allocations - TD'!BS8="","",'M2 Allocations - TD'!BS34)</f>
        <v>11833.289999999106</v>
      </c>
      <c r="BU57" s="22">
        <f>IF('M2 Allocations - TD'!BT8="","",'M2 Allocations - TD'!BT34)</f>
        <v>10374.58</v>
      </c>
      <c r="BV57" s="22">
        <f>IF('M2 Allocations - TD'!BU8="","",'M2 Allocations - TD'!BU34)</f>
        <v>12057.45</v>
      </c>
      <c r="BW57" s="22">
        <f>IF('M2 Allocations - TD'!BV8="","",'M2 Allocations - TD'!BV34)</f>
        <v>12824.79</v>
      </c>
    </row>
    <row r="58" spans="1:75" s="5" customFormat="1" ht="15" hidden="1" customHeight="1" outlineLevel="1" x14ac:dyDescent="0.3">
      <c r="A58" s="255"/>
      <c r="B58" s="18" t="s">
        <v>26</v>
      </c>
      <c r="C58" s="26"/>
      <c r="D58" s="26"/>
      <c r="E58" s="24">
        <v>0</v>
      </c>
      <c r="F58" s="24">
        <v>0</v>
      </c>
      <c r="G58" s="24">
        <v>1621.85</v>
      </c>
      <c r="H58" s="24">
        <v>15413.06</v>
      </c>
      <c r="I58" s="24">
        <v>19333.560000000001</v>
      </c>
      <c r="J58" s="24">
        <v>18858.009999999998</v>
      </c>
      <c r="K58" s="24">
        <v>20468.599999999999</v>
      </c>
      <c r="L58" s="24">
        <v>17365.72</v>
      </c>
      <c r="M58" s="24">
        <v>16669.060000000001</v>
      </c>
      <c r="N58" s="24">
        <v>16712.28</v>
      </c>
      <c r="O58" s="24">
        <v>31958.9</v>
      </c>
      <c r="P58" s="24">
        <f>279819.83+48637.08</f>
        <v>328456.91000000003</v>
      </c>
      <c r="Q58" s="24">
        <v>267175.5</v>
      </c>
      <c r="R58" s="22">
        <f>IF('M2 Allocations - TD'!Q53="","",'M2 Allocations - TD'!Q71)</f>
        <v>283136.40886630391</v>
      </c>
      <c r="S58" s="22">
        <f>IF('M2 Allocations - TD'!R53="","",'M2 Allocations - TD'!R71)</f>
        <v>287460.81327816768</v>
      </c>
      <c r="T58" s="22">
        <f>IF('M2 Allocations - TD'!S53="","",'M2 Allocations - TD'!S71)</f>
        <v>330409.77575572423</v>
      </c>
      <c r="U58" s="22">
        <f>IF('M2 Allocations - TD'!T53="","",'M2 Allocations - TD'!T71)</f>
        <v>323201.37525993661</v>
      </c>
      <c r="V58" s="22">
        <f>IF('M2 Allocations - TD'!U53="","",'M2 Allocations - TD'!U71)</f>
        <v>340944.20704658219</v>
      </c>
      <c r="W58" s="22">
        <f>IF('M2 Allocations - TD'!V53="","",'M2 Allocations - TD'!V71)</f>
        <v>328289.08781066153</v>
      </c>
      <c r="X58" s="22">
        <f>IF('M2 Allocations - TD'!W53="","",'M2 Allocations - TD'!W71)</f>
        <v>321452.90171375725</v>
      </c>
      <c r="Y58" s="22">
        <f>IF('M2 Allocations - TD'!X53="","",'M2 Allocations - TD'!X71)</f>
        <v>288778.65587559086</v>
      </c>
      <c r="Z58" s="22">
        <f>IF('M2 Allocations - TD'!Y53="","",'M2 Allocations - TD'!Y71)</f>
        <v>301751.31193612184</v>
      </c>
      <c r="AA58" s="22">
        <f>IF('M2 Allocations - TD'!Z53="","",'M2 Allocations - TD'!Z71)</f>
        <v>332299.53125242464</v>
      </c>
      <c r="AB58" s="22">
        <f>IF('M2 Allocations - TD'!AA53="","",'M2 Allocations - TD'!AA71)</f>
        <v>302428.95</v>
      </c>
      <c r="AC58" s="22">
        <f>IF('M2 Allocations - TD'!AB53="","",'M2 Allocations - TD'!AB71)</f>
        <v>301943.60981245001</v>
      </c>
      <c r="AD58" s="22">
        <f>IF('M2 Allocations - TD'!AC53="","",'M2 Allocations - TD'!AC71)</f>
        <v>278699.7057611302</v>
      </c>
      <c r="AE58" s="22">
        <f>IF('M2 Allocations - TD'!AD53="","",'M2 Allocations - TD'!AD71)</f>
        <v>322370.88601313852</v>
      </c>
      <c r="AF58" s="22">
        <f>IF('M2 Allocations - TD'!AE53="","",'M2 Allocations - TD'!AE71)</f>
        <v>349751.02773569047</v>
      </c>
      <c r="AG58" s="22">
        <f>IF('M2 Allocations - TD'!AF53="","",'M2 Allocations - TD'!AF71)</f>
        <v>361975.97928185289</v>
      </c>
      <c r="AH58" s="22">
        <f>IF('M2 Allocations - TD'!AG53="","",'M2 Allocations - TD'!AG71)</f>
        <v>356032.65352996916</v>
      </c>
      <c r="AI58" s="22">
        <f>IF('M2 Allocations - TD'!AH53="","",'M2 Allocations - TD'!AH71)</f>
        <v>346604.60421828728</v>
      </c>
      <c r="AJ58" s="22">
        <f>IF('M2 Allocations - TD'!AI53="","",'M2 Allocations - TD'!AI71)</f>
        <v>324956.79952393915</v>
      </c>
      <c r="AK58" s="22">
        <f>IF('M2 Allocations - TD'!AJ53="","",'M2 Allocations - TD'!AJ71)</f>
        <v>301584.85459624138</v>
      </c>
      <c r="AL58" s="22">
        <f>IF('M2 Allocations - TD'!AK53="","",'M2 Allocations - TD'!AK71)</f>
        <v>323402.5858220082</v>
      </c>
      <c r="AM58" s="22">
        <f>IF('M2 Allocations - TD'!AL53="","",'M2 Allocations - TD'!AL71)</f>
        <v>296745.40272335312</v>
      </c>
      <c r="AN58" s="22">
        <f>IF('M2 Allocations - TD'!AM53="","",'M2 Allocations - TD'!AM71)</f>
        <v>355667.68860749144</v>
      </c>
      <c r="AO58" s="22">
        <f>IF('M2 Allocations - TD'!AN53="","",'M2 Allocations - TD'!AN71)</f>
        <v>352302.39917248994</v>
      </c>
      <c r="AP58" s="22">
        <f>IF('M2 Allocations - TD'!AO53="","",'M2 Allocations - TD'!AO71)</f>
        <v>338612.44673821039</v>
      </c>
      <c r="AQ58" s="22">
        <f>IF('M2 Allocations - TD'!AP53="","",'M2 Allocations - TD'!AP71)</f>
        <v>338607.64249172056</v>
      </c>
      <c r="AR58" s="22">
        <f>IF('M2 Allocations - TD'!AQ53="","",'M2 Allocations - TD'!AQ71)</f>
        <v>393628.70516997529</v>
      </c>
      <c r="AS58" s="22">
        <f>IF('M2 Allocations - TD'!AR53="","",'M2 Allocations - TD'!AR71)</f>
        <v>395351.293050832</v>
      </c>
      <c r="AT58" s="22">
        <f>IF('M2 Allocations - TD'!AS53="","",'M2 Allocations - TD'!AS71)</f>
        <v>414954.8489846529</v>
      </c>
      <c r="AU58" s="22">
        <f>IF('M2 Allocations - TD'!AT53="","",'M2 Allocations - TD'!AT71)</f>
        <v>412666.27260449337</v>
      </c>
      <c r="AV58" s="22">
        <f>IF('M2 Allocations - TD'!AU53="","",'M2 Allocations - TD'!AU71)</f>
        <v>382499.83186560834</v>
      </c>
      <c r="AW58" s="22">
        <f>IF('M2 Allocations - TD'!AV53="","",'M2 Allocations - TD'!AV71)</f>
        <v>352969.01405759109</v>
      </c>
      <c r="AX58" s="22">
        <f>IF('M2 Allocations - TD'!AW53="","",'M2 Allocations - TD'!AW71)</f>
        <v>354749.07044000481</v>
      </c>
      <c r="AY58" s="22">
        <f>IF('M2 Allocations - TD'!AX53="","",'M2 Allocations - TD'!AX71)</f>
        <v>364800.86761435715</v>
      </c>
      <c r="AZ58" s="22">
        <f>IF('M2 Allocations - TD'!AY53="","",'M2 Allocations - TD'!AY71)</f>
        <v>290547.34153219213</v>
      </c>
      <c r="BA58" s="22">
        <f>IF('M2 Allocations - TD'!AZ53="","",'M2 Allocations - TD'!AZ71)</f>
        <v>123016.66955581112</v>
      </c>
      <c r="BB58" s="22">
        <f>IF('M2 Allocations - TD'!BA53="","",'M2 Allocations - TD'!BA71)</f>
        <v>118618.96587713738</v>
      </c>
      <c r="BC58" s="22">
        <f>IF('M2 Allocations - TD'!BB53="","",'M2 Allocations - TD'!BB71)</f>
        <v>111705.70022132192</v>
      </c>
      <c r="BD58" s="22">
        <f>IF('M2 Allocations - TD'!BC53="","",'M2 Allocations - TD'!BC71)</f>
        <v>130125.71091968814</v>
      </c>
      <c r="BE58" s="22">
        <f>IF('M2 Allocations - TD'!BD53="","",'M2 Allocations - TD'!BD71)</f>
        <v>136950.86579751672</v>
      </c>
      <c r="BF58" s="22">
        <f>IF('M2 Allocations - TD'!BE53="","",'M2 Allocations - TD'!BE71)</f>
        <v>143566.43039610708</v>
      </c>
      <c r="BG58" s="22">
        <f>IF('M2 Allocations - TD'!BF53="","",'M2 Allocations - TD'!BF71)</f>
        <v>143625.78644107448</v>
      </c>
      <c r="BH58" s="22">
        <f>IF('M2 Allocations - TD'!BG53="","",'M2 Allocations - TD'!BG71)</f>
        <v>127662.31996824293</v>
      </c>
      <c r="BI58" s="22">
        <f>IF('M2 Allocations - TD'!BH53="","",'M2 Allocations - TD'!BH71)</f>
        <v>126708.68055025722</v>
      </c>
      <c r="BJ58" s="22">
        <f>IF('M2 Allocations - TD'!BI53="","",'M2 Allocations - TD'!BI71)</f>
        <v>132518.9610920955</v>
      </c>
      <c r="BK58" s="22">
        <f>IF('M2 Allocations - TD'!BJ53="","",'M2 Allocations - TD'!BJ71)</f>
        <v>130056.06716620013</v>
      </c>
      <c r="BL58" s="22">
        <f>IF('M2 Allocations - TD'!BK53="","",'M2 Allocations - TD'!BK71)</f>
        <v>73469.336246691571</v>
      </c>
      <c r="BM58" s="22">
        <f>IF('M2 Allocations - TD'!BL53="","",'M2 Allocations - TD'!BL71)</f>
        <v>-22612.659176541922</v>
      </c>
      <c r="BN58" s="22">
        <f>IF('M2 Allocations - TD'!BM53="","",'M2 Allocations - TD'!BM71)</f>
        <v>-24415.905916675132</v>
      </c>
      <c r="BO58" s="22">
        <f>IF('M2 Allocations - TD'!BN53="","",'M2 Allocations - TD'!BN71)</f>
        <v>-26227.136477870259</v>
      </c>
      <c r="BP58" s="22">
        <f>IF('M2 Allocations - TD'!BO53="","",'M2 Allocations - TD'!BO71)</f>
        <v>-23636.693041994658</v>
      </c>
      <c r="BQ58" s="22">
        <f>IF('M2 Allocations - TD'!BP53="","",'M2 Allocations - TD'!BP71)</f>
        <v>-32709.066060894642</v>
      </c>
      <c r="BR58" s="22">
        <f>IF('M2 Allocations - TD'!BQ53="","",'M2 Allocations - TD'!BQ71)</f>
        <v>-30007.954013018152</v>
      </c>
      <c r="BS58" s="22">
        <f>IF('M2 Allocations - TD'!BR53="","",'M2 Allocations - TD'!BR71)</f>
        <v>-30398.556259296256</v>
      </c>
      <c r="BT58" s="22">
        <f>IF('M2 Allocations - TD'!BS53="","",'M2 Allocations - TD'!BS71)</f>
        <v>-26335.111362820855</v>
      </c>
      <c r="BU58" s="22">
        <f>IF('M2 Allocations - TD'!BT53="","",'M2 Allocations - TD'!BT71)</f>
        <v>-26458.688458180564</v>
      </c>
      <c r="BV58" s="22">
        <f>IF('M2 Allocations - TD'!BU53="","",'M2 Allocations - TD'!BU71)</f>
        <v>-27309.726788965992</v>
      </c>
      <c r="BW58" s="22">
        <f>IF('M2 Allocations - TD'!BV53="","",'M2 Allocations - TD'!BV71)</f>
        <v>-27703.751434383714</v>
      </c>
    </row>
    <row r="59" spans="1:75" s="5" customFormat="1" ht="15" hidden="1" customHeight="1" outlineLevel="1" x14ac:dyDescent="0.3">
      <c r="A59" s="255"/>
      <c r="B59" s="18" t="s">
        <v>47</v>
      </c>
      <c r="C59" s="26"/>
      <c r="D59" s="26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>
        <f>+'M2 TD amort'!C29</f>
        <v>0</v>
      </c>
      <c r="P59" s="24">
        <f>IF(P58="","",-'M2 TD amort'!D29)</f>
        <v>-218471.8</v>
      </c>
      <c r="Q59" s="24">
        <f>IF(Q58="","",-'M2 TD amort'!E29)</f>
        <v>-177710.71</v>
      </c>
      <c r="R59" s="22">
        <f>IF(R58="","",-'M2 TD amort'!F29)</f>
        <v>-191229.73</v>
      </c>
      <c r="S59" s="22">
        <f>IF(S58="","",-'M2 TD amort'!G29)</f>
        <v>-193716.84</v>
      </c>
      <c r="T59" s="22">
        <f>IF(T58="","",-'M2 TD amort'!H29)</f>
        <v>-222624.92</v>
      </c>
      <c r="U59" s="22">
        <f>IF(U58="","",-'M2 TD amort'!I29)</f>
        <v>-218073.95</v>
      </c>
      <c r="V59" s="22">
        <f>IF(V58="","",-'M2 TD amort'!J29)</f>
        <v>-230059.35</v>
      </c>
      <c r="W59" s="22">
        <f>IF(W58="","",-'M2 TD amort'!K29)</f>
        <v>-221358.47</v>
      </c>
      <c r="X59" s="22">
        <f>IF(X58="","",-'M2 TD amort'!L29)</f>
        <v>-216663.84</v>
      </c>
      <c r="Y59" s="22">
        <f>IF(Y58="","",-'M2 TD amort'!M29)</f>
        <v>-195061.62</v>
      </c>
      <c r="Z59" s="22">
        <f>IF(Z58="","",-'M2 TD amort'!N29)</f>
        <v>-204414.35</v>
      </c>
      <c r="AA59" s="22">
        <f>IF(AA58="","",-'M2 TD amort'!O29)</f>
        <v>-225860.94</v>
      </c>
      <c r="AB59" s="22">
        <f>IF(AB58="","",-'M2 TD amort'!P29)</f>
        <v>2910.27</v>
      </c>
      <c r="AC59" s="22">
        <f>IF(AC58="","",-'M2 TD amort'!Q29)</f>
        <v>2901.71</v>
      </c>
      <c r="AD59" s="22">
        <f>IF(AD58="","",-'M2 TD amort'!R29)</f>
        <v>2678.69</v>
      </c>
      <c r="AE59" s="22">
        <f>IF(AE58="","",-'M2 TD amort'!S29)</f>
        <v>3084.99</v>
      </c>
      <c r="AF59" s="22">
        <f>IF(AF58="","",-'M2 TD amort'!T29)</f>
        <v>3345.54</v>
      </c>
      <c r="AG59" s="22">
        <f>IF(AG58="","",-'M2 TD amort'!U29)</f>
        <v>3464.54</v>
      </c>
      <c r="AH59" s="22">
        <f>IF(AH58="","",-'M2 TD amort'!V29)</f>
        <v>3405.5</v>
      </c>
      <c r="AI59" s="22">
        <f>IF(AI58="","",-'M2 TD amort'!W29)</f>
        <v>3314.25</v>
      </c>
      <c r="AJ59" s="22">
        <f>IF(AJ58="","",-'M2 TD amort'!X29)</f>
        <v>3107.88</v>
      </c>
      <c r="AK59" s="22">
        <f>IF(AK58="","",-'M2 TD amort'!Y29)</f>
        <v>2892.34</v>
      </c>
      <c r="AL59" s="22">
        <f>IF(AL58="","",-'M2 TD amort'!Z29)</f>
        <v>3110.11</v>
      </c>
      <c r="AM59" s="22">
        <f>IF(AM58="","",-'M2 TD amort'!AA29)</f>
        <v>2854.53</v>
      </c>
      <c r="AN59" s="22">
        <f>IF(AN58="","",-'M2 TD amort'!AB29)</f>
        <v>44923.25</v>
      </c>
      <c r="AO59" s="22">
        <f>IF(AO58="","",-'M2 TD amort'!AC29)</f>
        <v>44472.76</v>
      </c>
      <c r="AP59" s="22">
        <f>IF(AP58="","",-'M2 TD amort'!AD29)</f>
        <v>42630.31</v>
      </c>
      <c r="AQ59" s="22">
        <f>IF(AQ58="","",-'M2 TD amort'!AE29)</f>
        <v>42527.18</v>
      </c>
      <c r="AR59" s="22">
        <f>IF(AR58="","",-'M2 TD amort'!AF29)</f>
        <v>49414.85</v>
      </c>
      <c r="AS59" s="22">
        <f>IF(AS58="","",-'M2 TD amort'!AG29)</f>
        <v>49660.75</v>
      </c>
      <c r="AT59" s="22">
        <f>IF(AT58="","",-'M2 TD amort'!AH29)</f>
        <v>52133.62</v>
      </c>
      <c r="AU59" s="22">
        <f>IF(AU58="","",-'M2 TD amort'!AI29)</f>
        <v>51817.96</v>
      </c>
      <c r="AV59" s="22">
        <f>IF(AV58="","",-'M2 TD amort'!AJ29)</f>
        <v>48015.69</v>
      </c>
      <c r="AW59" s="22">
        <f>IF(AW58="","",-'M2 TD amort'!AK29)</f>
        <v>44402.83</v>
      </c>
      <c r="AX59" s="22">
        <f>IF(AX58="","",-'M2 TD amort'!AL29)</f>
        <v>44707.199999999997</v>
      </c>
      <c r="AY59" s="22">
        <f>IF(AY58="","",-'M2 TD amort'!AM29)</f>
        <v>45991.89</v>
      </c>
      <c r="AZ59" s="22">
        <f>IF(AZ58="","",-'M2 TD amort'!AN29)</f>
        <v>-82846.45</v>
      </c>
      <c r="BA59" s="22">
        <f>IF(BA58="","",-'M2 TD amort'!AO29)</f>
        <v>-34821.199999999997</v>
      </c>
      <c r="BB59" s="22">
        <f>IF(BB58="","",-'M2 TD amort'!AP29)</f>
        <v>-33556.67</v>
      </c>
      <c r="BC59" s="22">
        <f>IF(BC58="","",-'M2 TD amort'!AQ29)</f>
        <v>-31590.7</v>
      </c>
      <c r="BD59" s="22">
        <f>IF(BD58="","",-'M2 TD amort'!AR29)</f>
        <v>-36791.480000000003</v>
      </c>
      <c r="BE59" s="22">
        <f>IF(BE58="","",-'M2 TD amort'!AS29)</f>
        <v>-38724.1</v>
      </c>
      <c r="BF59" s="22">
        <f>IF(BF58="","",-'M2 TD amort'!AT29)</f>
        <v>-40589.17</v>
      </c>
      <c r="BG59" s="22">
        <f>IF(BG58="","",-'M2 TD amort'!AU29)</f>
        <v>-40599.53</v>
      </c>
      <c r="BH59" s="22">
        <f>IF(BH58="","",-'M2 TD amort'!AV29)</f>
        <v>-36087.699999999997</v>
      </c>
      <c r="BI59" s="22">
        <f>IF(BI58="","",-'M2 TD amort'!AW29)</f>
        <v>-35832.050000000003</v>
      </c>
      <c r="BJ59" s="22">
        <f>IF(BJ58="","",-'M2 TD amort'!AX29)</f>
        <v>-37492.33</v>
      </c>
      <c r="BK59" s="22">
        <f>IF(BK58="","",-'M2 TD amort'!AY29)</f>
        <v>-36812.410000000003</v>
      </c>
      <c r="BL59" s="22">
        <f>IF(BL58="","",-'M2 TD amort'!AZ29)</f>
        <v>-123157.44</v>
      </c>
      <c r="BM59" s="22">
        <f>IF(BM58="","",-'M2 TD amort'!BA29)</f>
        <v>40007.54</v>
      </c>
      <c r="BN59" s="22">
        <f>IF(BN58="","",-'M2 TD amort'!BB29)</f>
        <v>42694.89</v>
      </c>
      <c r="BO59" s="22">
        <f>IF(BO58="","",-'M2 TD amort'!BC29)</f>
        <v>45615.15</v>
      </c>
      <c r="BP59" s="22">
        <f>IF(BP58="","",-'M2 TD amort'!BD29)</f>
        <v>41162.83</v>
      </c>
      <c r="BQ59" s="22">
        <f>IF(BQ58="","",-'M2 TD amort'!BE29)</f>
        <v>56959.49</v>
      </c>
      <c r="BR59" s="22">
        <f>IF(BR58="","",-'M2 TD amort'!BF29)</f>
        <v>52295.71</v>
      </c>
      <c r="BS59" s="22">
        <f>IF(BS58="","",-'M2 TD amort'!BG29)</f>
        <v>52959.66</v>
      </c>
      <c r="BT59" s="22">
        <f>IF(BT58="","",-'M2 TD amort'!BH29)</f>
        <v>45730.01</v>
      </c>
      <c r="BU59" s="22">
        <f>IF(BU58="","",-'M2 TD amort'!BI29)</f>
        <v>46037.23</v>
      </c>
      <c r="BV59" s="22">
        <f>IF(BV58="","",-'M2 TD amort'!BJ29)</f>
        <v>47783.87</v>
      </c>
      <c r="BW59" s="22">
        <f>IF(BW58="","",-'M2 TD amort'!BK29)</f>
        <v>48623.9</v>
      </c>
    </row>
    <row r="60" spans="1:75" s="5" customFormat="1" ht="15" hidden="1" customHeight="1" outlineLevel="1" x14ac:dyDescent="0.3">
      <c r="A60" s="255"/>
      <c r="B60" s="18" t="s">
        <v>48</v>
      </c>
      <c r="C60" s="26"/>
      <c r="D60" s="26"/>
      <c r="E60" s="9"/>
      <c r="F60" s="9"/>
      <c r="G60" s="9"/>
      <c r="H60" s="9"/>
      <c r="I60" s="9"/>
      <c r="J60" s="9"/>
      <c r="K60" s="9"/>
      <c r="L60" s="9"/>
      <c r="M60" s="9"/>
      <c r="N60" s="9"/>
      <c r="O60" s="9">
        <f>IF(OR(O59="",O58=""),"",O58+O59)</f>
        <v>31958.9</v>
      </c>
      <c r="P60" s="9">
        <f t="shared" ref="P60" si="334">IF(OR(P59="",P58=""),"",P58+P59)</f>
        <v>109985.11000000004</v>
      </c>
      <c r="Q60" s="9">
        <f t="shared" ref="Q60" si="335">IF(OR(Q59="",Q58=""),"",Q58+Q59)</f>
        <v>89464.790000000008</v>
      </c>
      <c r="R60" s="9">
        <f t="shared" ref="R60" si="336">IF(OR(R59="",R58=""),"",R58+R59)</f>
        <v>91906.678866303904</v>
      </c>
      <c r="S60" s="9">
        <f t="shared" ref="S60" si="337">IF(OR(S59="",S58=""),"",S58+S59)</f>
        <v>93743.973278167687</v>
      </c>
      <c r="T60" s="9">
        <f t="shared" ref="T60" si="338">IF(OR(T59="",T58=""),"",T58+T59)</f>
        <v>107784.85575572422</v>
      </c>
      <c r="U60" s="9">
        <f t="shared" ref="U60" si="339">IF(OR(U59="",U58=""),"",U58+U59)</f>
        <v>105127.4252599366</v>
      </c>
      <c r="V60" s="9">
        <f t="shared" ref="V60" si="340">IF(OR(V59="",V58=""),"",V58+V59)</f>
        <v>110884.85704658218</v>
      </c>
      <c r="W60" s="9">
        <f t="shared" ref="W60" si="341">IF(OR(W59="",W58=""),"",W58+W59)</f>
        <v>106930.61781066153</v>
      </c>
      <c r="X60" s="9">
        <f t="shared" ref="X60" si="342">IF(OR(X59="",X58=""),"",X58+X59)</f>
        <v>104789.06171375726</v>
      </c>
      <c r="Y60" s="9">
        <f t="shared" ref="Y60" si="343">IF(OR(Y59="",Y58=""),"",Y58+Y59)</f>
        <v>93717.035875590867</v>
      </c>
      <c r="Z60" s="9">
        <f t="shared" ref="Z60" si="344">IF(OR(Z59="",Z58=""),"",Z58+Z59)</f>
        <v>97336.961936121836</v>
      </c>
      <c r="AA60" s="9">
        <f t="shared" ref="AA60" si="345">IF(OR(AA59="",AA58=""),"",AA58+AA59)</f>
        <v>106438.59125242464</v>
      </c>
      <c r="AB60" s="9">
        <f t="shared" ref="AB60" si="346">IF(OR(AB59="",AB58=""),"",AB58+AB59)</f>
        <v>305339.22000000003</v>
      </c>
      <c r="AC60" s="9">
        <f t="shared" ref="AC60" si="347">IF(OR(AC59="",AC58=""),"",AC58+AC59)</f>
        <v>304845.31981245003</v>
      </c>
      <c r="AD60" s="9">
        <f t="shared" ref="AD60" si="348">IF(OR(AD59="",AD58=""),"",AD58+AD59)</f>
        <v>281378.3957611302</v>
      </c>
      <c r="AE60" s="9">
        <f t="shared" ref="AE60" si="349">IF(OR(AE59="",AE58=""),"",AE58+AE59)</f>
        <v>325455.87601313851</v>
      </c>
      <c r="AF60" s="9">
        <f t="shared" ref="AF60" si="350">IF(OR(AF59="",AF58=""),"",AF58+AF59)</f>
        <v>353096.56773569045</v>
      </c>
      <c r="AG60" s="9">
        <f t="shared" ref="AG60" si="351">IF(OR(AG59="",AG58=""),"",AG58+AG59)</f>
        <v>365440.51928185287</v>
      </c>
      <c r="AH60" s="9">
        <f t="shared" ref="AH60" si="352">IF(OR(AH59="",AH58=""),"",AH58+AH59)</f>
        <v>359438.15352996916</v>
      </c>
      <c r="AI60" s="9">
        <f t="shared" ref="AI60" si="353">IF(OR(AI59="",AI58=""),"",AI58+AI59)</f>
        <v>349918.85421828728</v>
      </c>
      <c r="AJ60" s="9">
        <f t="shared" ref="AJ60" si="354">IF(OR(AJ59="",AJ58=""),"",AJ58+AJ59)</f>
        <v>328064.67952393915</v>
      </c>
      <c r="AK60" s="9">
        <f t="shared" ref="AK60" si="355">IF(OR(AK59="",AK58=""),"",AK58+AK59)</f>
        <v>304477.1945962414</v>
      </c>
      <c r="AL60" s="9">
        <f t="shared" ref="AL60" si="356">IF(OR(AL59="",AL58=""),"",AL58+AL59)</f>
        <v>326512.69582200819</v>
      </c>
      <c r="AM60" s="9">
        <f t="shared" ref="AM60:BW60" si="357">IF(OR(AM59="",AM58=""),"",AM58+AM59)</f>
        <v>299599.93272335315</v>
      </c>
      <c r="AN60" s="9">
        <f t="shared" si="357"/>
        <v>400590.93860749144</v>
      </c>
      <c r="AO60" s="9">
        <f t="shared" si="357"/>
        <v>396775.15917248995</v>
      </c>
      <c r="AP60" s="9">
        <f t="shared" si="357"/>
        <v>381242.75673821039</v>
      </c>
      <c r="AQ60" s="9">
        <f t="shared" si="357"/>
        <v>381134.82249172055</v>
      </c>
      <c r="AR60" s="9">
        <f t="shared" si="357"/>
        <v>443043.55516997527</v>
      </c>
      <c r="AS60" s="9">
        <f t="shared" si="357"/>
        <v>445012.043050832</v>
      </c>
      <c r="AT60" s="9">
        <f t="shared" si="357"/>
        <v>467088.46898465289</v>
      </c>
      <c r="AU60" s="9">
        <f t="shared" si="357"/>
        <v>464484.23260449339</v>
      </c>
      <c r="AV60" s="9">
        <f t="shared" si="357"/>
        <v>430515.52186560835</v>
      </c>
      <c r="AW60" s="9">
        <f t="shared" si="357"/>
        <v>397371.84405759111</v>
      </c>
      <c r="AX60" s="9">
        <f t="shared" si="357"/>
        <v>399456.27044000482</v>
      </c>
      <c r="AY60" s="9">
        <f t="shared" si="357"/>
        <v>410792.75761435716</v>
      </c>
      <c r="AZ60" s="9">
        <f t="shared" si="357"/>
        <v>207700.89153219212</v>
      </c>
      <c r="BA60" s="9">
        <f t="shared" si="357"/>
        <v>88195.469555811127</v>
      </c>
      <c r="BB60" s="9">
        <f t="shared" si="357"/>
        <v>85062.295877137381</v>
      </c>
      <c r="BC60" s="9">
        <f t="shared" si="357"/>
        <v>80115.000221321927</v>
      </c>
      <c r="BD60" s="9">
        <f t="shared" si="357"/>
        <v>93334.230919688125</v>
      </c>
      <c r="BE60" s="9">
        <f t="shared" si="357"/>
        <v>98226.765797516709</v>
      </c>
      <c r="BF60" s="9">
        <f t="shared" si="357"/>
        <v>102977.26039610709</v>
      </c>
      <c r="BG60" s="9">
        <f t="shared" si="357"/>
        <v>103026.25644107448</v>
      </c>
      <c r="BH60" s="9">
        <f t="shared" si="357"/>
        <v>91574.619968242929</v>
      </c>
      <c r="BI60" s="9">
        <f t="shared" si="357"/>
        <v>90876.630550257221</v>
      </c>
      <c r="BJ60" s="9">
        <f t="shared" si="357"/>
        <v>95026.6310920955</v>
      </c>
      <c r="BK60" s="9">
        <f t="shared" si="357"/>
        <v>93243.657166200122</v>
      </c>
      <c r="BL60" s="9">
        <f t="shared" si="357"/>
        <v>-49688.103753308431</v>
      </c>
      <c r="BM60" s="9">
        <f t="shared" si="357"/>
        <v>17394.880823458079</v>
      </c>
      <c r="BN60" s="9">
        <f t="shared" si="357"/>
        <v>18278.984083324867</v>
      </c>
      <c r="BO60" s="9">
        <f t="shared" si="357"/>
        <v>19388.013522129742</v>
      </c>
      <c r="BP60" s="9">
        <f t="shared" si="357"/>
        <v>17526.136958005343</v>
      </c>
      <c r="BQ60" s="9">
        <f t="shared" si="357"/>
        <v>24250.423939105356</v>
      </c>
      <c r="BR60" s="9">
        <f t="shared" si="357"/>
        <v>22287.755986981847</v>
      </c>
      <c r="BS60" s="9">
        <f t="shared" si="357"/>
        <v>22561.103740703747</v>
      </c>
      <c r="BT60" s="9">
        <f t="shared" si="357"/>
        <v>19394.898637179147</v>
      </c>
      <c r="BU60" s="9">
        <f t="shared" si="357"/>
        <v>19578.541541819439</v>
      </c>
      <c r="BV60" s="9">
        <f t="shared" si="357"/>
        <v>20474.14321103401</v>
      </c>
      <c r="BW60" s="9">
        <f t="shared" si="357"/>
        <v>20920.148565616288</v>
      </c>
    </row>
    <row r="61" spans="1:75" s="5" customFormat="1" hidden="1" outlineLevel="1" x14ac:dyDescent="0.3">
      <c r="A61" s="255"/>
      <c r="B61" s="18" t="s">
        <v>13</v>
      </c>
      <c r="C61" s="26"/>
      <c r="D61" s="26"/>
      <c r="E61" s="9">
        <f t="shared" ref="E61:N61" si="358">IF(OR(E58="",E57=""),"",E57-E58)</f>
        <v>0</v>
      </c>
      <c r="F61" s="9">
        <f t="shared" si="358"/>
        <v>0</v>
      </c>
      <c r="G61" s="9">
        <f t="shared" si="358"/>
        <v>-1621.85</v>
      </c>
      <c r="H61" s="9">
        <f t="shared" si="358"/>
        <v>-14886.83</v>
      </c>
      <c r="I61" s="9">
        <f t="shared" si="358"/>
        <v>-17626.32</v>
      </c>
      <c r="J61" s="9">
        <f t="shared" si="358"/>
        <v>-16627.989274539053</v>
      </c>
      <c r="K61" s="9">
        <f t="shared" si="358"/>
        <v>-15673.941858251583</v>
      </c>
      <c r="L61" s="9">
        <f t="shared" si="358"/>
        <v>-12991.857554211925</v>
      </c>
      <c r="M61" s="9">
        <f t="shared" si="358"/>
        <v>-9215.8170176639032</v>
      </c>
      <c r="N61" s="9">
        <f t="shared" si="358"/>
        <v>1372.297784318449</v>
      </c>
      <c r="O61" s="9">
        <f>IF(OR(O60="",O57=""),"",O57-O60)</f>
        <v>-3995.0892387392923</v>
      </c>
      <c r="P61" s="9">
        <f>IF(OR(P60="",P57=""),"",P57-P60)</f>
        <v>-85529.050047350116</v>
      </c>
      <c r="Q61" s="9">
        <f t="shared" ref="Q61:AM61" si="359">IF(OR(Q60="",Q57=""),"",Q57-Q60)</f>
        <v>-59849.479327312241</v>
      </c>
      <c r="R61" s="9">
        <f t="shared" si="359"/>
        <v>-79740.242176648651</v>
      </c>
      <c r="S61" s="9">
        <f t="shared" si="359"/>
        <v>-65635.888917682387</v>
      </c>
      <c r="T61" s="9">
        <f t="shared" si="359"/>
        <v>20363.295659226904</v>
      </c>
      <c r="U61" s="9">
        <f t="shared" si="359"/>
        <v>70562.31474006339</v>
      </c>
      <c r="V61" s="9">
        <f t="shared" si="359"/>
        <v>107517.67105437367</v>
      </c>
      <c r="W61" s="9">
        <f t="shared" si="359"/>
        <v>98137.280689125095</v>
      </c>
      <c r="X61" s="9">
        <f t="shared" si="359"/>
        <v>-3601.9787410198333</v>
      </c>
      <c r="Y61" s="9">
        <f t="shared" si="359"/>
        <v>4056.4021304298512</v>
      </c>
      <c r="Z61" s="9">
        <f t="shared" si="359"/>
        <v>16409.141162858054</v>
      </c>
      <c r="AA61" s="9">
        <f t="shared" si="359"/>
        <v>25357.436760066455</v>
      </c>
      <c r="AB61" s="9">
        <f t="shared" si="359"/>
        <v>-189248.83839752211</v>
      </c>
      <c r="AC61" s="9">
        <f t="shared" si="359"/>
        <v>-172777.1548367475</v>
      </c>
      <c r="AD61" s="9">
        <f t="shared" si="359"/>
        <v>-148057.30898659962</v>
      </c>
      <c r="AE61" s="9">
        <f t="shared" si="359"/>
        <v>-145351.0580987274</v>
      </c>
      <c r="AF61" s="9">
        <f t="shared" si="359"/>
        <v>69895.046517746523</v>
      </c>
      <c r="AG61" s="9">
        <f t="shared" si="359"/>
        <v>178169.34145182674</v>
      </c>
      <c r="AH61" s="9">
        <f t="shared" si="359"/>
        <v>126824.85779464053</v>
      </c>
      <c r="AI61" s="9">
        <f t="shared" si="359"/>
        <v>64188.591347931884</v>
      </c>
      <c r="AJ61" s="9">
        <f t="shared" si="359"/>
        <v>-120856.32529398013</v>
      </c>
      <c r="AK61" s="9">
        <f t="shared" si="359"/>
        <v>-113170.01032792343</v>
      </c>
      <c r="AL61" s="9">
        <f t="shared" si="359"/>
        <v>-102687.39949390403</v>
      </c>
      <c r="AM61" s="9">
        <f t="shared" si="359"/>
        <v>-47885.071968987613</v>
      </c>
      <c r="AN61" s="9">
        <f t="shared" ref="AN61:BW61" si="360">IF(OR(AN60="",AN57=""),"",AN57-AN60)</f>
        <v>-179748.9419202162</v>
      </c>
      <c r="AO61" s="9">
        <f t="shared" si="360"/>
        <v>-91124.046517600538</v>
      </c>
      <c r="AP61" s="9">
        <f t="shared" si="360"/>
        <v>-96968.51042268303</v>
      </c>
      <c r="AQ61" s="9">
        <f t="shared" si="360"/>
        <v>-86353.019606522634</v>
      </c>
      <c r="AR61" s="9">
        <f t="shared" si="360"/>
        <v>348870.77603206248</v>
      </c>
      <c r="AS61" s="9">
        <f t="shared" si="360"/>
        <v>533332.01012694126</v>
      </c>
      <c r="AT61" s="9">
        <f t="shared" si="360"/>
        <v>407689.19218621496</v>
      </c>
      <c r="AU61" s="9">
        <f t="shared" si="360"/>
        <v>222321.24776520289</v>
      </c>
      <c r="AV61" s="9">
        <f t="shared" si="360"/>
        <v>-108713.07078627811</v>
      </c>
      <c r="AW61" s="9">
        <f t="shared" si="360"/>
        <v>-117342.95254721923</v>
      </c>
      <c r="AX61" s="9">
        <f t="shared" si="360"/>
        <v>-125312.05311878608</v>
      </c>
      <c r="AY61" s="9">
        <f t="shared" si="360"/>
        <v>-107081.63849277463</v>
      </c>
      <c r="AZ61" s="9">
        <f t="shared" si="360"/>
        <v>44297.57457991477</v>
      </c>
      <c r="BA61" s="9">
        <f t="shared" si="360"/>
        <v>187873.88701831875</v>
      </c>
      <c r="BB61" s="9">
        <f t="shared" si="360"/>
        <v>-85062.295877137381</v>
      </c>
      <c r="BC61" s="9">
        <f t="shared" si="360"/>
        <v>-80430.012404924288</v>
      </c>
      <c r="BD61" s="9">
        <f t="shared" si="360"/>
        <v>-93334.230919688125</v>
      </c>
      <c r="BE61" s="9">
        <f t="shared" si="360"/>
        <v>-98226.765797516709</v>
      </c>
      <c r="BF61" s="9">
        <f t="shared" si="360"/>
        <v>-86163.680396107011</v>
      </c>
      <c r="BG61" s="9">
        <f t="shared" si="360"/>
        <v>-83638.856441074109</v>
      </c>
      <c r="BH61" s="9">
        <f t="shared" si="360"/>
        <v>-84789.549968242631</v>
      </c>
      <c r="BI61" s="9">
        <f t="shared" si="360"/>
        <v>-84709.400550258637</v>
      </c>
      <c r="BJ61" s="9">
        <f t="shared" si="360"/>
        <v>-85439.641092095277</v>
      </c>
      <c r="BK61" s="9">
        <f t="shared" si="360"/>
        <v>-80746.077166200048</v>
      </c>
      <c r="BL61" s="9">
        <f t="shared" si="360"/>
        <v>59731.413753308952</v>
      </c>
      <c r="BM61" s="9">
        <f t="shared" si="360"/>
        <v>-6898.8308234573342</v>
      </c>
      <c r="BN61" s="9">
        <f t="shared" si="360"/>
        <v>-8503.0240833258358</v>
      </c>
      <c r="BO61" s="9">
        <f t="shared" si="360"/>
        <v>-5860.3635221293698</v>
      </c>
      <c r="BP61" s="9">
        <f t="shared" si="360"/>
        <v>18968.713041994284</v>
      </c>
      <c r="BQ61" s="9">
        <f t="shared" si="360"/>
        <v>23429.546060895314</v>
      </c>
      <c r="BR61" s="9">
        <f t="shared" si="360"/>
        <v>23000.684013017632</v>
      </c>
      <c r="BS61" s="9">
        <f t="shared" si="360"/>
        <v>6925.2962592966251</v>
      </c>
      <c r="BT61" s="9">
        <f t="shared" si="360"/>
        <v>-7561.6086371800411</v>
      </c>
      <c r="BU61" s="9">
        <f t="shared" si="360"/>
        <v>-9203.9615418194389</v>
      </c>
      <c r="BV61" s="9">
        <f t="shared" si="360"/>
        <v>-8416.6932110340094</v>
      </c>
      <c r="BW61" s="9">
        <f t="shared" si="360"/>
        <v>-8095.3585656162868</v>
      </c>
    </row>
    <row r="62" spans="1:75" s="5" customFormat="1" hidden="1" outlineLevel="1" x14ac:dyDescent="0.3">
      <c r="A62" s="255"/>
      <c r="B62" s="19" t="s">
        <v>8</v>
      </c>
      <c r="C62" s="30"/>
      <c r="D62" s="30"/>
      <c r="E62" s="9">
        <f t="shared" ref="E62:N62" si="361">IF(OR(E9="",E61=""),"",(E61+D64)*E9/12)</f>
        <v>0</v>
      </c>
      <c r="F62" s="9">
        <f t="shared" si="361"/>
        <v>0</v>
      </c>
      <c r="G62" s="9">
        <f t="shared" si="361"/>
        <v>-1.0214870824166666</v>
      </c>
      <c r="H62" s="9">
        <f t="shared" si="361"/>
        <v>-8.6169910456603613</v>
      </c>
      <c r="I62" s="9">
        <f t="shared" si="361"/>
        <v>-17.898704851830932</v>
      </c>
      <c r="J62" s="9">
        <f t="shared" si="361"/>
        <v>-32.360591376266207</v>
      </c>
      <c r="K62" s="9">
        <f t="shared" si="361"/>
        <v>-41.863062319361589</v>
      </c>
      <c r="L62" s="9">
        <f t="shared" si="361"/>
        <v>-50.380614859511986</v>
      </c>
      <c r="M62" s="9">
        <f t="shared" si="361"/>
        <v>-56.544658629729668</v>
      </c>
      <c r="N62" s="9">
        <f t="shared" si="361"/>
        <v>-70.145468650112946</v>
      </c>
      <c r="O62" s="10">
        <f>IF(OR(O9="",O61=""),"",(O59+O61+N64)*O9/12)</f>
        <v>-68.659671553426648</v>
      </c>
      <c r="P62" s="10">
        <f>IF(OR(P9="",P61=""),"",(P59+P61+O64+P56)*P9/12)</f>
        <v>1561.3846099194352</v>
      </c>
      <c r="Q62" s="10">
        <f t="shared" ref="Q62:AM62" si="362">IF(OR(Q9="",Q61=""),"",(Q59+Q61+P64)*Q9/12)</f>
        <v>1768.9370359317772</v>
      </c>
      <c r="R62" s="10">
        <f t="shared" si="362"/>
        <v>1510.9527105885902</v>
      </c>
      <c r="S62" s="10">
        <f t="shared" si="362"/>
        <v>1263.8543417234587</v>
      </c>
      <c r="T62" s="10">
        <f t="shared" si="362"/>
        <v>1313.422943581618</v>
      </c>
      <c r="U62" s="10">
        <f t="shared" si="362"/>
        <v>1126.9444648186989</v>
      </c>
      <c r="V62" s="10">
        <f t="shared" si="362"/>
        <v>1039.3449333693247</v>
      </c>
      <c r="W62" s="10">
        <f t="shared" si="362"/>
        <v>878.63521906613676</v>
      </c>
      <c r="X62" s="10">
        <f t="shared" si="362"/>
        <v>614.94008164987667</v>
      </c>
      <c r="Y62" s="10">
        <f t="shared" si="362"/>
        <v>382.64222876256804</v>
      </c>
      <c r="Z62" s="10">
        <f t="shared" si="362"/>
        <v>193.0380276384773</v>
      </c>
      <c r="AA62" s="10">
        <f t="shared" si="362"/>
        <v>-99.633226637268919</v>
      </c>
      <c r="AB62" s="10">
        <f t="shared" si="362"/>
        <v>-390.08897562934322</v>
      </c>
      <c r="AC62" s="10">
        <f t="shared" si="362"/>
        <v>-729.83934564236961</v>
      </c>
      <c r="AD62" s="10">
        <f t="shared" si="362"/>
        <v>-1102.6537336880972</v>
      </c>
      <c r="AE62" s="10">
        <f t="shared" si="362"/>
        <v>-1311.7267766505211</v>
      </c>
      <c r="AF62" s="10">
        <f t="shared" si="362"/>
        <v>-1223.2705227865461</v>
      </c>
      <c r="AG62" s="10">
        <f t="shared" si="362"/>
        <v>-906.67220407541834</v>
      </c>
      <c r="AH62" s="10">
        <f t="shared" si="362"/>
        <v>-647.66826565641497</v>
      </c>
      <c r="AI62" s="10">
        <f t="shared" si="362"/>
        <v>-518.89488802267783</v>
      </c>
      <c r="AJ62" s="10">
        <f t="shared" si="362"/>
        <v>-789.70697234607553</v>
      </c>
      <c r="AK62" s="10">
        <f t="shared" si="362"/>
        <v>-1046.0066441138708</v>
      </c>
      <c r="AL62" s="10">
        <f t="shared" si="362"/>
        <v>-1371.1355953428147</v>
      </c>
      <c r="AM62" s="10">
        <f t="shared" si="362"/>
        <v>-1539.4019706265842</v>
      </c>
      <c r="AN62" s="10">
        <f t="shared" ref="AN62" si="363">IF(OR(AN9="",AN61=""),"",(AN59+AN61+AM64)*AN9/12)</f>
        <v>-1846.457463161405</v>
      </c>
      <c r="AO62" s="10">
        <f t="shared" ref="AO62" si="364">IF(OR(AO9="",AO61=""),"",(AO59+AO61+AN64)*AO9/12)</f>
        <v>-1924.9482482552737</v>
      </c>
      <c r="AP62" s="10">
        <f t="shared" ref="AP62" si="365">IF(OR(AP9="",AP61=""),"",(AP59+AP61+AO64)*AP9/12)</f>
        <v>-1963.0871642764603</v>
      </c>
      <c r="AQ62" s="10">
        <f t="shared" ref="AQ62" si="366">IF(OR(AQ9="",AQ61=""),"",(AQ59+AQ61+AP64)*AQ9/12)</f>
        <v>-2076.373139489348</v>
      </c>
      <c r="AR62" s="10">
        <f t="shared" ref="AR62" si="367">IF(OR(AR9="",AR61=""),"",(AR59+AR61+AQ64)*AR9/12)</f>
        <v>-1180.217154786636</v>
      </c>
      <c r="AS62" s="10">
        <f t="shared" ref="AS62" si="368">IF(OR(AS9="",AS61=""),"",(AS59+AS61+AR64)*AS9/12)</f>
        <v>102.46722782708679</v>
      </c>
      <c r="AT62" s="10">
        <f t="shared" ref="AT62" si="369">IF(OR(AT9="",AT61=""),"",(AT59+AT61+AS64)*AT9/12)</f>
        <v>993.98783182775912</v>
      </c>
      <c r="AU62" s="10">
        <f t="shared" ref="AU62" si="370">IF(OR(AU9="",AU61=""),"",(AU59+AU61+AT64)*AU9/12)</f>
        <v>1445.4815529546793</v>
      </c>
      <c r="AV62" s="10">
        <f t="shared" ref="AV62" si="371">IF(OR(AV9="",AV61=""),"",(AV59+AV61+AU64)*AV9/12)</f>
        <v>1273.9834166317835</v>
      </c>
      <c r="AW62" s="10">
        <f t="shared" ref="AW62" si="372">IF(OR(AW9="",AW61=""),"",(AW59+AW61+AV64)*AW9/12)</f>
        <v>985.97082483108932</v>
      </c>
      <c r="AX62" s="10">
        <f t="shared" ref="AX62" si="373">IF(OR(AX9="",AX61=""),"",(AX59+AX61+AW64)*AX9/12)</f>
        <v>912.76410991014882</v>
      </c>
      <c r="AY62" s="10">
        <f t="shared" ref="AY62" si="374">IF(OR(AY9="",AY61=""),"",(AY59+AY61+AX64)*AY9/12)</f>
        <v>805.58259603109354</v>
      </c>
      <c r="AZ62" s="10">
        <f t="shared" ref="AZ62" si="375">IF(OR(AZ9="",AZ61=""),"",(AZ59+AZ61+AY64)*AZ9/12)</f>
        <v>712.39628492134295</v>
      </c>
      <c r="BA62" s="10">
        <f t="shared" ref="BA62" si="376">IF(OR(BA9="",BA61=""),"",(BA59+BA61+AZ64)*BA9/12)</f>
        <v>987.97353288788543</v>
      </c>
      <c r="BB62" s="10">
        <f t="shared" ref="BB62" si="377">IF(OR(BB9="",BB61=""),"",(BB59+BB61+BA64)*BB9/12)</f>
        <v>398.94047950608865</v>
      </c>
      <c r="BC62" s="10">
        <f t="shared" ref="BC62" si="378">IF(OR(BC9="",BC61=""),"",(BC59+BC61+BB64)*BC9/12)</f>
        <v>42.860964894230854</v>
      </c>
      <c r="BD62" s="10">
        <f t="shared" ref="BD62" si="379">IF(OR(BD9="",BD61=""),"",(BD59+BD61+BC64)*BD9/12)</f>
        <v>28.101228715492724</v>
      </c>
      <c r="BE62" s="10">
        <f t="shared" ref="BE62" si="380">IF(OR(BE9="",BE61=""),"",(BE59+BE61+BD64)*BE9/12)</f>
        <v>21.221278928312437</v>
      </c>
      <c r="BF62" s="10">
        <f t="shared" ref="BF62" si="381">IF(OR(BF9="",BF61=""),"",(BF59+BF61+BE64)*BF9/12)</f>
        <v>0.54206418806911305</v>
      </c>
      <c r="BG62" s="10">
        <f t="shared" ref="BG62" si="382">IF(OR(BG9="",BG61=""),"",(BG59+BG61+BF64)*BG9/12)</f>
        <v>-12.337429143674541</v>
      </c>
      <c r="BH62" s="10">
        <f t="shared" ref="BH62:BW62" si="383">IF(OR(BH9="",BH61=""),"",(BH59+BH61+BG64)*BH9/12)</f>
        <v>-40.060832989476701</v>
      </c>
      <c r="BI62" s="10">
        <f t="shared" si="383"/>
        <v>-75.932317165671193</v>
      </c>
      <c r="BJ62" s="10">
        <f t="shared" si="383"/>
        <v>-114.81778112469891</v>
      </c>
      <c r="BK62" s="10">
        <f t="shared" si="383"/>
        <v>-103.34911341179669</v>
      </c>
      <c r="BL62" s="10">
        <f t="shared" si="383"/>
        <v>-128.71732056143821</v>
      </c>
      <c r="BM62" s="10">
        <f t="shared" si="383"/>
        <v>-112.56650826475799</v>
      </c>
      <c r="BN62" s="10">
        <f t="shared" si="383"/>
        <v>-112.20464285700784</v>
      </c>
      <c r="BO62" s="10">
        <f t="shared" si="383"/>
        <v>-104.37155757149908</v>
      </c>
      <c r="BP62" s="10">
        <f t="shared" si="383"/>
        <v>-83.76041818581453</v>
      </c>
      <c r="BQ62" s="10">
        <f t="shared" si="383"/>
        <v>-48.623845685749181</v>
      </c>
      <c r="BR62" s="10">
        <f t="shared" si="383"/>
        <v>-58.602766805884976</v>
      </c>
      <c r="BS62" s="10">
        <f t="shared" si="383"/>
        <v>-45.5786163510721</v>
      </c>
      <c r="BT62" s="10">
        <f t="shared" si="383"/>
        <v>-30.615728300496102</v>
      </c>
      <c r="BU62" s="10">
        <f t="shared" si="383"/>
        <v>-26.015396709261086</v>
      </c>
      <c r="BV62" s="10">
        <f t="shared" si="383"/>
        <v>-21.097751535228998</v>
      </c>
      <c r="BW62" s="10">
        <f t="shared" si="383"/>
        <v>-16.034321074872938</v>
      </c>
    </row>
    <row r="63" spans="1:75" s="5" customFormat="1" hidden="1" outlineLevel="1" x14ac:dyDescent="0.3">
      <c r="A63" s="255"/>
      <c r="B63" s="18" t="s">
        <v>14</v>
      </c>
      <c r="C63" s="26"/>
      <c r="D63" s="26"/>
      <c r="E63" s="9">
        <f t="shared" ref="E63:N63" si="384">IF(OR(E61="",E62=""),"",E61+E62)</f>
        <v>0</v>
      </c>
      <c r="F63" s="9">
        <f t="shared" si="384"/>
        <v>0</v>
      </c>
      <c r="G63" s="9">
        <f t="shared" si="384"/>
        <v>-1622.8714870824165</v>
      </c>
      <c r="H63" s="9">
        <f t="shared" si="384"/>
        <v>-14895.446991045661</v>
      </c>
      <c r="I63" s="9">
        <f t="shared" si="384"/>
        <v>-17644.218704851832</v>
      </c>
      <c r="J63" s="9">
        <f t="shared" si="384"/>
        <v>-16660.349865915319</v>
      </c>
      <c r="K63" s="9">
        <f t="shared" si="384"/>
        <v>-15715.804920570945</v>
      </c>
      <c r="L63" s="9">
        <f t="shared" si="384"/>
        <v>-13042.238169071437</v>
      </c>
      <c r="M63" s="9">
        <f t="shared" si="384"/>
        <v>-9272.3616762936326</v>
      </c>
      <c r="N63" s="9">
        <f t="shared" si="384"/>
        <v>1302.1523156683361</v>
      </c>
      <c r="O63" s="9">
        <f>IF(OR(O61="",O62=""),"",O61+O62)</f>
        <v>-4063.7489102927188</v>
      </c>
      <c r="P63" s="9">
        <f t="shared" ref="P63:AM63" si="385">IF(OR(P61="",P62=""),"",P61+P62)</f>
        <v>-83967.665437430682</v>
      </c>
      <c r="Q63" s="9">
        <f t="shared" si="385"/>
        <v>-58080.542291380465</v>
      </c>
      <c r="R63" s="9">
        <f t="shared" si="385"/>
        <v>-78229.289466060058</v>
      </c>
      <c r="S63" s="9">
        <f t="shared" si="385"/>
        <v>-64372.034575958925</v>
      </c>
      <c r="T63" s="9">
        <f t="shared" si="385"/>
        <v>21676.718602808523</v>
      </c>
      <c r="U63" s="9">
        <f t="shared" si="385"/>
        <v>71689.259204882095</v>
      </c>
      <c r="V63" s="9">
        <f t="shared" si="385"/>
        <v>108557.015987743</v>
      </c>
      <c r="W63" s="9">
        <f t="shared" si="385"/>
        <v>99015.915908191237</v>
      </c>
      <c r="X63" s="9">
        <f t="shared" si="385"/>
        <v>-2987.0386593699568</v>
      </c>
      <c r="Y63" s="9">
        <f t="shared" si="385"/>
        <v>4439.0443591924195</v>
      </c>
      <c r="Z63" s="9">
        <f t="shared" si="385"/>
        <v>16602.179190496532</v>
      </c>
      <c r="AA63" s="9">
        <f t="shared" si="385"/>
        <v>25257.803533429185</v>
      </c>
      <c r="AB63" s="9">
        <f t="shared" si="385"/>
        <v>-189638.92737315144</v>
      </c>
      <c r="AC63" s="9">
        <f t="shared" si="385"/>
        <v>-173506.99418238987</v>
      </c>
      <c r="AD63" s="9">
        <f t="shared" si="385"/>
        <v>-149159.9627202877</v>
      </c>
      <c r="AE63" s="9">
        <f t="shared" si="385"/>
        <v>-146662.78487537793</v>
      </c>
      <c r="AF63" s="9">
        <f t="shared" si="385"/>
        <v>68671.775994959971</v>
      </c>
      <c r="AG63" s="9">
        <f t="shared" si="385"/>
        <v>177262.66924775133</v>
      </c>
      <c r="AH63" s="9">
        <f t="shared" si="385"/>
        <v>126177.18952898412</v>
      </c>
      <c r="AI63" s="9">
        <f t="shared" si="385"/>
        <v>63669.69645990921</v>
      </c>
      <c r="AJ63" s="9">
        <f t="shared" si="385"/>
        <v>-121646.0322663262</v>
      </c>
      <c r="AK63" s="9">
        <f t="shared" si="385"/>
        <v>-114216.01697203731</v>
      </c>
      <c r="AL63" s="9">
        <f t="shared" si="385"/>
        <v>-104058.53508924684</v>
      </c>
      <c r="AM63" s="9">
        <f t="shared" si="385"/>
        <v>-49424.473939614196</v>
      </c>
      <c r="AN63" s="9">
        <f t="shared" ref="AN63:BW63" si="386">IF(OR(AN61="",AN62=""),"",AN61+AN62)</f>
        <v>-181595.3993833776</v>
      </c>
      <c r="AO63" s="9">
        <f t="shared" si="386"/>
        <v>-93048.994765855809</v>
      </c>
      <c r="AP63" s="9">
        <f t="shared" si="386"/>
        <v>-98931.597586959484</v>
      </c>
      <c r="AQ63" s="9">
        <f t="shared" si="386"/>
        <v>-88429.392746011988</v>
      </c>
      <c r="AR63" s="9">
        <f t="shared" si="386"/>
        <v>347690.55887727585</v>
      </c>
      <c r="AS63" s="9">
        <f t="shared" si="386"/>
        <v>533434.47735476831</v>
      </c>
      <c r="AT63" s="9">
        <f t="shared" si="386"/>
        <v>408683.18001804274</v>
      </c>
      <c r="AU63" s="9">
        <f t="shared" si="386"/>
        <v>223766.72931815757</v>
      </c>
      <c r="AV63" s="9">
        <f t="shared" si="386"/>
        <v>-107439.08736964632</v>
      </c>
      <c r="AW63" s="9">
        <f t="shared" si="386"/>
        <v>-116356.98172238814</v>
      </c>
      <c r="AX63" s="9">
        <f t="shared" si="386"/>
        <v>-124399.28900887593</v>
      </c>
      <c r="AY63" s="9">
        <f t="shared" si="386"/>
        <v>-106276.05589674354</v>
      </c>
      <c r="AZ63" s="9">
        <f t="shared" si="386"/>
        <v>45009.970864836112</v>
      </c>
      <c r="BA63" s="9">
        <f t="shared" si="386"/>
        <v>188861.86055120663</v>
      </c>
      <c r="BB63" s="9">
        <f t="shared" si="386"/>
        <v>-84663.355397631298</v>
      </c>
      <c r="BC63" s="9">
        <f t="shared" si="386"/>
        <v>-80387.151440030051</v>
      </c>
      <c r="BD63" s="9">
        <f t="shared" si="386"/>
        <v>-93306.129690972637</v>
      </c>
      <c r="BE63" s="9">
        <f t="shared" si="386"/>
        <v>-98205.544518588402</v>
      </c>
      <c r="BF63" s="9">
        <f t="shared" si="386"/>
        <v>-86163.138331918948</v>
      </c>
      <c r="BG63" s="9">
        <f t="shared" si="386"/>
        <v>-83651.193870217787</v>
      </c>
      <c r="BH63" s="9">
        <f t="shared" si="386"/>
        <v>-84829.610801232106</v>
      </c>
      <c r="BI63" s="9">
        <f t="shared" si="386"/>
        <v>-84785.332867424309</v>
      </c>
      <c r="BJ63" s="9">
        <f t="shared" si="386"/>
        <v>-85554.458873219977</v>
      </c>
      <c r="BK63" s="9">
        <f t="shared" si="386"/>
        <v>-80849.426279611842</v>
      </c>
      <c r="BL63" s="9">
        <f t="shared" si="386"/>
        <v>59602.696432747514</v>
      </c>
      <c r="BM63" s="9">
        <f t="shared" si="386"/>
        <v>-7011.3973317220925</v>
      </c>
      <c r="BN63" s="9">
        <f t="shared" si="386"/>
        <v>-8615.2287261828442</v>
      </c>
      <c r="BO63" s="9">
        <f t="shared" si="386"/>
        <v>-5964.7350797008685</v>
      </c>
      <c r="BP63" s="9">
        <f t="shared" si="386"/>
        <v>18884.952623808469</v>
      </c>
      <c r="BQ63" s="9">
        <f t="shared" si="386"/>
        <v>23380.922215209564</v>
      </c>
      <c r="BR63" s="9">
        <f t="shared" si="386"/>
        <v>22942.081246211746</v>
      </c>
      <c r="BS63" s="9">
        <f t="shared" si="386"/>
        <v>6879.7176429455531</v>
      </c>
      <c r="BT63" s="9">
        <f t="shared" si="386"/>
        <v>-7592.224365480537</v>
      </c>
      <c r="BU63" s="9">
        <f t="shared" si="386"/>
        <v>-9229.9769385287</v>
      </c>
      <c r="BV63" s="9">
        <f t="shared" si="386"/>
        <v>-8437.7909625692391</v>
      </c>
      <c r="BW63" s="9">
        <f t="shared" si="386"/>
        <v>-8111.3928866911601</v>
      </c>
    </row>
    <row r="64" spans="1:75" s="5" customFormat="1" hidden="1" outlineLevel="1" x14ac:dyDescent="0.3">
      <c r="A64" s="255"/>
      <c r="B64" s="20" t="s">
        <v>18</v>
      </c>
      <c r="C64" s="28"/>
      <c r="D64" s="28"/>
      <c r="E64" s="9">
        <f>E63</f>
        <v>0</v>
      </c>
      <c r="F64" s="9">
        <f>IF(OR(F63="",E64=""),"",F63+E64)</f>
        <v>0</v>
      </c>
      <c r="G64" s="9">
        <f t="shared" ref="G64:N64" si="387">IF(OR(G63="",F64=""),"",G63+F64)</f>
        <v>-1622.8714870824165</v>
      </c>
      <c r="H64" s="9">
        <f t="shared" si="387"/>
        <v>-16518.318478128076</v>
      </c>
      <c r="I64" s="9">
        <f t="shared" si="387"/>
        <v>-34162.537182979911</v>
      </c>
      <c r="J64" s="9">
        <f t="shared" si="387"/>
        <v>-50822.887048895231</v>
      </c>
      <c r="K64" s="9">
        <f t="shared" si="387"/>
        <v>-66538.691969466177</v>
      </c>
      <c r="L64" s="9">
        <f t="shared" si="387"/>
        <v>-79580.930138537617</v>
      </c>
      <c r="M64" s="9">
        <f t="shared" si="387"/>
        <v>-88853.291814831246</v>
      </c>
      <c r="N64" s="9">
        <f t="shared" si="387"/>
        <v>-87551.139499162906</v>
      </c>
      <c r="O64" s="9">
        <f>IF(OR(O63="",N64=""),"",O63+O59+N64)</f>
        <v>-91614.888409455627</v>
      </c>
      <c r="P64" s="9">
        <f>IF(OR(P63="",O64=""),"",P63+P59+O64+P56)</f>
        <v>2083407.5311691668</v>
      </c>
      <c r="Q64" s="9">
        <f t="shared" ref="Q64" si="388">IF(OR(Q63="",P64=""),"",Q63+Q59+P64)</f>
        <v>1847616.2788777864</v>
      </c>
      <c r="R64" s="9">
        <f t="shared" ref="R64" si="389">IF(OR(R63="",Q64=""),"",R63+R59+Q64)</f>
        <v>1578157.2594117261</v>
      </c>
      <c r="S64" s="9">
        <f t="shared" ref="S64" si="390">IF(OR(S63="",R64=""),"",S63+S59+R64)</f>
        <v>1320068.3848357671</v>
      </c>
      <c r="T64" s="9">
        <f t="shared" ref="T64" si="391">IF(OR(T63="",S64=""),"",T63+T59+S64)</f>
        <v>1119120.1834385756</v>
      </c>
      <c r="U64" s="9">
        <f t="shared" ref="U64" si="392">IF(OR(U63="",T64=""),"",U63+U59+T64)</f>
        <v>972735.4926434576</v>
      </c>
      <c r="V64" s="9">
        <f t="shared" ref="V64" si="393">IF(OR(V63="",U64=""),"",V63+V59+U64)</f>
        <v>851233.15863120055</v>
      </c>
      <c r="W64" s="9">
        <f t="shared" ref="W64" si="394">IF(OR(W63="",V64=""),"",W63+W59+V64)</f>
        <v>728890.60453939182</v>
      </c>
      <c r="X64" s="9">
        <f t="shared" ref="X64" si="395">IF(OR(X63="",W64=""),"",X63+X59+W64)</f>
        <v>509239.72588002187</v>
      </c>
      <c r="Y64" s="9">
        <f t="shared" ref="Y64" si="396">IF(OR(Y63="",X64=""),"",Y63+Y59+X64)</f>
        <v>318617.1502392143</v>
      </c>
      <c r="Z64" s="9">
        <f t="shared" ref="Z64" si="397">IF(OR(Z63="",Y64=""),"",Z63+Z59+Y64)</f>
        <v>130804.97942971083</v>
      </c>
      <c r="AA64" s="9">
        <f t="shared" ref="AA64" si="398">IF(OR(AA63="",Z64=""),"",AA63+AA59+Z64)</f>
        <v>-69798.157036859979</v>
      </c>
      <c r="AB64" s="9">
        <f t="shared" ref="AB64" si="399">IF(OR(AB63="",AA64=""),"",AB63+AB59+AA64)</f>
        <v>-256526.81441001143</v>
      </c>
      <c r="AC64" s="9">
        <f t="shared" ref="AC64" si="400">IF(OR(AC63="",AB64=""),"",AC63+AC59+AB64)</f>
        <v>-427132.09859240131</v>
      </c>
      <c r="AD64" s="9">
        <f t="shared" ref="AD64" si="401">IF(OR(AD63="",AC64=""),"",AD63+AD59+AC64)</f>
        <v>-573613.37131268904</v>
      </c>
      <c r="AE64" s="9">
        <f t="shared" ref="AE64" si="402">IF(OR(AE63="",AD64=""),"",AE63+AE59+AD64)</f>
        <v>-717191.16618806694</v>
      </c>
      <c r="AF64" s="9">
        <f t="shared" ref="AF64" si="403">IF(OR(AF63="",AE64=""),"",AF63+AF59+AE64)</f>
        <v>-645173.85019310704</v>
      </c>
      <c r="AG64" s="9">
        <f t="shared" ref="AG64" si="404">IF(OR(AG63="",AF64=""),"",AG63+AG59+AF64)</f>
        <v>-464446.6409453557</v>
      </c>
      <c r="AH64" s="9">
        <f t="shared" ref="AH64" si="405">IF(OR(AH63="",AG64=""),"",AH63+AH59+AG64)</f>
        <v>-334863.95141637156</v>
      </c>
      <c r="AI64" s="9">
        <f t="shared" ref="AI64" si="406">IF(OR(AI63="",AH64=""),"",AI63+AI59+AH64)</f>
        <v>-267880.00495646236</v>
      </c>
      <c r="AJ64" s="9">
        <f t="shared" ref="AJ64" si="407">IF(OR(AJ63="",AI64=""),"",AJ63+AJ59+AI64)</f>
        <v>-386418.15722278855</v>
      </c>
      <c r="AK64" s="9">
        <f t="shared" ref="AK64" si="408">IF(OR(AK63="",AJ64=""),"",AK63+AK59+AJ64)</f>
        <v>-497741.83419482585</v>
      </c>
      <c r="AL64" s="9">
        <f t="shared" ref="AL64" si="409">IF(OR(AL63="",AK64=""),"",AL63+AL59+AK64)</f>
        <v>-598690.25928407267</v>
      </c>
      <c r="AM64" s="9">
        <f t="shared" ref="AM64" si="410">IF(OR(AM63="",AL64=""),"",AM63+AM59+AL64)</f>
        <v>-645260.2032236869</v>
      </c>
      <c r="AN64" s="9">
        <f t="shared" ref="AN64" si="411">IF(OR(AN63="",AM64=""),"",AN63+AN59+AM64)</f>
        <v>-781932.35260706453</v>
      </c>
      <c r="AO64" s="9">
        <f t="shared" ref="AO64" si="412">IF(OR(AO63="",AN64=""),"",AO63+AO59+AN64)</f>
        <v>-830508.58737292036</v>
      </c>
      <c r="AP64" s="9">
        <f t="shared" ref="AP64" si="413">IF(OR(AP63="",AO64=""),"",AP63+AP59+AO64)</f>
        <v>-886809.87495987979</v>
      </c>
      <c r="AQ64" s="9">
        <f t="shared" ref="AQ64" si="414">IF(OR(AQ63="",AP64=""),"",AQ63+AQ59+AP64)</f>
        <v>-932712.08770589181</v>
      </c>
      <c r="AR64" s="9">
        <f t="shared" ref="AR64" si="415">IF(OR(AR63="",AQ64=""),"",AR63+AR59+AQ64)</f>
        <v>-535606.67882861593</v>
      </c>
      <c r="AS64" s="9">
        <f t="shared" ref="AS64" si="416">IF(OR(AS63="",AR64=""),"",AS63+AS59+AR64)</f>
        <v>47488.548526152386</v>
      </c>
      <c r="AT64" s="9">
        <f t="shared" ref="AT64" si="417">IF(OR(AT63="",AS64=""),"",AT63+AT59+AS64)</f>
        <v>508305.34854419512</v>
      </c>
      <c r="AU64" s="9">
        <f t="shared" ref="AU64" si="418">IF(OR(AU63="",AT64=""),"",AU63+AU59+AT64)</f>
        <v>783890.03786235268</v>
      </c>
      <c r="AV64" s="9">
        <f t="shared" ref="AV64" si="419">IF(OR(AV63="",AU64=""),"",AV63+AV59+AU64)</f>
        <v>724466.64049270633</v>
      </c>
      <c r="AW64" s="9">
        <f t="shared" ref="AW64" si="420">IF(OR(AW63="",AV64=""),"",AW63+AW59+AV64)</f>
        <v>652512.48877031822</v>
      </c>
      <c r="AX64" s="9">
        <f t="shared" ref="AX64" si="421">IF(OR(AX63="",AW64=""),"",AX63+AX59+AW64)</f>
        <v>572820.39976144233</v>
      </c>
      <c r="AY64" s="9">
        <f t="shared" ref="AY64" si="422">IF(OR(AY63="",AX64=""),"",AY63+AY59+AX64)</f>
        <v>512536.23386469879</v>
      </c>
      <c r="AZ64" s="9">
        <f t="shared" ref="AZ64" si="423">IF(OR(AZ63="",AY64=""),"",AZ63+AZ59+AY64)</f>
        <v>474699.75472953491</v>
      </c>
      <c r="BA64" s="9">
        <f t="shared" ref="BA64" si="424">IF(OR(BA63="",AZ64=""),"",BA63+BA59+AZ64)</f>
        <v>628740.41528074152</v>
      </c>
      <c r="BB64" s="9">
        <f t="shared" ref="BB64" si="425">IF(OR(BB63="",BA64=""),"",BB63+BB59+BA64)</f>
        <v>510520.38988311024</v>
      </c>
      <c r="BC64" s="9">
        <f t="shared" ref="BC64" si="426">IF(OR(BC63="",BB64=""),"",BC63+BC59+BB64)</f>
        <v>398542.53844308021</v>
      </c>
      <c r="BD64" s="9">
        <f t="shared" ref="BD64" si="427">IF(OR(BD63="",BC64=""),"",BD63+BD59+BC64)</f>
        <v>268444.92875210755</v>
      </c>
      <c r="BE64" s="9">
        <f t="shared" ref="BE64" si="428">IF(OR(BE63="",BD64=""),"",BE63+BE59+BD64)</f>
        <v>131515.28423351914</v>
      </c>
      <c r="BF64" s="9">
        <f t="shared" ref="BF64" si="429">IF(OR(BF63="",BE64=""),"",BF63+BF59+BE64)</f>
        <v>4762.9759016001917</v>
      </c>
      <c r="BG64" s="9">
        <f t="shared" ref="BG64" si="430">IF(OR(BG63="",BF64=""),"",BG63+BG59+BF64)</f>
        <v>-119487.74796861759</v>
      </c>
      <c r="BH64" s="9">
        <f t="shared" ref="BH64:BW64" si="431">IF(OR(BH63="",BG64=""),"",BH63+BH59+BG64)</f>
        <v>-240405.05876984971</v>
      </c>
      <c r="BI64" s="9">
        <f t="shared" si="431"/>
        <v>-361022.44163727399</v>
      </c>
      <c r="BJ64" s="9">
        <f t="shared" si="431"/>
        <v>-484069.23051049397</v>
      </c>
      <c r="BK64" s="9">
        <f t="shared" si="431"/>
        <v>-601731.06679010577</v>
      </c>
      <c r="BL64" s="9">
        <f t="shared" si="431"/>
        <v>-665285.81035735831</v>
      </c>
      <c r="BM64" s="9">
        <f>IF(OR(BM63="",BL64=""),"",BM63+BM59+BL64)</f>
        <v>-632289.66768908035</v>
      </c>
      <c r="BN64" s="9">
        <f t="shared" si="431"/>
        <v>-598210.00641526317</v>
      </c>
      <c r="BO64" s="9">
        <f t="shared" si="431"/>
        <v>-558559.59149496409</v>
      </c>
      <c r="BP64" s="9">
        <f t="shared" si="431"/>
        <v>-498511.8088711556</v>
      </c>
      <c r="BQ64" s="9">
        <f t="shared" si="431"/>
        <v>-418171.39665594604</v>
      </c>
      <c r="BR64" s="9">
        <f t="shared" si="431"/>
        <v>-342933.6054097343</v>
      </c>
      <c r="BS64" s="9">
        <f t="shared" si="431"/>
        <v>-283094.22776678874</v>
      </c>
      <c r="BT64" s="9">
        <f t="shared" si="431"/>
        <v>-244956.44213226927</v>
      </c>
      <c r="BU64" s="9">
        <f t="shared" si="431"/>
        <v>-208149.18907079796</v>
      </c>
      <c r="BV64" s="9">
        <f t="shared" si="431"/>
        <v>-168803.11003336721</v>
      </c>
      <c r="BW64" s="9">
        <f t="shared" si="431"/>
        <v>-128290.60292005836</v>
      </c>
    </row>
    <row r="65" spans="1:79" s="5" customFormat="1" ht="8.25" hidden="1" customHeight="1" outlineLevel="1" x14ac:dyDescent="0.3">
      <c r="A65" s="44"/>
      <c r="B65" s="13"/>
      <c r="C65" s="13"/>
      <c r="D65" s="13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</row>
    <row r="66" spans="1:79" s="5" customFormat="1" ht="15" hidden="1" customHeight="1" outlineLevel="1" x14ac:dyDescent="0.3">
      <c r="A66" s="255" t="s">
        <v>24</v>
      </c>
      <c r="B66" s="17"/>
      <c r="C66" s="32"/>
      <c r="D66" s="32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67">
        <v>1878286.3459755329</v>
      </c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</row>
    <row r="67" spans="1:79" s="3" customFormat="1" ht="15" hidden="1" customHeight="1" outlineLevel="1" x14ac:dyDescent="0.3">
      <c r="A67" s="255"/>
      <c r="B67" s="17" t="s">
        <v>28</v>
      </c>
      <c r="C67" s="32"/>
      <c r="D67" s="32"/>
      <c r="E67" s="22">
        <f>IF('M2 Allocations - TD'!D9="","",'M2 Allocations - TD'!D35)</f>
        <v>0</v>
      </c>
      <c r="F67" s="22">
        <f>IF('M2 Allocations - TD'!E9="","",'M2 Allocations - TD'!E35)</f>
        <v>0</v>
      </c>
      <c r="G67" s="22">
        <f>IF('M2 Allocations - TD'!F9="","",'M2 Allocations - TD'!F35)</f>
        <v>0</v>
      </c>
      <c r="H67" s="22">
        <f>IF('M2 Allocations - TD'!G9="","",'M2 Allocations - TD'!G35)</f>
        <v>0</v>
      </c>
      <c r="I67" s="22">
        <f>IF('M2 Allocations - TD'!H9="","",'M2 Allocations - TD'!H35)</f>
        <v>360.22</v>
      </c>
      <c r="J67" s="22">
        <f>IF('M2 Allocations - TD'!I9="","",'M2 Allocations - TD'!I35)</f>
        <v>1356.5027975457876</v>
      </c>
      <c r="K67" s="22">
        <f>IF('M2 Allocations - TD'!J9="","",'M2 Allocations - TD'!J35)</f>
        <v>2255.3712414377201</v>
      </c>
      <c r="L67" s="22">
        <f>IF('M2 Allocations - TD'!K9="","",'M2 Allocations - TD'!K35)</f>
        <v>1897.7199413483188</v>
      </c>
      <c r="M67" s="22">
        <f>IF('M2 Allocations - TD'!L9="","",'M2 Allocations - TD'!L35)</f>
        <v>2405.4668833960245</v>
      </c>
      <c r="N67" s="22">
        <f>IF('M2 Allocations - TD'!M9="","",'M2 Allocations - TD'!M35)</f>
        <v>3262.8984825339485</v>
      </c>
      <c r="O67" s="22">
        <f>IF('M2 Allocations - TD'!N9="","",'M2 Allocations - TD'!N35)</f>
        <v>5909.4833335993335</v>
      </c>
      <c r="P67" s="22">
        <f>IF('M2 Allocations - TD'!O9="","",'M2 Allocations - TD'!O35)</f>
        <v>6425.014731291647</v>
      </c>
      <c r="Q67" s="22">
        <f>IF('M2 Allocations - TD'!P9="","",'M2 Allocations - TD'!P35)</f>
        <v>9106.0133494287093</v>
      </c>
      <c r="R67" s="22">
        <f>IF('M2 Allocations - TD'!Q9="","",'M2 Allocations - TD'!Q35)</f>
        <v>8390.7638449238184</v>
      </c>
      <c r="S67" s="22">
        <f>IF('M2 Allocations - TD'!R9="","",'M2 Allocations - TD'!R35)</f>
        <v>10997.379437607351</v>
      </c>
      <c r="T67" s="22">
        <f>IF('M2 Allocations - TD'!S9="","",'M2 Allocations - TD'!S35)</f>
        <v>20856.094406634937</v>
      </c>
      <c r="U67" s="22">
        <f>IF('M2 Allocations - TD'!T9="","",'M2 Allocations - TD'!T35)</f>
        <v>29338.039999999994</v>
      </c>
      <c r="V67" s="22">
        <f>IF('M2 Allocations - TD'!U9="","",'M2 Allocations - TD'!U35)</f>
        <v>27923.370923640025</v>
      </c>
      <c r="W67" s="22">
        <f>IF('M2 Allocations - TD'!V9="","",'M2 Allocations - TD'!V35)</f>
        <v>26983.721535135461</v>
      </c>
      <c r="X67" s="22">
        <f>IF('M2 Allocations - TD'!W9="","",'M2 Allocations - TD'!W35)</f>
        <v>19471.188276380515</v>
      </c>
      <c r="Y67" s="22">
        <f>IF('M2 Allocations - TD'!X9="","",'M2 Allocations - TD'!X35)</f>
        <v>18971.478034215677</v>
      </c>
      <c r="Z67" s="22">
        <f>IF('M2 Allocations - TD'!Y9="","",'M2 Allocations - TD'!Y35)</f>
        <v>20838.032820297231</v>
      </c>
      <c r="AA67" s="22">
        <f>IF('M2 Allocations - TD'!Z9="","",'M2 Allocations - TD'!Z35)</f>
        <v>24107.448446951264</v>
      </c>
      <c r="AB67" s="22">
        <f>IF('M2 Allocations - TD'!AA9="","",'M2 Allocations - TD'!AA35)</f>
        <v>21893.062382864882</v>
      </c>
      <c r="AC67" s="22">
        <f>IF('M2 Allocations - TD'!AB9="","",'M2 Allocations - TD'!AB35)</f>
        <v>24080.232432507251</v>
      </c>
      <c r="AD67" s="22">
        <f>IF('M2 Allocations - TD'!AC9="","",'M2 Allocations - TD'!AC35)</f>
        <v>25697.334922102909</v>
      </c>
      <c r="AE67" s="22">
        <f>IF('M2 Allocations - TD'!AD9="","",'M2 Allocations - TD'!AD35)</f>
        <v>34703.027598888038</v>
      </c>
      <c r="AF67" s="22">
        <f>IF('M2 Allocations - TD'!AE9="","",'M2 Allocations - TD'!AE35)</f>
        <v>75519.476357307751</v>
      </c>
      <c r="AG67" s="22">
        <f>IF('M2 Allocations - TD'!AF9="","",'M2 Allocations - TD'!AF35)</f>
        <v>100273.42685716876</v>
      </c>
      <c r="AH67" s="22">
        <f>IF('M2 Allocations - TD'!AG9="","",'M2 Allocations - TD'!AG35)</f>
        <v>85499.508585205374</v>
      </c>
      <c r="AI67" s="22">
        <f>IF('M2 Allocations - TD'!AH9="","",'M2 Allocations - TD'!AH35)</f>
        <v>69397.820475524379</v>
      </c>
      <c r="AJ67" s="22">
        <f>IF('M2 Allocations - TD'!AI9="","",'M2 Allocations - TD'!AI35)</f>
        <v>37821.144416831085</v>
      </c>
      <c r="AK67" s="22">
        <f>IF('M2 Allocations - TD'!AJ9="","",'M2 Allocations - TD'!AJ35)</f>
        <v>35865.098177838852</v>
      </c>
      <c r="AL67" s="22">
        <f>IF('M2 Allocations - TD'!AK9="","",'M2 Allocations - TD'!AK35)</f>
        <v>42905.24501769265</v>
      </c>
      <c r="AM67" s="22">
        <f>IF('M2 Allocations - TD'!AL9="","",'M2 Allocations - TD'!AL35)</f>
        <v>48941.253195931422</v>
      </c>
      <c r="AN67" s="22">
        <f>IF('M2 Allocations - TD'!AM9="","",'M2 Allocations - TD'!AM35)</f>
        <v>45736.205779424003</v>
      </c>
      <c r="AO67" s="22">
        <f>IF('M2 Allocations - TD'!AN9="","",'M2 Allocations - TD'!AN35)</f>
        <v>61794.995083764363</v>
      </c>
      <c r="AP67" s="22">
        <f>IF('M2 Allocations - TD'!AO9="","",'M2 Allocations - TD'!AO35)</f>
        <v>56159.323619014431</v>
      </c>
      <c r="AQ67" s="22">
        <f>IF('M2 Allocations - TD'!AP9="","",'M2 Allocations - TD'!AP35)</f>
        <v>66116.096564999927</v>
      </c>
      <c r="AR67" s="22">
        <f>IF('M2 Allocations - TD'!AQ9="","",'M2 Allocations - TD'!AQ35)</f>
        <v>196336.18137657503</v>
      </c>
      <c r="AS67" s="22">
        <f>IF('M2 Allocations - TD'!AR9="","",'M2 Allocations - TD'!AR35)</f>
        <v>261767.5472645007</v>
      </c>
      <c r="AT67" s="22">
        <f>IF('M2 Allocations - TD'!AS9="","",'M2 Allocations - TD'!AS35)</f>
        <v>232206.9863998002</v>
      </c>
      <c r="AU67" s="22">
        <f>IF('M2 Allocations - TD'!AT9="","",'M2 Allocations - TD'!AT35)</f>
        <v>149701.48799265211</v>
      </c>
      <c r="AV67" s="22">
        <f>IF('M2 Allocations - TD'!AU9="","",'M2 Allocations - TD'!AU35)</f>
        <v>63981.67593600769</v>
      </c>
      <c r="AW67" s="22">
        <f>IF('M2 Allocations - TD'!AV9="","",'M2 Allocations - TD'!AV35)</f>
        <v>56131.256299554763</v>
      </c>
      <c r="AX67" s="22">
        <f>IF('M2 Allocations - TD'!AW9="","",'M2 Allocations - TD'!AW35)</f>
        <v>57173.072833048078</v>
      </c>
      <c r="AY67" s="22">
        <f>IF('M2 Allocations - TD'!AX9="","",'M2 Allocations - TD'!AX35)</f>
        <v>61251.937727286851</v>
      </c>
      <c r="AZ67" s="22">
        <f>IF('M2 Allocations - TD'!AY9="","",'M2 Allocations - TD'!AY35)</f>
        <v>54765.460012100484</v>
      </c>
      <c r="BA67" s="22">
        <f>IF('M2 Allocations - TD'!AZ9="","",'M2 Allocations - TD'!AZ35)</f>
        <v>55225.416517369085</v>
      </c>
      <c r="BB67" s="22">
        <f>IF('M2 Allocations - TD'!BA9="","",'M2 Allocations - TD'!BA35)</f>
        <v>0</v>
      </c>
      <c r="BC67" s="22">
        <f>IF('M2 Allocations - TD'!BB9="","",'M2 Allocations - TD'!BB35)</f>
        <v>-142.24679364857641</v>
      </c>
      <c r="BD67" s="22">
        <f>IF('M2 Allocations - TD'!BC9="","",'M2 Allocations - TD'!BC35)</f>
        <v>0</v>
      </c>
      <c r="BE67" s="22">
        <f>IF('M2 Allocations - TD'!BD9="","",'M2 Allocations - TD'!BD35)</f>
        <v>0</v>
      </c>
      <c r="BF67" s="22">
        <f>IF('M2 Allocations - TD'!BE9="","",'M2 Allocations - TD'!BE35)</f>
        <v>0</v>
      </c>
      <c r="BG67" s="22">
        <f>IF('M2 Allocations - TD'!BF9="","",'M2 Allocations - TD'!BF35)</f>
        <v>0</v>
      </c>
      <c r="BH67" s="22">
        <f>IF('M2 Allocations - TD'!BG9="","",'M2 Allocations - TD'!BG35)</f>
        <v>0</v>
      </c>
      <c r="BI67" s="22">
        <f>IF('M2 Allocations - TD'!BH9="","",'M2 Allocations - TD'!BH35)</f>
        <v>0</v>
      </c>
      <c r="BJ67" s="22">
        <f>IF('M2 Allocations - TD'!BI9="","",'M2 Allocations - TD'!BI35)</f>
        <v>0</v>
      </c>
      <c r="BK67" s="22">
        <f>IF('M2 Allocations - TD'!BJ9="","",'M2 Allocations - TD'!BJ35)</f>
        <v>0</v>
      </c>
      <c r="BL67" s="22">
        <f>IF('M2 Allocations - TD'!BK9="","",'M2 Allocations - TD'!BK35)</f>
        <v>0</v>
      </c>
      <c r="BM67" s="22">
        <f>IF('M2 Allocations - TD'!BL9="","",'M2 Allocations - TD'!BL35)</f>
        <v>0</v>
      </c>
      <c r="BN67" s="22">
        <f>IF('M2 Allocations - TD'!BM9="","",'M2 Allocations - TD'!BM35)</f>
        <v>0</v>
      </c>
      <c r="BO67" s="22">
        <f>IF('M2 Allocations - TD'!BN9="","",'M2 Allocations - TD'!BN35)</f>
        <v>0</v>
      </c>
      <c r="BP67" s="22">
        <f>IF('M2 Allocations - TD'!BO9="","",'M2 Allocations - TD'!BO35)</f>
        <v>0</v>
      </c>
      <c r="BQ67" s="22">
        <f>IF('M2 Allocations - TD'!BP9="","",'M2 Allocations - TD'!BP35)</f>
        <v>0</v>
      </c>
      <c r="BR67" s="22">
        <f>IF('M2 Allocations - TD'!BQ9="","",'M2 Allocations - TD'!BQ35)</f>
        <v>-101.14999999990687</v>
      </c>
      <c r="BS67" s="22">
        <f>IF('M2 Allocations - TD'!BR9="","",'M2 Allocations - TD'!BR35)</f>
        <v>-108.16000000014901</v>
      </c>
      <c r="BT67" s="22">
        <f>IF('M2 Allocations - TD'!BS9="","",'M2 Allocations - TD'!BS35)</f>
        <v>-67.520000000018626</v>
      </c>
      <c r="BU67" s="22">
        <f>IF('M2 Allocations - TD'!BT9="","",'M2 Allocations - TD'!BT35)</f>
        <v>-54.19</v>
      </c>
      <c r="BV67" s="22">
        <f>IF('M2 Allocations - TD'!BU9="","",'M2 Allocations - TD'!BU35)</f>
        <v>-56.58</v>
      </c>
      <c r="BW67" s="22">
        <f>IF('M2 Allocations - TD'!BV9="","",'M2 Allocations - TD'!BV35)</f>
        <v>-61.18</v>
      </c>
    </row>
    <row r="68" spans="1:79" s="5" customFormat="1" ht="15" hidden="1" customHeight="1" outlineLevel="1" x14ac:dyDescent="0.3">
      <c r="A68" s="255"/>
      <c r="B68" s="18" t="s">
        <v>26</v>
      </c>
      <c r="C68" s="26"/>
      <c r="D68" s="26"/>
      <c r="E68" s="24">
        <v>0</v>
      </c>
      <c r="F68" s="24">
        <v>0</v>
      </c>
      <c r="G68" s="24">
        <v>0</v>
      </c>
      <c r="H68" s="24">
        <v>4867.8</v>
      </c>
      <c r="I68" s="24">
        <v>9528.7800000000007</v>
      </c>
      <c r="J68" s="24">
        <v>9622.07</v>
      </c>
      <c r="K68" s="24">
        <v>10571.65</v>
      </c>
      <c r="L68" s="24">
        <v>9276.2800000000007</v>
      </c>
      <c r="M68" s="24">
        <v>8552.14</v>
      </c>
      <c r="N68" s="24">
        <v>8040.28</v>
      </c>
      <c r="O68" s="24">
        <v>7958.8</v>
      </c>
      <c r="P68" s="24">
        <f>108234.02+94465.45</f>
        <v>202699.47</v>
      </c>
      <c r="Q68" s="24">
        <v>167678.56</v>
      </c>
      <c r="R68" s="22">
        <f>IF('M2 Allocations - TD'!Q54="","",'M2 Allocations - TD'!Q72)</f>
        <v>183651.06125723169</v>
      </c>
      <c r="S68" s="22">
        <f>IF('M2 Allocations - TD'!R54="","",'M2 Allocations - TD'!R72)</f>
        <v>187110.90550820582</v>
      </c>
      <c r="T68" s="22">
        <f>IF('M2 Allocations - TD'!S54="","",'M2 Allocations - TD'!S72)</f>
        <v>223442.58102316182</v>
      </c>
      <c r="U68" s="22">
        <f>IF('M2 Allocations - TD'!T54="","",'M2 Allocations - TD'!T72)</f>
        <v>211112.22603032622</v>
      </c>
      <c r="V68" s="22">
        <f>IF('M2 Allocations - TD'!U54="","",'M2 Allocations - TD'!U72)</f>
        <v>233963.66032568182</v>
      </c>
      <c r="W68" s="22">
        <f>IF('M2 Allocations - TD'!V54="","",'M2 Allocations - TD'!V72)</f>
        <v>223064.28470931173</v>
      </c>
      <c r="X68" s="22">
        <f>IF('M2 Allocations - TD'!W54="","",'M2 Allocations - TD'!W72)</f>
        <v>212741.63673550039</v>
      </c>
      <c r="Y68" s="22">
        <f>IF('M2 Allocations - TD'!X54="","",'M2 Allocations - TD'!X72)</f>
        <v>202298.65943791193</v>
      </c>
      <c r="Z68" s="22">
        <f>IF('M2 Allocations - TD'!Y54="","",'M2 Allocations - TD'!Y72)</f>
        <v>185145.40058784836</v>
      </c>
      <c r="AA68" s="22">
        <f>IF('M2 Allocations - TD'!Z54="","",'M2 Allocations - TD'!Z72)</f>
        <v>187242.02591890033</v>
      </c>
      <c r="AB68" s="22">
        <f>IF('M2 Allocations - TD'!AA54="","",'M2 Allocations - TD'!AA72)</f>
        <v>102199.67</v>
      </c>
      <c r="AC68" s="22">
        <f>IF('M2 Allocations - TD'!AB54="","",'M2 Allocations - TD'!AB72)</f>
        <v>15774.991410991883</v>
      </c>
      <c r="AD68" s="22">
        <f>IF('M2 Allocations - TD'!AC54="","",'M2 Allocations - TD'!AC72)</f>
        <v>14999.076289049191</v>
      </c>
      <c r="AE68" s="22">
        <f>IF('M2 Allocations - TD'!AD54="","",'M2 Allocations - TD'!AD72)</f>
        <v>17802.440022199695</v>
      </c>
      <c r="AF68" s="22">
        <f>IF('M2 Allocations - TD'!AE54="","",'M2 Allocations - TD'!AE72)</f>
        <v>19775.612550633668</v>
      </c>
      <c r="AG68" s="22">
        <f>IF('M2 Allocations - TD'!AF54="","",'M2 Allocations - TD'!AF72)</f>
        <v>11062.273989486501</v>
      </c>
      <c r="AH68" s="22">
        <f>IF('M2 Allocations - TD'!AG54="","",'M2 Allocations - TD'!AG72)</f>
        <v>20313.771907757455</v>
      </c>
      <c r="AI68" s="22">
        <f>IF('M2 Allocations - TD'!AH54="","",'M2 Allocations - TD'!AH72)</f>
        <v>19132.25484498954</v>
      </c>
      <c r="AJ68" s="22">
        <f>IF('M2 Allocations - TD'!AI54="","",'M2 Allocations - TD'!AI72)</f>
        <v>18842.570934578442</v>
      </c>
      <c r="AK68" s="22">
        <f>IF('M2 Allocations - TD'!AJ54="","",'M2 Allocations - TD'!AJ72)</f>
        <v>17291.908336856264</v>
      </c>
      <c r="AL68" s="22">
        <f>IF('M2 Allocations - TD'!AK54="","",'M2 Allocations - TD'!AK72)</f>
        <v>16424.771759142779</v>
      </c>
      <c r="AM68" s="22">
        <f>IF('M2 Allocations - TD'!AL54="","",'M2 Allocations - TD'!AL72)</f>
        <v>19194.293385468092</v>
      </c>
      <c r="AN68" s="22">
        <f>IF('M2 Allocations - TD'!AM54="","",'M2 Allocations - TD'!AM72)</f>
        <v>38886.814638059877</v>
      </c>
      <c r="AO68" s="22">
        <f>IF('M2 Allocations - TD'!AN54="","",'M2 Allocations - TD'!AN72)</f>
        <v>62163.30838583759</v>
      </c>
      <c r="AP68" s="22">
        <f>IF('M2 Allocations - TD'!AO54="","",'M2 Allocations - TD'!AO72)</f>
        <v>62277.891788111709</v>
      </c>
      <c r="AQ68" s="22">
        <f>IF('M2 Allocations - TD'!AP54="","",'M2 Allocations - TD'!AP72)</f>
        <v>61090.351080169654</v>
      </c>
      <c r="AR68" s="22">
        <f>IF('M2 Allocations - TD'!AQ54="","",'M2 Allocations - TD'!AQ72)</f>
        <v>77031.361873120681</v>
      </c>
      <c r="AS68" s="22">
        <f>IF('M2 Allocations - TD'!AR54="","",'M2 Allocations - TD'!AR72)</f>
        <v>71605.590509478847</v>
      </c>
      <c r="AT68" s="22">
        <f>IF('M2 Allocations - TD'!AS54="","",'M2 Allocations - TD'!AS72)</f>
        <v>79252.326006964737</v>
      </c>
      <c r="AU68" s="22">
        <f>IF('M2 Allocations - TD'!AT54="","",'M2 Allocations - TD'!AT72)</f>
        <v>80418.423982704393</v>
      </c>
      <c r="AV68" s="22">
        <f>IF('M2 Allocations - TD'!AU54="","",'M2 Allocations - TD'!AU72)</f>
        <v>75914.605849404077</v>
      </c>
      <c r="AW68" s="22">
        <f>IF('M2 Allocations - TD'!AV54="","",'M2 Allocations - TD'!AV72)</f>
        <v>67084.185364881603</v>
      </c>
      <c r="AX68" s="22">
        <f>IF('M2 Allocations - TD'!AW54="","",'M2 Allocations - TD'!AW72)</f>
        <v>62856.748290520285</v>
      </c>
      <c r="AY68" s="22">
        <f>IF('M2 Allocations - TD'!AX54="","",'M2 Allocations - TD'!AX72)</f>
        <v>66459.230205220156</v>
      </c>
      <c r="AZ68" s="22">
        <f>IF('M2 Allocations - TD'!AY54="","",'M2 Allocations - TD'!AY72)</f>
        <v>66430.245030828315</v>
      </c>
      <c r="BA68" s="22">
        <f>IF('M2 Allocations - TD'!AZ54="","",'M2 Allocations - TD'!AZ72)</f>
        <v>38508.585383210528</v>
      </c>
      <c r="BB68" s="22">
        <f>IF('M2 Allocations - TD'!BA54="","",'M2 Allocations - TD'!BA72)</f>
        <v>44139.712667457272</v>
      </c>
      <c r="BC68" s="22">
        <f>IF('M2 Allocations - TD'!BB54="","",'M2 Allocations - TD'!BB72)</f>
        <v>44831.320451790816</v>
      </c>
      <c r="BD68" s="22">
        <f>IF('M2 Allocations - TD'!BC54="","",'M2 Allocations - TD'!BC72)</f>
        <v>11299.677842574871</v>
      </c>
      <c r="BE68" s="22">
        <f>IF('M2 Allocations - TD'!BD54="","",'M2 Allocations - TD'!BD72)</f>
        <v>50403.777431042647</v>
      </c>
      <c r="BF68" s="22">
        <f>IF('M2 Allocations - TD'!BE54="","",'M2 Allocations - TD'!BE72)</f>
        <v>51924.778274542303</v>
      </c>
      <c r="BG68" s="22">
        <f>IF('M2 Allocations - TD'!BF54="","",'M2 Allocations - TD'!BF72)</f>
        <v>52673.048419221035</v>
      </c>
      <c r="BH68" s="22">
        <f>IF('M2 Allocations - TD'!BG54="","",'M2 Allocations - TD'!BG72)</f>
        <v>46395.596252741838</v>
      </c>
      <c r="BI68" s="22">
        <f>IF('M2 Allocations - TD'!BH54="","",'M2 Allocations - TD'!BH72)</f>
        <v>45485.528963265475</v>
      </c>
      <c r="BJ68" s="22">
        <f>IF('M2 Allocations - TD'!BI54="","",'M2 Allocations - TD'!BI72)</f>
        <v>46424.397026326449</v>
      </c>
      <c r="BK68" s="22">
        <f>IF('M2 Allocations - TD'!BJ54="","",'M2 Allocations - TD'!BJ72)</f>
        <v>42444.211387439616</v>
      </c>
      <c r="BL68" s="22">
        <f>IF('M2 Allocations - TD'!BK54="","",'M2 Allocations - TD'!BK72)</f>
        <v>37845.94077531778</v>
      </c>
      <c r="BM68" s="22">
        <f>IF('M2 Allocations - TD'!BL54="","",'M2 Allocations - TD'!BL72)</f>
        <v>-731.33700161567504</v>
      </c>
      <c r="BN68" s="22">
        <f>IF('M2 Allocations - TD'!BM54="","",'M2 Allocations - TD'!BM72)</f>
        <v>1437.7999422217736</v>
      </c>
      <c r="BO68" s="22">
        <f>IF('M2 Allocations - TD'!BN54="","",'M2 Allocations - TD'!BN72)</f>
        <v>1448.8425667251033</v>
      </c>
      <c r="BP68" s="22">
        <f>IF('M2 Allocations - TD'!BO54="","",'M2 Allocations - TD'!BO72)</f>
        <v>1380.7821512277105</v>
      </c>
      <c r="BQ68" s="22">
        <f>IF('M2 Allocations - TD'!BP54="","",'M2 Allocations - TD'!BP72)</f>
        <v>1767.2604926793401</v>
      </c>
      <c r="BR68" s="22">
        <f>IF('M2 Allocations - TD'!BQ54="","",'M2 Allocations - TD'!BQ72)</f>
        <v>1691.5909448949833</v>
      </c>
      <c r="BS68" s="22">
        <f>IF('M2 Allocations - TD'!BR54="","",'M2 Allocations - TD'!BR72)</f>
        <v>1824.9961214654177</v>
      </c>
      <c r="BT68" s="22">
        <f>IF('M2 Allocations - TD'!BS54="","",'M2 Allocations - TD'!BS72)</f>
        <v>1633.3060195728406</v>
      </c>
      <c r="BU68" s="22">
        <f>IF('M2 Allocations - TD'!BT54="","",'M2 Allocations - TD'!BT72)</f>
        <v>1516.4702313379935</v>
      </c>
      <c r="BV68" s="22">
        <f>IF('M2 Allocations - TD'!BU54="","",'M2 Allocations - TD'!BU72)</f>
        <v>1543.877757784162</v>
      </c>
      <c r="BW68" s="22">
        <f>IF('M2 Allocations - TD'!BV54="","",'M2 Allocations - TD'!BV72)</f>
        <v>1569.3618023591519</v>
      </c>
    </row>
    <row r="69" spans="1:79" s="5" customFormat="1" ht="15" hidden="1" customHeight="1" outlineLevel="1" x14ac:dyDescent="0.3">
      <c r="A69" s="255"/>
      <c r="B69" s="18" t="s">
        <v>47</v>
      </c>
      <c r="C69" s="26"/>
      <c r="D69" s="26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>
        <f>+'M2 TD amort'!C36</f>
        <v>0</v>
      </c>
      <c r="P69" s="24">
        <f>IF(P68="","",-'M2 TD amort'!D36)</f>
        <v>-147923.54</v>
      </c>
      <c r="Q69" s="24">
        <f>IF(Q68="","",-'M2 TD amort'!E36)</f>
        <v>-122366.41</v>
      </c>
      <c r="R69" s="22">
        <f>IF(R68="","",-'M2 TD amort'!F36)</f>
        <v>-135610.26999999999</v>
      </c>
      <c r="S69" s="22">
        <f>IF(S68="","",-'M2 TD amort'!G36)</f>
        <v>-137927.79</v>
      </c>
      <c r="T69" s="22">
        <f>IF(T68="","",-'M2 TD amort'!H36)</f>
        <v>-164689.71</v>
      </c>
      <c r="U69" s="22">
        <f>IF(U68="","",-'M2 TD amort'!I36)</f>
        <v>-155769.59</v>
      </c>
      <c r="V69" s="22">
        <f>IF(V68="","",-'M2 TD amort'!J36)</f>
        <v>-172638.51</v>
      </c>
      <c r="W69" s="22">
        <f>IF(W68="","",-'M2 TD amort'!K36)</f>
        <v>-164503.71</v>
      </c>
      <c r="X69" s="22">
        <f>IF(X68="","",-'M2 TD amort'!L36)</f>
        <v>-156843.66</v>
      </c>
      <c r="Y69" s="22">
        <f>IF(Y68="","",-'M2 TD amort'!M36)</f>
        <v>-149437.09</v>
      </c>
      <c r="Z69" s="22">
        <f>IF(Z68="","",-'M2 TD amort'!N36)</f>
        <v>-137029.1</v>
      </c>
      <c r="AA69" s="22">
        <f>IF(AA68="","",-'M2 TD amort'!O36)</f>
        <v>-138956.35</v>
      </c>
      <c r="AB69" s="22">
        <f>IF(AB68="","",-'M2 TD amort'!P36)</f>
        <v>163073.60999999999</v>
      </c>
      <c r="AC69" s="22">
        <f>IF(AC68="","",-'M2 TD amort'!Q36)</f>
        <v>28184.85</v>
      </c>
      <c r="AD69" s="22">
        <f>IF(AD68="","",-'M2 TD amort'!R36)</f>
        <v>26811.56</v>
      </c>
      <c r="AE69" s="22">
        <f>IF(AE68="","",-'M2 TD amort'!S36)</f>
        <v>30658.16</v>
      </c>
      <c r="AF69" s="22">
        <f>IF(AF68="","",-'M2 TD amort'!T36)</f>
        <v>33927.269999999997</v>
      </c>
      <c r="AG69" s="22">
        <f>IF(AG68="","",-'M2 TD amort'!U36)</f>
        <v>20613.12</v>
      </c>
      <c r="AH69" s="22">
        <f>IF(AH68="","",-'M2 TD amort'!V36)</f>
        <v>34940.29</v>
      </c>
      <c r="AI69" s="22">
        <f>IF(AI68="","",-'M2 TD amort'!W36)</f>
        <v>32815.35</v>
      </c>
      <c r="AJ69" s="22">
        <f>IF(AJ68="","",-'M2 TD amort'!X36)</f>
        <v>32400.86</v>
      </c>
      <c r="AK69" s="22">
        <f>IF(AK68="","",-'M2 TD amort'!Y36)</f>
        <v>30448.7</v>
      </c>
      <c r="AL69" s="22">
        <f>IF(AL68="","",-'M2 TD amort'!Z36)</f>
        <v>29651.5</v>
      </c>
      <c r="AM69" s="22">
        <f>IF(AM68="","",-'M2 TD amort'!AA36)</f>
        <v>33179.11</v>
      </c>
      <c r="AN69" s="22">
        <f>IF(AN68="","",-'M2 TD amort'!AB36)</f>
        <v>1500.43</v>
      </c>
      <c r="AO69" s="22">
        <f>IF(AO68="","",-'M2 TD amort'!AC36)</f>
        <v>2352.08</v>
      </c>
      <c r="AP69" s="22">
        <f>IF(AP68="","",-'M2 TD amort'!AD36)</f>
        <v>2341.8200000000002</v>
      </c>
      <c r="AQ69" s="22">
        <f>IF(AQ68="","",-'M2 TD amort'!AE36)</f>
        <v>2285.06</v>
      </c>
      <c r="AR69" s="22">
        <f>IF(AR68="","",-'M2 TD amort'!AF36)</f>
        <v>2878.25</v>
      </c>
      <c r="AS69" s="22">
        <f>IF(AS68="","",-'M2 TD amort'!AG36)</f>
        <v>2679.25</v>
      </c>
      <c r="AT69" s="22">
        <f>IF(AT68="","",-'M2 TD amort'!AH36)</f>
        <v>2966.75</v>
      </c>
      <c r="AU69" s="22">
        <f>IF(AU68="","",-'M2 TD amort'!AI36)</f>
        <v>3006.59</v>
      </c>
      <c r="AV69" s="22">
        <f>IF(AV68="","",-'M2 TD amort'!AJ36)</f>
        <v>2836.24</v>
      </c>
      <c r="AW69" s="22">
        <f>IF(AW68="","",-'M2 TD amort'!AK36)</f>
        <v>2518.7800000000002</v>
      </c>
      <c r="AX69" s="22">
        <f>IF(AX68="","",-'M2 TD amort'!AL36)</f>
        <v>2370.0100000000002</v>
      </c>
      <c r="AY69" s="22">
        <f>IF(AY68="","",-'M2 TD amort'!AM36)</f>
        <v>2508.15</v>
      </c>
      <c r="AZ69" s="22">
        <f>IF(AZ68="","",-'M2 TD amort'!AN36)</f>
        <v>-43670.64</v>
      </c>
      <c r="BA69" s="22">
        <f>IF(BA68="","",-'M2 TD amort'!AO36)</f>
        <v>-24903.919999999998</v>
      </c>
      <c r="BB69" s="22">
        <f>IF(BB68="","",-'M2 TD amort'!AP36)</f>
        <v>-28515.46</v>
      </c>
      <c r="BC69" s="22">
        <f>IF(BC68="","",-'M2 TD amort'!AQ36)</f>
        <v>-28951.69</v>
      </c>
      <c r="BD69" s="22">
        <f>IF(BD68="","",-'M2 TD amort'!AR36)</f>
        <v>-7358.44</v>
      </c>
      <c r="BE69" s="22">
        <f>IF(BE68="","",-'M2 TD amort'!AS36)</f>
        <v>-32544.66</v>
      </c>
      <c r="BF69" s="22">
        <f>IF(BF68="","",-'M2 TD amort'!AT36)</f>
        <v>-33521.589999999997</v>
      </c>
      <c r="BG69" s="22">
        <f>IF(BG68="","",-'M2 TD amort'!AU36)</f>
        <v>-33998.61</v>
      </c>
      <c r="BH69" s="22">
        <f>IF(BH68="","",-'M2 TD amort'!AV36)</f>
        <v>-29947.3</v>
      </c>
      <c r="BI69" s="22">
        <f>IF(BI68="","",-'M2 TD amort'!AW36)</f>
        <v>-29372.76</v>
      </c>
      <c r="BJ69" s="22">
        <f>IF(BJ68="","",-'M2 TD amort'!AX36)</f>
        <v>-29994.51</v>
      </c>
      <c r="BK69" s="22">
        <f>IF(BK68="","",-'M2 TD amort'!AY36)</f>
        <v>-27431.4</v>
      </c>
      <c r="BL69" s="22">
        <f>IF(BL68="","",-'M2 TD amort'!AZ36)</f>
        <v>-37690.370000000003</v>
      </c>
      <c r="BM69" s="22">
        <f>IF(BM68="","",-'M2 TD amort'!BA36)</f>
        <v>999.06</v>
      </c>
      <c r="BN69" s="22">
        <f>IF(BN68="","",-'M2 TD amort'!BB36)</f>
        <v>-1068.3499999999999</v>
      </c>
      <c r="BO69" s="22">
        <f>IF(BO68="","",-'M2 TD amort'!BC36)</f>
        <v>-1085.3800000000001</v>
      </c>
      <c r="BP69" s="22">
        <f>IF(BP68="","",-'M2 TD amort'!BD36)</f>
        <v>-1047.53</v>
      </c>
      <c r="BQ69" s="22">
        <f>IF(BQ68="","",-'M2 TD amort'!BE36)</f>
        <v>-1336.85</v>
      </c>
      <c r="BR69" s="22">
        <f>IF(BR68="","",-'M2 TD amort'!BF36)</f>
        <v>-1272.6199999999999</v>
      </c>
      <c r="BS69" s="22">
        <f>IF(BS68="","",-'M2 TD amort'!BG36)</f>
        <v>-1376.1</v>
      </c>
      <c r="BT69" s="22">
        <f>IF(BT68="","",-'M2 TD amort'!BH36)</f>
        <v>-1261.3</v>
      </c>
      <c r="BU69" s="22">
        <f>IF(BU68="","",-'M2 TD amort'!BI36)</f>
        <v>-1153.97</v>
      </c>
      <c r="BV69" s="22">
        <f>IF(BV68="","",-'M2 TD amort'!BJ36)</f>
        <v>-1129.31</v>
      </c>
      <c r="BW69" s="22">
        <f>IF(BW68="","",-'M2 TD amort'!BK36)</f>
        <v>-1123.8499999999999</v>
      </c>
    </row>
    <row r="70" spans="1:79" s="5" customFormat="1" ht="15" hidden="1" customHeight="1" outlineLevel="1" x14ac:dyDescent="0.3">
      <c r="A70" s="255"/>
      <c r="B70" s="18" t="s">
        <v>48</v>
      </c>
      <c r="C70" s="26"/>
      <c r="D70" s="26"/>
      <c r="E70" s="9"/>
      <c r="F70" s="9"/>
      <c r="G70" s="9"/>
      <c r="H70" s="9"/>
      <c r="I70" s="9"/>
      <c r="J70" s="9"/>
      <c r="K70" s="9"/>
      <c r="L70" s="9"/>
      <c r="M70" s="9"/>
      <c r="N70" s="9"/>
      <c r="O70" s="9">
        <f>IF(OR(O69="",O68=""),"",O68+O69)</f>
        <v>7958.8</v>
      </c>
      <c r="P70" s="9">
        <f t="shared" ref="P70" si="432">IF(OR(P69="",P68=""),"",P68+P69)</f>
        <v>54775.929999999993</v>
      </c>
      <c r="Q70" s="9">
        <f t="shared" ref="Q70" si="433">IF(OR(Q69="",Q68=""),"",Q68+Q69)</f>
        <v>45312.149999999994</v>
      </c>
      <c r="R70" s="9">
        <f t="shared" ref="R70" si="434">IF(OR(R69="",R68=""),"",R68+R69)</f>
        <v>48040.7912572317</v>
      </c>
      <c r="S70" s="9">
        <f t="shared" ref="S70" si="435">IF(OR(S69="",S68=""),"",S68+S69)</f>
        <v>49183.11550820581</v>
      </c>
      <c r="T70" s="9">
        <f t="shared" ref="T70" si="436">IF(OR(T69="",T68=""),"",T68+T69)</f>
        <v>58752.871023161832</v>
      </c>
      <c r="U70" s="9">
        <f t="shared" ref="U70" si="437">IF(OR(U69="",U68=""),"",U68+U69)</f>
        <v>55342.636030326219</v>
      </c>
      <c r="V70" s="9">
        <f t="shared" ref="V70" si="438">IF(OR(V69="",V68=""),"",V68+V69)</f>
        <v>61325.150325681811</v>
      </c>
      <c r="W70" s="9">
        <f t="shared" ref="W70" si="439">IF(OR(W69="",W68=""),"",W68+W69)</f>
        <v>58560.574709311739</v>
      </c>
      <c r="X70" s="9">
        <f t="shared" ref="X70" si="440">IF(OR(X69="",X68=""),"",X68+X69)</f>
        <v>55897.976735500386</v>
      </c>
      <c r="Y70" s="9">
        <f t="shared" ref="Y70" si="441">IF(OR(Y69="",Y68=""),"",Y68+Y69)</f>
        <v>52861.569437911938</v>
      </c>
      <c r="Z70" s="9">
        <f t="shared" ref="Z70" si="442">IF(OR(Z69="",Z68=""),"",Z68+Z69)</f>
        <v>48116.300587848353</v>
      </c>
      <c r="AA70" s="9">
        <f t="shared" ref="AA70" si="443">IF(OR(AA69="",AA68=""),"",AA68+AA69)</f>
        <v>48285.675918900321</v>
      </c>
      <c r="AB70" s="9">
        <f>IF(OR(AB69="",AB68=""),"",AB68+AB69)</f>
        <v>265273.27999999997</v>
      </c>
      <c r="AC70" s="9">
        <f t="shared" ref="AC70" si="444">IF(OR(AC69="",AC68=""),"",AC68+AC69)</f>
        <v>43959.841410991881</v>
      </c>
      <c r="AD70" s="9">
        <f t="shared" ref="AD70" si="445">IF(OR(AD69="",AD68=""),"",AD68+AD69)</f>
        <v>41810.636289049195</v>
      </c>
      <c r="AE70" s="9">
        <f t="shared" ref="AE70" si="446">IF(OR(AE69="",AE68=""),"",AE68+AE69)</f>
        <v>48460.600022199695</v>
      </c>
      <c r="AF70" s="9">
        <f t="shared" ref="AF70" si="447">IF(OR(AF69="",AF68=""),"",AF68+AF69)</f>
        <v>53702.882550633665</v>
      </c>
      <c r="AG70" s="9">
        <f t="shared" ref="AG70" si="448">IF(OR(AG69="",AG68=""),"",AG68+AG69)</f>
        <v>31675.3939894865</v>
      </c>
      <c r="AH70" s="9">
        <f t="shared" ref="AH70" si="449">IF(OR(AH69="",AH68=""),"",AH68+AH69)</f>
        <v>55254.061907757452</v>
      </c>
      <c r="AI70" s="9">
        <f t="shared" ref="AI70" si="450">IF(OR(AI69="",AI68=""),"",AI68+AI69)</f>
        <v>51947.604844989539</v>
      </c>
      <c r="AJ70" s="9">
        <f t="shared" ref="AJ70" si="451">IF(OR(AJ69="",AJ68=""),"",AJ68+AJ69)</f>
        <v>51243.430934578442</v>
      </c>
      <c r="AK70" s="9">
        <f t="shared" ref="AK70" si="452">IF(OR(AK69="",AK68=""),"",AK68+AK69)</f>
        <v>47740.608336856269</v>
      </c>
      <c r="AL70" s="9">
        <f t="shared" ref="AL70" si="453">IF(OR(AL69="",AL68=""),"",AL68+AL69)</f>
        <v>46076.271759142779</v>
      </c>
      <c r="AM70" s="9">
        <f t="shared" ref="AM70:BW70" si="454">IF(OR(AM69="",AM68=""),"",AM68+AM69)</f>
        <v>52373.403385468089</v>
      </c>
      <c r="AN70" s="9">
        <f t="shared" si="454"/>
        <v>40387.244638059878</v>
      </c>
      <c r="AO70" s="9">
        <f t="shared" si="454"/>
        <v>64515.388385837592</v>
      </c>
      <c r="AP70" s="9">
        <f t="shared" si="454"/>
        <v>64619.711788111708</v>
      </c>
      <c r="AQ70" s="9">
        <f t="shared" si="454"/>
        <v>63375.411080169652</v>
      </c>
      <c r="AR70" s="9">
        <f t="shared" si="454"/>
        <v>79909.611873120681</v>
      </c>
      <c r="AS70" s="9">
        <f t="shared" si="454"/>
        <v>74284.840509478847</v>
      </c>
      <c r="AT70" s="9">
        <f t="shared" si="454"/>
        <v>82219.076006964737</v>
      </c>
      <c r="AU70" s="9">
        <f t="shared" si="454"/>
        <v>83425.013982704389</v>
      </c>
      <c r="AV70" s="9">
        <f t="shared" si="454"/>
        <v>78750.845849404082</v>
      </c>
      <c r="AW70" s="9">
        <f t="shared" si="454"/>
        <v>69602.965364881602</v>
      </c>
      <c r="AX70" s="9">
        <f t="shared" si="454"/>
        <v>65226.758290520287</v>
      </c>
      <c r="AY70" s="9">
        <f t="shared" si="454"/>
        <v>68967.38020522015</v>
      </c>
      <c r="AZ70" s="9">
        <f t="shared" si="454"/>
        <v>22759.605030828316</v>
      </c>
      <c r="BA70" s="9">
        <f t="shared" si="454"/>
        <v>13604.665383210529</v>
      </c>
      <c r="BB70" s="9">
        <f t="shared" si="454"/>
        <v>15624.252667457273</v>
      </c>
      <c r="BC70" s="9">
        <f t="shared" si="454"/>
        <v>15879.630451790817</v>
      </c>
      <c r="BD70" s="9">
        <f t="shared" si="454"/>
        <v>3941.2378425748711</v>
      </c>
      <c r="BE70" s="9">
        <f t="shared" si="454"/>
        <v>17859.117431042647</v>
      </c>
      <c r="BF70" s="9">
        <f t="shared" si="454"/>
        <v>18403.188274542306</v>
      </c>
      <c r="BG70" s="9">
        <f t="shared" si="454"/>
        <v>18674.438419221035</v>
      </c>
      <c r="BH70" s="9">
        <f t="shared" si="454"/>
        <v>16448.296252741839</v>
      </c>
      <c r="BI70" s="9">
        <f t="shared" si="454"/>
        <v>16112.768963265476</v>
      </c>
      <c r="BJ70" s="9">
        <f t="shared" si="454"/>
        <v>16429.887026326451</v>
      </c>
      <c r="BK70" s="9">
        <f t="shared" si="454"/>
        <v>15012.811387439615</v>
      </c>
      <c r="BL70" s="9">
        <f t="shared" si="454"/>
        <v>155.57077531777759</v>
      </c>
      <c r="BM70" s="9">
        <f t="shared" si="454"/>
        <v>267.72299838432491</v>
      </c>
      <c r="BN70" s="9">
        <f t="shared" si="454"/>
        <v>369.44994222177365</v>
      </c>
      <c r="BO70" s="9">
        <f t="shared" si="454"/>
        <v>363.46256672510322</v>
      </c>
      <c r="BP70" s="9">
        <f t="shared" si="454"/>
        <v>333.25215122771056</v>
      </c>
      <c r="BQ70" s="9">
        <f t="shared" si="454"/>
        <v>430.41049267934022</v>
      </c>
      <c r="BR70" s="9">
        <f t="shared" si="454"/>
        <v>418.9709448949834</v>
      </c>
      <c r="BS70" s="9">
        <f t="shared" si="454"/>
        <v>448.89612146541776</v>
      </c>
      <c r="BT70" s="9">
        <f t="shared" si="454"/>
        <v>372.00601957284061</v>
      </c>
      <c r="BU70" s="9">
        <f t="shared" si="454"/>
        <v>362.50023133799345</v>
      </c>
      <c r="BV70" s="9">
        <f t="shared" si="454"/>
        <v>414.56775778416204</v>
      </c>
      <c r="BW70" s="9">
        <f t="shared" si="454"/>
        <v>445.51180235915194</v>
      </c>
    </row>
    <row r="71" spans="1:79" s="5" customFormat="1" hidden="1" outlineLevel="1" x14ac:dyDescent="0.3">
      <c r="A71" s="255"/>
      <c r="B71" s="18" t="s">
        <v>13</v>
      </c>
      <c r="C71" s="26"/>
      <c r="D71" s="26"/>
      <c r="E71" s="9">
        <f t="shared" ref="E71:M71" si="455">IF(OR(E68="",E67=""),"",E67-E68)</f>
        <v>0</v>
      </c>
      <c r="F71" s="9">
        <f t="shared" si="455"/>
        <v>0</v>
      </c>
      <c r="G71" s="9">
        <f t="shared" si="455"/>
        <v>0</v>
      </c>
      <c r="H71" s="9">
        <f t="shared" si="455"/>
        <v>-4867.8</v>
      </c>
      <c r="I71" s="9">
        <f t="shared" si="455"/>
        <v>-9168.5600000000013</v>
      </c>
      <c r="J71" s="9">
        <f t="shared" si="455"/>
        <v>-8265.5672024542127</v>
      </c>
      <c r="K71" s="9">
        <f t="shared" si="455"/>
        <v>-8316.2787585622791</v>
      </c>
      <c r="L71" s="9">
        <f t="shared" si="455"/>
        <v>-7378.5600586516821</v>
      </c>
      <c r="M71" s="9">
        <f t="shared" si="455"/>
        <v>-6146.6731166039754</v>
      </c>
      <c r="N71" s="9">
        <f>IF(OR(N68="",N67=""),"",N67-N68)</f>
        <v>-4777.3815174660513</v>
      </c>
      <c r="O71" s="9">
        <f>IF(OR(O70="",O67=""),"",O67-O70)</f>
        <v>-2049.3166664006667</v>
      </c>
      <c r="P71" s="9">
        <f t="shared" ref="P71:AM71" si="456">IF(OR(P70="",P67=""),"",P67-P70)</f>
        <v>-48350.915268708348</v>
      </c>
      <c r="Q71" s="9">
        <f t="shared" si="456"/>
        <v>-36206.136650571287</v>
      </c>
      <c r="R71" s="9">
        <f t="shared" si="456"/>
        <v>-39650.027412307885</v>
      </c>
      <c r="S71" s="9">
        <f t="shared" si="456"/>
        <v>-38185.736070598461</v>
      </c>
      <c r="T71" s="9">
        <f t="shared" si="456"/>
        <v>-37896.776616526899</v>
      </c>
      <c r="U71" s="9">
        <f t="shared" si="456"/>
        <v>-26004.596030326225</v>
      </c>
      <c r="V71" s="9">
        <f t="shared" si="456"/>
        <v>-33401.779402041786</v>
      </c>
      <c r="W71" s="9">
        <f t="shared" si="456"/>
        <v>-31576.853174176278</v>
      </c>
      <c r="X71" s="9">
        <f t="shared" si="456"/>
        <v>-36426.788459119867</v>
      </c>
      <c r="Y71" s="9">
        <f t="shared" si="456"/>
        <v>-33890.091403696264</v>
      </c>
      <c r="Z71" s="9">
        <f t="shared" si="456"/>
        <v>-27278.267767551122</v>
      </c>
      <c r="AA71" s="9">
        <f t="shared" si="456"/>
        <v>-24178.227471949056</v>
      </c>
      <c r="AB71" s="9">
        <f t="shared" si="456"/>
        <v>-243380.21761713509</v>
      </c>
      <c r="AC71" s="9">
        <f t="shared" si="456"/>
        <v>-19879.60897848463</v>
      </c>
      <c r="AD71" s="9">
        <f t="shared" si="456"/>
        <v>-16113.301366946285</v>
      </c>
      <c r="AE71" s="9">
        <f t="shared" si="456"/>
        <v>-13757.572423311656</v>
      </c>
      <c r="AF71" s="9">
        <f t="shared" si="456"/>
        <v>21816.593806674085</v>
      </c>
      <c r="AG71" s="9">
        <f t="shared" si="456"/>
        <v>68598.032867682254</v>
      </c>
      <c r="AH71" s="9">
        <f t="shared" si="456"/>
        <v>30245.446677447922</v>
      </c>
      <c r="AI71" s="9">
        <f t="shared" si="456"/>
        <v>17450.21563053484</v>
      </c>
      <c r="AJ71" s="9">
        <f t="shared" si="456"/>
        <v>-13422.286517747358</v>
      </c>
      <c r="AK71" s="9">
        <f t="shared" si="456"/>
        <v>-11875.510159017416</v>
      </c>
      <c r="AL71" s="9">
        <f t="shared" si="456"/>
        <v>-3171.0267414501286</v>
      </c>
      <c r="AM71" s="9">
        <f t="shared" si="456"/>
        <v>-3432.1501895366673</v>
      </c>
      <c r="AN71" s="9">
        <f t="shared" ref="AN71:BW71" si="457">IF(OR(AN70="",AN67=""),"",AN67-AN70)</f>
        <v>5348.9611413641251</v>
      </c>
      <c r="AO71" s="9">
        <f t="shared" si="457"/>
        <v>-2720.3933020732293</v>
      </c>
      <c r="AP71" s="9">
        <f t="shared" si="457"/>
        <v>-8460.3881690972776</v>
      </c>
      <c r="AQ71" s="9">
        <f t="shared" si="457"/>
        <v>2740.6854848302755</v>
      </c>
      <c r="AR71" s="9">
        <f t="shared" si="457"/>
        <v>116426.56950345435</v>
      </c>
      <c r="AS71" s="9">
        <f t="shared" si="457"/>
        <v>187482.70675502185</v>
      </c>
      <c r="AT71" s="9">
        <f t="shared" si="457"/>
        <v>149987.91039283545</v>
      </c>
      <c r="AU71" s="9">
        <f t="shared" si="457"/>
        <v>66276.47400994772</v>
      </c>
      <c r="AV71" s="9">
        <f t="shared" si="457"/>
        <v>-14769.169913396392</v>
      </c>
      <c r="AW71" s="9">
        <f t="shared" si="457"/>
        <v>-13471.709065326839</v>
      </c>
      <c r="AX71" s="9">
        <f t="shared" si="457"/>
        <v>-8053.6854574722092</v>
      </c>
      <c r="AY71" s="9">
        <f t="shared" si="457"/>
        <v>-7715.4424779332985</v>
      </c>
      <c r="AZ71" s="9">
        <f t="shared" si="457"/>
        <v>32005.854981272169</v>
      </c>
      <c r="BA71" s="9">
        <f t="shared" si="457"/>
        <v>41620.751134158556</v>
      </c>
      <c r="BB71" s="9">
        <f t="shared" si="457"/>
        <v>-15624.252667457273</v>
      </c>
      <c r="BC71" s="9">
        <f t="shared" si="457"/>
        <v>-16021.877245439395</v>
      </c>
      <c r="BD71" s="9">
        <f t="shared" si="457"/>
        <v>-3941.2378425748711</v>
      </c>
      <c r="BE71" s="9">
        <f t="shared" si="457"/>
        <v>-17859.117431042647</v>
      </c>
      <c r="BF71" s="9">
        <f t="shared" si="457"/>
        <v>-18403.188274542306</v>
      </c>
      <c r="BG71" s="9">
        <f t="shared" si="457"/>
        <v>-18674.438419221035</v>
      </c>
      <c r="BH71" s="9">
        <f t="shared" si="457"/>
        <v>-16448.296252741839</v>
      </c>
      <c r="BI71" s="9">
        <f t="shared" si="457"/>
        <v>-16112.768963265476</v>
      </c>
      <c r="BJ71" s="9">
        <f t="shared" si="457"/>
        <v>-16429.887026326451</v>
      </c>
      <c r="BK71" s="9">
        <f t="shared" si="457"/>
        <v>-15012.811387439615</v>
      </c>
      <c r="BL71" s="9">
        <f t="shared" si="457"/>
        <v>-155.57077531777759</v>
      </c>
      <c r="BM71" s="9">
        <f t="shared" si="457"/>
        <v>-267.72299838432491</v>
      </c>
      <c r="BN71" s="9">
        <f t="shared" si="457"/>
        <v>-369.44994222177365</v>
      </c>
      <c r="BO71" s="9">
        <f t="shared" si="457"/>
        <v>-363.46256672510322</v>
      </c>
      <c r="BP71" s="9">
        <f t="shared" si="457"/>
        <v>-333.25215122771056</v>
      </c>
      <c r="BQ71" s="9">
        <f t="shared" si="457"/>
        <v>-430.41049267934022</v>
      </c>
      <c r="BR71" s="9">
        <f t="shared" si="457"/>
        <v>-520.12094489489027</v>
      </c>
      <c r="BS71" s="9">
        <f t="shared" si="457"/>
        <v>-557.05612146556678</v>
      </c>
      <c r="BT71" s="9">
        <f t="shared" si="457"/>
        <v>-439.52601957285924</v>
      </c>
      <c r="BU71" s="9">
        <f t="shared" si="457"/>
        <v>-416.69023133799345</v>
      </c>
      <c r="BV71" s="9">
        <f t="shared" si="457"/>
        <v>-471.14775778416202</v>
      </c>
      <c r="BW71" s="9">
        <f t="shared" si="457"/>
        <v>-506.69180235915195</v>
      </c>
    </row>
    <row r="72" spans="1:79" s="5" customFormat="1" hidden="1" outlineLevel="1" x14ac:dyDescent="0.3">
      <c r="A72" s="255"/>
      <c r="B72" s="19" t="s">
        <v>8</v>
      </c>
      <c r="C72" s="30"/>
      <c r="D72" s="30"/>
      <c r="E72" s="9">
        <f t="shared" ref="E72:N72" si="458">IF(OR(E9="",E71=""),"",(E71+D74)*E9/12)</f>
        <v>0</v>
      </c>
      <c r="F72" s="9">
        <f t="shared" si="458"/>
        <v>0</v>
      </c>
      <c r="G72" s="9">
        <f t="shared" si="458"/>
        <v>0</v>
      </c>
      <c r="H72" s="9">
        <f t="shared" si="458"/>
        <v>-2.5406751929999998</v>
      </c>
      <c r="I72" s="9">
        <f t="shared" si="458"/>
        <v>-7.3592268311878604</v>
      </c>
      <c r="J72" s="9">
        <f t="shared" si="458"/>
        <v>-14.215720334968864</v>
      </c>
      <c r="K72" s="9">
        <f t="shared" si="458"/>
        <v>-19.290866032814765</v>
      </c>
      <c r="L72" s="9">
        <f t="shared" si="458"/>
        <v>-24.097498279543402</v>
      </c>
      <c r="M72" s="9">
        <f t="shared" si="458"/>
        <v>-28.152975943901492</v>
      </c>
      <c r="N72" s="9">
        <f t="shared" si="458"/>
        <v>-39.30320902363826</v>
      </c>
      <c r="O72" s="10">
        <f>IF(OR(O9="",O71=""),"",(O69+O71+N74)*O9/12)</f>
        <v>-38.328823118833434</v>
      </c>
      <c r="P72" s="10">
        <f>IF(OR(P9="",P71=""),"",(P69+P71+O74+P66)*P9/12)</f>
        <v>1223.1513482939456</v>
      </c>
      <c r="Q72" s="10">
        <f t="shared" ref="Q72:AM72" si="459">IF(OR(Q9="",Q71=""),"",(Q69+Q71+P74)*Q9/12)</f>
        <v>1412.122441210915</v>
      </c>
      <c r="R72" s="10">
        <f t="shared" si="459"/>
        <v>1245.5179401969469</v>
      </c>
      <c r="S72" s="10">
        <f t="shared" si="459"/>
        <v>1077.936099071979</v>
      </c>
      <c r="T72" s="10">
        <f t="shared" si="459"/>
        <v>1084.8708441780689</v>
      </c>
      <c r="U72" s="10">
        <f t="shared" si="459"/>
        <v>861.32899790254112</v>
      </c>
      <c r="V72" s="10">
        <f t="shared" si="459"/>
        <v>656.99260968260307</v>
      </c>
      <c r="W72" s="10">
        <f t="shared" si="459"/>
        <v>412.76166434708119</v>
      </c>
      <c r="X72" s="10">
        <f t="shared" si="459"/>
        <v>180.31979486812497</v>
      </c>
      <c r="Y72" s="10">
        <f t="shared" si="459"/>
        <v>-40.883761327985937</v>
      </c>
      <c r="Z72" s="10">
        <f>IF(OR(Z9="",Z71=""),"",(Z69+Z71+Y74)*Z9/12)</f>
        <v>-293.15200686767656</v>
      </c>
      <c r="AA72" s="10">
        <f t="shared" si="459"/>
        <v>-517.15748757254585</v>
      </c>
      <c r="AB72" s="10">
        <f t="shared" si="459"/>
        <v>-674.07000893525424</v>
      </c>
      <c r="AC72" s="10">
        <f t="shared" si="459"/>
        <v>-744.50516183908019</v>
      </c>
      <c r="AD72" s="10">
        <f t="shared" si="459"/>
        <v>-818.5810955366461</v>
      </c>
      <c r="AE72" s="10">
        <f t="shared" si="459"/>
        <v>-749.30329732821622</v>
      </c>
      <c r="AF72" s="10">
        <f t="shared" si="459"/>
        <v>-672.35711291424161</v>
      </c>
      <c r="AG72" s="10">
        <f t="shared" si="459"/>
        <v>-519.11851294545033</v>
      </c>
      <c r="AH72" s="10">
        <f t="shared" si="459"/>
        <v>-388.99847484623848</v>
      </c>
      <c r="AI72" s="10">
        <f t="shared" si="459"/>
        <v>-292.78610343929927</v>
      </c>
      <c r="AJ72" s="10">
        <f t="shared" si="459"/>
        <v>-270.66877582879988</v>
      </c>
      <c r="AK72" s="10">
        <f t="shared" si="459"/>
        <v>-239.80230007797388</v>
      </c>
      <c r="AL72" s="10">
        <f t="shared" si="459"/>
        <v>-201.15164686801617</v>
      </c>
      <c r="AM72" s="10">
        <f t="shared" si="459"/>
        <v>-138.9017157601111</v>
      </c>
      <c r="AN72" s="10">
        <f t="shared" ref="AN72" si="460">IF(OR(AN9="",AN71=""),"",(AN69+AN71+AM74)*AN9/12)</f>
        <v>-121.59963744740622</v>
      </c>
      <c r="AO72" s="10">
        <f t="shared" ref="AO72" si="461">IF(OR(AO9="",AO71=""),"",(AO69+AO71+AN74)*AO9/12)</f>
        <v>-120.48696817003263</v>
      </c>
      <c r="AP72" s="10">
        <f t="shared" ref="AP72" si="462">IF(OR(AP9="",AP71=""),"",(AP69+AP71+AO74)*AP9/12)</f>
        <v>-128.90292261641707</v>
      </c>
      <c r="AQ72" s="10">
        <f t="shared" ref="AQ72" si="463">IF(OR(AQ9="",AQ71=""),"",(AQ69+AQ71+AP74)*AQ9/12)</f>
        <v>-118.70789756049489</v>
      </c>
      <c r="AR72" s="10">
        <f t="shared" ref="AR72" si="464">IF(OR(AR9="",AR71=""),"",(AR69+AR71+AQ74)*AR9/12)</f>
        <v>145.71102213179589</v>
      </c>
      <c r="AS72" s="10">
        <f t="shared" ref="AS72" si="465">IF(OR(AS9="",AS71=""),"",(AS69+AS71+AR74)*AS9/12)</f>
        <v>554.19611545558507</v>
      </c>
      <c r="AT72" s="10">
        <f t="shared" ref="AT72" si="466">IF(OR(AT9="",AT71=""),"",(AT69+AT71+AS74)*AT9/12)</f>
        <v>802.92639796449419</v>
      </c>
      <c r="AU72" s="10">
        <f t="shared" ref="AU72" si="467">IF(OR(AU9="",AU71=""),"",(AU69+AU71+AT74)*AU9/12)</f>
        <v>886.53267749609847</v>
      </c>
      <c r="AV72" s="10">
        <f t="shared" ref="AV72" si="468">IF(OR(AV9="",AV71=""),"",(AV69+AV71+AU74)*AV9/12)</f>
        <v>825.90803193275872</v>
      </c>
      <c r="AW72" s="10">
        <f t="shared" ref="AW72" si="469">IF(OR(AW9="",AW71=""),"",(AW69+AW71+AV74)*AW9/12)</f>
        <v>694.17696913377824</v>
      </c>
      <c r="AX72" s="10">
        <f t="shared" ref="AX72" si="470">IF(OR(AX9="",AX71=""),"",(AX69+AX71+AW74)*AX9/12)</f>
        <v>724.13758517464032</v>
      </c>
      <c r="AY72" s="10">
        <f t="shared" ref="AY72" si="471">IF(OR(AY9="",AY71=""),"",(AY69+AY71+AX74)*AY9/12)</f>
        <v>707.20369917464097</v>
      </c>
      <c r="AZ72" s="10">
        <f t="shared" ref="AZ72" si="472">IF(OR(AZ9="",AZ71=""),"",(AZ69+AZ71+AY74)*AZ9/12)</f>
        <v>658.72831864604416</v>
      </c>
      <c r="BA72" s="10">
        <f t="shared" ref="BA72" si="473">IF(OR(BA9="",BA71=""),"",(BA69+BA71+AZ74)*BA9/12)</f>
        <v>717.12254317057807</v>
      </c>
      <c r="BB72" s="10">
        <f t="shared" ref="BB72" si="474">IF(OR(BB9="",BB71=""),"",(BB69+BB71+BA74)*BB9/12)</f>
        <v>322.38663111860211</v>
      </c>
      <c r="BC72" s="10">
        <f t="shared" ref="BC72" si="475">IF(OR(BC9="",BC71=""),"",(BC69+BC71+BB74)*BC9/12)</f>
        <v>39.535543248427892</v>
      </c>
      <c r="BD72" s="10">
        <f t="shared" ref="BD72" si="476">IF(OR(BD9="",BD71=""),"",(BD69+BD71+BC74)*BD9/12)</f>
        <v>37.304182207531994</v>
      </c>
      <c r="BE72" s="10">
        <f t="shared" ref="BE72" si="477">IF(OR(BE9="",BE71=""),"",(BE69+BE71+BD74)*BE9/12)</f>
        <v>49.376797040892455</v>
      </c>
      <c r="BF72" s="10">
        <f t="shared" ref="BF72" si="478">IF(OR(BF9="",BF71=""),"",(BF69+BF71+BE74)*BF9/12)</f>
        <v>28.919547689701602</v>
      </c>
      <c r="BG72" s="10">
        <f t="shared" ref="BG72" si="479">IF(OR(BG9="",BG71=""),"",(BG69+BG71+BF74)*BG9/12)</f>
        <v>20.800894466713963</v>
      </c>
      <c r="BH72" s="10">
        <f t="shared" ref="BH72" si="480">IF(OR(BH9="",BH71=""),"",(BH69+BH71+BG74)*BH9/12)</f>
        <v>25.843439935710126</v>
      </c>
      <c r="BI72" s="10">
        <f>IF(OR(BI9="",BI71=""),"",(BI69+BI71+BH74)*BI9/12)</f>
        <v>23.056752712109155</v>
      </c>
      <c r="BJ72" s="10">
        <f t="shared" ref="BJ72:BW72" si="481">IF(OR(BJ9="",BJ71=""),"",(BJ69+BJ71+BI74)*BJ9/12)</f>
        <v>14.99405571181353</v>
      </c>
      <c r="BK72" s="10">
        <f t="shared" si="481"/>
        <v>3.5679906342856662</v>
      </c>
      <c r="BL72" s="10">
        <f t="shared" si="481"/>
        <v>-3.3036692668723848</v>
      </c>
      <c r="BM72" s="10">
        <f t="shared" si="481"/>
        <v>-2.9102297245637101</v>
      </c>
      <c r="BN72" s="10">
        <f t="shared" si="481"/>
        <v>-3.3364453904515003</v>
      </c>
      <c r="BO72" s="10">
        <f t="shared" si="481"/>
        <v>-3.5952356834382946</v>
      </c>
      <c r="BP72" s="10">
        <f t="shared" si="481"/>
        <v>-3.4653770784723776</v>
      </c>
      <c r="BQ72" s="10">
        <f t="shared" si="481"/>
        <v>-2.6039768284816387</v>
      </c>
      <c r="BR72" s="10">
        <f t="shared" si="481"/>
        <v>-4.1339891735321705</v>
      </c>
      <c r="BS72" s="10">
        <f t="shared" si="481"/>
        <v>-4.2067742665012018</v>
      </c>
      <c r="BT72" s="10">
        <f t="shared" si="481"/>
        <v>-3.4787004042098162</v>
      </c>
      <c r="BU72" s="10">
        <f t="shared" si="481"/>
        <v>-3.6754677706775922</v>
      </c>
      <c r="BV72" s="10">
        <f t="shared" si="481"/>
        <v>-3.8759844238719467</v>
      </c>
      <c r="BW72" s="10">
        <f t="shared" si="481"/>
        <v>-4.0802866472198245</v>
      </c>
    </row>
    <row r="73" spans="1:79" s="5" customFormat="1" hidden="1" outlineLevel="1" x14ac:dyDescent="0.3">
      <c r="A73" s="255"/>
      <c r="B73" s="18" t="s">
        <v>14</v>
      </c>
      <c r="C73" s="26"/>
      <c r="D73" s="26"/>
      <c r="E73" s="9">
        <f t="shared" ref="E73:N73" si="482">IF(OR(E71="",E72=""),"",E71+E72)</f>
        <v>0</v>
      </c>
      <c r="F73" s="9">
        <f t="shared" si="482"/>
        <v>0</v>
      </c>
      <c r="G73" s="9">
        <f t="shared" si="482"/>
        <v>0</v>
      </c>
      <c r="H73" s="9">
        <f t="shared" si="482"/>
        <v>-4870.3406751930006</v>
      </c>
      <c r="I73" s="9">
        <f t="shared" si="482"/>
        <v>-9175.919226831189</v>
      </c>
      <c r="J73" s="9">
        <f t="shared" si="482"/>
        <v>-8279.7829227891816</v>
      </c>
      <c r="K73" s="9">
        <f t="shared" si="482"/>
        <v>-8335.569624595093</v>
      </c>
      <c r="L73" s="9">
        <f t="shared" si="482"/>
        <v>-7402.6575569312254</v>
      </c>
      <c r="M73" s="9">
        <f t="shared" si="482"/>
        <v>-6174.8260925478771</v>
      </c>
      <c r="N73" s="9">
        <f t="shared" si="482"/>
        <v>-4816.6847264896896</v>
      </c>
      <c r="O73" s="9">
        <f>IF(OR(O71="",O72=""),"",O71+O72)</f>
        <v>-2087.6454895195002</v>
      </c>
      <c r="P73" s="9">
        <f t="shared" ref="P73:AM73" si="483">IF(OR(P71="",P72=""),"",P71+P72)</f>
        <v>-47127.7639204144</v>
      </c>
      <c r="Q73" s="9">
        <f t="shared" si="483"/>
        <v>-34794.014209360372</v>
      </c>
      <c r="R73" s="9">
        <f t="shared" si="483"/>
        <v>-38404.509472110942</v>
      </c>
      <c r="S73" s="9">
        <f t="shared" si="483"/>
        <v>-37107.799971526481</v>
      </c>
      <c r="T73" s="9">
        <f t="shared" si="483"/>
        <v>-36811.905772348829</v>
      </c>
      <c r="U73" s="9">
        <f t="shared" si="483"/>
        <v>-25143.267032423686</v>
      </c>
      <c r="V73" s="9">
        <f t="shared" si="483"/>
        <v>-32744.786792359184</v>
      </c>
      <c r="W73" s="9">
        <f t="shared" si="483"/>
        <v>-31164.091509829195</v>
      </c>
      <c r="X73" s="9">
        <f t="shared" si="483"/>
        <v>-36246.468664251741</v>
      </c>
      <c r="Y73" s="9">
        <f t="shared" si="483"/>
        <v>-33930.975165024247</v>
      </c>
      <c r="Z73" s="9">
        <f t="shared" si="483"/>
        <v>-27571.419774418799</v>
      </c>
      <c r="AA73" s="9">
        <f t="shared" si="483"/>
        <v>-24695.384959521602</v>
      </c>
      <c r="AB73" s="9">
        <f t="shared" si="483"/>
        <v>-244054.28762607035</v>
      </c>
      <c r="AC73" s="9">
        <f t="shared" si="483"/>
        <v>-20624.114140323709</v>
      </c>
      <c r="AD73" s="9">
        <f t="shared" si="483"/>
        <v>-16931.882462482932</v>
      </c>
      <c r="AE73" s="9">
        <f t="shared" si="483"/>
        <v>-14506.875720639873</v>
      </c>
      <c r="AF73" s="9">
        <f t="shared" si="483"/>
        <v>21144.236693759845</v>
      </c>
      <c r="AG73" s="9">
        <f t="shared" si="483"/>
        <v>68078.9143547368</v>
      </c>
      <c r="AH73" s="9">
        <f t="shared" si="483"/>
        <v>29856.448202601685</v>
      </c>
      <c r="AI73" s="9">
        <f t="shared" si="483"/>
        <v>17157.429527095541</v>
      </c>
      <c r="AJ73" s="9">
        <f t="shared" si="483"/>
        <v>-13692.955293576157</v>
      </c>
      <c r="AK73" s="9">
        <f t="shared" si="483"/>
        <v>-12115.31245909539</v>
      </c>
      <c r="AL73" s="9">
        <f t="shared" si="483"/>
        <v>-3372.1783883181447</v>
      </c>
      <c r="AM73" s="9">
        <f t="shared" si="483"/>
        <v>-3571.0519052967784</v>
      </c>
      <c r="AN73" s="9">
        <f t="shared" ref="AN73:BW73" si="484">IF(OR(AN71="",AN72=""),"",AN71+AN72)</f>
        <v>5227.3615039167189</v>
      </c>
      <c r="AO73" s="9">
        <f t="shared" si="484"/>
        <v>-2840.8802702432617</v>
      </c>
      <c r="AP73" s="9">
        <f t="shared" si="484"/>
        <v>-8589.2910917136942</v>
      </c>
      <c r="AQ73" s="9">
        <f t="shared" si="484"/>
        <v>2621.9775872697805</v>
      </c>
      <c r="AR73" s="9">
        <f t="shared" si="484"/>
        <v>116572.28052558615</v>
      </c>
      <c r="AS73" s="9">
        <f t="shared" si="484"/>
        <v>188036.90287047744</v>
      </c>
      <c r="AT73" s="9">
        <f t="shared" si="484"/>
        <v>150790.83679079995</v>
      </c>
      <c r="AU73" s="9">
        <f t="shared" si="484"/>
        <v>67163.00668744382</v>
      </c>
      <c r="AV73" s="9">
        <f t="shared" si="484"/>
        <v>-13943.261881463633</v>
      </c>
      <c r="AW73" s="9">
        <f t="shared" si="484"/>
        <v>-12777.532096193061</v>
      </c>
      <c r="AX73" s="9">
        <f t="shared" si="484"/>
        <v>-7329.5478722975686</v>
      </c>
      <c r="AY73" s="9">
        <f t="shared" si="484"/>
        <v>-7008.2387787586576</v>
      </c>
      <c r="AZ73" s="9">
        <f t="shared" si="484"/>
        <v>32664.583299918213</v>
      </c>
      <c r="BA73" s="9">
        <f t="shared" si="484"/>
        <v>42337.873677329131</v>
      </c>
      <c r="BB73" s="9">
        <f t="shared" si="484"/>
        <v>-15301.86603633867</v>
      </c>
      <c r="BC73" s="9">
        <f t="shared" si="484"/>
        <v>-15982.341702190966</v>
      </c>
      <c r="BD73" s="9">
        <f t="shared" si="484"/>
        <v>-3903.9336603673391</v>
      </c>
      <c r="BE73" s="9">
        <f t="shared" si="484"/>
        <v>-17809.740634001755</v>
      </c>
      <c r="BF73" s="9">
        <f t="shared" si="484"/>
        <v>-18374.268726852606</v>
      </c>
      <c r="BG73" s="9">
        <f t="shared" si="484"/>
        <v>-18653.637524754322</v>
      </c>
      <c r="BH73" s="9">
        <f t="shared" si="484"/>
        <v>-16422.452812806128</v>
      </c>
      <c r="BI73" s="9">
        <f t="shared" si="484"/>
        <v>-16089.712210553367</v>
      </c>
      <c r="BJ73" s="9">
        <f t="shared" si="484"/>
        <v>-16414.892970614637</v>
      </c>
      <c r="BK73" s="9">
        <f t="shared" si="484"/>
        <v>-15009.24339680533</v>
      </c>
      <c r="BL73" s="9">
        <f t="shared" si="484"/>
        <v>-158.87444458464998</v>
      </c>
      <c r="BM73" s="9">
        <f t="shared" si="484"/>
        <v>-270.6332281088886</v>
      </c>
      <c r="BN73" s="9">
        <f t="shared" si="484"/>
        <v>-372.78638761222516</v>
      </c>
      <c r="BO73" s="9">
        <f t="shared" si="484"/>
        <v>-367.05780240854153</v>
      </c>
      <c r="BP73" s="9">
        <f t="shared" si="484"/>
        <v>-336.71752830618294</v>
      </c>
      <c r="BQ73" s="9">
        <f t="shared" si="484"/>
        <v>-433.01446950782184</v>
      </c>
      <c r="BR73" s="9">
        <f t="shared" si="484"/>
        <v>-524.25493406842247</v>
      </c>
      <c r="BS73" s="9">
        <f t="shared" si="484"/>
        <v>-561.26289573206793</v>
      </c>
      <c r="BT73" s="9">
        <f t="shared" si="484"/>
        <v>-443.00471997706904</v>
      </c>
      <c r="BU73" s="9">
        <f t="shared" si="484"/>
        <v>-420.36569910867104</v>
      </c>
      <c r="BV73" s="9">
        <f t="shared" si="484"/>
        <v>-475.02374220803398</v>
      </c>
      <c r="BW73" s="9">
        <f t="shared" si="484"/>
        <v>-510.7720890063718</v>
      </c>
    </row>
    <row r="74" spans="1:79" s="5" customFormat="1" hidden="1" outlineLevel="1" x14ac:dyDescent="0.3">
      <c r="A74" s="255"/>
      <c r="B74" s="20" t="s">
        <v>19</v>
      </c>
      <c r="C74" s="28"/>
      <c r="D74" s="28"/>
      <c r="E74" s="9">
        <f>E73</f>
        <v>0</v>
      </c>
      <c r="F74" s="9">
        <f>IF(OR(F73="",E74=""),"",F73+E74)</f>
        <v>0</v>
      </c>
      <c r="G74" s="9">
        <f t="shared" ref="G74:N74" si="485">IF(OR(G73="",F74=""),"",G73+F74)</f>
        <v>0</v>
      </c>
      <c r="H74" s="9">
        <f t="shared" si="485"/>
        <v>-4870.3406751930006</v>
      </c>
      <c r="I74" s="9">
        <f t="shared" si="485"/>
        <v>-14046.259902024191</v>
      </c>
      <c r="J74" s="9">
        <f t="shared" si="485"/>
        <v>-22326.042824813372</v>
      </c>
      <c r="K74" s="9">
        <f t="shared" si="485"/>
        <v>-30661.612449408465</v>
      </c>
      <c r="L74" s="9">
        <f t="shared" si="485"/>
        <v>-38064.270006339691</v>
      </c>
      <c r="M74" s="9">
        <f t="shared" si="485"/>
        <v>-44239.096098887567</v>
      </c>
      <c r="N74" s="9">
        <f t="shared" si="485"/>
        <v>-49055.780825377253</v>
      </c>
      <c r="O74" s="9">
        <f>IF(OR(O73="",N74=""),"",O73+O69+N74)</f>
        <v>-51143.426314896751</v>
      </c>
      <c r="P74" s="9">
        <f>IF(OR(P73="",O74=""),"",P73+P69+O74+P66)</f>
        <v>1632091.6157402217</v>
      </c>
      <c r="Q74" s="9">
        <f t="shared" ref="Q74" si="486">IF(OR(Q73="",P74=""),"",Q73+Q69+P74)</f>
        <v>1474931.1915308614</v>
      </c>
      <c r="R74" s="9">
        <f t="shared" ref="R74" si="487">IF(OR(R73="",Q74=""),"",R73+R69+Q74)</f>
        <v>1300916.4120587504</v>
      </c>
      <c r="S74" s="9">
        <f t="shared" ref="S74" si="488">IF(OR(S73="",R74=""),"",S73+S69+R74)</f>
        <v>1125880.8220872239</v>
      </c>
      <c r="T74" s="9">
        <f t="shared" ref="T74" si="489">IF(OR(T73="",S74=""),"",T73+T69+S74)</f>
        <v>924379.20631487505</v>
      </c>
      <c r="U74" s="9">
        <f t="shared" ref="U74" si="490">IF(OR(U73="",T74=""),"",U73+U69+T74)</f>
        <v>743466.34928245132</v>
      </c>
      <c r="V74" s="9">
        <f t="shared" ref="V74" si="491">IF(OR(V73="",U74=""),"",V73+V69+U74)</f>
        <v>538083.05249009212</v>
      </c>
      <c r="W74" s="9">
        <f t="shared" ref="W74" si="492">IF(OR(W73="",V74=""),"",W73+W69+V74)</f>
        <v>342415.25098026294</v>
      </c>
      <c r="X74" s="9">
        <f t="shared" ref="X74" si="493">IF(OR(X73="",W74=""),"",X73+X69+W74)</f>
        <v>149325.1223160112</v>
      </c>
      <c r="Y74" s="9">
        <f t="shared" ref="Y74" si="494">IF(OR(Y73="",X74=""),"",Y73+Y69+X74)</f>
        <v>-34042.942849013052</v>
      </c>
      <c r="Z74" s="9">
        <f t="shared" ref="Z74" si="495">IF(OR(Z73="",Y74=""),"",Z73+Z69+Y74)</f>
        <v>-198643.46262343184</v>
      </c>
      <c r="AA74" s="9">
        <f t="shared" ref="AA74" si="496">IF(OR(AA73="",Z74=""),"",AA73+AA69+Z74)</f>
        <v>-362295.19758295349</v>
      </c>
      <c r="AB74" s="9">
        <f t="shared" ref="AB74" si="497">IF(OR(AB73="",AA74=""),"",AB73+AB69+AA74)</f>
        <v>-443275.87520902383</v>
      </c>
      <c r="AC74" s="9">
        <f t="shared" ref="AC74" si="498">IF(OR(AC73="",AB74=""),"",AC73+AC69+AB74)</f>
        <v>-435715.13934934756</v>
      </c>
      <c r="AD74" s="9">
        <f t="shared" ref="AD74" si="499">IF(OR(AD73="",AC74=""),"",AD73+AD69+AC74)</f>
        <v>-425835.46181183052</v>
      </c>
      <c r="AE74" s="9">
        <f t="shared" ref="AE74" si="500">IF(OR(AE73="",AD74=""),"",AE73+AE69+AD74)</f>
        <v>-409684.17753247038</v>
      </c>
      <c r="AF74" s="9">
        <f t="shared" ref="AF74" si="501">IF(OR(AF73="",AE74=""),"",AF73+AF69+AE74)</f>
        <v>-354612.6708387105</v>
      </c>
      <c r="AG74" s="9">
        <f t="shared" ref="AG74" si="502">IF(OR(AG73="",AF74=""),"",AG73+AG69+AF74)</f>
        <v>-265920.63648397371</v>
      </c>
      <c r="AH74" s="9">
        <f t="shared" ref="AH74" si="503">IF(OR(AH73="",AG74=""),"",AH73+AH69+AG74)</f>
        <v>-201123.89828137204</v>
      </c>
      <c r="AI74" s="9">
        <f t="shared" ref="AI74" si="504">IF(OR(AI73="",AH74=""),"",AI73+AI69+AH74)</f>
        <v>-151151.11875427648</v>
      </c>
      <c r="AJ74" s="9">
        <f t="shared" ref="AJ74" si="505">IF(OR(AJ73="",AI74=""),"",AJ73+AJ69+AI74)</f>
        <v>-132443.21404785264</v>
      </c>
      <c r="AK74" s="9">
        <f t="shared" ref="AK74" si="506">IF(OR(AK73="",AJ74=""),"",AK73+AK69+AJ74)</f>
        <v>-114109.82650694804</v>
      </c>
      <c r="AL74" s="9">
        <f t="shared" ref="AL74" si="507">IF(OR(AL73="",AK74=""),"",AL73+AL69+AK74)</f>
        <v>-87830.504895266189</v>
      </c>
      <c r="AM74" s="9">
        <f t="shared" ref="AM74" si="508">IF(OR(AM73="",AL74=""),"",AM73+AM69+AL74)</f>
        <v>-58222.446800562968</v>
      </c>
      <c r="AN74" s="9">
        <f t="shared" ref="AN74" si="509">IF(OR(AN73="",AM74=""),"",AN73+AN69+AM74)</f>
        <v>-51494.655296646248</v>
      </c>
      <c r="AO74" s="9">
        <f t="shared" ref="AO74" si="510">IF(OR(AO73="",AN74=""),"",AO73+AO69+AN74)</f>
        <v>-51983.455566889512</v>
      </c>
      <c r="AP74" s="9">
        <f t="shared" ref="AP74" si="511">IF(OR(AP73="",AO74=""),"",AP73+AP69+AO74)</f>
        <v>-58230.926658603203</v>
      </c>
      <c r="AQ74" s="9">
        <f t="shared" ref="AQ74" si="512">IF(OR(AQ73="",AP74=""),"",AQ73+AQ69+AP74)</f>
        <v>-53323.889071333426</v>
      </c>
      <c r="AR74" s="9">
        <f t="shared" ref="AR74" si="513">IF(OR(AR73="",AQ74=""),"",AR73+AR69+AQ74)</f>
        <v>66126.64145425272</v>
      </c>
      <c r="AS74" s="9">
        <f t="shared" ref="AS74" si="514">IF(OR(AS73="",AR74=""),"",AS73+AS69+AR74)</f>
        <v>256842.79432473017</v>
      </c>
      <c r="AT74" s="9">
        <f t="shared" ref="AT74" si="515">IF(OR(AT73="",AS74=""),"",AT73+AT69+AS74)</f>
        <v>410600.38111553015</v>
      </c>
      <c r="AU74" s="9">
        <f t="shared" ref="AU74" si="516">IF(OR(AU73="",AT74=""),"",AU73+AU69+AT74)</f>
        <v>480769.97780297394</v>
      </c>
      <c r="AV74" s="9">
        <f t="shared" ref="AV74" si="517">IF(OR(AV73="",AU74=""),"",AV73+AV69+AU74)</f>
        <v>469662.95592151029</v>
      </c>
      <c r="AW74" s="9">
        <f t="shared" ref="AW74" si="518">IF(OR(AW73="",AV74=""),"",AW73+AW69+AV74)</f>
        <v>459404.20382531721</v>
      </c>
      <c r="AX74" s="9">
        <f t="shared" ref="AX74" si="519">IF(OR(AX73="",AW74=""),"",AX73+AX69+AW74)</f>
        <v>454444.66595301963</v>
      </c>
      <c r="AY74" s="9">
        <f t="shared" ref="AY74" si="520">IF(OR(AY73="",AX74=""),"",AY73+AY69+AX74)</f>
        <v>449944.57717426098</v>
      </c>
      <c r="AZ74" s="9">
        <f t="shared" ref="AZ74" si="521">IF(OR(AZ73="",AY74=""),"",AZ73+AZ69+AY74)</f>
        <v>438938.52047417918</v>
      </c>
      <c r="BA74" s="9">
        <f t="shared" ref="BA74" si="522">IF(OR(BA73="",AZ74=""),"",BA73+BA69+AZ74)</f>
        <v>456372.4741515083</v>
      </c>
      <c r="BB74" s="9">
        <f t="shared" ref="BB74" si="523">IF(OR(BB73="",BA74=""),"",BB73+BB69+BA74)</f>
        <v>412555.14811516961</v>
      </c>
      <c r="BC74" s="9">
        <f t="shared" ref="BC74" si="524">IF(OR(BC73="",BB74=""),"",BC73+BC69+BB74)</f>
        <v>367621.11641297862</v>
      </c>
      <c r="BD74" s="9">
        <f t="shared" ref="BD74" si="525">IF(OR(BD73="",BC74=""),"",BD73+BD69+BC74)</f>
        <v>356358.74275261129</v>
      </c>
      <c r="BE74" s="9">
        <f t="shared" ref="BE74" si="526">IF(OR(BE73="",BD74=""),"",BE73+BE69+BD74)</f>
        <v>306004.34211860952</v>
      </c>
      <c r="BF74" s="9">
        <f t="shared" ref="BF74" si="527">IF(OR(BF73="",BE74=""),"",BF73+BF69+BE74)</f>
        <v>254108.48339175692</v>
      </c>
      <c r="BG74" s="9">
        <f t="shared" ref="BG74" si="528">IF(OR(BG73="",BF74=""),"",BG73+BG69+BF74)</f>
        <v>201456.2358670026</v>
      </c>
      <c r="BH74" s="9">
        <f t="shared" ref="BH74:BW74" si="529">IF(OR(BH73="",BG74=""),"",BH73+BH69+BG74)</f>
        <v>155086.48305419646</v>
      </c>
      <c r="BI74" s="9">
        <f t="shared" si="529"/>
        <v>109624.0108436431</v>
      </c>
      <c r="BJ74" s="9">
        <f t="shared" si="529"/>
        <v>63214.607873028464</v>
      </c>
      <c r="BK74" s="9">
        <f>IF(OR(BK73="",BJ74=""),"",BK73+BK69+BJ74)</f>
        <v>20773.964476223133</v>
      </c>
      <c r="BL74" s="9">
        <f t="shared" si="529"/>
        <v>-17075.279968361523</v>
      </c>
      <c r="BM74" s="9">
        <f t="shared" si="529"/>
        <v>-16346.853196470413</v>
      </c>
      <c r="BN74" s="9">
        <f t="shared" si="529"/>
        <v>-17787.989584082636</v>
      </c>
      <c r="BO74" s="9">
        <f t="shared" si="529"/>
        <v>-19240.427386491177</v>
      </c>
      <c r="BP74" s="9">
        <f t="shared" si="529"/>
        <v>-20624.674914797361</v>
      </c>
      <c r="BQ74" s="9">
        <f t="shared" si="529"/>
        <v>-22394.539384305182</v>
      </c>
      <c r="BR74" s="9">
        <f t="shared" si="529"/>
        <v>-24191.414318373605</v>
      </c>
      <c r="BS74" s="9">
        <f t="shared" si="529"/>
        <v>-26128.777214105674</v>
      </c>
      <c r="BT74" s="9">
        <f t="shared" si="529"/>
        <v>-27833.081934082744</v>
      </c>
      <c r="BU74" s="9">
        <f t="shared" si="529"/>
        <v>-29407.417633191413</v>
      </c>
      <c r="BV74" s="9">
        <f t="shared" si="529"/>
        <v>-31011.751375399446</v>
      </c>
      <c r="BW74" s="9">
        <f t="shared" si="529"/>
        <v>-32646.373464405817</v>
      </c>
    </row>
    <row r="75" spans="1:79" s="5" customFormat="1" ht="8.25" hidden="1" customHeight="1" outlineLevel="1" x14ac:dyDescent="0.3">
      <c r="A75" s="44"/>
      <c r="B75" s="13"/>
      <c r="C75" s="13"/>
      <c r="D75" s="13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68"/>
      <c r="BM75" s="168"/>
      <c r="BN75" s="168"/>
      <c r="BO75" s="168"/>
      <c r="BP75" s="168"/>
      <c r="BQ75" s="168"/>
      <c r="BR75" s="168"/>
      <c r="BS75" s="168"/>
      <c r="BT75" s="15"/>
      <c r="BU75" s="168"/>
      <c r="BV75" s="168"/>
      <c r="BW75" s="168"/>
    </row>
    <row r="76" spans="1:79" s="2" customFormat="1" ht="15" customHeight="1" collapsed="1" x14ac:dyDescent="0.3">
      <c r="A76" s="256" t="s">
        <v>61</v>
      </c>
      <c r="B76" s="85"/>
      <c r="C76" s="26"/>
      <c r="D76" s="26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9"/>
      <c r="Q76" s="31"/>
      <c r="R76" s="31"/>
      <c r="S76" s="31"/>
      <c r="T76" s="31"/>
      <c r="U76" s="31"/>
      <c r="V76" s="31"/>
      <c r="W76" s="31"/>
      <c r="X76" s="31"/>
      <c r="Y76" s="67">
        <v>-950587.29</v>
      </c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67">
        <v>-46000</v>
      </c>
      <c r="AL76" s="31"/>
      <c r="AM76" s="31"/>
      <c r="AN76" s="96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T76" s="31"/>
    </row>
    <row r="77" spans="1:79" s="4" customFormat="1" x14ac:dyDescent="0.3">
      <c r="A77" s="256"/>
      <c r="B77" s="85" t="s">
        <v>62</v>
      </c>
      <c r="C77" s="26"/>
      <c r="D77" s="26"/>
      <c r="E77" s="24"/>
      <c r="F77" s="24"/>
      <c r="G77" s="24"/>
      <c r="H77" s="24"/>
      <c r="I77" s="24"/>
      <c r="J77" s="24"/>
      <c r="K77" s="24"/>
      <c r="L77" s="24"/>
      <c r="M77" s="23"/>
      <c r="N77" s="24"/>
      <c r="O77" s="24"/>
      <c r="P77" s="23"/>
      <c r="Q77" s="24"/>
      <c r="R77" s="24"/>
      <c r="S77" s="24"/>
      <c r="T77" s="24"/>
      <c r="U77" s="24"/>
      <c r="V77" s="24"/>
      <c r="W77" s="24"/>
      <c r="X77" s="24"/>
      <c r="Y77" s="24">
        <v>0</v>
      </c>
      <c r="Z77" s="24">
        <v>0</v>
      </c>
      <c r="AA77" s="24">
        <v>-11434.029999999999</v>
      </c>
      <c r="AB77" s="24">
        <v>-97063.06</v>
      </c>
      <c r="AC77" s="24">
        <v>-78439.839999999997</v>
      </c>
      <c r="AD77" s="24">
        <v>-75986.289999999994</v>
      </c>
      <c r="AE77" s="24">
        <v>-62392.98</v>
      </c>
      <c r="AF77" s="24">
        <v>-91978.92</v>
      </c>
      <c r="AG77" s="24">
        <v>-107509.38</v>
      </c>
      <c r="AH77" s="24">
        <v>-96563.72</v>
      </c>
      <c r="AI77" s="24">
        <v>-92958.44</v>
      </c>
      <c r="AJ77" s="24">
        <v>-72329.81</v>
      </c>
      <c r="AK77" s="24">
        <v>-67043.09</v>
      </c>
      <c r="AL77" s="24">
        <v>-92630.26</v>
      </c>
      <c r="AM77" s="24">
        <v>-91472.06</v>
      </c>
      <c r="AN77" s="24">
        <v>3116.63</v>
      </c>
      <c r="AO77" s="24">
        <v>2587.12</v>
      </c>
      <c r="AP77" s="24">
        <v>842.75</v>
      </c>
      <c r="AQ77" s="24">
        <v>56.56</v>
      </c>
      <c r="AR77" s="24">
        <v>1511.37</v>
      </c>
      <c r="AS77" s="24">
        <v>3222.89</v>
      </c>
      <c r="AT77" s="24">
        <v>3620.76</v>
      </c>
      <c r="AU77" s="24">
        <v>2953.3</v>
      </c>
      <c r="AV77" s="24">
        <v>1582.66</v>
      </c>
      <c r="AW77" s="24">
        <v>859.68</v>
      </c>
      <c r="AX77" s="24">
        <v>2364.75</v>
      </c>
      <c r="AY77" s="24">
        <v>3022.68</v>
      </c>
      <c r="AZ77" s="24">
        <v>944.99</v>
      </c>
      <c r="BA77" s="24">
        <v>-2.4400000000000013</v>
      </c>
      <c r="BB77" s="24">
        <v>-0.16</v>
      </c>
      <c r="BC77" s="24">
        <v>2.42</v>
      </c>
      <c r="BD77" s="24">
        <v>85.57</v>
      </c>
      <c r="BE77" s="24">
        <v>-0.13</v>
      </c>
      <c r="BF77" s="24">
        <v>-0.4</v>
      </c>
      <c r="BG77" s="24">
        <v>-0.62</v>
      </c>
      <c r="BH77" s="24">
        <v>-0.01</v>
      </c>
      <c r="BI77" s="24">
        <v>-0.33</v>
      </c>
      <c r="BJ77" s="24">
        <v>0.28999999999999998</v>
      </c>
      <c r="BK77" s="24">
        <v>0.18</v>
      </c>
      <c r="BL77" s="24">
        <v>-383.51</v>
      </c>
      <c r="BM77" s="24">
        <v>-838.54</v>
      </c>
      <c r="BN77" s="24">
        <v>-901.74</v>
      </c>
      <c r="BO77" s="24">
        <v>-918.67</v>
      </c>
      <c r="BP77" s="24">
        <v>-989.05</v>
      </c>
      <c r="BQ77" s="24">
        <v>-1207.8800000000001</v>
      </c>
      <c r="BR77" s="24">
        <v>-1173.18</v>
      </c>
      <c r="BS77" s="24">
        <v>-1200.93</v>
      </c>
      <c r="BT77" s="24">
        <v>-1051.26</v>
      </c>
      <c r="BU77" s="116">
        <f>SUM('[116]OAR (M2)'!AX29:AX33)</f>
        <v>-290.41137035498662</v>
      </c>
      <c r="BV77" s="116">
        <f>SUM('[116]OAR (M2)'!AY29:AY33)</f>
        <v>-32.204590885712292</v>
      </c>
      <c r="BW77" s="116">
        <f>SUM('[116]OAR (M2)'!AZ29:AZ33)</f>
        <v>177.22401866869993</v>
      </c>
      <c r="BY77" s="146"/>
      <c r="BZ77" s="146"/>
      <c r="CA77" s="146"/>
    </row>
    <row r="78" spans="1:79" s="4" customFormat="1" x14ac:dyDescent="0.3">
      <c r="A78" s="256"/>
      <c r="B78" s="85" t="s">
        <v>63</v>
      </c>
      <c r="C78" s="26"/>
      <c r="D78" s="26"/>
      <c r="E78" s="9"/>
      <c r="F78" s="9"/>
      <c r="G78" s="9"/>
      <c r="H78" s="9"/>
      <c r="I78" s="9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>
        <f>IF(OR(Y77=""),"",Y76-Y77)</f>
        <v>-950587.29</v>
      </c>
      <c r="Z78" s="10">
        <f t="shared" ref="Z78:AX78" si="530">IF(OR(Z77=""),"",Z76-Z77)</f>
        <v>0</v>
      </c>
      <c r="AA78" s="10">
        <f t="shared" si="530"/>
        <v>11434.029999999999</v>
      </c>
      <c r="AB78" s="10">
        <f t="shared" si="530"/>
        <v>97063.06</v>
      </c>
      <c r="AC78" s="10">
        <f t="shared" si="530"/>
        <v>78439.839999999997</v>
      </c>
      <c r="AD78" s="10">
        <f t="shared" si="530"/>
        <v>75986.289999999994</v>
      </c>
      <c r="AE78" s="10">
        <f t="shared" si="530"/>
        <v>62392.98</v>
      </c>
      <c r="AF78" s="10">
        <f t="shared" si="530"/>
        <v>91978.92</v>
      </c>
      <c r="AG78" s="10">
        <f t="shared" si="530"/>
        <v>107509.38</v>
      </c>
      <c r="AH78" s="10">
        <f t="shared" si="530"/>
        <v>96563.72</v>
      </c>
      <c r="AI78" s="10">
        <f t="shared" si="530"/>
        <v>92958.44</v>
      </c>
      <c r="AJ78" s="10">
        <f t="shared" si="530"/>
        <v>72329.81</v>
      </c>
      <c r="AK78" s="10">
        <f>IF(OR(AK77=""),"",AK76-AK77)</f>
        <v>21043.089999999997</v>
      </c>
      <c r="AL78" s="10">
        <f t="shared" si="530"/>
        <v>92630.26</v>
      </c>
      <c r="AM78" s="10">
        <f t="shared" si="530"/>
        <v>91472.06</v>
      </c>
      <c r="AN78" s="10">
        <f t="shared" si="530"/>
        <v>-3116.63</v>
      </c>
      <c r="AO78" s="10">
        <f t="shared" si="530"/>
        <v>-2587.12</v>
      </c>
      <c r="AP78" s="10">
        <f t="shared" si="530"/>
        <v>-842.75</v>
      </c>
      <c r="AQ78" s="10">
        <f t="shared" si="530"/>
        <v>-56.56</v>
      </c>
      <c r="AR78" s="10">
        <f t="shared" si="530"/>
        <v>-1511.37</v>
      </c>
      <c r="AS78" s="10">
        <f t="shared" si="530"/>
        <v>-3222.89</v>
      </c>
      <c r="AT78" s="10">
        <f t="shared" si="530"/>
        <v>-3620.76</v>
      </c>
      <c r="AU78" s="10">
        <f t="shared" si="530"/>
        <v>-2953.3</v>
      </c>
      <c r="AV78" s="10">
        <f t="shared" si="530"/>
        <v>-1582.66</v>
      </c>
      <c r="AW78" s="10">
        <f t="shared" si="530"/>
        <v>-859.68</v>
      </c>
      <c r="AX78" s="10">
        <f t="shared" si="530"/>
        <v>-2364.75</v>
      </c>
      <c r="AY78" s="10">
        <f t="shared" ref="AY78:BW78" si="531">IF(OR(AY77=""),"",AY76-AY77)</f>
        <v>-3022.68</v>
      </c>
      <c r="AZ78" s="10">
        <f t="shared" si="531"/>
        <v>-944.99</v>
      </c>
      <c r="BA78" s="10">
        <f t="shared" si="531"/>
        <v>2.4400000000000013</v>
      </c>
      <c r="BB78" s="10">
        <f t="shared" si="531"/>
        <v>0.16</v>
      </c>
      <c r="BC78" s="10">
        <f t="shared" si="531"/>
        <v>-2.42</v>
      </c>
      <c r="BD78" s="10">
        <f t="shared" si="531"/>
        <v>-85.57</v>
      </c>
      <c r="BE78" s="10">
        <f t="shared" si="531"/>
        <v>0.13</v>
      </c>
      <c r="BF78" s="10">
        <f t="shared" si="531"/>
        <v>0.4</v>
      </c>
      <c r="BG78" s="10">
        <f t="shared" si="531"/>
        <v>0.62</v>
      </c>
      <c r="BH78" s="10">
        <f t="shared" si="531"/>
        <v>0.01</v>
      </c>
      <c r="BI78" s="10">
        <f t="shared" si="531"/>
        <v>0.33</v>
      </c>
      <c r="BJ78" s="10">
        <f t="shared" si="531"/>
        <v>-0.28999999999999998</v>
      </c>
      <c r="BK78" s="10">
        <f t="shared" si="531"/>
        <v>-0.18</v>
      </c>
      <c r="BL78" s="10">
        <f t="shared" si="531"/>
        <v>383.51</v>
      </c>
      <c r="BM78" s="10">
        <f t="shared" si="531"/>
        <v>838.54</v>
      </c>
      <c r="BN78" s="10">
        <f t="shared" si="531"/>
        <v>901.74</v>
      </c>
      <c r="BO78" s="10">
        <f t="shared" si="531"/>
        <v>918.67</v>
      </c>
      <c r="BP78" s="10">
        <f t="shared" si="531"/>
        <v>989.05</v>
      </c>
      <c r="BQ78" s="10">
        <f t="shared" si="531"/>
        <v>1207.8800000000001</v>
      </c>
      <c r="BR78" s="10">
        <f>IF(OR(BR77=""),"",BR76-BR77)</f>
        <v>1173.18</v>
      </c>
      <c r="BS78" s="10">
        <f>IF(OR(BS77=""),"",BS76-BS77)</f>
        <v>1200.93</v>
      </c>
      <c r="BT78" s="10">
        <f>IF(OR(BT77=""),"",BT76-BT77)</f>
        <v>1051.26</v>
      </c>
      <c r="BU78" s="10">
        <f t="shared" si="531"/>
        <v>290.41137035498662</v>
      </c>
      <c r="BV78" s="10">
        <f t="shared" si="531"/>
        <v>32.204590885712292</v>
      </c>
      <c r="BW78" s="10">
        <f t="shared" si="531"/>
        <v>-177.22401866869993</v>
      </c>
    </row>
    <row r="79" spans="1:79" s="4" customFormat="1" x14ac:dyDescent="0.3">
      <c r="A79" s="256"/>
      <c r="B79" s="86" t="s">
        <v>8</v>
      </c>
      <c r="C79" s="26"/>
      <c r="D79" s="26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>
        <f>IF(OR(Y9="",Y78=""),"",((Y78)*Y9)/12)</f>
        <v>-1142.9773645635676</v>
      </c>
      <c r="Z79" s="10">
        <f>IF(OR(Z9="",Z78=""),"",((Z78+Y82)*Z9)/12)</f>
        <v>-1406.6105417600129</v>
      </c>
      <c r="AA79" s="10">
        <f t="shared" ref="AA79:AX79" si="532">IF(OR(AA9="",AA78=""),"",((AA78+Z82)*AA9)/12)</f>
        <v>-1346.153234548864</v>
      </c>
      <c r="AB79" s="10">
        <f t="shared" si="532"/>
        <v>-1288.4126187558829</v>
      </c>
      <c r="AC79" s="10">
        <f t="shared" si="532"/>
        <v>-1315.9538118321113</v>
      </c>
      <c r="AD79" s="10">
        <f t="shared" si="532"/>
        <v>-1336.9578921220411</v>
      </c>
      <c r="AE79" s="10">
        <f t="shared" si="532"/>
        <v>-1160.0625389104569</v>
      </c>
      <c r="AF79" s="10">
        <f t="shared" si="532"/>
        <v>-1030.1512787032175</v>
      </c>
      <c r="AG79" s="10">
        <f t="shared" si="532"/>
        <v>-852.43323708722994</v>
      </c>
      <c r="AH79" s="10">
        <f t="shared" si="532"/>
        <v>-659.06779451001023</v>
      </c>
      <c r="AI79" s="10">
        <f t="shared" si="532"/>
        <v>-480.92950853408678</v>
      </c>
      <c r="AJ79" s="10">
        <f t="shared" si="532"/>
        <v>-360.31926611651494</v>
      </c>
      <c r="AK79" s="10">
        <f>IF(OR(AK9="",AK78=""),"",((AK78+AJ82)*AK9)/12)</f>
        <v>-326.98303189502104</v>
      </c>
      <c r="AL79" s="10">
        <f t="shared" si="532"/>
        <v>-144.53386682650574</v>
      </c>
      <c r="AM79" s="10">
        <f t="shared" si="532"/>
        <v>67.827737992733816</v>
      </c>
      <c r="AN79" s="10">
        <f t="shared" si="532"/>
        <v>59.918620369761747</v>
      </c>
      <c r="AO79" s="10">
        <f t="shared" si="532"/>
        <v>52.938377462680137</v>
      </c>
      <c r="AP79" s="10">
        <f t="shared" si="532"/>
        <v>48.802208476892723</v>
      </c>
      <c r="AQ79" s="10">
        <f t="shared" si="532"/>
        <v>49.061459961622738</v>
      </c>
      <c r="AR79" s="10">
        <f t="shared" si="532"/>
        <v>45.331792046848214</v>
      </c>
      <c r="AS79" s="10">
        <f t="shared" si="532"/>
        <v>37.516625105978882</v>
      </c>
      <c r="AT79" s="10">
        <f t="shared" si="532"/>
        <v>26.972774943528055</v>
      </c>
      <c r="AU79" s="10">
        <f t="shared" si="532"/>
        <v>20.025787757859852</v>
      </c>
      <c r="AV79" s="10">
        <f t="shared" si="532"/>
        <v>16.343159553426808</v>
      </c>
      <c r="AW79" s="10">
        <f t="shared" si="532"/>
        <v>12.763470691451941</v>
      </c>
      <c r="AX79" s="10">
        <f t="shared" si="532"/>
        <v>9.7069882726060612</v>
      </c>
      <c r="AY79" s="10">
        <f t="shared" ref="AY79" si="533">IF(OR(AY9="",AY78=""),"",((AY78+AX82)*AY9)/12)</f>
        <v>4.8314791567889772</v>
      </c>
      <c r="AZ79" s="10">
        <f t="shared" ref="AZ79" si="534">IF(OR(AZ9="",AZ78=""),"",((AZ78+AY82)*AZ9)/12)</f>
        <v>3.1997734168797702</v>
      </c>
      <c r="BA79" s="10">
        <f t="shared" ref="BA79" si="535">IF(OR(BA9="",BA78=""),"",((BA78+AZ82)*BA9)/12)</f>
        <v>3.3594656448678157</v>
      </c>
      <c r="BB79" s="10">
        <f t="shared" ref="BB79" si="536">IF(OR(BB9="",BB78=""),"",((BB78+BA82)*BB9)/12)</f>
        <v>1.6721040257130282</v>
      </c>
      <c r="BC79" s="10">
        <f t="shared" ref="BC79" si="537">IF(OR(BC9="",BC78=""),"",((BC78+BB82)*BC9)/12)</f>
        <v>0.22988508836275723</v>
      </c>
      <c r="BD79" s="10">
        <f t="shared" ref="BD79" si="538">IF(OR(BD9="",BD78=""),"",((BD78+BC82)*BD9)/12)</f>
        <v>0.21483065616418598</v>
      </c>
      <c r="BE79" s="10">
        <f t="shared" ref="BE79" si="539">IF(OR(BE9="",BE78=""),"",((BE78+BD82)*BE9)/12)</f>
        <v>0.33122191838176246</v>
      </c>
      <c r="BF79" s="10">
        <f t="shared" ref="BF79" si="540">IF(OR(BF9="",BF78=""),"",((BF78+BE82)*BF9)/12)</f>
        <v>0.2336846168970412</v>
      </c>
      <c r="BG79" s="10">
        <f t="shared" ref="BG79" si="541">IF(OR(BG9="",BG78=""),"",((BG78+BF82)*BG9)/12)</f>
        <v>0.2120972547870974</v>
      </c>
      <c r="BH79" s="10">
        <f t="shared" ref="BH79:BW79" si="542">IF(OR(BH9="",BH78=""),"",((BH78+BG82)*BH9)/12)</f>
        <v>0.34236125970811027</v>
      </c>
      <c r="BI79" s="10">
        <f t="shared" si="542"/>
        <v>0.43227667386697566</v>
      </c>
      <c r="BJ79" s="10">
        <f t="shared" si="542"/>
        <v>0.48754281355907209</v>
      </c>
      <c r="BK79" s="10">
        <f t="shared" si="542"/>
        <v>0.35306280958904529</v>
      </c>
      <c r="BL79" s="10">
        <f t="shared" si="542"/>
        <v>0.47201062181403408</v>
      </c>
      <c r="BM79" s="10">
        <f t="shared" si="542"/>
        <v>0.58371549010880763</v>
      </c>
      <c r="BN79" s="10">
        <f t="shared" si="542"/>
        <v>0.78427009905860645</v>
      </c>
      <c r="BO79" s="10">
        <f t="shared" si="542"/>
        <v>0.95314530933060526</v>
      </c>
      <c r="BP79" s="10">
        <f t="shared" si="542"/>
        <v>1.0234103408209305</v>
      </c>
      <c r="BQ79" s="10">
        <f t="shared" si="542"/>
        <v>0.8487892737123407</v>
      </c>
      <c r="BR79" s="10">
        <f t="shared" si="542"/>
        <v>1.4481490285324148</v>
      </c>
      <c r="BS79" s="10">
        <f t="shared" si="542"/>
        <v>1.5579823325549995</v>
      </c>
      <c r="BT79" s="10">
        <f t="shared" si="542"/>
        <v>1.3410092842876644</v>
      </c>
      <c r="BU79" s="116">
        <f>IF(OR(BU9="",BU78=""),"",((BU78+BT82)*BU9)/12)</f>
        <v>1.3774783317425738</v>
      </c>
      <c r="BV79" s="116">
        <f t="shared" si="542"/>
        <v>1.3816760903947556</v>
      </c>
      <c r="BW79" s="116">
        <f t="shared" si="542"/>
        <v>1.3596957975724673</v>
      </c>
    </row>
    <row r="80" spans="1:79" s="4" customFormat="1" x14ac:dyDescent="0.3">
      <c r="A80" s="256"/>
      <c r="B80" s="86" t="s">
        <v>6</v>
      </c>
      <c r="C80" s="30"/>
      <c r="D80" s="3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>
        <f>IF(OR(Y79=""),"",Y79)</f>
        <v>-1142.9773645635676</v>
      </c>
      <c r="Z80" s="10">
        <f>IF(OR(Y80="",Z79=""),"",Y80+Z79)</f>
        <v>-2549.5879063235807</v>
      </c>
      <c r="AA80" s="10">
        <f t="shared" ref="AA80:AX80" si="543">IF(OR(Z80="",AA79=""),"",Z80+AA79)</f>
        <v>-3895.7411408724447</v>
      </c>
      <c r="AB80" s="10">
        <f t="shared" si="543"/>
        <v>-5184.1537596283279</v>
      </c>
      <c r="AC80" s="10">
        <f t="shared" si="543"/>
        <v>-6500.1075714604394</v>
      </c>
      <c r="AD80" s="10">
        <f t="shared" si="543"/>
        <v>-7837.0654635824803</v>
      </c>
      <c r="AE80" s="10">
        <f t="shared" si="543"/>
        <v>-8997.1280024929365</v>
      </c>
      <c r="AF80" s="10">
        <f t="shared" si="543"/>
        <v>-10027.279281196154</v>
      </c>
      <c r="AG80" s="10">
        <f t="shared" si="543"/>
        <v>-10879.712518283384</v>
      </c>
      <c r="AH80" s="10">
        <f t="shared" si="543"/>
        <v>-11538.780312793395</v>
      </c>
      <c r="AI80" s="10">
        <f t="shared" si="543"/>
        <v>-12019.709821327482</v>
      </c>
      <c r="AJ80" s="10">
        <f t="shared" si="543"/>
        <v>-12380.029087443998</v>
      </c>
      <c r="AK80" s="10">
        <f t="shared" si="543"/>
        <v>-12707.012119339019</v>
      </c>
      <c r="AL80" s="10">
        <f t="shared" si="543"/>
        <v>-12851.545986165524</v>
      </c>
      <c r="AM80" s="10">
        <f t="shared" si="543"/>
        <v>-12783.71824817279</v>
      </c>
      <c r="AN80" s="10">
        <f t="shared" si="543"/>
        <v>-12723.79962780303</v>
      </c>
      <c r="AO80" s="10">
        <f t="shared" si="543"/>
        <v>-12670.861250340349</v>
      </c>
      <c r="AP80" s="10">
        <f t="shared" si="543"/>
        <v>-12622.059041863457</v>
      </c>
      <c r="AQ80" s="10">
        <f t="shared" si="543"/>
        <v>-12572.997581901835</v>
      </c>
      <c r="AR80" s="10">
        <f t="shared" si="543"/>
        <v>-12527.665789854986</v>
      </c>
      <c r="AS80" s="10">
        <f t="shared" si="543"/>
        <v>-12490.149164749007</v>
      </c>
      <c r="AT80" s="10">
        <f t="shared" si="543"/>
        <v>-12463.17638980548</v>
      </c>
      <c r="AU80" s="10">
        <f t="shared" si="543"/>
        <v>-12443.150602047619</v>
      </c>
      <c r="AV80" s="10">
        <f t="shared" si="543"/>
        <v>-12426.807442494191</v>
      </c>
      <c r="AW80" s="10">
        <f t="shared" si="543"/>
        <v>-12414.043971802739</v>
      </c>
      <c r="AX80" s="10">
        <f t="shared" si="543"/>
        <v>-12404.336983530133</v>
      </c>
      <c r="AY80" s="10">
        <f t="shared" ref="AY80" si="544">IF(OR(AX80="",AY79=""),"",AX80+AY79)</f>
        <v>-12399.505504373345</v>
      </c>
      <c r="AZ80" s="10">
        <f t="shared" ref="AZ80" si="545">IF(OR(AY80="",AZ79=""),"",AY80+AZ79)</f>
        <v>-12396.305730956465</v>
      </c>
      <c r="BA80" s="10">
        <f t="shared" ref="BA80" si="546">IF(OR(AZ80="",BA79=""),"",AZ80+BA79)</f>
        <v>-12392.946265311597</v>
      </c>
      <c r="BB80" s="10">
        <f t="shared" ref="BB80" si="547">IF(OR(BA80="",BB79=""),"",BA80+BB79)</f>
        <v>-12391.274161285884</v>
      </c>
      <c r="BC80" s="10">
        <f t="shared" ref="BC80" si="548">IF(OR(BB80="",BC79=""),"",BB80+BC79)</f>
        <v>-12391.044276197521</v>
      </c>
      <c r="BD80" s="10">
        <f t="shared" ref="BD80" si="549">IF(OR(BC80="",BD79=""),"",BC80+BD79)</f>
        <v>-12390.829445541356</v>
      </c>
      <c r="BE80" s="10">
        <f t="shared" ref="BE80" si="550">IF(OR(BD80="",BE79=""),"",BD80+BE79)</f>
        <v>-12390.498223622973</v>
      </c>
      <c r="BF80" s="10">
        <f t="shared" ref="BF80" si="551">IF(OR(BE80="",BF79=""),"",BE80+BF79)</f>
        <v>-12390.264539006077</v>
      </c>
      <c r="BG80" s="10">
        <f t="shared" ref="BG80" si="552">IF(OR(BF80="",BG79=""),"",BF80+BG79)</f>
        <v>-12390.05244175129</v>
      </c>
      <c r="BH80" s="10">
        <f t="shared" ref="BH80:BW80" si="553">IF(OR(BG80="",BH79=""),"",BG80+BH79)</f>
        <v>-12389.710080491581</v>
      </c>
      <c r="BI80" s="10">
        <f t="shared" si="553"/>
        <v>-12389.277803817713</v>
      </c>
      <c r="BJ80" s="10">
        <f t="shared" si="553"/>
        <v>-12388.790261004155</v>
      </c>
      <c r="BK80" s="10">
        <f t="shared" si="553"/>
        <v>-12388.437198194566</v>
      </c>
      <c r="BL80" s="10">
        <f t="shared" si="553"/>
        <v>-12387.965187572752</v>
      </c>
      <c r="BM80" s="10">
        <f t="shared" si="553"/>
        <v>-12387.381472082643</v>
      </c>
      <c r="BN80" s="10">
        <f t="shared" si="553"/>
        <v>-12386.597201983584</v>
      </c>
      <c r="BO80" s="10">
        <f t="shared" si="553"/>
        <v>-12385.644056674253</v>
      </c>
      <c r="BP80" s="10">
        <f t="shared" si="553"/>
        <v>-12384.620646333433</v>
      </c>
      <c r="BQ80" s="10">
        <f t="shared" si="553"/>
        <v>-12383.771857059721</v>
      </c>
      <c r="BR80" s="10">
        <f t="shared" si="553"/>
        <v>-12382.323708031188</v>
      </c>
      <c r="BS80" s="10">
        <f t="shared" si="553"/>
        <v>-12380.765725698633</v>
      </c>
      <c r="BT80" s="10">
        <f t="shared" si="553"/>
        <v>-12379.424716414345</v>
      </c>
      <c r="BU80" s="10">
        <f t="shared" si="553"/>
        <v>-12378.047238082603</v>
      </c>
      <c r="BV80" s="10">
        <f t="shared" si="553"/>
        <v>-12376.665561992208</v>
      </c>
      <c r="BW80" s="10">
        <f t="shared" si="553"/>
        <v>-12375.305866194634</v>
      </c>
    </row>
    <row r="81" spans="1:75" s="4" customFormat="1" x14ac:dyDescent="0.3">
      <c r="A81" s="256"/>
      <c r="B81" s="85" t="s">
        <v>65</v>
      </c>
      <c r="C81" s="26"/>
      <c r="D81" s="26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>
        <f>IF(OR(Y79="",Y78=""),"",Y78+Y79)</f>
        <v>-951730.26736456365</v>
      </c>
      <c r="Z81" s="10">
        <f>IF(OR(Z79="",Z78=""),"",Z78+Z79)</f>
        <v>-1406.6105417600129</v>
      </c>
      <c r="AA81" s="10">
        <f>IF(OR(AA79="",AA78=""),"",AA78+AA79)</f>
        <v>10087.876765451136</v>
      </c>
      <c r="AB81" s="10">
        <f t="shared" ref="AB81:AX81" si="554">IF(OR(AB79="",AB78=""),"",AB78+AB79)</f>
        <v>95774.647381244111</v>
      </c>
      <c r="AC81" s="10">
        <f t="shared" si="554"/>
        <v>77123.886188167889</v>
      </c>
      <c r="AD81" s="10">
        <f t="shared" si="554"/>
        <v>74649.332107877955</v>
      </c>
      <c r="AE81" s="10">
        <f t="shared" si="554"/>
        <v>61232.91746108955</v>
      </c>
      <c r="AF81" s="10">
        <f t="shared" si="554"/>
        <v>90948.768721296787</v>
      </c>
      <c r="AG81" s="10">
        <f t="shared" si="554"/>
        <v>106656.94676291278</v>
      </c>
      <c r="AH81" s="10">
        <f t="shared" si="554"/>
        <v>95904.652205489998</v>
      </c>
      <c r="AI81" s="10">
        <f t="shared" si="554"/>
        <v>92477.510491465917</v>
      </c>
      <c r="AJ81" s="10">
        <f t="shared" si="554"/>
        <v>71969.490733883489</v>
      </c>
      <c r="AK81" s="10">
        <f t="shared" si="554"/>
        <v>20716.106968104974</v>
      </c>
      <c r="AL81" s="10">
        <f t="shared" si="554"/>
        <v>92485.726133173492</v>
      </c>
      <c r="AM81" s="10">
        <f t="shared" si="554"/>
        <v>91539.887737992729</v>
      </c>
      <c r="AN81" s="10">
        <f t="shared" si="554"/>
        <v>-3056.7113796302383</v>
      </c>
      <c r="AO81" s="10">
        <f t="shared" si="554"/>
        <v>-2534.1816225373195</v>
      </c>
      <c r="AP81" s="10">
        <f t="shared" si="554"/>
        <v>-793.9477915231073</v>
      </c>
      <c r="AQ81" s="10">
        <f t="shared" si="554"/>
        <v>-7.4985400383772642</v>
      </c>
      <c r="AR81" s="10">
        <f t="shared" si="554"/>
        <v>-1466.0382079531516</v>
      </c>
      <c r="AS81" s="10">
        <f t="shared" si="554"/>
        <v>-3185.3733748940208</v>
      </c>
      <c r="AT81" s="10">
        <f t="shared" si="554"/>
        <v>-3593.7872250564724</v>
      </c>
      <c r="AU81" s="10">
        <f t="shared" si="554"/>
        <v>-2933.2742122421405</v>
      </c>
      <c r="AV81" s="10">
        <f t="shared" si="554"/>
        <v>-1566.3168404465732</v>
      </c>
      <c r="AW81" s="10">
        <f t="shared" si="554"/>
        <v>-846.91652930854798</v>
      </c>
      <c r="AX81" s="10">
        <f t="shared" si="554"/>
        <v>-2355.0430117273941</v>
      </c>
      <c r="AY81" s="10">
        <f t="shared" ref="AY81:BW81" si="555">IF(OR(AY79="",AY78=""),"",AY78+AY79)</f>
        <v>-3017.8485208432107</v>
      </c>
      <c r="AZ81" s="10">
        <f t="shared" si="555"/>
        <v>-941.79022658312022</v>
      </c>
      <c r="BA81" s="10">
        <f t="shared" si="555"/>
        <v>5.7994656448678175</v>
      </c>
      <c r="BB81" s="10">
        <f t="shared" si="555"/>
        <v>1.8321040257130281</v>
      </c>
      <c r="BC81" s="10">
        <f t="shared" si="555"/>
        <v>-2.1901149116372425</v>
      </c>
      <c r="BD81" s="10">
        <f t="shared" si="555"/>
        <v>-85.355169343835811</v>
      </c>
      <c r="BE81" s="10">
        <f t="shared" si="555"/>
        <v>0.46122191838176246</v>
      </c>
      <c r="BF81" s="10">
        <f t="shared" si="555"/>
        <v>0.63368461689704125</v>
      </c>
      <c r="BG81" s="10">
        <f t="shared" si="555"/>
        <v>0.8320972547870974</v>
      </c>
      <c r="BH81" s="10">
        <f t="shared" si="555"/>
        <v>0.35236125970811027</v>
      </c>
      <c r="BI81" s="10">
        <f t="shared" si="555"/>
        <v>0.76227667386697573</v>
      </c>
      <c r="BJ81" s="10">
        <f t="shared" si="555"/>
        <v>0.19754281355907211</v>
      </c>
      <c r="BK81" s="10">
        <f t="shared" si="555"/>
        <v>0.1730628095890453</v>
      </c>
      <c r="BL81" s="10">
        <f t="shared" si="555"/>
        <v>383.98201062181403</v>
      </c>
      <c r="BM81" s="10">
        <f t="shared" si="555"/>
        <v>839.12371549010879</v>
      </c>
      <c r="BN81" s="10">
        <f t="shared" si="555"/>
        <v>902.52427009905864</v>
      </c>
      <c r="BO81" s="10">
        <f t="shared" si="555"/>
        <v>919.62314530933054</v>
      </c>
      <c r="BP81" s="10">
        <f t="shared" si="555"/>
        <v>990.07341034082083</v>
      </c>
      <c r="BQ81" s="10">
        <f t="shared" si="555"/>
        <v>1208.7287892737124</v>
      </c>
      <c r="BR81" s="10">
        <f t="shared" si="555"/>
        <v>1174.6281490285326</v>
      </c>
      <c r="BS81" s="10">
        <f t="shared" si="555"/>
        <v>1202.487982332555</v>
      </c>
      <c r="BT81" s="10">
        <f t="shared" si="555"/>
        <v>1052.6010092842876</v>
      </c>
      <c r="BU81" s="10">
        <f t="shared" si="555"/>
        <v>291.78884868672918</v>
      </c>
      <c r="BV81" s="10">
        <f t="shared" si="555"/>
        <v>33.586266976107048</v>
      </c>
      <c r="BW81" s="10">
        <f t="shared" si="555"/>
        <v>-175.86432287112746</v>
      </c>
    </row>
    <row r="82" spans="1:75" s="4" customFormat="1" x14ac:dyDescent="0.3">
      <c r="A82" s="256"/>
      <c r="B82" s="87" t="s">
        <v>66</v>
      </c>
      <c r="C82" s="28"/>
      <c r="D82" s="28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>
        <v>0</v>
      </c>
      <c r="Y82" s="10">
        <f>IF(OR(Y81=""),"",Y81)</f>
        <v>-951730.26736456365</v>
      </c>
      <c r="Z82" s="10">
        <f>IF(OR(Z81="",Y82=""),"",Z81+Y82)</f>
        <v>-953136.87790632364</v>
      </c>
      <c r="AA82" s="10">
        <f t="shared" ref="AA82:AX82" si="556">IF(OR(AA81="",Z82=""),"",AA81+Z82)</f>
        <v>-943049.00114087248</v>
      </c>
      <c r="AB82" s="10">
        <f t="shared" si="556"/>
        <v>-847274.35375962837</v>
      </c>
      <c r="AC82" s="10">
        <f t="shared" si="556"/>
        <v>-770150.46757146053</v>
      </c>
      <c r="AD82" s="10">
        <f t="shared" si="556"/>
        <v>-695501.13546358258</v>
      </c>
      <c r="AE82" s="10">
        <f t="shared" si="556"/>
        <v>-634268.21800249303</v>
      </c>
      <c r="AF82" s="10">
        <f t="shared" si="556"/>
        <v>-543319.44928119623</v>
      </c>
      <c r="AG82" s="10">
        <f t="shared" si="556"/>
        <v>-436662.50251828344</v>
      </c>
      <c r="AH82" s="10">
        <f t="shared" si="556"/>
        <v>-340757.85031279345</v>
      </c>
      <c r="AI82" s="10">
        <f t="shared" si="556"/>
        <v>-248280.33982132754</v>
      </c>
      <c r="AJ82" s="10">
        <f t="shared" si="556"/>
        <v>-176310.84908744405</v>
      </c>
      <c r="AK82" s="10">
        <f>IF(OR(AK81="",AJ82=""),"",AK81+AJ82)</f>
        <v>-155594.74211933906</v>
      </c>
      <c r="AL82" s="10">
        <f t="shared" si="556"/>
        <v>-63109.01598616557</v>
      </c>
      <c r="AM82" s="10">
        <f t="shared" si="556"/>
        <v>28430.871751827159</v>
      </c>
      <c r="AN82" s="10">
        <f t="shared" si="556"/>
        <v>25374.160372196922</v>
      </c>
      <c r="AO82" s="10">
        <f t="shared" si="556"/>
        <v>22839.978749659604</v>
      </c>
      <c r="AP82" s="10">
        <f t="shared" si="556"/>
        <v>22046.030958136496</v>
      </c>
      <c r="AQ82" s="10">
        <f t="shared" si="556"/>
        <v>22038.532418098119</v>
      </c>
      <c r="AR82" s="10">
        <f t="shared" si="556"/>
        <v>20572.494210144967</v>
      </c>
      <c r="AS82" s="10">
        <f t="shared" si="556"/>
        <v>17387.120835250946</v>
      </c>
      <c r="AT82" s="10">
        <f t="shared" si="556"/>
        <v>13793.333610194473</v>
      </c>
      <c r="AU82" s="10">
        <f t="shared" si="556"/>
        <v>10860.059397952333</v>
      </c>
      <c r="AV82" s="10">
        <f t="shared" si="556"/>
        <v>9293.7425575057605</v>
      </c>
      <c r="AW82" s="10">
        <f t="shared" si="556"/>
        <v>8446.8260281972125</v>
      </c>
      <c r="AX82" s="10">
        <f t="shared" si="556"/>
        <v>6091.7830164698189</v>
      </c>
      <c r="AY82" s="10">
        <f t="shared" ref="AY82" si="557">IF(OR(AY81="",AX82=""),"",AY81+AX82)</f>
        <v>3073.9344956266082</v>
      </c>
      <c r="AZ82" s="10">
        <f t="shared" ref="AZ82" si="558">IF(OR(AZ81="",AY82=""),"",AZ81+AY82)</f>
        <v>2132.1442690434878</v>
      </c>
      <c r="BA82" s="10">
        <f t="shared" ref="BA82" si="559">IF(OR(BA81="",AZ82=""),"",BA81+AZ82)</f>
        <v>2137.9437346883556</v>
      </c>
      <c r="BB82" s="10">
        <f t="shared" ref="BB82" si="560">IF(OR(BB81="",BA82=""),"",BB81+BA82)</f>
        <v>2139.7758387140684</v>
      </c>
      <c r="BC82" s="10">
        <f t="shared" ref="BC82" si="561">IF(OR(BC81="",BB82=""),"",BC81+BB82)</f>
        <v>2137.5857238024309</v>
      </c>
      <c r="BD82" s="10">
        <f t="shared" ref="BD82" si="562">IF(OR(BD81="",BC82=""),"",BD81+BC82)</f>
        <v>2052.2305544585952</v>
      </c>
      <c r="BE82" s="10">
        <f t="shared" ref="BE82" si="563">IF(OR(BE81="",BD82=""),"",BE81+BD82)</f>
        <v>2052.691776376977</v>
      </c>
      <c r="BF82" s="10">
        <f t="shared" ref="BF82" si="564">IF(OR(BF81="",BE82=""),"",BF81+BE82)</f>
        <v>2053.325460993874</v>
      </c>
      <c r="BG82" s="10">
        <f t="shared" ref="BG82" si="565">IF(OR(BG81="",BF82=""),"",BG81+BF82)</f>
        <v>2054.1575582486612</v>
      </c>
      <c r="BH82" s="10">
        <f t="shared" ref="BH82:BW82" si="566">IF(OR(BH81="",BG82=""),"",BH81+BG82)</f>
        <v>2054.5099195083694</v>
      </c>
      <c r="BI82" s="10">
        <f t="shared" si="566"/>
        <v>2055.2721961822363</v>
      </c>
      <c r="BJ82" s="10">
        <f t="shared" si="566"/>
        <v>2055.4697389957955</v>
      </c>
      <c r="BK82" s="10">
        <f t="shared" si="566"/>
        <v>2055.6428018053844</v>
      </c>
      <c r="BL82" s="10">
        <f t="shared" si="566"/>
        <v>2439.6248124271983</v>
      </c>
      <c r="BM82" s="10">
        <f t="shared" si="566"/>
        <v>3278.748527917307</v>
      </c>
      <c r="BN82" s="10">
        <f t="shared" si="566"/>
        <v>4181.2727980163654</v>
      </c>
      <c r="BO82" s="10">
        <f t="shared" si="566"/>
        <v>5100.895943325696</v>
      </c>
      <c r="BP82" s="10">
        <f t="shared" si="566"/>
        <v>6090.9693536665163</v>
      </c>
      <c r="BQ82" s="10">
        <f t="shared" si="566"/>
        <v>7299.6981429402285</v>
      </c>
      <c r="BR82" s="10">
        <f t="shared" si="566"/>
        <v>8474.3262919687604</v>
      </c>
      <c r="BS82" s="10">
        <f t="shared" si="566"/>
        <v>9676.8142743013159</v>
      </c>
      <c r="BT82" s="10">
        <f>IF(OR(BT81="",BS82=""),"",BT81+BS82)</f>
        <v>10729.415283585604</v>
      </c>
      <c r="BU82" s="10">
        <f>IF(OR(BU81="",BT82=""),"",BU81+BT82)</f>
        <v>11021.204132272333</v>
      </c>
      <c r="BV82" s="10">
        <f t="shared" si="566"/>
        <v>11054.790399248439</v>
      </c>
      <c r="BW82" s="10">
        <f t="shared" si="566"/>
        <v>10878.926076377311</v>
      </c>
    </row>
    <row r="83" spans="1:75" s="5" customFormat="1" ht="8.25" customHeight="1" x14ac:dyDescent="0.3">
      <c r="A83" s="44"/>
      <c r="B83" s="13"/>
      <c r="C83" s="13"/>
      <c r="D83" s="13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68"/>
      <c r="BM83" s="168"/>
      <c r="BN83" s="168"/>
      <c r="BO83" s="168"/>
      <c r="BP83" s="168"/>
      <c r="BQ83" s="168"/>
      <c r="BR83" s="168"/>
      <c r="BS83" s="168"/>
      <c r="BT83" s="15"/>
      <c r="BU83" s="168"/>
      <c r="BV83" s="168"/>
      <c r="BW83" s="168"/>
    </row>
    <row r="84" spans="1:75" s="5" customFormat="1" x14ac:dyDescent="0.3">
      <c r="A84" s="257" t="s">
        <v>75</v>
      </c>
      <c r="B84" s="55"/>
      <c r="C84" s="95"/>
      <c r="D84" s="95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67">
        <v>9141434.9200000018</v>
      </c>
      <c r="AN84" s="9"/>
      <c r="AO84" s="9"/>
      <c r="AP84" s="66"/>
      <c r="AQ84" s="66"/>
      <c r="AR84" s="66"/>
      <c r="AS84" s="66"/>
      <c r="AT84" s="66"/>
      <c r="AU84" s="66"/>
      <c r="AV84" s="66"/>
      <c r="AW84" s="148"/>
      <c r="AX84" s="66"/>
      <c r="AY84" s="66"/>
      <c r="AZ84" s="66"/>
      <c r="BA84" s="66"/>
      <c r="BB84" s="66"/>
      <c r="BC84" s="66"/>
      <c r="BD84" s="66"/>
      <c r="BE84" s="66"/>
      <c r="BF84" s="66"/>
      <c r="BG84" s="66"/>
      <c r="BH84" s="66"/>
      <c r="BI84" s="66"/>
      <c r="BJ84" s="66"/>
      <c r="BK84" s="66"/>
      <c r="BT84" s="66"/>
    </row>
    <row r="85" spans="1:75" ht="15" customHeight="1" x14ac:dyDescent="0.3">
      <c r="A85" s="257"/>
      <c r="B85" s="55" t="s">
        <v>46</v>
      </c>
      <c r="C85" s="41"/>
      <c r="D85" s="41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>
        <v>0</v>
      </c>
      <c r="P85" s="59">
        <f t="shared" ref="P85:AL85" si="567">+$N$93/23</f>
        <v>1228112.1191304347</v>
      </c>
      <c r="Q85" s="59">
        <f t="shared" si="567"/>
        <v>1228112.1191304347</v>
      </c>
      <c r="R85" s="59">
        <f t="shared" si="567"/>
        <v>1228112.1191304347</v>
      </c>
      <c r="S85" s="59">
        <f t="shared" si="567"/>
        <v>1228112.1191304347</v>
      </c>
      <c r="T85" s="59">
        <f t="shared" si="567"/>
        <v>1228112.1191304347</v>
      </c>
      <c r="U85" s="59">
        <f t="shared" si="567"/>
        <v>1228112.1191304347</v>
      </c>
      <c r="V85" s="59">
        <f t="shared" si="567"/>
        <v>1228112.1191304347</v>
      </c>
      <c r="W85" s="59">
        <f t="shared" si="567"/>
        <v>1228112.1191304347</v>
      </c>
      <c r="X85" s="59">
        <f t="shared" si="567"/>
        <v>1228112.1191304347</v>
      </c>
      <c r="Y85" s="59">
        <f t="shared" si="567"/>
        <v>1228112.1191304347</v>
      </c>
      <c r="Z85" s="59">
        <f t="shared" si="567"/>
        <v>1228112.1191304347</v>
      </c>
      <c r="AA85" s="59">
        <f t="shared" si="567"/>
        <v>1228112.1191304347</v>
      </c>
      <c r="AB85" s="59">
        <f t="shared" si="567"/>
        <v>1228112.1191304347</v>
      </c>
      <c r="AC85" s="59">
        <f t="shared" si="567"/>
        <v>1228112.1191304347</v>
      </c>
      <c r="AD85" s="59">
        <f t="shared" si="567"/>
        <v>1228112.1191304347</v>
      </c>
      <c r="AE85" s="59">
        <f t="shared" si="567"/>
        <v>1228112.1191304347</v>
      </c>
      <c r="AF85" s="59">
        <f t="shared" si="567"/>
        <v>1228112.1191304347</v>
      </c>
      <c r="AG85" s="59">
        <f t="shared" si="567"/>
        <v>1228112.1191304347</v>
      </c>
      <c r="AH85" s="59">
        <f t="shared" si="567"/>
        <v>1228112.1191304347</v>
      </c>
      <c r="AI85" s="59">
        <f t="shared" si="567"/>
        <v>1228112.1191304347</v>
      </c>
      <c r="AJ85" s="59">
        <f t="shared" si="567"/>
        <v>1228112.1191304347</v>
      </c>
      <c r="AK85" s="59">
        <f t="shared" si="567"/>
        <v>1228112.1191304347</v>
      </c>
      <c r="AL85" s="59">
        <f t="shared" si="567"/>
        <v>1228112.1191304347</v>
      </c>
      <c r="AM85" s="59">
        <v>0</v>
      </c>
      <c r="AN85" s="59">
        <f>+$AM$84/23</f>
        <v>397453.69217391312</v>
      </c>
      <c r="AO85" s="59">
        <f t="shared" ref="AO85:AV85" si="568">+$AM$84/23</f>
        <v>397453.69217391312</v>
      </c>
      <c r="AP85" s="59">
        <f t="shared" si="568"/>
        <v>397453.69217391312</v>
      </c>
      <c r="AQ85" s="59">
        <f t="shared" si="568"/>
        <v>397453.69217391312</v>
      </c>
      <c r="AR85" s="59">
        <f t="shared" si="568"/>
        <v>397453.69217391312</v>
      </c>
      <c r="AS85" s="59">
        <f t="shared" si="568"/>
        <v>397453.69217391312</v>
      </c>
      <c r="AT85" s="59">
        <f t="shared" si="568"/>
        <v>397453.69217391312</v>
      </c>
      <c r="AU85" s="59">
        <f t="shared" si="568"/>
        <v>397453.69217391312</v>
      </c>
      <c r="AV85" s="59">
        <f t="shared" si="568"/>
        <v>397453.69217391312</v>
      </c>
      <c r="AW85" s="59"/>
      <c r="AX85" s="59"/>
      <c r="AY85" s="59"/>
      <c r="AZ85" s="59"/>
      <c r="BA85" s="59"/>
      <c r="BB85" s="59"/>
      <c r="BC85" s="59"/>
      <c r="BD85" s="59"/>
      <c r="BE85" s="59"/>
      <c r="BF85" s="59"/>
      <c r="BG85" s="59"/>
      <c r="BH85" s="59"/>
      <c r="BI85" s="59"/>
      <c r="BJ85" s="59"/>
      <c r="BK85" s="59"/>
      <c r="BL85" s="59"/>
      <c r="BM85" s="59"/>
      <c r="BN85" s="59"/>
      <c r="BO85" s="59"/>
      <c r="BP85" s="59"/>
      <c r="BQ85" s="59"/>
      <c r="BR85" s="59"/>
      <c r="BS85" s="59"/>
      <c r="BT85" s="59"/>
      <c r="BU85" s="59"/>
      <c r="BV85" s="59"/>
      <c r="BW85" s="59"/>
    </row>
    <row r="86" spans="1:75" x14ac:dyDescent="0.3">
      <c r="A86" s="257"/>
      <c r="B86" s="55" t="s">
        <v>41</v>
      </c>
      <c r="C86" s="41"/>
      <c r="D86" s="41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>
        <v>111256.44</v>
      </c>
      <c r="P86" s="24">
        <v>1192563.6000000001</v>
      </c>
      <c r="Q86" s="24">
        <v>1016925</v>
      </c>
      <c r="R86" s="24">
        <v>981618.06</v>
      </c>
      <c r="S86" s="24">
        <v>967793.86</v>
      </c>
      <c r="T86" s="24">
        <v>1203406.1100000001</v>
      </c>
      <c r="U86" s="24">
        <v>1434329.05</v>
      </c>
      <c r="V86" s="24">
        <v>1468321.4</v>
      </c>
      <c r="W86" s="24">
        <v>1258704.28</v>
      </c>
      <c r="X86" s="24">
        <v>1155858.58</v>
      </c>
      <c r="Y86" s="24">
        <v>1028665.35</v>
      </c>
      <c r="Z86" s="24">
        <v>1189289.51</v>
      </c>
      <c r="AA86" s="24">
        <v>1637210.29</v>
      </c>
      <c r="AB86" s="24">
        <v>1423775.04</v>
      </c>
      <c r="AC86" s="24">
        <v>1230263.3</v>
      </c>
      <c r="AD86" s="24">
        <v>1194467.24</v>
      </c>
      <c r="AE86" s="24">
        <v>1091414.8</v>
      </c>
      <c r="AF86" s="24">
        <v>1441684.6</v>
      </c>
      <c r="AG86" s="24">
        <v>1598515.45</v>
      </c>
      <c r="AH86" s="24">
        <v>1491950.2</v>
      </c>
      <c r="AI86" s="24">
        <v>1453822.87</v>
      </c>
      <c r="AJ86" s="24">
        <v>1221364.94</v>
      </c>
      <c r="AK86" s="24">
        <v>1121505.92</v>
      </c>
      <c r="AL86" s="24">
        <v>1392680.77</v>
      </c>
      <c r="AM86" s="24">
        <v>1342908.72</v>
      </c>
      <c r="AN86" s="24">
        <v>211574.99</v>
      </c>
      <c r="AO86" s="24">
        <v>168611.31</v>
      </c>
      <c r="AP86" s="24">
        <v>143191.22</v>
      </c>
      <c r="AQ86" s="24">
        <v>140873.74</v>
      </c>
      <c r="AR86" s="24">
        <v>166764.85999999999</v>
      </c>
      <c r="AS86" s="24">
        <v>183176.51</v>
      </c>
      <c r="AT86" s="24">
        <v>191116.41</v>
      </c>
      <c r="AU86" s="24">
        <v>187572.91</v>
      </c>
      <c r="AV86" s="24">
        <v>168225.83</v>
      </c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</row>
    <row r="87" spans="1:75" x14ac:dyDescent="0.3">
      <c r="A87" s="257"/>
      <c r="B87" s="55" t="s">
        <v>42</v>
      </c>
      <c r="C87" s="41"/>
      <c r="D87" s="41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>
        <f>IF(OR(O85="",O86=""),"",O85-O86)</f>
        <v>-111256.44</v>
      </c>
      <c r="P87" s="10">
        <f>IF(OR(P85="",P86=""),"",P85-P86)</f>
        <v>35548.519130434608</v>
      </c>
      <c r="Q87" s="10">
        <f>IF(OR(Q85="",Q86=""),"",Q85-Q86)</f>
        <v>211187.1191304347</v>
      </c>
      <c r="R87" s="10">
        <f t="shared" ref="R87:AL87" si="569">IF(OR(R85="",R86=""),"",R85-R86)</f>
        <v>246494.05913043465</v>
      </c>
      <c r="S87" s="10">
        <f t="shared" si="569"/>
        <v>260318.25913043472</v>
      </c>
      <c r="T87" s="10">
        <f t="shared" si="569"/>
        <v>24706.009130434599</v>
      </c>
      <c r="U87" s="10">
        <f t="shared" si="569"/>
        <v>-206216.93086956535</v>
      </c>
      <c r="V87" s="10">
        <f t="shared" si="569"/>
        <v>-240209.28086956521</v>
      </c>
      <c r="W87" s="10">
        <f t="shared" si="569"/>
        <v>-30592.160869565327</v>
      </c>
      <c r="X87" s="10">
        <f t="shared" si="569"/>
        <v>72253.539130434627</v>
      </c>
      <c r="Y87" s="10">
        <f t="shared" si="569"/>
        <v>199446.76913043472</v>
      </c>
      <c r="Z87" s="10">
        <f t="shared" si="569"/>
        <v>38822.609130434692</v>
      </c>
      <c r="AA87" s="10">
        <f t="shared" si="569"/>
        <v>-409098.17086956534</v>
      </c>
      <c r="AB87" s="10">
        <f t="shared" si="569"/>
        <v>-195662.92086956534</v>
      </c>
      <c r="AC87" s="10">
        <f t="shared" si="569"/>
        <v>-2151.1808695653453</v>
      </c>
      <c r="AD87" s="10">
        <f t="shared" si="569"/>
        <v>33644.879130434711</v>
      </c>
      <c r="AE87" s="10">
        <f t="shared" si="569"/>
        <v>136697.31913043465</v>
      </c>
      <c r="AF87" s="10">
        <f t="shared" si="569"/>
        <v>-213572.48086956539</v>
      </c>
      <c r="AG87" s="10">
        <f t="shared" si="569"/>
        <v>-370403.33086956525</v>
      </c>
      <c r="AH87" s="10">
        <f t="shared" si="569"/>
        <v>-263838.08086956525</v>
      </c>
      <c r="AI87" s="10">
        <f t="shared" si="569"/>
        <v>-225710.75086956541</v>
      </c>
      <c r="AJ87" s="10">
        <f t="shared" si="569"/>
        <v>6747.1791304347571</v>
      </c>
      <c r="AK87" s="10">
        <f t="shared" si="569"/>
        <v>106606.19913043478</v>
      </c>
      <c r="AL87" s="10">
        <f t="shared" si="569"/>
        <v>-164568.65086956532</v>
      </c>
      <c r="AM87" s="10">
        <f>IF(OR(AM85="",AM86=""),"",AM85-AM86)</f>
        <v>-1342908.72</v>
      </c>
      <c r="AN87" s="10">
        <f>IF(OR(AN85="",AN86=""),"",AN85-AN86)</f>
        <v>185878.70217391313</v>
      </c>
      <c r="AO87" s="10">
        <f t="shared" ref="AO87:AV87" si="570">IF(OR(AO85="",AO86=""),"",AO85-AO86)</f>
        <v>228842.38217391312</v>
      </c>
      <c r="AP87" s="10">
        <f t="shared" si="570"/>
        <v>254262.47217391312</v>
      </c>
      <c r="AQ87" s="10">
        <f t="shared" si="570"/>
        <v>256579.95217391313</v>
      </c>
      <c r="AR87" s="10">
        <f t="shared" si="570"/>
        <v>230688.83217391314</v>
      </c>
      <c r="AS87" s="10">
        <f t="shared" si="570"/>
        <v>214277.18217391311</v>
      </c>
      <c r="AT87" s="10">
        <f t="shared" si="570"/>
        <v>206337.28217391312</v>
      </c>
      <c r="AU87" s="10">
        <f t="shared" si="570"/>
        <v>209880.78217391312</v>
      </c>
      <c r="AV87" s="10">
        <f t="shared" si="570"/>
        <v>229227.86217391313</v>
      </c>
      <c r="AW87" s="10"/>
      <c r="AX87" s="10"/>
      <c r="AY87" s="10"/>
      <c r="AZ87" s="10" t="str">
        <f t="shared" ref="AZ87:BH87" si="571">IF(OR(AZ85="",AZ86=""),"",AZ85-AZ86)</f>
        <v/>
      </c>
      <c r="BA87" s="10" t="str">
        <f t="shared" si="571"/>
        <v/>
      </c>
      <c r="BB87" s="10" t="str">
        <f t="shared" si="571"/>
        <v/>
      </c>
      <c r="BC87" s="10" t="str">
        <f t="shared" si="571"/>
        <v/>
      </c>
      <c r="BD87" s="10" t="str">
        <f t="shared" si="571"/>
        <v/>
      </c>
      <c r="BE87" s="10" t="str">
        <f t="shared" si="571"/>
        <v/>
      </c>
      <c r="BF87" s="10" t="str">
        <f t="shared" si="571"/>
        <v/>
      </c>
      <c r="BG87" s="10" t="str">
        <f t="shared" si="571"/>
        <v/>
      </c>
      <c r="BH87" s="10" t="str">
        <f t="shared" si="571"/>
        <v/>
      </c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</row>
    <row r="88" spans="1:75" x14ac:dyDescent="0.3">
      <c r="A88" s="257"/>
      <c r="B88" s="55" t="s">
        <v>4</v>
      </c>
      <c r="C88" s="41"/>
      <c r="D88" s="41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>
        <f>+O9</f>
        <v>8.9999999999999993E-3</v>
      </c>
      <c r="P88" s="60">
        <f t="shared" ref="P88:AV88" si="572">IF(P87="","",P9)</f>
        <v>8.9999999999999993E-3</v>
      </c>
      <c r="Q88" s="60">
        <f t="shared" si="572"/>
        <v>1.15E-2</v>
      </c>
      <c r="R88" s="60">
        <f t="shared" si="572"/>
        <v>1.15E-2</v>
      </c>
      <c r="S88" s="60">
        <f t="shared" si="572"/>
        <v>1.15E-2</v>
      </c>
      <c r="T88" s="60">
        <f t="shared" si="572"/>
        <v>1.41E-2</v>
      </c>
      <c r="U88" s="60">
        <f t="shared" si="572"/>
        <v>1.39185E-2</v>
      </c>
      <c r="V88" s="60">
        <f t="shared" si="572"/>
        <v>1.466976E-2</v>
      </c>
      <c r="W88" s="60">
        <f t="shared" si="572"/>
        <v>1.4482760000000001E-2</v>
      </c>
      <c r="X88" s="60">
        <f t="shared" si="572"/>
        <v>1.45083E-2</v>
      </c>
      <c r="Y88" s="60">
        <f t="shared" si="572"/>
        <v>1.4428689E-2</v>
      </c>
      <c r="Z88" s="60">
        <f t="shared" si="572"/>
        <v>1.773541E-2</v>
      </c>
      <c r="AA88" s="60">
        <f t="shared" si="572"/>
        <v>1.715386E-2</v>
      </c>
      <c r="AB88" s="60">
        <f t="shared" si="572"/>
        <v>1.8275659999999999E-2</v>
      </c>
      <c r="AC88" s="60">
        <f t="shared" si="572"/>
        <v>2.0539459999999999E-2</v>
      </c>
      <c r="AD88" s="60">
        <f t="shared" si="572"/>
        <v>2.3111960000000001E-2</v>
      </c>
      <c r="AE88" s="60">
        <f t="shared" si="572"/>
        <v>2.1987949999999999E-2</v>
      </c>
      <c r="AF88" s="60">
        <f t="shared" si="572"/>
        <v>2.2795610000000001E-2</v>
      </c>
      <c r="AG88" s="60">
        <f t="shared" si="572"/>
        <v>2.347169E-2</v>
      </c>
      <c r="AH88" s="60">
        <f t="shared" si="572"/>
        <v>2.3254460000000001E-2</v>
      </c>
      <c r="AI88" s="60">
        <f t="shared" si="572"/>
        <v>2.328962E-2</v>
      </c>
      <c r="AJ88" s="60">
        <f t="shared" si="572"/>
        <v>2.457413E-2</v>
      </c>
      <c r="AK88" s="60">
        <f t="shared" si="572"/>
        <v>2.5271160000000001E-2</v>
      </c>
      <c r="AL88" s="60">
        <f t="shared" si="572"/>
        <v>2.7545790000000001E-2</v>
      </c>
      <c r="AM88" s="60">
        <f t="shared" si="572"/>
        <v>2.8696949999999999E-2</v>
      </c>
      <c r="AN88" s="60">
        <f t="shared" si="572"/>
        <v>2.8403910000000001E-2</v>
      </c>
      <c r="AO88" s="60">
        <f t="shared" si="572"/>
        <v>2.7878150000000001E-2</v>
      </c>
      <c r="AP88" s="60">
        <f t="shared" si="572"/>
        <v>2.6622739999999999E-2</v>
      </c>
      <c r="AQ88" s="60">
        <f t="shared" si="572"/>
        <v>2.677361E-2</v>
      </c>
      <c r="AR88" s="60">
        <f t="shared" si="572"/>
        <v>2.6500570000000001E-2</v>
      </c>
      <c r="AS88" s="60">
        <f t="shared" si="572"/>
        <v>2.594869E-2</v>
      </c>
      <c r="AT88" s="60">
        <f t="shared" si="572"/>
        <v>2.3511899999999999E-2</v>
      </c>
      <c r="AU88" s="60">
        <f t="shared" si="572"/>
        <v>2.21687E-2</v>
      </c>
      <c r="AV88" s="60">
        <f t="shared" si="572"/>
        <v>2.113932E-2</v>
      </c>
      <c r="AW88" s="60"/>
      <c r="AX88" s="60"/>
      <c r="AY88" s="60"/>
      <c r="AZ88" s="60" t="str">
        <f t="shared" ref="AZ88:BH88" si="573">IF(AZ87="","",AZ9)</f>
        <v/>
      </c>
      <c r="BA88" s="60" t="str">
        <f t="shared" si="573"/>
        <v/>
      </c>
      <c r="BB88" s="60" t="str">
        <f t="shared" si="573"/>
        <v/>
      </c>
      <c r="BC88" s="60" t="str">
        <f t="shared" si="573"/>
        <v/>
      </c>
      <c r="BD88" s="60" t="str">
        <f t="shared" si="573"/>
        <v/>
      </c>
      <c r="BE88" s="60" t="str">
        <f t="shared" si="573"/>
        <v/>
      </c>
      <c r="BF88" s="60" t="str">
        <f t="shared" si="573"/>
        <v/>
      </c>
      <c r="BG88" s="60" t="str">
        <f t="shared" si="573"/>
        <v/>
      </c>
      <c r="BH88" s="60" t="str">
        <f t="shared" si="573"/>
        <v/>
      </c>
      <c r="BI88" s="60"/>
      <c r="BJ88" s="60"/>
      <c r="BK88" s="60"/>
      <c r="BL88" s="60"/>
      <c r="BM88" s="60"/>
      <c r="BN88" s="60"/>
      <c r="BO88" s="60"/>
      <c r="BP88" s="60"/>
      <c r="BQ88" s="60"/>
      <c r="BR88" s="60"/>
      <c r="BS88" s="60"/>
      <c r="BT88" s="60"/>
      <c r="BU88" s="60"/>
      <c r="BV88" s="60"/>
      <c r="BW88" s="60"/>
    </row>
    <row r="89" spans="1:75" x14ac:dyDescent="0.3">
      <c r="A89" s="257"/>
      <c r="B89" s="55" t="s">
        <v>45</v>
      </c>
      <c r="C89" s="41"/>
      <c r="D89" s="41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>
        <f>IF(OR(O88="",O87=""),"",(O87*O88)/12)</f>
        <v>-83.442329999999998</v>
      </c>
      <c r="P89" s="10">
        <f>IF(OR(P88="",P87="",O92=""),"",((O92+P87)*P88)/12)</f>
        <v>-56.843522399674043</v>
      </c>
      <c r="Q89" s="10">
        <f t="shared" ref="Q89" si="574">IF(OR(Q88="",Q87="",P92=""),"",((P92+Q87)*Q88)/12)</f>
        <v>129.69979105811672</v>
      </c>
      <c r="R89" s="10">
        <f>IF(OR(R88="",R87="",Q92=""),"",((Q92+R87)*R88)/12)</f>
        <v>366.04756002454724</v>
      </c>
      <c r="S89" s="10">
        <f>IF(OR(S88="",S87="",R92=""),"",((R92+S87)*S88)/12)</f>
        <v>615.87002060290411</v>
      </c>
      <c r="T89" s="10">
        <f t="shared" ref="T89:AL89" si="575">IF(OR(T88="",T87="",S92=""),"",((S92+T87)*T88)/12)</f>
        <v>784.86340717646442</v>
      </c>
      <c r="U89" s="10">
        <f t="shared" si="575"/>
        <v>536.48485896380782</v>
      </c>
      <c r="V89" s="10">
        <f t="shared" si="575"/>
        <v>272.4467750165042</v>
      </c>
      <c r="W89" s="10">
        <f t="shared" si="575"/>
        <v>232.3810492397057</v>
      </c>
      <c r="X89" s="10">
        <f t="shared" si="575"/>
        <v>320.42813729336018</v>
      </c>
      <c r="Y89" s="10">
        <f t="shared" si="575"/>
        <v>558.86809083858736</v>
      </c>
      <c r="Z89" s="10">
        <f>IF(OR(Z88="",Z87="",Y92=""),"",((Y92+Z87)*Z88)/12)</f>
        <v>745.15158738024468</v>
      </c>
      <c r="AA89" s="10">
        <f t="shared" si="575"/>
        <v>136.98194174048376</v>
      </c>
      <c r="AB89" s="10">
        <f t="shared" si="575"/>
        <v>-151.8404030009703</v>
      </c>
      <c r="AC89" s="10">
        <f t="shared" si="575"/>
        <v>-174.59072494468225</v>
      </c>
      <c r="AD89" s="10">
        <f t="shared" si="575"/>
        <v>-131.99397672272605</v>
      </c>
      <c r="AE89" s="10">
        <f t="shared" si="575"/>
        <v>124.65794932977195</v>
      </c>
      <c r="AF89" s="10">
        <f t="shared" si="575"/>
        <v>-276.23589991567979</v>
      </c>
      <c r="AG89" s="10">
        <f t="shared" si="575"/>
        <v>-1009.4682554509072</v>
      </c>
      <c r="AH89" s="10">
        <f t="shared" si="575"/>
        <v>-1513.366209296918</v>
      </c>
      <c r="AI89" s="10">
        <f t="shared" si="575"/>
        <v>-1956.6513157516995</v>
      </c>
      <c r="AJ89" s="10">
        <f t="shared" si="575"/>
        <v>-2054.757728976665</v>
      </c>
      <c r="AK89" s="10">
        <f t="shared" si="575"/>
        <v>-1892.8616442387747</v>
      </c>
      <c r="AL89" s="10">
        <f t="shared" si="575"/>
        <v>-2445.3455790213052</v>
      </c>
      <c r="AM89" s="10">
        <f>IF(OR(AM88="",AM87="",AL92=""),"",((AL92+AM87)*AM88)/12)</f>
        <v>-5764.8350030672727</v>
      </c>
      <c r="AN89" s="10">
        <f t="shared" ref="AN89" si="576">IF(OR(AN88="",AN87="",AM92=""),"",((AM92+AN87)*AN88)/12)</f>
        <v>-5279.6389977080826</v>
      </c>
      <c r="AO89" s="10">
        <f t="shared" ref="AO89" si="577">IF(OR(AO88="",AO87="",AN92=""),"",((AN92+AO87)*AO88)/12)</f>
        <v>-4662.5358984985905</v>
      </c>
      <c r="AP89" s="10">
        <f t="shared" ref="AP89" si="578">IF(OR(AP88="",AP87="",AO92=""),"",((AO92+AP87)*AP88)/12)</f>
        <v>-3898.819539094115</v>
      </c>
      <c r="AQ89" s="10">
        <f t="shared" ref="AQ89" si="579">IF(OR(AQ88="",AQ87="",AP92=""),"",((AP92+AQ87)*AQ88)/12)</f>
        <v>-3357.1484847847314</v>
      </c>
      <c r="AR89" s="10">
        <f t="shared" ref="AR89" si="580">IF(OR(AR88="",AR87="",AQ92=""),"",((AQ92+AR87)*AR88)/12)</f>
        <v>-2820.8770097525307</v>
      </c>
      <c r="AS89" s="10">
        <f t="shared" ref="AS89" si="581">IF(OR(AS88="",AS87="",AR92=""),"",((AR92+AS87)*AS88)/12)</f>
        <v>-2304.8804708231155</v>
      </c>
      <c r="AT89" s="10">
        <f t="shared" ref="AT89" si="582">IF(OR(AT88="",AT87="",AS92=""),"",((AS92+AT87)*AT88)/12)</f>
        <v>-1688.667932842033</v>
      </c>
      <c r="AU89" s="10">
        <f t="shared" ref="AU89" si="583">IF(OR(AU88="",AU87="",AT92=""),"",((AT92+AU87)*AU88)/12)</f>
        <v>-1207.5844596997761</v>
      </c>
      <c r="AV89" s="10">
        <f t="shared" ref="AV89" si="584">IF(OR(AV88="",AV87="",AU92=""),"",((AU92+AV87)*AV88)/12)</f>
        <v>-749.8287585961034</v>
      </c>
      <c r="AW89" s="10"/>
      <c r="AX89" s="10"/>
      <c r="AY89" s="10"/>
      <c r="AZ89" s="10" t="str">
        <f t="shared" ref="AZ89" si="585">IF(OR(AZ88="",AZ87="",AY92=""),"",((AY92+AZ87)*AZ88)/12)</f>
        <v/>
      </c>
      <c r="BA89" s="10" t="str">
        <f t="shared" ref="BA89" si="586">IF(OR(BA88="",BA87="",AZ92=""),"",((AZ92+BA87)*BA88)/12)</f>
        <v/>
      </c>
      <c r="BB89" s="10" t="str">
        <f t="shared" ref="BB89" si="587">IF(OR(BB88="",BB87="",BA92=""),"",((BA92+BB87)*BB88)/12)</f>
        <v/>
      </c>
      <c r="BC89" s="10" t="str">
        <f t="shared" ref="BC89" si="588">IF(OR(BC88="",BC87="",BB92=""),"",((BB92+BC87)*BC88)/12)</f>
        <v/>
      </c>
      <c r="BD89" s="10" t="str">
        <f t="shared" ref="BD89" si="589">IF(OR(BD88="",BD87="",BC92=""),"",((BC92+BD87)*BD88)/12)</f>
        <v/>
      </c>
      <c r="BE89" s="10" t="str">
        <f t="shared" ref="BE89" si="590">IF(OR(BE88="",BE87="",BD92=""),"",((BD92+BE87)*BE88)/12)</f>
        <v/>
      </c>
      <c r="BF89" s="10" t="str">
        <f t="shared" ref="BF89" si="591">IF(OR(BF88="",BF87="",BE92=""),"",((BE92+BF87)*BF88)/12)</f>
        <v/>
      </c>
      <c r="BG89" s="10" t="str">
        <f t="shared" ref="BG89" si="592">IF(OR(BG88="",BG87="",BF92=""),"",((BF92+BG87)*BG88)/12)</f>
        <v/>
      </c>
      <c r="BH89" s="10" t="str">
        <f t="shared" ref="BH89" si="593">IF(OR(BH88="",BH87="",BG92=""),"",((BG92+BH87)*BH88)/12)</f>
        <v/>
      </c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</row>
    <row r="90" spans="1:75" x14ac:dyDescent="0.3">
      <c r="A90" s="257"/>
      <c r="B90" s="56" t="s">
        <v>6</v>
      </c>
      <c r="C90" s="41"/>
      <c r="D90" s="41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>
        <f>O89</f>
        <v>-83.442329999999998</v>
      </c>
      <c r="P90" s="10">
        <f>IF(OR(O90="",P89=""),"",O90+P89)</f>
        <v>-140.28585239967404</v>
      </c>
      <c r="Q90" s="10">
        <f t="shared" ref="Q90:AL90" si="594">IF(OR(P90="",Q89=""),"",P90+Q89)</f>
        <v>-10.586061341557325</v>
      </c>
      <c r="R90" s="10">
        <f t="shared" si="594"/>
        <v>355.46149868298994</v>
      </c>
      <c r="S90" s="10">
        <f t="shared" si="594"/>
        <v>971.33151928589405</v>
      </c>
      <c r="T90" s="10">
        <f t="shared" si="594"/>
        <v>1756.1949264623586</v>
      </c>
      <c r="U90" s="10">
        <f t="shared" si="594"/>
        <v>2292.6797854261663</v>
      </c>
      <c r="V90" s="10">
        <f t="shared" si="594"/>
        <v>2565.1265604426703</v>
      </c>
      <c r="W90" s="10">
        <f t="shared" si="594"/>
        <v>2797.5076096823759</v>
      </c>
      <c r="X90" s="10">
        <f t="shared" si="594"/>
        <v>3117.935746975736</v>
      </c>
      <c r="Y90" s="10">
        <f t="shared" si="594"/>
        <v>3676.8038378143233</v>
      </c>
      <c r="Z90" s="10">
        <f t="shared" si="594"/>
        <v>4421.9554251945683</v>
      </c>
      <c r="AA90" s="10">
        <f t="shared" si="594"/>
        <v>4558.9373669350516</v>
      </c>
      <c r="AB90" s="10">
        <f t="shared" si="594"/>
        <v>4407.096963934081</v>
      </c>
      <c r="AC90" s="10">
        <f t="shared" si="594"/>
        <v>4232.5062389893992</v>
      </c>
      <c r="AD90" s="10">
        <f t="shared" si="594"/>
        <v>4100.5122622666731</v>
      </c>
      <c r="AE90" s="10">
        <f t="shared" si="594"/>
        <v>4225.1702115964454</v>
      </c>
      <c r="AF90" s="10">
        <f t="shared" si="594"/>
        <v>3948.9343116807654</v>
      </c>
      <c r="AG90" s="10">
        <f t="shared" si="594"/>
        <v>2939.4660562298582</v>
      </c>
      <c r="AH90" s="10">
        <f t="shared" si="594"/>
        <v>1426.0998469329402</v>
      </c>
      <c r="AI90" s="10">
        <f t="shared" si="594"/>
        <v>-530.5514688187593</v>
      </c>
      <c r="AJ90" s="10">
        <f t="shared" si="594"/>
        <v>-2585.3091977954246</v>
      </c>
      <c r="AK90" s="10">
        <f t="shared" si="594"/>
        <v>-4478.1708420341993</v>
      </c>
      <c r="AL90" s="10">
        <f t="shared" si="594"/>
        <v>-6923.5164210555049</v>
      </c>
      <c r="AM90" s="10">
        <f t="shared" ref="AM90" si="595">IF(OR(AL90="",AM89=""),"",AL90+AM89)</f>
        <v>-12688.351424122779</v>
      </c>
      <c r="AN90" s="10">
        <f t="shared" ref="AN90" si="596">IF(OR(AM90="",AN89=""),"",AM90+AN89)</f>
        <v>-17967.990421830862</v>
      </c>
      <c r="AO90" s="10">
        <f t="shared" ref="AO90" si="597">IF(OR(AN90="",AO89=""),"",AN90+AO89)</f>
        <v>-22630.526320329453</v>
      </c>
      <c r="AP90" s="10">
        <f t="shared" ref="AP90" si="598">IF(OR(AO90="",AP89=""),"",AO90+AP89)</f>
        <v>-26529.345859423567</v>
      </c>
      <c r="AQ90" s="10">
        <f t="shared" ref="AQ90" si="599">IF(OR(AP90="",AQ89=""),"",AP90+AQ89)</f>
        <v>-29886.494344208299</v>
      </c>
      <c r="AR90" s="10">
        <f t="shared" ref="AR90" si="600">IF(OR(AQ90="",AR89=""),"",AQ90+AR89)</f>
        <v>-32707.371353960829</v>
      </c>
      <c r="AS90" s="10">
        <f t="shared" ref="AS90" si="601">IF(OR(AR90="",AS89=""),"",AR90+AS89)</f>
        <v>-35012.251824783947</v>
      </c>
      <c r="AT90" s="10">
        <f t="shared" ref="AT90" si="602">IF(OR(AS90="",AT89=""),"",AS90+AT89)</f>
        <v>-36700.919757625983</v>
      </c>
      <c r="AU90" s="10">
        <f t="shared" ref="AU90" si="603">IF(OR(AT90="",AU89=""),"",AT90+AU89)</f>
        <v>-37908.504217325761</v>
      </c>
      <c r="AV90" s="10">
        <f t="shared" ref="AV90" si="604">IF(OR(AU90="",AV89=""),"",AU90+AV89)</f>
        <v>-38658.332975921861</v>
      </c>
      <c r="AW90" s="10"/>
      <c r="AX90" s="10"/>
      <c r="AY90" s="10"/>
      <c r="AZ90" s="10" t="str">
        <f t="shared" ref="AZ90" si="605">IF(OR(AY90="",AZ89=""),"",AY90+AZ89)</f>
        <v/>
      </c>
      <c r="BA90" s="10" t="str">
        <f t="shared" ref="BA90" si="606">IF(OR(AZ90="",BA89=""),"",AZ90+BA89)</f>
        <v/>
      </c>
      <c r="BB90" s="10" t="str">
        <f t="shared" ref="BB90" si="607">IF(OR(BA90="",BB89=""),"",BA90+BB89)</f>
        <v/>
      </c>
      <c r="BC90" s="10" t="str">
        <f t="shared" ref="BC90" si="608">IF(OR(BB90="",BC89=""),"",BB90+BC89)</f>
        <v/>
      </c>
      <c r="BD90" s="10" t="str">
        <f t="shared" ref="BD90" si="609">IF(OR(BC90="",BD89=""),"",BC90+BD89)</f>
        <v/>
      </c>
      <c r="BE90" s="10" t="str">
        <f t="shared" ref="BE90" si="610">IF(OR(BD90="",BE89=""),"",BD90+BE89)</f>
        <v/>
      </c>
      <c r="BF90" s="10" t="str">
        <f t="shared" ref="BF90" si="611">IF(OR(BE90="",BF89=""),"",BE90+BF89)</f>
        <v/>
      </c>
      <c r="BG90" s="10" t="str">
        <f t="shared" ref="BG90" si="612">IF(OR(BF90="",BG89=""),"",BF90+BG89)</f>
        <v/>
      </c>
      <c r="BH90" s="10" t="str">
        <f t="shared" ref="BH90" si="613">IF(OR(BG90="",BH89=""),"",BG90+BH89)</f>
        <v/>
      </c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</row>
    <row r="91" spans="1:75" x14ac:dyDescent="0.3">
      <c r="A91" s="257"/>
      <c r="B91" s="69" t="s">
        <v>54</v>
      </c>
      <c r="C91" s="41"/>
      <c r="D91" s="41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>
        <f>IF(OR(O89="",O87=""),"",O87+O89)</f>
        <v>-111339.88233000001</v>
      </c>
      <c r="P91" s="10">
        <f>IF(OR(P89="",P87=""),"",P87+P89)</f>
        <v>35491.675608034937</v>
      </c>
      <c r="Q91" s="10">
        <f t="shared" ref="Q91:AL91" si="614">IF(OR(Q89="",Q87=""),"",Q87+Q89)</f>
        <v>211316.81892149281</v>
      </c>
      <c r="R91" s="10">
        <f t="shared" si="614"/>
        <v>246860.10669045919</v>
      </c>
      <c r="S91" s="10">
        <f t="shared" si="614"/>
        <v>260934.12915103763</v>
      </c>
      <c r="T91" s="10">
        <f t="shared" si="614"/>
        <v>25490.872537611063</v>
      </c>
      <c r="U91" s="10">
        <f t="shared" si="614"/>
        <v>-205680.44601060153</v>
      </c>
      <c r="V91" s="10">
        <f t="shared" si="614"/>
        <v>-239936.83409454871</v>
      </c>
      <c r="W91" s="10">
        <f t="shared" si="614"/>
        <v>-30359.779820325621</v>
      </c>
      <c r="X91" s="10">
        <f t="shared" si="614"/>
        <v>72573.967267727989</v>
      </c>
      <c r="Y91" s="10">
        <f t="shared" si="614"/>
        <v>200005.63722127333</v>
      </c>
      <c r="Z91" s="10">
        <f t="shared" si="614"/>
        <v>39567.760717814934</v>
      </c>
      <c r="AA91" s="10">
        <f t="shared" si="614"/>
        <v>-408961.18892782484</v>
      </c>
      <c r="AB91" s="10">
        <f t="shared" si="614"/>
        <v>-195814.76127256631</v>
      </c>
      <c r="AC91" s="10">
        <f t="shared" si="614"/>
        <v>-2325.7715945100276</v>
      </c>
      <c r="AD91" s="10">
        <f t="shared" si="614"/>
        <v>33512.885153711984</v>
      </c>
      <c r="AE91" s="10">
        <f t="shared" si="614"/>
        <v>136821.97707976442</v>
      </c>
      <c r="AF91" s="10">
        <f t="shared" si="614"/>
        <v>-213848.71676948108</v>
      </c>
      <c r="AG91" s="10">
        <f t="shared" si="614"/>
        <v>-371412.79912501614</v>
      </c>
      <c r="AH91" s="10">
        <f t="shared" si="614"/>
        <v>-265351.44707886217</v>
      </c>
      <c r="AI91" s="10">
        <f t="shared" si="614"/>
        <v>-227667.4021853171</v>
      </c>
      <c r="AJ91" s="10">
        <f t="shared" si="614"/>
        <v>4692.4214014580921</v>
      </c>
      <c r="AK91" s="10">
        <f t="shared" si="614"/>
        <v>104713.337486196</v>
      </c>
      <c r="AL91" s="10">
        <f t="shared" si="614"/>
        <v>-167013.99644858664</v>
      </c>
      <c r="AM91" s="10">
        <f t="shared" ref="AM91:AV91" si="615">IF(OR(AM89="",AM87=""),"",AM87+AM89)</f>
        <v>-1348673.5550030672</v>
      </c>
      <c r="AN91" s="10">
        <f t="shared" si="615"/>
        <v>180599.06317620506</v>
      </c>
      <c r="AO91" s="10">
        <f t="shared" si="615"/>
        <v>224179.84627541454</v>
      </c>
      <c r="AP91" s="10">
        <f t="shared" si="615"/>
        <v>250363.65263481901</v>
      </c>
      <c r="AQ91" s="10">
        <f t="shared" si="615"/>
        <v>253222.8036891284</v>
      </c>
      <c r="AR91" s="10">
        <f t="shared" si="615"/>
        <v>227867.95516416061</v>
      </c>
      <c r="AS91" s="10">
        <f t="shared" si="615"/>
        <v>211972.30170308999</v>
      </c>
      <c r="AT91" s="10">
        <f t="shared" si="615"/>
        <v>204648.61424107107</v>
      </c>
      <c r="AU91" s="10">
        <f t="shared" si="615"/>
        <v>208673.19771421334</v>
      </c>
      <c r="AV91" s="10">
        <f t="shared" si="615"/>
        <v>228478.03341531704</v>
      </c>
      <c r="AW91" s="10"/>
      <c r="AX91" s="10"/>
      <c r="AY91" s="10"/>
      <c r="AZ91" s="10" t="str">
        <f t="shared" ref="AZ91:BH91" si="616">IF(OR(AZ89="",AZ87=""),"",AZ87+AZ89)</f>
        <v/>
      </c>
      <c r="BA91" s="10" t="str">
        <f t="shared" si="616"/>
        <v/>
      </c>
      <c r="BB91" s="10" t="str">
        <f t="shared" si="616"/>
        <v/>
      </c>
      <c r="BC91" s="10" t="str">
        <f t="shared" si="616"/>
        <v/>
      </c>
      <c r="BD91" s="10" t="str">
        <f t="shared" si="616"/>
        <v/>
      </c>
      <c r="BE91" s="10" t="str">
        <f t="shared" si="616"/>
        <v/>
      </c>
      <c r="BF91" s="10" t="str">
        <f t="shared" si="616"/>
        <v/>
      </c>
      <c r="BG91" s="10" t="str">
        <f t="shared" si="616"/>
        <v/>
      </c>
      <c r="BH91" s="10" t="str">
        <f t="shared" si="616"/>
        <v/>
      </c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</row>
    <row r="92" spans="1:75" x14ac:dyDescent="0.3">
      <c r="A92" s="257"/>
      <c r="B92" s="55" t="s">
        <v>44</v>
      </c>
      <c r="C92" s="41"/>
      <c r="D92" s="41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>
        <f>N92+O91</f>
        <v>-111339.88233000001</v>
      </c>
      <c r="P92" s="10">
        <f>IF(OR(P91="",O92=""),"",O92+P91)</f>
        <v>-75848.206721965078</v>
      </c>
      <c r="Q92" s="10">
        <f t="shared" ref="Q92:AL92" si="617">IF(OR(Q91="",P92=""),"",P92+Q91)</f>
        <v>135468.61219952774</v>
      </c>
      <c r="R92" s="10">
        <f t="shared" si="617"/>
        <v>382328.71888998692</v>
      </c>
      <c r="S92" s="10">
        <f t="shared" si="617"/>
        <v>643262.84804102452</v>
      </c>
      <c r="T92" s="10">
        <f t="shared" si="617"/>
        <v>668753.72057863558</v>
      </c>
      <c r="U92" s="10">
        <f t="shared" si="617"/>
        <v>463073.27456803404</v>
      </c>
      <c r="V92" s="10">
        <f t="shared" si="617"/>
        <v>223136.44047348533</v>
      </c>
      <c r="W92" s="10">
        <f t="shared" si="617"/>
        <v>192776.66065315972</v>
      </c>
      <c r="X92" s="10">
        <f t="shared" si="617"/>
        <v>265350.62792088772</v>
      </c>
      <c r="Y92" s="10">
        <f t="shared" si="617"/>
        <v>465356.26514216105</v>
      </c>
      <c r="Z92" s="10">
        <f t="shared" si="617"/>
        <v>504924.02585997595</v>
      </c>
      <c r="AA92" s="10">
        <f t="shared" si="617"/>
        <v>95962.836932151113</v>
      </c>
      <c r="AB92" s="10">
        <f t="shared" si="617"/>
        <v>-99851.924340415193</v>
      </c>
      <c r="AC92" s="10">
        <f t="shared" si="617"/>
        <v>-102177.69593492521</v>
      </c>
      <c r="AD92" s="10">
        <f t="shared" si="617"/>
        <v>-68664.810781213222</v>
      </c>
      <c r="AE92" s="10">
        <f t="shared" si="617"/>
        <v>68157.166298551194</v>
      </c>
      <c r="AF92" s="10">
        <f t="shared" si="617"/>
        <v>-145691.55047092988</v>
      </c>
      <c r="AG92" s="10">
        <f t="shared" si="617"/>
        <v>-517104.34959594603</v>
      </c>
      <c r="AH92" s="10">
        <f t="shared" si="617"/>
        <v>-782455.79667480825</v>
      </c>
      <c r="AI92" s="10">
        <f t="shared" si="617"/>
        <v>-1010123.1988601254</v>
      </c>
      <c r="AJ92" s="10">
        <f t="shared" si="617"/>
        <v>-1005430.7774586673</v>
      </c>
      <c r="AK92" s="10">
        <f t="shared" si="617"/>
        <v>-900717.43997247133</v>
      </c>
      <c r="AL92" s="10">
        <f t="shared" si="617"/>
        <v>-1067731.4364210579</v>
      </c>
      <c r="AM92" s="10">
        <f t="shared" ref="AM92" si="618">IF(OR(AM91="",AL92=""),"",AL92+AM91)</f>
        <v>-2416404.9914241252</v>
      </c>
      <c r="AN92" s="10">
        <f t="shared" ref="AN92" si="619">IF(OR(AN91="",AM92=""),"",AM92+AN91)</f>
        <v>-2235805.9282479202</v>
      </c>
      <c r="AO92" s="10">
        <f t="shared" ref="AO92" si="620">IF(OR(AO91="",AN92=""),"",AN92+AO91)</f>
        <v>-2011626.0819725057</v>
      </c>
      <c r="AP92" s="10">
        <f t="shared" ref="AP92" si="621">IF(OR(AP91="",AO92=""),"",AO92+AP91)</f>
        <v>-1761262.4293376866</v>
      </c>
      <c r="AQ92" s="10">
        <f t="shared" ref="AQ92" si="622">IF(OR(AQ91="",AP92=""),"",AP92+AQ91)</f>
        <v>-1508039.6256485581</v>
      </c>
      <c r="AR92" s="10">
        <f t="shared" ref="AR92" si="623">IF(OR(AR91="",AQ92=""),"",AQ92+AR91)</f>
        <v>-1280171.6704843976</v>
      </c>
      <c r="AS92" s="10">
        <f t="shared" ref="AS92" si="624">IF(OR(AS91="",AR92=""),"",AR92+AS91)</f>
        <v>-1068199.3687813075</v>
      </c>
      <c r="AT92" s="10">
        <f t="shared" ref="AT92" si="625">IF(OR(AT91="",AS92=""),"",AS92+AT91)</f>
        <v>-863550.75454023643</v>
      </c>
      <c r="AU92" s="10">
        <f t="shared" ref="AU92" si="626">IF(OR(AU91="",AT92=""),"",AT92+AU91)</f>
        <v>-654877.55682602315</v>
      </c>
      <c r="AV92" s="10">
        <f t="shared" ref="AV92" si="627">IF(OR(AV91="",AU92=""),"",AU92+AV91)</f>
        <v>-426399.52341070608</v>
      </c>
      <c r="AW92" s="10"/>
      <c r="AX92" s="10"/>
      <c r="AY92" s="10"/>
      <c r="AZ92" s="10" t="str">
        <f t="shared" ref="AZ92" si="628">IF(OR(AZ91="",AY92=""),"",AY92+AZ91)</f>
        <v/>
      </c>
      <c r="BA92" s="10" t="str">
        <f t="shared" ref="BA92" si="629">IF(OR(BA91="",AZ92=""),"",AZ92+BA91)</f>
        <v/>
      </c>
      <c r="BB92" s="10" t="str">
        <f t="shared" ref="BB92" si="630">IF(OR(BB91="",BA92=""),"",BA92+BB91)</f>
        <v/>
      </c>
      <c r="BC92" s="10" t="str">
        <f t="shared" ref="BC92" si="631">IF(OR(BC91="",BB92=""),"",BB92+BC91)</f>
        <v/>
      </c>
      <c r="BD92" s="10" t="str">
        <f t="shared" ref="BD92" si="632">IF(OR(BD91="",BC92=""),"",BC92+BD91)</f>
        <v/>
      </c>
      <c r="BE92" s="10" t="str">
        <f t="shared" ref="BE92" si="633">IF(OR(BE91="",BD92=""),"",BD92+BE91)</f>
        <v/>
      </c>
      <c r="BF92" s="10" t="str">
        <f t="shared" ref="BF92" si="634">IF(OR(BF91="",BE92=""),"",BE92+BF91)</f>
        <v/>
      </c>
      <c r="BG92" s="10" t="str">
        <f t="shared" ref="BG92" si="635">IF(OR(BG91="",BF92=""),"",BF92+BG91)</f>
        <v/>
      </c>
      <c r="BH92" s="10" t="str">
        <f t="shared" ref="BH92" si="636">IF(OR(BH91="",BG92=""),"",BG92+BH91)</f>
        <v/>
      </c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</row>
    <row r="93" spans="1:75" x14ac:dyDescent="0.3">
      <c r="A93" s="257"/>
      <c r="B93" s="57" t="s">
        <v>43</v>
      </c>
      <c r="C93" s="41"/>
      <c r="D93" s="41"/>
      <c r="E93" s="10"/>
      <c r="F93" s="10"/>
      <c r="G93" s="10"/>
      <c r="H93" s="10"/>
      <c r="I93" s="10"/>
      <c r="J93" s="10"/>
      <c r="K93" s="10"/>
      <c r="L93" s="10"/>
      <c r="M93" s="10"/>
      <c r="N93" s="10">
        <v>28246578.739999998</v>
      </c>
      <c r="O93" s="10">
        <f>N93-O86+O89</f>
        <v>28135238.857669998</v>
      </c>
      <c r="P93" s="10">
        <f>IF(P86="","",O93-P86+P89)</f>
        <v>26942618.414147597</v>
      </c>
      <c r="Q93" s="10">
        <f t="shared" ref="Q93:AV93" si="637">IF(Q86="","",P93-Q86+Q89)</f>
        <v>25925823.113938656</v>
      </c>
      <c r="R93" s="10">
        <f t="shared" si="637"/>
        <v>24944571.101498682</v>
      </c>
      <c r="S93" s="10">
        <f t="shared" si="637"/>
        <v>23977393.111519285</v>
      </c>
      <c r="T93" s="10">
        <f t="shared" si="637"/>
        <v>22774771.864926461</v>
      </c>
      <c r="U93" s="10">
        <f t="shared" si="637"/>
        <v>21340979.299785424</v>
      </c>
      <c r="V93" s="10">
        <f t="shared" si="637"/>
        <v>19872930.346560441</v>
      </c>
      <c r="W93" s="10">
        <f t="shared" si="637"/>
        <v>18614458.447609678</v>
      </c>
      <c r="X93" s="10">
        <f t="shared" si="637"/>
        <v>17458920.295746975</v>
      </c>
      <c r="Y93" s="10">
        <f t="shared" si="637"/>
        <v>16430813.813837813</v>
      </c>
      <c r="Z93" s="10">
        <f t="shared" si="637"/>
        <v>15242269.455425194</v>
      </c>
      <c r="AA93" s="10">
        <f t="shared" si="637"/>
        <v>13605196.147366934</v>
      </c>
      <c r="AB93" s="10">
        <f t="shared" si="637"/>
        <v>12181269.266963933</v>
      </c>
      <c r="AC93" s="10">
        <f t="shared" si="637"/>
        <v>10950831.376238987</v>
      </c>
      <c r="AD93" s="10">
        <f t="shared" si="637"/>
        <v>9756232.1422622632</v>
      </c>
      <c r="AE93" s="10">
        <f t="shared" si="637"/>
        <v>8664942.0002115928</v>
      </c>
      <c r="AF93" s="10">
        <f t="shared" si="637"/>
        <v>7222981.1643116772</v>
      </c>
      <c r="AG93" s="10">
        <f t="shared" si="637"/>
        <v>5623456.2460562261</v>
      </c>
      <c r="AH93" s="10">
        <f t="shared" si="637"/>
        <v>4129992.6798469289</v>
      </c>
      <c r="AI93" s="10">
        <f t="shared" si="637"/>
        <v>2674213.1585311773</v>
      </c>
      <c r="AJ93" s="10">
        <f t="shared" si="637"/>
        <v>1450793.4608022007</v>
      </c>
      <c r="AK93" s="10">
        <f t="shared" si="637"/>
        <v>327394.67915796203</v>
      </c>
      <c r="AL93" s="10">
        <f>IF(AL86="","",AK93-AL86+AL89)</f>
        <v>-1067731.4364210593</v>
      </c>
      <c r="AM93" s="10">
        <f>IF(AM86="","",AL93-AM86+AM89+AM84)</f>
        <v>6725029.9285758752</v>
      </c>
      <c r="AN93" s="10">
        <f t="shared" si="637"/>
        <v>6508175.2995781666</v>
      </c>
      <c r="AO93" s="10">
        <f t="shared" si="637"/>
        <v>6334901.4536796687</v>
      </c>
      <c r="AP93" s="10">
        <f t="shared" si="637"/>
        <v>6187811.4141405746</v>
      </c>
      <c r="AQ93" s="10">
        <f t="shared" si="637"/>
        <v>6043580.5256557893</v>
      </c>
      <c r="AR93" s="10">
        <f t="shared" si="637"/>
        <v>5873994.7886460368</v>
      </c>
      <c r="AS93" s="10">
        <f t="shared" si="637"/>
        <v>5688513.3981752135</v>
      </c>
      <c r="AT93" s="10">
        <f t="shared" si="637"/>
        <v>5495708.3202423714</v>
      </c>
      <c r="AU93" s="10">
        <f t="shared" si="637"/>
        <v>5306927.8257826716</v>
      </c>
      <c r="AV93" s="10">
        <f t="shared" si="637"/>
        <v>5137952.1670240751</v>
      </c>
      <c r="AW93" s="10"/>
      <c r="AX93" s="10"/>
      <c r="AY93" s="10"/>
      <c r="AZ93" s="10" t="str">
        <f t="shared" ref="AZ93" si="638">IF(AZ86="","",AY93-AZ86+AZ89)</f>
        <v/>
      </c>
      <c r="BA93" s="10" t="str">
        <f t="shared" ref="BA93" si="639">IF(BA86="","",AZ93-BA86+BA89)</f>
        <v/>
      </c>
      <c r="BB93" s="10" t="str">
        <f t="shared" ref="BB93" si="640">IF(BB86="","",BA93-BB86+BB89)</f>
        <v/>
      </c>
      <c r="BC93" s="10" t="str">
        <f t="shared" ref="BC93" si="641">IF(BC86="","",BB93-BC86+BC89)</f>
        <v/>
      </c>
      <c r="BD93" s="10" t="str">
        <f t="shared" ref="BD93" si="642">IF(BD86="","",BC93-BD86+BD89)</f>
        <v/>
      </c>
      <c r="BE93" s="10" t="str">
        <f t="shared" ref="BE93" si="643">IF(BE86="","",BD93-BE86+BE89)</f>
        <v/>
      </c>
      <c r="BF93" s="10" t="str">
        <f t="shared" ref="BF93" si="644">IF(BF86="","",BE93-BF86+BF89)</f>
        <v/>
      </c>
      <c r="BG93" s="10" t="str">
        <f t="shared" ref="BG93" si="645">IF(BG86="","",BF93-BG86+BG89)</f>
        <v/>
      </c>
      <c r="BH93" s="10" t="str">
        <f t="shared" ref="BH93" si="646">IF(BH86="","",BG93-BH86+BH89)</f>
        <v/>
      </c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</row>
    <row r="94" spans="1:75" s="5" customFormat="1" ht="8.25" customHeight="1" x14ac:dyDescent="0.3">
      <c r="A94" s="44"/>
      <c r="B94" s="13"/>
      <c r="C94" s="13"/>
      <c r="D94" s="13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71"/>
      <c r="BM94" s="171"/>
      <c r="BN94" s="171"/>
      <c r="BO94" s="171"/>
      <c r="BP94" s="171"/>
      <c r="BQ94" s="171"/>
      <c r="BR94" s="171"/>
      <c r="BS94" s="171"/>
      <c r="BT94" s="15"/>
      <c r="BU94" s="171"/>
      <c r="BV94" s="171"/>
      <c r="BW94" s="171"/>
    </row>
    <row r="95" spans="1:75" s="5" customFormat="1" x14ac:dyDescent="0.3">
      <c r="A95" s="257" t="s">
        <v>74</v>
      </c>
      <c r="B95" s="55"/>
      <c r="C95" s="95"/>
      <c r="D95" s="95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67">
        <v>5616785</v>
      </c>
      <c r="AM95" s="67">
        <f>6127402+5086355</f>
        <v>11213757</v>
      </c>
      <c r="AN95" s="9"/>
      <c r="AO95" s="9"/>
      <c r="AP95" s="66"/>
      <c r="AQ95" s="66"/>
      <c r="AR95" s="66"/>
      <c r="AS95" s="66"/>
      <c r="AT95" s="66"/>
      <c r="AU95" s="67">
        <v>17719482</v>
      </c>
      <c r="AV95" s="66"/>
      <c r="AW95" s="67">
        <f>+AV93</f>
        <v>5137952.1670240751</v>
      </c>
      <c r="AX95" s="66"/>
      <c r="AY95" s="66"/>
      <c r="AZ95" s="66"/>
      <c r="BA95" s="66"/>
      <c r="BB95" s="66"/>
      <c r="BC95" s="66"/>
      <c r="BD95" s="66"/>
      <c r="BE95" s="66"/>
      <c r="BF95" s="67">
        <v>-695012</v>
      </c>
      <c r="BG95" s="66"/>
      <c r="BH95" s="66"/>
      <c r="BI95" s="66"/>
      <c r="BJ95" s="66"/>
      <c r="BK95" s="66"/>
      <c r="BL95" s="66"/>
      <c r="BM95" s="66"/>
      <c r="BN95" s="66"/>
      <c r="BO95" s="66"/>
      <c r="BP95" s="66"/>
      <c r="BQ95" s="66"/>
      <c r="BR95" s="67">
        <v>-19829.638093632686</v>
      </c>
      <c r="BS95" s="66"/>
      <c r="BT95" s="66"/>
      <c r="BU95" s="66"/>
      <c r="BV95" s="66"/>
      <c r="BW95" s="66"/>
    </row>
    <row r="96" spans="1:75" ht="15" customHeight="1" x14ac:dyDescent="0.3">
      <c r="A96" s="257"/>
      <c r="B96" s="55" t="s">
        <v>68</v>
      </c>
      <c r="C96" s="41"/>
      <c r="D96" s="41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>
        <v>0</v>
      </c>
      <c r="AE96" s="59">
        <v>0</v>
      </c>
      <c r="AF96" s="59">
        <v>0</v>
      </c>
      <c r="AG96" s="59">
        <v>0</v>
      </c>
      <c r="AH96" s="59">
        <v>0</v>
      </c>
      <c r="AI96" s="59">
        <v>0</v>
      </c>
      <c r="AJ96" s="59">
        <v>0</v>
      </c>
      <c r="AK96" s="59">
        <v>0</v>
      </c>
      <c r="AL96" s="59">
        <v>0</v>
      </c>
      <c r="AM96" s="59">
        <v>0</v>
      </c>
      <c r="AN96" s="59">
        <v>0</v>
      </c>
      <c r="AO96" s="59">
        <v>0</v>
      </c>
      <c r="AP96" s="59">
        <v>0</v>
      </c>
      <c r="AQ96" s="59">
        <v>0</v>
      </c>
      <c r="AR96" s="59">
        <v>0</v>
      </c>
      <c r="AS96" s="59">
        <v>0</v>
      </c>
      <c r="AT96" s="59">
        <v>0</v>
      </c>
      <c r="AU96" s="59">
        <v>0</v>
      </c>
      <c r="AV96" s="59">
        <v>0</v>
      </c>
      <c r="AW96" s="59">
        <f>$AM$84/23</f>
        <v>397453.69217391312</v>
      </c>
      <c r="AX96" s="59">
        <f t="shared" ref="AX96:AY96" si="647">$AM$84/23</f>
        <v>397453.69217391312</v>
      </c>
      <c r="AY96" s="59">
        <f t="shared" si="647"/>
        <v>397453.69217391312</v>
      </c>
      <c r="AZ96" s="149">
        <f>43584506/23</f>
        <v>1894978.5217391304</v>
      </c>
      <c r="BA96" s="59">
        <f t="shared" ref="BA96:BK96" si="648">43584506/23</f>
        <v>1894978.5217391304</v>
      </c>
      <c r="BB96" s="59">
        <f t="shared" si="648"/>
        <v>1894978.5217391304</v>
      </c>
      <c r="BC96" s="59">
        <f t="shared" si="648"/>
        <v>1894978.5217391304</v>
      </c>
      <c r="BD96" s="59">
        <f t="shared" si="648"/>
        <v>1894978.5217391304</v>
      </c>
      <c r="BE96" s="59">
        <f t="shared" si="648"/>
        <v>1894978.5217391304</v>
      </c>
      <c r="BF96" s="59">
        <f t="shared" si="648"/>
        <v>1894978.5217391304</v>
      </c>
      <c r="BG96" s="59">
        <f t="shared" si="648"/>
        <v>1894978.5217391304</v>
      </c>
      <c r="BH96" s="59">
        <f t="shared" si="648"/>
        <v>1894978.5217391304</v>
      </c>
      <c r="BI96" s="59">
        <f t="shared" si="648"/>
        <v>1894978.5217391304</v>
      </c>
      <c r="BJ96" s="59">
        <f t="shared" si="648"/>
        <v>1894978.5217391304</v>
      </c>
      <c r="BK96" s="59">
        <f t="shared" si="648"/>
        <v>1894978.5217391304</v>
      </c>
      <c r="BL96" s="59">
        <f t="shared" ref="BL96:BV96" si="649">(43584506/23)+(-695012/12)</f>
        <v>1837060.8550724636</v>
      </c>
      <c r="BM96" s="59">
        <f t="shared" si="649"/>
        <v>1837060.8550724636</v>
      </c>
      <c r="BN96" s="59">
        <f t="shared" si="649"/>
        <v>1837060.8550724636</v>
      </c>
      <c r="BO96" s="59">
        <f t="shared" si="649"/>
        <v>1837060.8550724636</v>
      </c>
      <c r="BP96" s="59">
        <f t="shared" si="649"/>
        <v>1837060.8550724636</v>
      </c>
      <c r="BQ96" s="59">
        <f t="shared" si="649"/>
        <v>1837060.8550724636</v>
      </c>
      <c r="BR96" s="59">
        <f t="shared" si="649"/>
        <v>1837060.8550724636</v>
      </c>
      <c r="BS96" s="59">
        <f t="shared" si="649"/>
        <v>1837060.8550724636</v>
      </c>
      <c r="BT96" s="59">
        <f t="shared" si="649"/>
        <v>1837060.8550724636</v>
      </c>
      <c r="BU96" s="252">
        <f t="shared" si="649"/>
        <v>1837060.8550724636</v>
      </c>
      <c r="BV96" s="252">
        <f t="shared" si="649"/>
        <v>1837060.8550724636</v>
      </c>
      <c r="BW96" s="254">
        <f>(-695012/12)</f>
        <v>-57917.666666666664</v>
      </c>
    </row>
    <row r="97" spans="1:78" x14ac:dyDescent="0.3">
      <c r="A97" s="257"/>
      <c r="B97" s="55" t="s">
        <v>69</v>
      </c>
      <c r="C97" s="41"/>
      <c r="D97" s="41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>
        <v>0</v>
      </c>
      <c r="AE97" s="24">
        <v>0</v>
      </c>
      <c r="AF97" s="24">
        <v>0</v>
      </c>
      <c r="AG97" s="24">
        <v>0</v>
      </c>
      <c r="AH97" s="24">
        <v>0</v>
      </c>
      <c r="AI97" s="24">
        <v>0</v>
      </c>
      <c r="AJ97" s="24">
        <v>0</v>
      </c>
      <c r="AK97" s="24">
        <v>0</v>
      </c>
      <c r="AL97" s="24">
        <v>0</v>
      </c>
      <c r="AM97" s="24">
        <v>0</v>
      </c>
      <c r="AN97" s="24">
        <v>0</v>
      </c>
      <c r="AO97" s="24">
        <v>0</v>
      </c>
      <c r="AP97" s="24">
        <v>0</v>
      </c>
      <c r="AQ97" s="24">
        <v>0</v>
      </c>
      <c r="AR97" s="24">
        <v>0</v>
      </c>
      <c r="AS97" s="24">
        <v>0</v>
      </c>
      <c r="AT97" s="24">
        <v>0</v>
      </c>
      <c r="AU97" s="24">
        <v>0</v>
      </c>
      <c r="AV97" s="24">
        <v>0</v>
      </c>
      <c r="AW97" s="24">
        <v>150382.70000000001</v>
      </c>
      <c r="AX97" s="24">
        <v>168628.67</v>
      </c>
      <c r="AY97" s="24">
        <v>178410.97</v>
      </c>
      <c r="AZ97" s="24">
        <v>974302.29</v>
      </c>
      <c r="BA97" s="24">
        <v>1842413.4500000002</v>
      </c>
      <c r="BB97" s="24">
        <v>1551951</v>
      </c>
      <c r="BC97" s="24">
        <v>1425563.68</v>
      </c>
      <c r="BD97" s="24">
        <v>1745884.99</v>
      </c>
      <c r="BE97" s="24">
        <v>2194313.89</v>
      </c>
      <c r="BF97" s="24">
        <v>2131578.6800000002</v>
      </c>
      <c r="BG97" s="24">
        <v>2017374.93</v>
      </c>
      <c r="BH97" s="24">
        <v>1555195.29</v>
      </c>
      <c r="BI97" s="24">
        <v>1583158.96</v>
      </c>
      <c r="BJ97" s="24">
        <v>1876199.76</v>
      </c>
      <c r="BK97" s="24">
        <v>2208883.19</v>
      </c>
      <c r="BL97" s="24">
        <v>2225379.46</v>
      </c>
      <c r="BM97" s="24">
        <v>1811132.25</v>
      </c>
      <c r="BN97" s="24">
        <v>1487332.63</v>
      </c>
      <c r="BO97" s="24">
        <v>1466226.4</v>
      </c>
      <c r="BP97" s="24">
        <v>1702068.99</v>
      </c>
      <c r="BQ97" s="24">
        <v>2140875.2000000002</v>
      </c>
      <c r="BR97" s="24">
        <v>2124604.4300000002</v>
      </c>
      <c r="BS97" s="24">
        <v>2135977.81</v>
      </c>
      <c r="BT97" s="24">
        <v>1701158.29</v>
      </c>
      <c r="BU97" s="116">
        <f>SUM('[116]EOR (M2)'!AA29:AA33)</f>
        <v>1545988.8824434462</v>
      </c>
      <c r="BV97" s="116">
        <f>SUM('[116]EOR (M2)'!AB29:AB33)</f>
        <v>1873863.8436466865</v>
      </c>
      <c r="BW97" s="116">
        <f>SUM('[116]EOR (M2)'!AC29:AC33)</f>
        <v>2185177.5125994016</v>
      </c>
      <c r="BX97" s="146"/>
      <c r="BY97" s="146"/>
      <c r="BZ97" s="146"/>
    </row>
    <row r="98" spans="1:78" x14ac:dyDescent="0.3">
      <c r="A98" s="257"/>
      <c r="B98" s="55" t="s">
        <v>70</v>
      </c>
      <c r="C98" s="41"/>
      <c r="D98" s="41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 t="str">
        <f>IF(OR(O96="",O97=""),"",O96-O97)</f>
        <v/>
      </c>
      <c r="P98" s="10" t="str">
        <f>IF(OR(P96="",P97=""),"",P96-P97)</f>
        <v/>
      </c>
      <c r="Q98" s="10" t="str">
        <f>IF(OR(Q96="",Q97=""),"",Q96-Q97)</f>
        <v/>
      </c>
      <c r="R98" s="10" t="str">
        <f t="shared" ref="R98:AC98" si="650">IF(OR(R96="",R97=""),"",R96-R97)</f>
        <v/>
      </c>
      <c r="S98" s="10" t="str">
        <f t="shared" si="650"/>
        <v/>
      </c>
      <c r="T98" s="10" t="str">
        <f t="shared" si="650"/>
        <v/>
      </c>
      <c r="U98" s="10" t="str">
        <f t="shared" si="650"/>
        <v/>
      </c>
      <c r="V98" s="10" t="str">
        <f t="shared" si="650"/>
        <v/>
      </c>
      <c r="W98" s="10" t="str">
        <f t="shared" si="650"/>
        <v/>
      </c>
      <c r="X98" s="10" t="str">
        <f t="shared" si="650"/>
        <v/>
      </c>
      <c r="Y98" s="10" t="str">
        <f t="shared" si="650"/>
        <v/>
      </c>
      <c r="Z98" s="10" t="str">
        <f t="shared" si="650"/>
        <v/>
      </c>
      <c r="AA98" s="10" t="str">
        <f t="shared" si="650"/>
        <v/>
      </c>
      <c r="AB98" s="10" t="str">
        <f t="shared" si="650"/>
        <v/>
      </c>
      <c r="AC98" s="10" t="str">
        <f t="shared" si="650"/>
        <v/>
      </c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9">
        <f>IF(OR(AW96="",AW97=""),"",AW96-AW97)</f>
        <v>247070.99217391311</v>
      </c>
      <c r="AX98" s="10">
        <f t="shared" ref="AX98:BW98" si="651">IF(OR(AX96="",AX97=""),"",AX96-AX97)</f>
        <v>228825.02217391311</v>
      </c>
      <c r="AY98" s="10">
        <f t="shared" si="651"/>
        <v>219042.72217391312</v>
      </c>
      <c r="AZ98" s="10">
        <f t="shared" si="651"/>
        <v>920676.23173913034</v>
      </c>
      <c r="BA98" s="10">
        <f t="shared" si="651"/>
        <v>52565.071739130188</v>
      </c>
      <c r="BB98" s="10">
        <f t="shared" si="651"/>
        <v>343027.52173913037</v>
      </c>
      <c r="BC98" s="10">
        <f t="shared" si="651"/>
        <v>469414.84173913044</v>
      </c>
      <c r="BD98" s="10">
        <f t="shared" si="651"/>
        <v>149093.53173913038</v>
      </c>
      <c r="BE98" s="10">
        <f t="shared" si="651"/>
        <v>-299335.36826086976</v>
      </c>
      <c r="BF98" s="10">
        <f t="shared" si="651"/>
        <v>-236600.15826086979</v>
      </c>
      <c r="BG98" s="10">
        <f t="shared" si="651"/>
        <v>-122396.40826086956</v>
      </c>
      <c r="BH98" s="10">
        <f t="shared" si="651"/>
        <v>339783.23173913034</v>
      </c>
      <c r="BI98" s="10">
        <f t="shared" si="651"/>
        <v>311819.56173913041</v>
      </c>
      <c r="BJ98" s="10">
        <f t="shared" si="651"/>
        <v>18778.761739130365</v>
      </c>
      <c r="BK98" s="10">
        <f t="shared" si="651"/>
        <v>-313904.66826086957</v>
      </c>
      <c r="BL98" s="10">
        <f t="shared" si="651"/>
        <v>-388318.60492753633</v>
      </c>
      <c r="BM98" s="10">
        <f t="shared" si="651"/>
        <v>25928.60507246363</v>
      </c>
      <c r="BN98" s="10">
        <f t="shared" si="651"/>
        <v>349728.22507246374</v>
      </c>
      <c r="BO98" s="10">
        <f t="shared" si="651"/>
        <v>370834.45507246372</v>
      </c>
      <c r="BP98" s="10">
        <f t="shared" si="651"/>
        <v>134991.86507246364</v>
      </c>
      <c r="BQ98" s="10">
        <f>IF(OR(BQ96="",BQ97=""),"",BQ96-BQ97)</f>
        <v>-303814.34492753656</v>
      </c>
      <c r="BR98" s="10">
        <f>IF(OR(BR96="",BR97=""),"",BR96-BR97)</f>
        <v>-287543.57492753654</v>
      </c>
      <c r="BS98" s="10">
        <f>IF(OR(BS96="",BS97=""),"",BS96-BS97)</f>
        <v>-298916.95492753643</v>
      </c>
      <c r="BT98" s="10">
        <f t="shared" ref="BT98" si="652">IF(OR(BT96="",BT97=""),"",BT96-BT97)</f>
        <v>135902.56507246359</v>
      </c>
      <c r="BU98" s="10">
        <f t="shared" si="651"/>
        <v>291071.97262901743</v>
      </c>
      <c r="BV98" s="10">
        <f t="shared" si="651"/>
        <v>-36802.988574222894</v>
      </c>
      <c r="BW98" s="172">
        <f t="shared" si="651"/>
        <v>-2243095.1792660682</v>
      </c>
    </row>
    <row r="99" spans="1:78" x14ac:dyDescent="0.3">
      <c r="A99" s="257"/>
      <c r="B99" s="55" t="s">
        <v>4</v>
      </c>
      <c r="C99" s="41"/>
      <c r="D99" s="41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 t="str">
        <f t="shared" ref="P99:AC99" si="653">IF(P98="","",P19)</f>
        <v/>
      </c>
      <c r="Q99" s="60" t="str">
        <f t="shared" si="653"/>
        <v/>
      </c>
      <c r="R99" s="60" t="str">
        <f t="shared" si="653"/>
        <v/>
      </c>
      <c r="S99" s="60" t="str">
        <f t="shared" si="653"/>
        <v/>
      </c>
      <c r="T99" s="60" t="str">
        <f t="shared" si="653"/>
        <v/>
      </c>
      <c r="U99" s="60" t="str">
        <f t="shared" si="653"/>
        <v/>
      </c>
      <c r="V99" s="60" t="str">
        <f t="shared" si="653"/>
        <v/>
      </c>
      <c r="W99" s="60" t="str">
        <f t="shared" si="653"/>
        <v/>
      </c>
      <c r="X99" s="60" t="str">
        <f t="shared" si="653"/>
        <v/>
      </c>
      <c r="Y99" s="60" t="str">
        <f t="shared" si="653"/>
        <v/>
      </c>
      <c r="Z99" s="60" t="str">
        <f t="shared" si="653"/>
        <v/>
      </c>
      <c r="AA99" s="60" t="str">
        <f t="shared" si="653"/>
        <v/>
      </c>
      <c r="AB99" s="60" t="str">
        <f t="shared" si="653"/>
        <v/>
      </c>
      <c r="AC99" s="60" t="str">
        <f t="shared" si="653"/>
        <v/>
      </c>
      <c r="AD99" s="60"/>
      <c r="AE99" s="60"/>
      <c r="AF99" s="60"/>
      <c r="AG99" s="60"/>
      <c r="AH99" s="60"/>
      <c r="AI99" s="60"/>
      <c r="AJ99" s="60"/>
      <c r="AK99" s="60"/>
      <c r="AL99" s="60"/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>
        <f>IF(AW98="","",AW9)</f>
        <v>1.8159890000000001E-2</v>
      </c>
      <c r="AX99" s="60">
        <f>IF(AX98="","",AX9)</f>
        <v>1.9151990000000001E-2</v>
      </c>
      <c r="AY99" s="60">
        <f t="shared" ref="AY99:BG99" si="654">IF(AY98="","",AY9)</f>
        <v>1.8890779999999999E-2</v>
      </c>
      <c r="AZ99" s="60">
        <f t="shared" si="654"/>
        <v>1.8035829999999999E-2</v>
      </c>
      <c r="BA99" s="60">
        <f t="shared" si="654"/>
        <v>1.888592E-2</v>
      </c>
      <c r="BB99" s="60">
        <f t="shared" si="654"/>
        <v>9.3845999999999999E-3</v>
      </c>
      <c r="BC99" s="60">
        <f t="shared" si="654"/>
        <v>1.2906700000000001E-3</v>
      </c>
      <c r="BD99" s="60">
        <f t="shared" si="654"/>
        <v>1.2563100000000001E-3</v>
      </c>
      <c r="BE99" s="60">
        <f t="shared" si="654"/>
        <v>1.9366299999999999E-3</v>
      </c>
      <c r="BF99" s="60">
        <f t="shared" si="654"/>
        <v>1.3658500000000001E-3</v>
      </c>
      <c r="BG99" s="60">
        <f t="shared" si="654"/>
        <v>1.23916E-3</v>
      </c>
      <c r="BH99" s="60">
        <f>IF(BH98="","",BH9)</f>
        <v>2E-3</v>
      </c>
      <c r="BI99" s="60">
        <f t="shared" ref="BI99:BP99" si="655">IF(BI98="","",BI9)</f>
        <v>2.5244400000000002E-3</v>
      </c>
      <c r="BJ99" s="60">
        <f t="shared" si="655"/>
        <v>2.8469900000000002E-3</v>
      </c>
      <c r="BK99" s="60">
        <f t="shared" si="655"/>
        <v>2.0613900000000002E-3</v>
      </c>
      <c r="BL99" s="60">
        <f t="shared" si="655"/>
        <v>2.3221700000000001E-3</v>
      </c>
      <c r="BM99" s="60">
        <f t="shared" si="655"/>
        <v>2.1367399999999998E-3</v>
      </c>
      <c r="BN99" s="60">
        <f t="shared" si="655"/>
        <v>2.2512299999999999E-3</v>
      </c>
      <c r="BO99" s="60">
        <f t="shared" si="655"/>
        <v>2.2427200000000001E-3</v>
      </c>
      <c r="BP99" s="60">
        <f t="shared" si="655"/>
        <v>2.01659E-3</v>
      </c>
      <c r="BQ99" s="60">
        <f>IF(BQ98="","",BQ9)</f>
        <v>1.3954900000000001E-3</v>
      </c>
      <c r="BR99" s="60">
        <f>IF(BR98="","",BR9)</f>
        <v>2.0509899999999999E-3</v>
      </c>
      <c r="BS99" s="60">
        <f>IF(BS98="","",BS9)</f>
        <v>1.9323299999999999E-3</v>
      </c>
      <c r="BT99" s="60">
        <f t="shared" ref="BT99" si="656">IF(BT98="","",BT9)</f>
        <v>1.5E-3</v>
      </c>
      <c r="BU99" s="60">
        <f t="shared" ref="BU99:BW99" si="657">IF(BU98="","",BU9)</f>
        <v>1.5E-3</v>
      </c>
      <c r="BV99" s="60">
        <f t="shared" si="657"/>
        <v>1.5E-3</v>
      </c>
      <c r="BW99" s="60">
        <f t="shared" si="657"/>
        <v>1.5E-3</v>
      </c>
    </row>
    <row r="100" spans="1:78" x14ac:dyDescent="0.3">
      <c r="A100" s="257"/>
      <c r="B100" s="55" t="s">
        <v>45</v>
      </c>
      <c r="C100" s="41"/>
      <c r="D100" s="41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 t="str">
        <f>IF(OR(O99="",O98=""),"",(O98*O99)/12)</f>
        <v/>
      </c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9">
        <f>IF(OR(AW99="",AW98="",AV92=""),"",((AV92+AW98)*AW99)/12)</f>
        <v>-271.38220009347702</v>
      </c>
      <c r="AX100" s="10">
        <f>IF(OR(AX99="",AX98="",AW103=""),"",((AW103+AX98)*AX99)/12)</f>
        <v>78.563232523370615</v>
      </c>
      <c r="AY100" s="10">
        <f t="shared" ref="AY100:BW100" si="658">IF(OR(AY99="",AY98="",AX103=""),"",((AX103+AY98)*AY99)/12)</f>
        <v>422.43939129645418</v>
      </c>
      <c r="AZ100" s="10">
        <f t="shared" si="658"/>
        <v>1787.7190826348981</v>
      </c>
      <c r="BA100" s="10">
        <f t="shared" si="658"/>
        <v>1957.5222338661708</v>
      </c>
      <c r="BB100" s="10">
        <f t="shared" si="658"/>
        <v>1242.5076669986888</v>
      </c>
      <c r="BC100" s="10">
        <f t="shared" si="658"/>
        <v>221.50481223246791</v>
      </c>
      <c r="BD100" s="10">
        <f t="shared" si="658"/>
        <v>231.24011278229204</v>
      </c>
      <c r="BE100" s="10">
        <f t="shared" si="658"/>
        <v>308.19064349011495</v>
      </c>
      <c r="BF100" s="10">
        <f t="shared" si="658"/>
        <v>190.46313750146206</v>
      </c>
      <c r="BG100" s="10">
        <f t="shared" si="658"/>
        <v>160.17725460369556</v>
      </c>
      <c r="BH100" s="10">
        <f t="shared" si="658"/>
        <v>315.18277568850709</v>
      </c>
      <c r="BI100" s="10">
        <f t="shared" si="658"/>
        <v>463.49378933312983</v>
      </c>
      <c r="BJ100" s="10">
        <f t="shared" si="658"/>
        <v>527.2800223914802</v>
      </c>
      <c r="BK100" s="10">
        <f t="shared" si="658"/>
        <v>327.94932930312461</v>
      </c>
      <c r="BL100" s="10">
        <f t="shared" si="658"/>
        <v>294.35548459647464</v>
      </c>
      <c r="BM100" s="10">
        <f t="shared" si="658"/>
        <v>275.51990421445703</v>
      </c>
      <c r="BN100" s="10">
        <f t="shared" si="658"/>
        <v>355.94428578825523</v>
      </c>
      <c r="BO100" s="10">
        <f t="shared" si="658"/>
        <v>423.97177199164474</v>
      </c>
      <c r="BP100" s="10">
        <f>IF(OR(BP99="",BP98="",BO103=""),"",((BO103+BP98)*BP99)/12)</f>
        <v>403.97987039391887</v>
      </c>
      <c r="BQ100" s="10">
        <f>IF(OR(BQ99="",BQ98="",BP103=""),"",((BP103+BQ98)*BQ99)/12)</f>
        <v>244.27217330835308</v>
      </c>
      <c r="BR100" s="10">
        <f>IF(OR(BR99="",BR98="",BQ103=""),"",((BQ103+BR98)*BR99)/12)</f>
        <v>309.90952577782758</v>
      </c>
      <c r="BS100" s="10">
        <f>IF(OR(BS99="",BS98="",BR103=""),"",((BR103+BS98)*BS99)/12)</f>
        <v>243.89576815717837</v>
      </c>
      <c r="BT100" s="10">
        <f t="shared" ref="BT100" si="659">IF(OR(BT99="",BT98="",BS103=""),"",((BS103+BT98)*BT99)/12)</f>
        <v>206.34603746269383</v>
      </c>
      <c r="BU100" s="116">
        <f t="shared" si="658"/>
        <v>242.75582729600384</v>
      </c>
      <c r="BV100" s="116">
        <f t="shared" si="658"/>
        <v>238.18579820263801</v>
      </c>
      <c r="BW100" s="116">
        <f t="shared" si="658"/>
        <v>-42.171325980845204</v>
      </c>
    </row>
    <row r="101" spans="1:78" x14ac:dyDescent="0.3">
      <c r="A101" s="257"/>
      <c r="B101" s="56" t="s">
        <v>6</v>
      </c>
      <c r="C101" s="41"/>
      <c r="D101" s="41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 t="str">
        <f>O100</f>
        <v/>
      </c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9">
        <f>IF(OR(AV90="",AW100=""),"",AV90+AW100)</f>
        <v>-38929.715176015336</v>
      </c>
      <c r="AX101" s="10">
        <f>IF(OR(AW101="",AX100=""),"",AW101+AX100)</f>
        <v>-38851.151943491968</v>
      </c>
      <c r="AY101" s="10">
        <f t="shared" ref="AY101:BW101" si="660">IF(OR(AX101="",AY100=""),"",AX101+AY100)</f>
        <v>-38428.712552195517</v>
      </c>
      <c r="AZ101" s="10">
        <f t="shared" si="660"/>
        <v>-36640.993469560621</v>
      </c>
      <c r="BA101" s="10">
        <f t="shared" si="660"/>
        <v>-34683.471235694451</v>
      </c>
      <c r="BB101" s="10">
        <f t="shared" si="660"/>
        <v>-33440.963568695763</v>
      </c>
      <c r="BC101" s="10">
        <f t="shared" si="660"/>
        <v>-33219.458756463297</v>
      </c>
      <c r="BD101" s="10">
        <f t="shared" si="660"/>
        <v>-32988.218643681008</v>
      </c>
      <c r="BE101" s="10">
        <f t="shared" si="660"/>
        <v>-32680.028000190894</v>
      </c>
      <c r="BF101" s="10">
        <f t="shared" si="660"/>
        <v>-32489.564862689433</v>
      </c>
      <c r="BG101" s="10">
        <f t="shared" si="660"/>
        <v>-32329.387608085737</v>
      </c>
      <c r="BH101" s="10">
        <f t="shared" si="660"/>
        <v>-32014.20483239723</v>
      </c>
      <c r="BI101" s="10">
        <f t="shared" si="660"/>
        <v>-31550.711043064101</v>
      </c>
      <c r="BJ101" s="10">
        <f t="shared" si="660"/>
        <v>-31023.431020672619</v>
      </c>
      <c r="BK101" s="10">
        <f t="shared" si="660"/>
        <v>-30695.481691369496</v>
      </c>
      <c r="BL101" s="10">
        <f t="shared" si="660"/>
        <v>-30401.12620677302</v>
      </c>
      <c r="BM101" s="10">
        <f t="shared" si="660"/>
        <v>-30125.606302558564</v>
      </c>
      <c r="BN101" s="10">
        <f t="shared" si="660"/>
        <v>-29769.662016770308</v>
      </c>
      <c r="BO101" s="10">
        <f t="shared" si="660"/>
        <v>-29345.690244778663</v>
      </c>
      <c r="BP101" s="10">
        <f t="shared" si="660"/>
        <v>-28941.710374384744</v>
      </c>
      <c r="BQ101" s="10">
        <f>IF(OR(BP101="",BQ100=""),"",BP101+BQ100)</f>
        <v>-28697.438201076391</v>
      </c>
      <c r="BR101" s="10">
        <f>IF(OR(BQ101="",BR100=""),"",BQ101+BR100)</f>
        <v>-28387.528675298563</v>
      </c>
      <c r="BS101" s="10">
        <f>IF(OR(BR101="",BS100=""),"",BR101+BS100)</f>
        <v>-28143.632907141386</v>
      </c>
      <c r="BT101" s="10">
        <f t="shared" ref="BT101" si="661">IF(OR(BS101="",BT100=""),"",BS101+BT100)</f>
        <v>-27937.286869678694</v>
      </c>
      <c r="BU101" s="10">
        <f t="shared" si="660"/>
        <v>-27694.531042382689</v>
      </c>
      <c r="BV101" s="10">
        <f t="shared" si="660"/>
        <v>-27456.345244180051</v>
      </c>
      <c r="BW101" s="10">
        <f t="shared" si="660"/>
        <v>-27498.516570160897</v>
      </c>
    </row>
    <row r="102" spans="1:78" x14ac:dyDescent="0.3">
      <c r="A102" s="257"/>
      <c r="B102" s="69" t="s">
        <v>71</v>
      </c>
      <c r="C102" s="41"/>
      <c r="D102" s="41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 t="str">
        <f>IF(OR(O100="",O98=""),"",O98+O100)</f>
        <v/>
      </c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9">
        <f>IF(OR(AW100="",AW98=""),"",AW98+AW100)</f>
        <v>246799.60997381964</v>
      </c>
      <c r="AX102" s="10">
        <f>IF(OR(AX100="",AX98=""),"",AX98+AX100)</f>
        <v>228903.58540643647</v>
      </c>
      <c r="AY102" s="10">
        <f t="shared" ref="AY102:BH102" si="662">IF(OR(AY100="",AY98=""),"",AY98+AY100)</f>
        <v>219465.16156520956</v>
      </c>
      <c r="AZ102" s="10">
        <f t="shared" si="662"/>
        <v>922463.95082176523</v>
      </c>
      <c r="BA102" s="10">
        <f t="shared" si="662"/>
        <v>54522.593972996357</v>
      </c>
      <c r="BB102" s="10">
        <f t="shared" si="662"/>
        <v>344270.02940612909</v>
      </c>
      <c r="BC102" s="10">
        <f t="shared" si="662"/>
        <v>469636.34655136289</v>
      </c>
      <c r="BD102" s="10">
        <f t="shared" si="662"/>
        <v>149324.77185191266</v>
      </c>
      <c r="BE102" s="10">
        <f t="shared" si="662"/>
        <v>-299027.17761737964</v>
      </c>
      <c r="BF102" s="10">
        <f t="shared" si="662"/>
        <v>-236409.69512336832</v>
      </c>
      <c r="BG102" s="10">
        <f t="shared" si="662"/>
        <v>-122236.23100626587</v>
      </c>
      <c r="BH102" s="10">
        <f t="shared" si="662"/>
        <v>340098.41451481887</v>
      </c>
      <c r="BI102" s="10">
        <f>IF(OR(BI100="",BI98=""),"",BI98+BI100)</f>
        <v>312283.05552846356</v>
      </c>
      <c r="BJ102" s="10">
        <f t="shared" ref="BJ102:BP102" si="663">IF(OR(BJ100="",BJ98=""),"",BJ98+BJ100)</f>
        <v>19306.041761521847</v>
      </c>
      <c r="BK102" s="10">
        <f t="shared" si="663"/>
        <v>-313576.71893156646</v>
      </c>
      <c r="BL102" s="10">
        <f t="shared" si="663"/>
        <v>-388024.24944293988</v>
      </c>
      <c r="BM102" s="10">
        <f t="shared" si="663"/>
        <v>26204.124976678086</v>
      </c>
      <c r="BN102" s="10">
        <f t="shared" si="663"/>
        <v>350084.16935825202</v>
      </c>
      <c r="BO102" s="10">
        <f t="shared" si="663"/>
        <v>371258.42684445536</v>
      </c>
      <c r="BP102" s="10">
        <f t="shared" si="663"/>
        <v>135395.84494285757</v>
      </c>
      <c r="BQ102" s="10">
        <f>IF(OR(BQ100="",BQ98=""),"",BQ98+BQ100)</f>
        <v>-303570.0727542282</v>
      </c>
      <c r="BR102" s="10">
        <f>IF(OR(BR100="",BR98=""),"",BR98+BR100)</f>
        <v>-287233.66540175868</v>
      </c>
      <c r="BS102" s="10">
        <f>IF(OR(BS100="",BS98=""),"",BS98+BS100)</f>
        <v>-298673.05915937922</v>
      </c>
      <c r="BT102" s="10">
        <f t="shared" ref="BT102" si="664">IF(OR(BT100="",BT98=""),"",BT98+BT100)</f>
        <v>136108.9111099263</v>
      </c>
      <c r="BU102" s="10">
        <f t="shared" ref="BU102:BW102" si="665">IF(OR(BU100="",BU98=""),"",BU98+BU100)</f>
        <v>291314.72845631343</v>
      </c>
      <c r="BV102" s="10">
        <f t="shared" si="665"/>
        <v>-36564.802776020253</v>
      </c>
      <c r="BW102" s="10">
        <f t="shared" si="665"/>
        <v>-2243137.3505920488</v>
      </c>
    </row>
    <row r="103" spans="1:78" x14ac:dyDescent="0.3">
      <c r="A103" s="257"/>
      <c r="B103" s="55" t="s">
        <v>72</v>
      </c>
      <c r="C103" s="41"/>
      <c r="D103" s="41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9">
        <f>IF(OR(AW102="",AV92=""),"",AV92+AW102)</f>
        <v>-179599.91343688645</v>
      </c>
      <c r="AX103" s="10">
        <f>IF(OR(AX102="",AW103=""),"",AW103+AX102)</f>
        <v>49303.671969550021</v>
      </c>
      <c r="AY103" s="10">
        <f t="shared" ref="AY103:BH103" si="666">IF(OR(AY102="",AX103=""),"",AX103+AY102)</f>
        <v>268768.83353475959</v>
      </c>
      <c r="AZ103" s="10">
        <f t="shared" si="666"/>
        <v>1191232.7843565247</v>
      </c>
      <c r="BA103" s="10">
        <f t="shared" si="666"/>
        <v>1245755.378329521</v>
      </c>
      <c r="BB103" s="10">
        <f t="shared" si="666"/>
        <v>1590025.4077356502</v>
      </c>
      <c r="BC103" s="10">
        <f t="shared" si="666"/>
        <v>2059661.7542870131</v>
      </c>
      <c r="BD103" s="10">
        <f t="shared" si="666"/>
        <v>2208986.5261389259</v>
      </c>
      <c r="BE103" s="10">
        <f t="shared" si="666"/>
        <v>1909959.3485215462</v>
      </c>
      <c r="BF103" s="10">
        <f t="shared" si="666"/>
        <v>1673549.6533981778</v>
      </c>
      <c r="BG103" s="10">
        <f t="shared" si="666"/>
        <v>1551313.422391912</v>
      </c>
      <c r="BH103" s="10">
        <f t="shared" si="666"/>
        <v>1891411.8369067309</v>
      </c>
      <c r="BI103" s="10">
        <f>IF(OR(BI102="",BH103=""),"",BH103+BI102)</f>
        <v>2203694.8924351945</v>
      </c>
      <c r="BJ103" s="10">
        <f t="shared" ref="BJ103:BW103" si="667">IF(OR(BJ102="",BI103=""),"",BI103+BJ102)</f>
        <v>2223000.9341967162</v>
      </c>
      <c r="BK103" s="10">
        <f t="shared" si="667"/>
        <v>1909424.2152651497</v>
      </c>
      <c r="BL103" s="10">
        <f t="shared" si="667"/>
        <v>1521399.9658222098</v>
      </c>
      <c r="BM103" s="10">
        <f t="shared" si="667"/>
        <v>1547604.0907988879</v>
      </c>
      <c r="BN103" s="10">
        <f t="shared" si="667"/>
        <v>1897688.26015714</v>
      </c>
      <c r="BO103" s="10">
        <f t="shared" si="667"/>
        <v>2268946.6870015953</v>
      </c>
      <c r="BP103" s="10">
        <f t="shared" si="667"/>
        <v>2404342.5319444528</v>
      </c>
      <c r="BQ103" s="10">
        <f>IF(OR(BQ102="",BP103=""),"",BP103+BQ102)</f>
        <v>2100772.4591902248</v>
      </c>
      <c r="BR103" s="10">
        <f>IF(OR(BR102="",BQ103=""),"",BQ103+BR102)</f>
        <v>1813538.7937884661</v>
      </c>
      <c r="BS103" s="10">
        <f>IF(OR(BS102="",BR103=""),"",BR103+BS102)</f>
        <v>1514865.7346290869</v>
      </c>
      <c r="BT103" s="10">
        <f t="shared" ref="BT103" si="668">IF(OR(BT102="",BS103=""),"",BS103+BT102)</f>
        <v>1650974.6457390133</v>
      </c>
      <c r="BU103" s="10">
        <f t="shared" si="667"/>
        <v>1942289.3741953268</v>
      </c>
      <c r="BV103" s="10">
        <f t="shared" si="667"/>
        <v>1905724.5714193066</v>
      </c>
      <c r="BW103" s="10">
        <f t="shared" si="667"/>
        <v>-337412.77917274227</v>
      </c>
    </row>
    <row r="104" spans="1:78" x14ac:dyDescent="0.3">
      <c r="A104" s="257"/>
      <c r="B104" s="57" t="s">
        <v>73</v>
      </c>
      <c r="C104" s="41"/>
      <c r="D104" s="41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 t="str">
        <f t="shared" ref="P104" si="669">IF(P97="","",O104-P97+P100)</f>
        <v/>
      </c>
      <c r="Q104" s="10" t="str">
        <f t="shared" ref="Q104" si="670">IF(Q97="","",P104-Q97+Q100)</f>
        <v/>
      </c>
      <c r="R104" s="10" t="str">
        <f t="shared" ref="R104" si="671">IF(R97="","",Q104-R97+R100)</f>
        <v/>
      </c>
      <c r="S104" s="10" t="str">
        <f t="shared" ref="S104" si="672">IF(S97="","",R104-S97+S100)</f>
        <v/>
      </c>
      <c r="T104" s="10" t="str">
        <f t="shared" ref="T104" si="673">IF(T97="","",S104-T97+T100)</f>
        <v/>
      </c>
      <c r="U104" s="10" t="str">
        <f t="shared" ref="U104" si="674">IF(U97="","",T104-U97+U100)</f>
        <v/>
      </c>
      <c r="V104" s="10" t="str">
        <f t="shared" ref="V104" si="675">IF(V97="","",U104-V97+V100)</f>
        <v/>
      </c>
      <c r="W104" s="10" t="str">
        <f t="shared" ref="W104" si="676">IF(W97="","",V104-W97+W100)</f>
        <v/>
      </c>
      <c r="X104" s="10" t="str">
        <f t="shared" ref="X104" si="677">IF(X97="","",W104-X97+X100)</f>
        <v/>
      </c>
      <c r="Y104" s="10" t="str">
        <f t="shared" ref="Y104" si="678">IF(Y97="","",X104-Y97+Y100)</f>
        <v/>
      </c>
      <c r="Z104" s="10" t="str">
        <f t="shared" ref="Z104" si="679">IF(Z97="","",Y104-Z97+Z100)</f>
        <v/>
      </c>
      <c r="AA104" s="10" t="str">
        <f t="shared" ref="AA104" si="680">IF(AA97="","",Z104-AA97+AA100)</f>
        <v/>
      </c>
      <c r="AB104" s="10" t="str">
        <f t="shared" ref="AB104" si="681">IF(AB97="","",AA104-AB97+AB100)</f>
        <v/>
      </c>
      <c r="AC104" s="10">
        <v>4662492</v>
      </c>
      <c r="AD104" s="10">
        <f>IF(AD97="","",AC104-AD97+AD100)</f>
        <v>4662492</v>
      </c>
      <c r="AE104" s="10">
        <f t="shared" ref="AE104" si="682">IF(AE97="","",AD104-AE97+AE100)</f>
        <v>4662492</v>
      </c>
      <c r="AF104" s="10">
        <f t="shared" ref="AF104" si="683">IF(AF97="","",AE104-AF97+AF100)</f>
        <v>4662492</v>
      </c>
      <c r="AG104" s="10">
        <f t="shared" ref="AG104" si="684">IF(AG97="","",AF104-AG97+AG100)</f>
        <v>4662492</v>
      </c>
      <c r="AH104" s="10">
        <f t="shared" ref="AH104" si="685">IF(AH97="","",AG104-AH97+AH100)</f>
        <v>4662492</v>
      </c>
      <c r="AI104" s="10">
        <f t="shared" ref="AI104" si="686">IF(AI97="","",AH104-AI97+AI100)</f>
        <v>4662492</v>
      </c>
      <c r="AJ104" s="10">
        <f t="shared" ref="AJ104" si="687">IF(AJ97="","",AI104-AJ97+AJ100)</f>
        <v>4662492</v>
      </c>
      <c r="AK104" s="10">
        <f t="shared" ref="AK104" si="688">IF(AK97="","",AJ104-AK97+AK100)</f>
        <v>4662492</v>
      </c>
      <c r="AL104" s="10">
        <f>IF(AL97="","",AK104-AL97+AL100+AL95)</f>
        <v>10279277</v>
      </c>
      <c r="AM104" s="10">
        <f>IF(AM97="","",AL104-AM97+AM100+AM95)</f>
        <v>21493034</v>
      </c>
      <c r="AN104" s="10">
        <f>IF(AN97="","",AM104-AN97+AN100)</f>
        <v>21493034</v>
      </c>
      <c r="AO104" s="10">
        <f t="shared" ref="AO104" si="689">IF(AO97="","",AN104-AO97+AO100)</f>
        <v>21493034</v>
      </c>
      <c r="AP104" s="10">
        <f t="shared" ref="AP104" si="690">IF(AP97="","",AO104-AP97+AP100)</f>
        <v>21493034</v>
      </c>
      <c r="AQ104" s="10">
        <f t="shared" ref="AQ104" si="691">IF(AQ97="","",AP104-AQ97+AQ100)</f>
        <v>21493034</v>
      </c>
      <c r="AR104" s="10">
        <f t="shared" ref="AR104" si="692">IF(AR97="","",AQ104-AR97+AR100)</f>
        <v>21493034</v>
      </c>
      <c r="AS104" s="10">
        <f t="shared" ref="AS104" si="693">IF(AS97="","",AR104-AS97+AS100)</f>
        <v>21493034</v>
      </c>
      <c r="AT104" s="10">
        <f t="shared" ref="AT104" si="694">IF(AT97="","",AS104-AT97+AT100)</f>
        <v>21493034</v>
      </c>
      <c r="AU104" s="10">
        <f>IF(AU97="","",AT104-AU97+AU100+AU95)</f>
        <v>39212516</v>
      </c>
      <c r="AV104" s="10">
        <f t="shared" ref="AV104" si="695">IF(AV97="","",AU104-AV97+AV100)</f>
        <v>39212516</v>
      </c>
      <c r="AW104" s="10">
        <f>IF(AW97="","",AV104-AW97+AW100+AW95)</f>
        <v>44199814.084823981</v>
      </c>
      <c r="AX104" s="10">
        <f t="shared" ref="AX104" si="696">IF(AX97="","",AW104-AX97+AX100)</f>
        <v>44031263.978056505</v>
      </c>
      <c r="AY104" s="10">
        <f t="shared" ref="AY104" si="697">IF(AY97="","",AX104-AY97+AY100)</f>
        <v>43853275.447447807</v>
      </c>
      <c r="AZ104" s="10">
        <f t="shared" ref="AZ104" si="698">IF(AZ97="","",AY104-AZ97+AZ100)</f>
        <v>42880760.876530446</v>
      </c>
      <c r="BA104" s="10">
        <f t="shared" ref="BA104" si="699">IF(BA97="","",AZ104-BA97+BA100)</f>
        <v>41040304.948764309</v>
      </c>
      <c r="BB104" s="10">
        <f t="shared" ref="BB104" si="700">IF(BB97="","",BA104-BB97+BB100)</f>
        <v>39489596.456431307</v>
      </c>
      <c r="BC104" s="10">
        <f t="shared" ref="BC104" si="701">IF(BC97="","",BB104-BC97+BC100)</f>
        <v>38064254.28124354</v>
      </c>
      <c r="BD104" s="10">
        <f t="shared" ref="BD104" si="702">IF(BD97="","",BC104-BD97+BD100)</f>
        <v>36318600.53135632</v>
      </c>
      <c r="BE104" s="10">
        <f t="shared" ref="BE104" si="703">IF(BE97="","",BD104-BE97+BE100)</f>
        <v>34124594.831999809</v>
      </c>
      <c r="BF104" s="10">
        <f>IF(BF97="","",BE104-BF97+BF100+BF95)</f>
        <v>31298194.615137309</v>
      </c>
      <c r="BG104" s="10">
        <f t="shared" ref="BG104" si="704">IF(BG97="","",BF104-BG97+BG100)</f>
        <v>29280979.862391911</v>
      </c>
      <c r="BH104" s="10">
        <f t="shared" ref="BH104:BW104" si="705">IF(BH97="","",BG104-BH97+BH100)</f>
        <v>27726099.7551676</v>
      </c>
      <c r="BI104" s="10">
        <f t="shared" si="705"/>
        <v>26143404.288956933</v>
      </c>
      <c r="BJ104" s="10">
        <f t="shared" si="705"/>
        <v>24267731.808979321</v>
      </c>
      <c r="BK104" s="10">
        <f t="shared" si="705"/>
        <v>22059176.568308622</v>
      </c>
      <c r="BL104" s="10">
        <f t="shared" si="705"/>
        <v>19834091.463793218</v>
      </c>
      <c r="BM104" s="10">
        <f t="shared" si="705"/>
        <v>18023234.733697433</v>
      </c>
      <c r="BN104" s="10">
        <f t="shared" si="705"/>
        <v>16536258.047983222</v>
      </c>
      <c r="BO104" s="10">
        <f t="shared" si="705"/>
        <v>15070455.619755212</v>
      </c>
      <c r="BP104" s="10">
        <f t="shared" si="705"/>
        <v>13368790.609625606</v>
      </c>
      <c r="BQ104" s="10">
        <f>IF(BQ97="","",BP104-BQ97+BQ100)</f>
        <v>11228159.681798913</v>
      </c>
      <c r="BR104" s="10">
        <f>IF(BR97="","",BQ104-BR97+BR100+BR95)</f>
        <v>9084035.5232310575</v>
      </c>
      <c r="BS104" s="10">
        <f>IF(BS97="","",BR104-BS97+BS100)</f>
        <v>6948301.6089992141</v>
      </c>
      <c r="BT104" s="10">
        <f>IF(BT97="","",BS104-BT97+BT100)</f>
        <v>5247349.6650366765</v>
      </c>
      <c r="BU104" s="10">
        <f t="shared" si="705"/>
        <v>3701603.5384205263</v>
      </c>
      <c r="BV104" s="10">
        <f t="shared" si="705"/>
        <v>1827977.8805720424</v>
      </c>
      <c r="BW104" s="10">
        <f t="shared" si="705"/>
        <v>-357241.80335334007</v>
      </c>
    </row>
    <row r="105" spans="1:78" s="5" customFormat="1" ht="8.25" customHeight="1" x14ac:dyDescent="0.3">
      <c r="A105" s="44"/>
      <c r="B105" s="13"/>
      <c r="C105" s="13"/>
      <c r="D105" s="13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68"/>
      <c r="BM105" s="168"/>
      <c r="BN105" s="168"/>
      <c r="BO105" s="168"/>
      <c r="BP105" s="168"/>
      <c r="BQ105" s="168"/>
      <c r="BR105" s="168"/>
      <c r="BS105" s="168"/>
      <c r="BT105" s="168"/>
      <c r="BU105" s="168"/>
      <c r="BV105" s="168"/>
      <c r="BW105" s="168"/>
    </row>
    <row r="106" spans="1:78" x14ac:dyDescent="0.3">
      <c r="A106" s="40"/>
    </row>
    <row r="107" spans="1:78" x14ac:dyDescent="0.3">
      <c r="A107" s="40"/>
      <c r="O107" s="43"/>
      <c r="P107" s="43"/>
      <c r="Q107" s="43"/>
      <c r="R107" s="43"/>
    </row>
    <row r="108" spans="1:78" x14ac:dyDescent="0.3">
      <c r="A108" s="40"/>
      <c r="P108" s="43"/>
    </row>
    <row r="109" spans="1:78" x14ac:dyDescent="0.3">
      <c r="A109" s="40"/>
    </row>
    <row r="110" spans="1:78" x14ac:dyDescent="0.3">
      <c r="A110" s="40"/>
    </row>
    <row r="111" spans="1:78" x14ac:dyDescent="0.3">
      <c r="A111" s="40"/>
    </row>
    <row r="112" spans="1:78" x14ac:dyDescent="0.3">
      <c r="A112" s="40"/>
    </row>
    <row r="113" spans="1:1" x14ac:dyDescent="0.3">
      <c r="A113" s="40"/>
    </row>
    <row r="114" spans="1:1" x14ac:dyDescent="0.3">
      <c r="A114" s="40"/>
    </row>
    <row r="115" spans="1:1" x14ac:dyDescent="0.3">
      <c r="A115" s="40"/>
    </row>
    <row r="116" spans="1:1" x14ac:dyDescent="0.3">
      <c r="A116" s="40"/>
    </row>
    <row r="117" spans="1:1" x14ac:dyDescent="0.3">
      <c r="A117" s="40"/>
    </row>
    <row r="118" spans="1:1" x14ac:dyDescent="0.3">
      <c r="A118" s="40"/>
    </row>
    <row r="119" spans="1:1" x14ac:dyDescent="0.3">
      <c r="A119" s="40"/>
    </row>
    <row r="120" spans="1:1" x14ac:dyDescent="0.3">
      <c r="A120" s="40"/>
    </row>
    <row r="121" spans="1:1" x14ac:dyDescent="0.3">
      <c r="A121" s="40"/>
    </row>
    <row r="122" spans="1:1" x14ac:dyDescent="0.3">
      <c r="A122" s="40"/>
    </row>
    <row r="123" spans="1:1" x14ac:dyDescent="0.3">
      <c r="A123" s="40"/>
    </row>
    <row r="124" spans="1:1" x14ac:dyDescent="0.3">
      <c r="A124" s="40"/>
    </row>
    <row r="125" spans="1:1" x14ac:dyDescent="0.3">
      <c r="A125" s="40"/>
    </row>
    <row r="126" spans="1:1" x14ac:dyDescent="0.3">
      <c r="A126" s="40"/>
    </row>
    <row r="127" spans="1:1" x14ac:dyDescent="0.3">
      <c r="A127" s="40"/>
    </row>
    <row r="128" spans="1:1" x14ac:dyDescent="0.3">
      <c r="A128" s="40"/>
    </row>
    <row r="129" spans="1:1" x14ac:dyDescent="0.3">
      <c r="A129" s="40"/>
    </row>
    <row r="130" spans="1:1" x14ac:dyDescent="0.3">
      <c r="A130" s="40"/>
    </row>
    <row r="131" spans="1:1" x14ac:dyDescent="0.3">
      <c r="A131" s="40"/>
    </row>
    <row r="132" spans="1:1" x14ac:dyDescent="0.3">
      <c r="A132" s="40"/>
    </row>
    <row r="133" spans="1:1" x14ac:dyDescent="0.3">
      <c r="A133" s="40"/>
    </row>
    <row r="134" spans="1:1" x14ac:dyDescent="0.3">
      <c r="A134" s="40"/>
    </row>
    <row r="135" spans="1:1" x14ac:dyDescent="0.3">
      <c r="A135" s="40"/>
    </row>
    <row r="136" spans="1:1" x14ac:dyDescent="0.3">
      <c r="A136" s="40"/>
    </row>
    <row r="137" spans="1:1" x14ac:dyDescent="0.3">
      <c r="A137" s="40"/>
    </row>
    <row r="138" spans="1:1" x14ac:dyDescent="0.3">
      <c r="A138" s="40"/>
    </row>
    <row r="139" spans="1:1" x14ac:dyDescent="0.3">
      <c r="A139" s="40"/>
    </row>
    <row r="140" spans="1:1" x14ac:dyDescent="0.3">
      <c r="A140" s="40"/>
    </row>
    <row r="141" spans="1:1" x14ac:dyDescent="0.3">
      <c r="A141" s="40"/>
    </row>
    <row r="142" spans="1:1" x14ac:dyDescent="0.3">
      <c r="A142" s="40"/>
    </row>
    <row r="143" spans="1:1" x14ac:dyDescent="0.3">
      <c r="A143" s="40"/>
    </row>
    <row r="144" spans="1:1" x14ac:dyDescent="0.3">
      <c r="A144" s="40"/>
    </row>
    <row r="145" spans="1:1" x14ac:dyDescent="0.3">
      <c r="A145" s="40"/>
    </row>
    <row r="146" spans="1:1" x14ac:dyDescent="0.3">
      <c r="A146" s="40"/>
    </row>
    <row r="147" spans="1:1" x14ac:dyDescent="0.3">
      <c r="A147" s="40"/>
    </row>
    <row r="148" spans="1:1" x14ac:dyDescent="0.3">
      <c r="A148" s="40"/>
    </row>
    <row r="149" spans="1:1" x14ac:dyDescent="0.3">
      <c r="A149" s="40"/>
    </row>
    <row r="150" spans="1:1" x14ac:dyDescent="0.3">
      <c r="A150" s="40"/>
    </row>
    <row r="151" spans="1:1" x14ac:dyDescent="0.3">
      <c r="A151" s="40"/>
    </row>
    <row r="152" spans="1:1" x14ac:dyDescent="0.3">
      <c r="A152" s="40"/>
    </row>
    <row r="153" spans="1:1" x14ac:dyDescent="0.3">
      <c r="A153" s="40"/>
    </row>
    <row r="154" spans="1:1" x14ac:dyDescent="0.3">
      <c r="A154" s="40"/>
    </row>
    <row r="155" spans="1:1" x14ac:dyDescent="0.3">
      <c r="A155" s="40"/>
    </row>
    <row r="156" spans="1:1" x14ac:dyDescent="0.3">
      <c r="A156" s="40"/>
    </row>
    <row r="157" spans="1:1" x14ac:dyDescent="0.3">
      <c r="A157" s="40"/>
    </row>
    <row r="158" spans="1:1" x14ac:dyDescent="0.3">
      <c r="A158" s="40"/>
    </row>
    <row r="159" spans="1:1" x14ac:dyDescent="0.3">
      <c r="A159" s="40"/>
    </row>
    <row r="160" spans="1:1" x14ac:dyDescent="0.3">
      <c r="A160" s="40"/>
    </row>
    <row r="161" spans="1:1" x14ac:dyDescent="0.3">
      <c r="A161" s="40"/>
    </row>
    <row r="162" spans="1:1" x14ac:dyDescent="0.3">
      <c r="A162" s="40"/>
    </row>
    <row r="163" spans="1:1" x14ac:dyDescent="0.3">
      <c r="A163" s="40"/>
    </row>
    <row r="164" spans="1:1" x14ac:dyDescent="0.3">
      <c r="A164" s="40"/>
    </row>
    <row r="165" spans="1:1" x14ac:dyDescent="0.3">
      <c r="A165" s="40"/>
    </row>
    <row r="166" spans="1:1" x14ac:dyDescent="0.3">
      <c r="A166" s="40"/>
    </row>
    <row r="167" spans="1:1" x14ac:dyDescent="0.3">
      <c r="A167" s="40"/>
    </row>
    <row r="168" spans="1:1" x14ac:dyDescent="0.3">
      <c r="A168" s="40"/>
    </row>
    <row r="169" spans="1:1" x14ac:dyDescent="0.3">
      <c r="A169" s="40"/>
    </row>
    <row r="170" spans="1:1" x14ac:dyDescent="0.3">
      <c r="A170" s="40"/>
    </row>
    <row r="171" spans="1:1" x14ac:dyDescent="0.3">
      <c r="A171" s="40"/>
    </row>
    <row r="172" spans="1:1" x14ac:dyDescent="0.3">
      <c r="A172" s="40"/>
    </row>
    <row r="173" spans="1:1" x14ac:dyDescent="0.3">
      <c r="A173" s="40"/>
    </row>
    <row r="174" spans="1:1" x14ac:dyDescent="0.3">
      <c r="A174" s="40"/>
    </row>
    <row r="175" spans="1:1" x14ac:dyDescent="0.3">
      <c r="A175" s="40"/>
    </row>
    <row r="176" spans="1:1" x14ac:dyDescent="0.3">
      <c r="A176" s="40"/>
    </row>
    <row r="177" spans="1:1" x14ac:dyDescent="0.3">
      <c r="A177" s="40"/>
    </row>
    <row r="178" spans="1:1" x14ac:dyDescent="0.3">
      <c r="A178" s="40"/>
    </row>
    <row r="179" spans="1:1" x14ac:dyDescent="0.3">
      <c r="A179" s="40"/>
    </row>
    <row r="180" spans="1:1" x14ac:dyDescent="0.3">
      <c r="A180" s="40"/>
    </row>
    <row r="181" spans="1:1" x14ac:dyDescent="0.3">
      <c r="A181" s="40"/>
    </row>
    <row r="182" spans="1:1" x14ac:dyDescent="0.3">
      <c r="A182" s="40"/>
    </row>
    <row r="183" spans="1:1" x14ac:dyDescent="0.3">
      <c r="A183" s="40"/>
    </row>
    <row r="184" spans="1:1" x14ac:dyDescent="0.3">
      <c r="A184" s="40"/>
    </row>
  </sheetData>
  <mergeCells count="10">
    <mergeCell ref="A95:A104"/>
    <mergeCell ref="A56:A64"/>
    <mergeCell ref="A66:A74"/>
    <mergeCell ref="A5:A13"/>
    <mergeCell ref="A15:A24"/>
    <mergeCell ref="A26:A34"/>
    <mergeCell ref="A36:A44"/>
    <mergeCell ref="A46:A54"/>
    <mergeCell ref="A76:A82"/>
    <mergeCell ref="A84:A93"/>
  </mergeCells>
  <printOptions headings="1"/>
  <pageMargins left="0.2" right="0.2" top="0.5" bottom="0.5" header="0.3" footer="0.3"/>
  <pageSetup scale="11" orientation="portrait" cellComments="asDisplayed" r:id="rId1"/>
  <headerFooter>
    <oddHeader>&amp;C&amp;A</oddHead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BZ169"/>
  <sheetViews>
    <sheetView topLeftCell="AS1" zoomScale="85" zoomScaleNormal="85" zoomScaleSheetLayoutView="80" workbookViewId="0">
      <selection activeCell="R48" sqref="R48"/>
    </sheetView>
  </sheetViews>
  <sheetFormatPr defaultColWidth="9.109375" defaultRowHeight="15" customHeight="1" zeroHeight="1" x14ac:dyDescent="0.3"/>
  <cols>
    <col min="1" max="1" width="3.109375" style="1" customWidth="1"/>
    <col min="2" max="2" width="50" style="40" customWidth="1"/>
    <col min="3" max="4" width="10.6640625" style="40" bestFit="1" customWidth="1"/>
    <col min="5" max="6" width="10.6640625" style="40" customWidth="1"/>
    <col min="7" max="9" width="12.6640625" style="40" customWidth="1"/>
    <col min="10" max="21" width="14.33203125" style="40" customWidth="1"/>
    <col min="22" max="40" width="15.33203125" style="40" customWidth="1"/>
    <col min="41" max="44" width="15.33203125" style="40" bestFit="1" customWidth="1"/>
    <col min="45" max="45" width="14.33203125" style="40" customWidth="1"/>
    <col min="46" max="46" width="12.109375" style="40" customWidth="1"/>
    <col min="47" max="47" width="9.109375" style="40"/>
    <col min="48" max="48" width="9.109375" style="235"/>
    <col min="49" max="49" width="9.109375" style="40"/>
    <col min="50" max="50" width="48.109375" style="40" bestFit="1" customWidth="1"/>
    <col min="51" max="51" width="13.5546875" style="40" bestFit="1" customWidth="1"/>
    <col min="52" max="52" width="12.6640625" style="40" bestFit="1" customWidth="1"/>
    <col min="53" max="55" width="11.88671875" style="40" bestFit="1" customWidth="1"/>
    <col min="56" max="56" width="12.6640625" style="40" bestFit="1" customWidth="1"/>
    <col min="57" max="57" width="13.5546875" style="40" bestFit="1" customWidth="1"/>
    <col min="58" max="65" width="11.88671875" style="40" bestFit="1" customWidth="1"/>
    <col min="66" max="66" width="12.6640625" style="40" bestFit="1" customWidth="1"/>
    <col min="67" max="67" width="15.6640625" style="40" customWidth="1"/>
    <col min="68" max="68" width="11.88671875" style="40" bestFit="1" customWidth="1"/>
    <col min="69" max="69" width="12.6640625" style="40" bestFit="1" customWidth="1"/>
    <col min="70" max="70" width="16.33203125" style="40" bestFit="1" customWidth="1"/>
    <col min="71" max="76" width="11.88671875" style="40" bestFit="1" customWidth="1"/>
    <col min="77" max="77" width="15.5546875" style="40" bestFit="1" customWidth="1"/>
    <col min="78" max="16384" width="9.109375" style="40"/>
  </cols>
  <sheetData>
    <row r="1" spans="1:78" s="2" customFormat="1" ht="15.6" x14ac:dyDescent="0.3">
      <c r="A1" s="50" t="s">
        <v>1</v>
      </c>
      <c r="AV1" s="235"/>
      <c r="AW1" s="50" t="s">
        <v>1</v>
      </c>
      <c r="AY1" s="84" t="s">
        <v>91</v>
      </c>
      <c r="AZ1" s="84"/>
      <c r="BN1" s="182">
        <f>BN2-BN3</f>
        <v>-3273.9799999967217</v>
      </c>
      <c r="BO1" s="183" t="s">
        <v>92</v>
      </c>
      <c r="BQ1" s="181"/>
      <c r="BU1" s="181"/>
    </row>
    <row r="2" spans="1:78" ht="15.6" x14ac:dyDescent="0.3">
      <c r="A2" s="50" t="s">
        <v>60</v>
      </c>
      <c r="B2" s="36"/>
      <c r="C2" s="36"/>
      <c r="D2" s="36"/>
      <c r="AW2" s="50" t="s">
        <v>7</v>
      </c>
      <c r="AX2" s="36"/>
      <c r="AY2" s="84" t="s">
        <v>93</v>
      </c>
      <c r="AZ2" s="84"/>
      <c r="BN2" s="43">
        <f>SUM(AZ6:BR6)</f>
        <v>9828949.7200000025</v>
      </c>
      <c r="BO2" s="40" t="s">
        <v>94</v>
      </c>
      <c r="BP2" s="43"/>
      <c r="BQ2" s="43"/>
      <c r="BU2" s="43"/>
    </row>
    <row r="3" spans="1:78" ht="15.6" x14ac:dyDescent="0.3">
      <c r="A3" s="50"/>
      <c r="B3" s="36"/>
      <c r="C3" s="36"/>
      <c r="D3" s="36"/>
      <c r="AW3" s="6"/>
      <c r="BN3" s="43">
        <f>SUM('MEEIA 2 calcs'!AO6:BG6)</f>
        <v>9832223.6999999993</v>
      </c>
      <c r="BO3" s="40" t="s">
        <v>95</v>
      </c>
      <c r="BQ3" s="43"/>
    </row>
    <row r="4" spans="1:78" ht="14.4" x14ac:dyDescent="0.3">
      <c r="A4" s="84" t="s">
        <v>64</v>
      </c>
      <c r="AW4" s="6"/>
      <c r="AY4" s="12">
        <v>43497</v>
      </c>
      <c r="AZ4" s="12">
        <v>43525</v>
      </c>
      <c r="BA4" s="12">
        <v>43556</v>
      </c>
      <c r="BB4" s="12">
        <v>43586</v>
      </c>
      <c r="BC4" s="12">
        <v>43617</v>
      </c>
      <c r="BD4" s="12">
        <v>43647</v>
      </c>
      <c r="BE4" s="12">
        <v>43678</v>
      </c>
      <c r="BF4" s="12">
        <v>43709</v>
      </c>
      <c r="BG4" s="12">
        <v>43739</v>
      </c>
      <c r="BH4" s="12">
        <v>43770</v>
      </c>
      <c r="BI4" s="12">
        <v>43800</v>
      </c>
      <c r="BJ4" s="12">
        <v>43831</v>
      </c>
      <c r="BK4" s="12">
        <v>43862</v>
      </c>
      <c r="BL4" s="12">
        <v>43891</v>
      </c>
      <c r="BM4" s="12">
        <v>43922</v>
      </c>
      <c r="BN4" s="12">
        <v>43952</v>
      </c>
      <c r="BO4" s="12">
        <v>43983</v>
      </c>
      <c r="BP4" s="12">
        <v>44013</v>
      </c>
      <c r="BQ4" s="12">
        <v>44044</v>
      </c>
      <c r="BR4" s="12">
        <v>44075</v>
      </c>
      <c r="BS4" s="12">
        <v>44105</v>
      </c>
      <c r="BT4" s="12">
        <v>44136</v>
      </c>
      <c r="BU4" s="12">
        <v>44166</v>
      </c>
      <c r="BV4" s="12">
        <v>44197</v>
      </c>
      <c r="BW4" s="12">
        <v>44228</v>
      </c>
      <c r="BX4" s="12">
        <v>44256</v>
      </c>
    </row>
    <row r="5" spans="1:78" ht="14.4" x14ac:dyDescent="0.3">
      <c r="A5" s="6"/>
      <c r="C5" s="12">
        <v>42614</v>
      </c>
      <c r="D5" s="12">
        <v>42644</v>
      </c>
      <c r="E5" s="12">
        <v>42675</v>
      </c>
      <c r="F5" s="12">
        <v>42705</v>
      </c>
      <c r="G5" s="12">
        <v>42736</v>
      </c>
      <c r="H5" s="12">
        <v>42767</v>
      </c>
      <c r="I5" s="12">
        <v>42795</v>
      </c>
      <c r="J5" s="12">
        <v>42826</v>
      </c>
      <c r="K5" s="12">
        <v>42856</v>
      </c>
      <c r="L5" s="12">
        <v>42887</v>
      </c>
      <c r="M5" s="12">
        <v>42917</v>
      </c>
      <c r="N5" s="12">
        <v>42948</v>
      </c>
      <c r="O5" s="12">
        <v>42979</v>
      </c>
      <c r="P5" s="12">
        <v>43009</v>
      </c>
      <c r="Q5" s="12">
        <v>43040</v>
      </c>
      <c r="AW5" s="258" t="s">
        <v>0</v>
      </c>
      <c r="AX5" s="7"/>
      <c r="AY5" s="189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</row>
    <row r="6" spans="1:78" s="2" customFormat="1" ht="14.4" x14ac:dyDescent="0.3">
      <c r="A6" s="258" t="s">
        <v>0</v>
      </c>
      <c r="B6" s="7"/>
      <c r="C6" s="31"/>
      <c r="D6" s="31"/>
      <c r="E6" s="31"/>
      <c r="F6" s="31"/>
      <c r="G6" s="31"/>
      <c r="H6" s="9"/>
      <c r="I6" s="31"/>
      <c r="J6" s="31"/>
      <c r="K6" s="31"/>
      <c r="L6" s="31"/>
      <c r="M6" s="31"/>
      <c r="N6" s="31"/>
      <c r="O6" s="31"/>
      <c r="P6" s="31"/>
      <c r="Q6" s="31"/>
      <c r="AV6" s="235"/>
      <c r="AW6" s="258"/>
      <c r="AX6" s="7" t="s">
        <v>9</v>
      </c>
      <c r="AY6" s="240">
        <v>9564900.9000000004</v>
      </c>
      <c r="AZ6" s="240">
        <v>7004423.3000000007</v>
      </c>
      <c r="BA6" s="149">
        <v>193976.29</v>
      </c>
      <c r="BB6" s="149">
        <v>258711.14</v>
      </c>
      <c r="BC6" s="149">
        <v>209760.13</v>
      </c>
      <c r="BD6" s="149">
        <v>1180880.3099999998</v>
      </c>
      <c r="BE6" s="149">
        <v>-1350623.74</v>
      </c>
      <c r="BF6" s="149">
        <v>87350.23</v>
      </c>
      <c r="BG6" s="23">
        <v>459064.35</v>
      </c>
      <c r="BH6" s="149">
        <v>41006.9</v>
      </c>
      <c r="BI6" s="149">
        <v>158880.82</v>
      </c>
      <c r="BJ6" s="149">
        <v>83121.37999999999</v>
      </c>
      <c r="BK6" s="149">
        <v>138134.42000000001</v>
      </c>
      <c r="BL6" s="23">
        <v>209941.13000000003</v>
      </c>
      <c r="BM6" s="23">
        <v>-1300.0800000000563</v>
      </c>
      <c r="BN6" s="23">
        <v>14255.75</v>
      </c>
      <c r="BO6" s="149">
        <v>253636.05</v>
      </c>
      <c r="BP6" s="23">
        <v>60801.639999999985</v>
      </c>
      <c r="BQ6" s="23">
        <v>700403.20000000019</v>
      </c>
      <c r="BR6" s="23">
        <v>126526.49999999997</v>
      </c>
      <c r="BS6" s="23">
        <v>21848.7</v>
      </c>
      <c r="BT6" s="23">
        <v>5996.8600000000006</v>
      </c>
      <c r="BU6" s="23">
        <v>-279762.15999999992</v>
      </c>
      <c r="BV6" s="23">
        <v>95606.290000000008</v>
      </c>
      <c r="BW6" s="23">
        <v>153442.74</v>
      </c>
      <c r="BX6" s="23">
        <v>225.28000000000486</v>
      </c>
    </row>
    <row r="7" spans="1:78" s="4" customFormat="1" ht="15" customHeight="1" x14ac:dyDescent="0.3">
      <c r="A7" s="258"/>
      <c r="B7" s="7" t="s">
        <v>9</v>
      </c>
      <c r="C7" s="23">
        <v>0</v>
      </c>
      <c r="D7" s="23">
        <v>0</v>
      </c>
      <c r="E7" s="23">
        <v>0</v>
      </c>
      <c r="F7" s="23">
        <v>0</v>
      </c>
      <c r="G7" s="23">
        <v>-189515</v>
      </c>
      <c r="H7" s="24">
        <v>-1872.22</v>
      </c>
      <c r="I7" s="24">
        <v>0</v>
      </c>
      <c r="J7" s="23">
        <v>0</v>
      </c>
      <c r="K7" s="23">
        <v>0</v>
      </c>
      <c r="L7" s="24">
        <f>-98663.75-98663.75-1872.22-1872.22</f>
        <v>-201071.94</v>
      </c>
      <c r="M7" s="23">
        <v>0</v>
      </c>
      <c r="N7" s="23">
        <v>0</v>
      </c>
      <c r="O7" s="23">
        <v>0</v>
      </c>
      <c r="P7" s="23">
        <v>0</v>
      </c>
      <c r="Q7" s="23">
        <f>-SUM(G7:P7)</f>
        <v>392459.16000000003</v>
      </c>
      <c r="AV7" s="236"/>
      <c r="AW7" s="258"/>
      <c r="AX7" s="7" t="s">
        <v>10</v>
      </c>
      <c r="AY7" s="241">
        <v>111085.01</v>
      </c>
      <c r="AZ7" s="241">
        <v>-36362.01</v>
      </c>
      <c r="BA7" s="24">
        <v>124962.2</v>
      </c>
      <c r="BB7" s="24">
        <v>216142.69</v>
      </c>
      <c r="BC7" s="24">
        <v>164533.09</v>
      </c>
      <c r="BD7" s="24">
        <v>52414.7</v>
      </c>
      <c r="BE7" s="24">
        <v>41132.15</v>
      </c>
      <c r="BF7" s="24">
        <v>99790.34</v>
      </c>
      <c r="BG7" s="23">
        <v>162041.60999999999</v>
      </c>
      <c r="BH7" s="24">
        <v>143971.22</v>
      </c>
      <c r="BI7" s="24">
        <v>8571.3799999999992</v>
      </c>
      <c r="BJ7" s="24">
        <v>-35370.6</v>
      </c>
      <c r="BK7" s="24">
        <v>118298.99</v>
      </c>
      <c r="BL7" s="24">
        <v>171428.03</v>
      </c>
      <c r="BM7" s="24">
        <v>133296.92000000001</v>
      </c>
      <c r="BN7" s="24">
        <v>117655.75</v>
      </c>
      <c r="BO7" s="24">
        <v>130053.22</v>
      </c>
      <c r="BP7" s="24">
        <v>209735.52</v>
      </c>
      <c r="BQ7" s="24">
        <v>197790.51</v>
      </c>
      <c r="BR7" s="24">
        <v>179959.96</v>
      </c>
      <c r="BS7" s="24">
        <v>125626.02</v>
      </c>
      <c r="BT7" s="24">
        <v>131893.51</v>
      </c>
      <c r="BU7" s="24">
        <v>171081.87</v>
      </c>
      <c r="BV7" s="24">
        <v>221573.25</v>
      </c>
      <c r="BW7" s="24">
        <v>139999.91</v>
      </c>
      <c r="BX7" s="24">
        <v>69598.7</v>
      </c>
    </row>
    <row r="8" spans="1:78" s="4" customFormat="1" ht="14.4" x14ac:dyDescent="0.3">
      <c r="A8" s="258"/>
      <c r="B8" s="7" t="s">
        <v>10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AV8" s="236"/>
      <c r="AW8" s="258"/>
      <c r="AX8" s="7" t="s">
        <v>11</v>
      </c>
      <c r="AY8" s="242">
        <v>9453815.8900000006</v>
      </c>
      <c r="AZ8" s="242">
        <f>IF(OR(AZ6="",AZ7=""),"",AZ6-AZ7)</f>
        <v>7040785.3100000005</v>
      </c>
      <c r="BA8" s="10">
        <f t="shared" ref="BA8:BI8" si="0">IF(OR(BA6="",BA7=""),"",BA6-BA7)</f>
        <v>69014.090000000011</v>
      </c>
      <c r="BB8" s="10">
        <f t="shared" si="0"/>
        <v>42568.450000000012</v>
      </c>
      <c r="BC8" s="10">
        <f t="shared" si="0"/>
        <v>45227.040000000008</v>
      </c>
      <c r="BD8" s="10">
        <f t="shared" si="0"/>
        <v>1128465.6099999999</v>
      </c>
      <c r="BE8" s="10">
        <f t="shared" si="0"/>
        <v>-1391755.89</v>
      </c>
      <c r="BF8" s="10">
        <f t="shared" si="0"/>
        <v>-12440.11</v>
      </c>
      <c r="BG8" s="10">
        <f t="shared" si="0"/>
        <v>297022.74</v>
      </c>
      <c r="BH8" s="10">
        <f t="shared" si="0"/>
        <v>-102964.32</v>
      </c>
      <c r="BI8" s="10">
        <f t="shared" si="0"/>
        <v>150309.44</v>
      </c>
      <c r="BJ8" s="10">
        <f>IF(OR(BJ6="",BJ7=""),"",BJ6-BJ7)</f>
        <v>118491.97999999998</v>
      </c>
      <c r="BK8" s="10">
        <f t="shared" ref="BK8:BX8" si="1">IF(OR(BK6="",BK7=""),"",BK6-BK7)</f>
        <v>19835.430000000008</v>
      </c>
      <c r="BL8" s="10">
        <f t="shared" si="1"/>
        <v>38513.100000000035</v>
      </c>
      <c r="BM8" s="10">
        <f t="shared" si="1"/>
        <v>-134597.00000000006</v>
      </c>
      <c r="BN8" s="10">
        <f t="shared" si="1"/>
        <v>-103400</v>
      </c>
      <c r="BO8" s="10">
        <f t="shared" si="1"/>
        <v>123582.82999999999</v>
      </c>
      <c r="BP8" s="10">
        <f t="shared" si="1"/>
        <v>-148933.88</v>
      </c>
      <c r="BQ8" s="10">
        <f t="shared" si="1"/>
        <v>502612.69000000018</v>
      </c>
      <c r="BR8" s="10">
        <f t="shared" si="1"/>
        <v>-53433.460000000021</v>
      </c>
      <c r="BS8" s="10">
        <f t="shared" si="1"/>
        <v>-103777.32</v>
      </c>
      <c r="BT8" s="10">
        <f t="shared" si="1"/>
        <v>-125896.65000000001</v>
      </c>
      <c r="BU8" s="10">
        <f t="shared" si="1"/>
        <v>-450844.02999999991</v>
      </c>
      <c r="BV8" s="10">
        <f t="shared" si="1"/>
        <v>-125966.95999999999</v>
      </c>
      <c r="BW8" s="10">
        <f t="shared" si="1"/>
        <v>13442.829999999987</v>
      </c>
      <c r="BX8" s="10">
        <f t="shared" si="1"/>
        <v>-69373.42</v>
      </c>
    </row>
    <row r="9" spans="1:78" s="4" customFormat="1" ht="14.4" x14ac:dyDescent="0.3">
      <c r="A9" s="258"/>
      <c r="B9" s="7" t="s">
        <v>11</v>
      </c>
      <c r="C9" s="10">
        <v>0</v>
      </c>
      <c r="D9" s="10">
        <f t="shared" ref="D9:Q9" si="2">IF(OR(D7="",D8=""),"",D7-D8)</f>
        <v>0</v>
      </c>
      <c r="E9" s="10">
        <f t="shared" si="2"/>
        <v>0</v>
      </c>
      <c r="F9" s="10">
        <f t="shared" si="2"/>
        <v>0</v>
      </c>
      <c r="G9" s="10">
        <f t="shared" si="2"/>
        <v>-189515</v>
      </c>
      <c r="H9" s="10">
        <f>IF(OR(H7="",H8=""),"",H7-H8)</f>
        <v>-1872.22</v>
      </c>
      <c r="I9" s="10">
        <f t="shared" si="2"/>
        <v>0</v>
      </c>
      <c r="J9" s="10">
        <f t="shared" si="2"/>
        <v>0</v>
      </c>
      <c r="K9" s="10">
        <f t="shared" si="2"/>
        <v>0</v>
      </c>
      <c r="L9" s="10">
        <f t="shared" si="2"/>
        <v>-201071.94</v>
      </c>
      <c r="M9" s="10">
        <f t="shared" si="2"/>
        <v>0</v>
      </c>
      <c r="N9" s="10">
        <f t="shared" si="2"/>
        <v>0</v>
      </c>
      <c r="O9" s="10">
        <f t="shared" si="2"/>
        <v>0</v>
      </c>
      <c r="P9" s="10">
        <f t="shared" si="2"/>
        <v>0</v>
      </c>
      <c r="Q9" s="10">
        <f t="shared" si="2"/>
        <v>392459.16000000003</v>
      </c>
      <c r="AV9" s="236"/>
      <c r="AW9" s="258"/>
      <c r="AX9" s="7" t="s">
        <v>4</v>
      </c>
      <c r="AY9" s="243">
        <v>2.8403910000000001E-2</v>
      </c>
      <c r="AZ9" s="243">
        <v>2.7878150000000001E-2</v>
      </c>
      <c r="BA9" s="25">
        <v>2.6622739999999999E-2</v>
      </c>
      <c r="BB9" s="25">
        <v>2.677361E-2</v>
      </c>
      <c r="BC9" s="25">
        <v>2.6500570000000001E-2</v>
      </c>
      <c r="BD9" s="25">
        <v>2.594869E-2</v>
      </c>
      <c r="BE9" s="25">
        <v>2.3511899999999999E-2</v>
      </c>
      <c r="BF9" s="25">
        <v>2.21687E-2</v>
      </c>
      <c r="BG9" s="25">
        <v>2.113932E-2</v>
      </c>
      <c r="BH9" s="25">
        <v>1.8159890000000001E-2</v>
      </c>
      <c r="BI9" s="25">
        <v>1.9151990000000001E-2</v>
      </c>
      <c r="BJ9" s="25">
        <v>1.8890779999999999E-2</v>
      </c>
      <c r="BK9" s="25">
        <v>1.8035829999999999E-2</v>
      </c>
      <c r="BL9" s="25">
        <v>1.888592E-2</v>
      </c>
      <c r="BM9" s="25">
        <v>9.3845999999999999E-3</v>
      </c>
      <c r="BN9" s="25">
        <v>1.2906700000000001E-3</v>
      </c>
      <c r="BO9" s="25">
        <v>1.2563100000000001E-3</v>
      </c>
      <c r="BP9" s="25">
        <v>1.9366299999999999E-3</v>
      </c>
      <c r="BQ9" s="25">
        <v>1.3658500000000001E-3</v>
      </c>
      <c r="BR9" s="25">
        <v>1.23916E-3</v>
      </c>
      <c r="BS9" s="25">
        <v>2E-3</v>
      </c>
      <c r="BT9" s="25">
        <v>2.5244400000000002E-3</v>
      </c>
      <c r="BU9" s="25">
        <v>2.8469900000000002E-3</v>
      </c>
      <c r="BV9" s="25">
        <v>2.0613900000000002E-3</v>
      </c>
      <c r="BW9" s="25">
        <v>2.3221700000000001E-3</v>
      </c>
      <c r="BX9" s="25">
        <v>2.1367399999999998E-3</v>
      </c>
    </row>
    <row r="10" spans="1:78" s="4" customFormat="1" ht="14.4" x14ac:dyDescent="0.3">
      <c r="A10" s="258"/>
      <c r="B10" s="7" t="s">
        <v>4</v>
      </c>
      <c r="C10" s="25">
        <v>7.5545970550536697E-3</v>
      </c>
      <c r="D10" s="25">
        <v>7.6017000000000003E-3</v>
      </c>
      <c r="E10" s="25">
        <v>7.6414500000000002E-3</v>
      </c>
      <c r="F10" s="25">
        <v>9.6220400000000001E-3</v>
      </c>
      <c r="G10" s="25">
        <v>8.9999999999999993E-3</v>
      </c>
      <c r="H10" s="25">
        <v>8.9999999999999993E-3</v>
      </c>
      <c r="I10" s="25">
        <v>1.15E-2</v>
      </c>
      <c r="J10" s="25">
        <v>1.15E-2</v>
      </c>
      <c r="K10" s="25">
        <v>1.15E-2</v>
      </c>
      <c r="L10" s="25">
        <v>1.41E-2</v>
      </c>
      <c r="M10" s="25">
        <v>1.39185E-2</v>
      </c>
      <c r="N10" s="25">
        <v>1.466976E-2</v>
      </c>
      <c r="O10" s="25">
        <v>1.4482760000000001E-2</v>
      </c>
      <c r="P10" s="25">
        <v>1.45083E-2</v>
      </c>
      <c r="Q10" s="25">
        <v>1.4428689E-2</v>
      </c>
      <c r="AV10" s="236"/>
      <c r="AW10" s="258"/>
      <c r="AX10" s="7" t="s">
        <v>5</v>
      </c>
      <c r="AY10" s="242">
        <v>-15634.392826822654</v>
      </c>
      <c r="AZ10" s="242">
        <f>IF(OR(AZ9="",AZ8="",AY13=""),"",((AY13+AZ8)*AZ9)/12)</f>
        <v>975.68603367557773</v>
      </c>
      <c r="BA10" s="10">
        <f t="shared" ref="BA10:BM10" si="3">IF(OR(BA9="",BA8="",AZ13=""),"",((AZ13+BA8)*BA9)/12)</f>
        <v>1087.0255341540258</v>
      </c>
      <c r="BB10" s="10">
        <f>IF(OR(BB9="",BB8="",BA13=""),"",((BA13+BB8)*BB9)/12)</f>
        <v>1190.5868872923527</v>
      </c>
      <c r="BC10" s="10">
        <f>IF(OR(BC9="",BC8="",BB13=""),"",((BB13+BC8)*BC9)/12)</f>
        <v>1280.9529585755447</v>
      </c>
      <c r="BD10" s="10">
        <f t="shared" si="3"/>
        <v>3697.2304528205282</v>
      </c>
      <c r="BE10" s="10">
        <f t="shared" si="3"/>
        <v>630.3728425712826</v>
      </c>
      <c r="BF10" s="10">
        <f t="shared" si="3"/>
        <v>572.54336634096649</v>
      </c>
      <c r="BG10" s="10">
        <f t="shared" si="3"/>
        <v>1070.2047513646482</v>
      </c>
      <c r="BH10" s="10">
        <f t="shared" si="3"/>
        <v>765.16852073249026</v>
      </c>
      <c r="BI10" s="10">
        <f t="shared" si="3"/>
        <v>1048.0856885197029</v>
      </c>
      <c r="BJ10" s="10">
        <f t="shared" si="3"/>
        <v>1221.9748230956698</v>
      </c>
      <c r="BK10" s="10">
        <f t="shared" si="3"/>
        <v>1198.3202447699666</v>
      </c>
      <c r="BL10" s="10">
        <f t="shared" si="3"/>
        <v>1317.3000450301145</v>
      </c>
      <c r="BM10" s="10">
        <f t="shared" si="3"/>
        <v>550.34800114798418</v>
      </c>
      <c r="BN10" s="10">
        <f>IF(OR(BN9="",BN8="",BM13=""),"",((BM13+BN8)*BN9)/12)</f>
        <v>64.627630203054068</v>
      </c>
      <c r="BO10" s="10">
        <f t="shared" ref="BO10:BX10" si="4">IF(OR(BO9="",BO8="",BN13=""),"",((BN13+BO8)*BO9)/12)</f>
        <v>75.852085742545498</v>
      </c>
      <c r="BP10" s="10">
        <f t="shared" si="4"/>
        <v>92.90411199252452</v>
      </c>
      <c r="BQ10" s="10">
        <f t="shared" si="4"/>
        <v>122.74099470059521</v>
      </c>
      <c r="BR10" s="10">
        <f t="shared" si="4"/>
        <v>105.85105877697275</v>
      </c>
      <c r="BS10" s="10">
        <f t="shared" si="4"/>
        <v>153.56466852148051</v>
      </c>
      <c r="BT10" s="10">
        <f t="shared" si="4"/>
        <v>167.37982304000002</v>
      </c>
      <c r="BU10" s="10">
        <f t="shared" si="4"/>
        <v>81.843435917387481</v>
      </c>
      <c r="BV10" s="10">
        <f t="shared" si="4"/>
        <v>37.634652770599523</v>
      </c>
      <c r="BW10" s="10">
        <f t="shared" si="4"/>
        <v>45.004355839053062</v>
      </c>
      <c r="BX10" s="10">
        <f t="shared" si="4"/>
        <v>29.065933206728971</v>
      </c>
      <c r="BY10" s="106" t="s">
        <v>96</v>
      </c>
      <c r="BZ10" s="106" t="s">
        <v>92</v>
      </c>
    </row>
    <row r="11" spans="1:78" s="4" customFormat="1" ht="14.4" x14ac:dyDescent="0.3">
      <c r="A11" s="258"/>
      <c r="B11" s="7" t="s">
        <v>5</v>
      </c>
      <c r="C11" s="10">
        <v>0</v>
      </c>
      <c r="D11" s="10">
        <f>IF(OR(D10="",D9="",C14=""),"",((C14+D9)*D10)/12)</f>
        <v>0</v>
      </c>
      <c r="E11" s="10">
        <f t="shared" ref="E11:Q11" si="5">IF(OR(E10="",E9="",D14=""),"",((D14+E9)*E10)/12)</f>
        <v>0</v>
      </c>
      <c r="F11" s="10">
        <f>IF(OR(F10="",F9="",E14=""),"",((E14+F9)*F10)/12)</f>
        <v>0</v>
      </c>
      <c r="G11" s="10">
        <f>IF(OR(G10="",G9="",F14=""),"",((F14+G9)*G10)/12)</f>
        <v>-142.13624999999999</v>
      </c>
      <c r="H11" s="10">
        <f>IF(OR(H10="",H9="",G14=""),"",((G14+H6+H9)*H10)/12)</f>
        <v>-143.64701718749998</v>
      </c>
      <c r="I11" s="10">
        <f t="shared" si="5"/>
        <v>-183.6866281310547</v>
      </c>
      <c r="J11" s="10">
        <f t="shared" si="5"/>
        <v>-183.86266114968029</v>
      </c>
      <c r="K11" s="10">
        <f t="shared" si="5"/>
        <v>-184.0388628666154</v>
      </c>
      <c r="L11" s="10">
        <f t="shared" si="5"/>
        <v>-462.12342441771835</v>
      </c>
      <c r="M11" s="10">
        <f t="shared" si="5"/>
        <v>-456.7108197868975</v>
      </c>
      <c r="N11" s="10">
        <f t="shared" si="5"/>
        <v>-481.9204002163637</v>
      </c>
      <c r="O11" s="10">
        <f t="shared" si="5"/>
        <v>-476.35883889272668</v>
      </c>
      <c r="P11" s="10">
        <f t="shared" si="5"/>
        <v>-477.7748160284246</v>
      </c>
      <c r="Q11" s="10">
        <f t="shared" si="5"/>
        <v>-3.838343557334722</v>
      </c>
      <c r="AV11" s="236"/>
      <c r="AW11" s="258"/>
      <c r="AX11" s="8" t="s">
        <v>6</v>
      </c>
      <c r="AY11" s="242">
        <v>-276558.24490261654</v>
      </c>
      <c r="AZ11" s="242">
        <f>IF(OR(AY11="",AZ10=""),"",AY11+AZ10)</f>
        <v>-275582.55886894098</v>
      </c>
      <c r="BA11" s="10">
        <f t="shared" ref="BA11:BX11" si="6">IF(OR(AZ11="",BA10=""),"",AZ11+BA10)</f>
        <v>-274495.53333478695</v>
      </c>
      <c r="BB11" s="10">
        <f t="shared" si="6"/>
        <v>-273304.94644749461</v>
      </c>
      <c r="BC11" s="10">
        <f>IF(OR(BB11="",BC10=""),"",BB11+BC10)</f>
        <v>-272023.99348891905</v>
      </c>
      <c r="BD11" s="10">
        <f t="shared" si="6"/>
        <v>-268326.76303609851</v>
      </c>
      <c r="BE11" s="10">
        <f t="shared" si="6"/>
        <v>-267696.39019352722</v>
      </c>
      <c r="BF11" s="10">
        <f t="shared" si="6"/>
        <v>-267123.84682718624</v>
      </c>
      <c r="BG11" s="10">
        <f t="shared" si="6"/>
        <v>-266053.64207582158</v>
      </c>
      <c r="BH11" s="10">
        <f t="shared" si="6"/>
        <v>-265288.47355508909</v>
      </c>
      <c r="BI11" s="10">
        <f t="shared" si="6"/>
        <v>-264240.38786656939</v>
      </c>
      <c r="BJ11" s="10">
        <f t="shared" si="6"/>
        <v>-263018.41304347373</v>
      </c>
      <c r="BK11" s="10">
        <f t="shared" si="6"/>
        <v>-261820.09279870376</v>
      </c>
      <c r="BL11" s="10">
        <f t="shared" si="6"/>
        <v>-260502.79275367365</v>
      </c>
      <c r="BM11" s="10">
        <f t="shared" si="6"/>
        <v>-259952.44475252565</v>
      </c>
      <c r="BN11" s="10">
        <f t="shared" si="6"/>
        <v>-259887.81712232259</v>
      </c>
      <c r="BO11" s="10">
        <f t="shared" si="6"/>
        <v>-259811.96503658005</v>
      </c>
      <c r="BP11" s="10">
        <f t="shared" si="6"/>
        <v>-259719.06092458751</v>
      </c>
      <c r="BQ11" s="10">
        <f t="shared" si="6"/>
        <v>-259596.3199298869</v>
      </c>
      <c r="BR11" s="10">
        <f t="shared" si="6"/>
        <v>-259490.46887110992</v>
      </c>
      <c r="BS11" s="10">
        <f t="shared" si="6"/>
        <v>-259336.90420258843</v>
      </c>
      <c r="BT11" s="10">
        <f t="shared" si="6"/>
        <v>-259169.52437954841</v>
      </c>
      <c r="BU11" s="10">
        <f t="shared" si="6"/>
        <v>-259087.68094363101</v>
      </c>
      <c r="BV11" s="10">
        <f t="shared" si="6"/>
        <v>-259050.04629086042</v>
      </c>
      <c r="BW11" s="10">
        <f t="shared" si="6"/>
        <v>-259005.04193502138</v>
      </c>
      <c r="BX11" s="10">
        <f t="shared" si="6"/>
        <v>-258975.97600181465</v>
      </c>
      <c r="BY11" s="193">
        <f>'MEEIA 2 calcs'!BL11</f>
        <v>-258938.43989187756</v>
      </c>
      <c r="BZ11" s="194">
        <f>BW11-BY11</f>
        <v>-66.602043143822812</v>
      </c>
    </row>
    <row r="12" spans="1:78" s="4" customFormat="1" ht="14.4" x14ac:dyDescent="0.3">
      <c r="A12" s="258"/>
      <c r="B12" s="8" t="s">
        <v>6</v>
      </c>
      <c r="C12" s="10">
        <v>0</v>
      </c>
      <c r="D12" s="10">
        <f t="shared" ref="D12:Q12" si="7">IF(OR(C12="",D11=""),"",C12+D11)</f>
        <v>0</v>
      </c>
      <c r="E12" s="10">
        <f t="shared" si="7"/>
        <v>0</v>
      </c>
      <c r="F12" s="10">
        <f t="shared" si="7"/>
        <v>0</v>
      </c>
      <c r="G12" s="10">
        <f t="shared" si="7"/>
        <v>-142.13624999999999</v>
      </c>
      <c r="H12" s="10">
        <f>IF(OR(G12="",H11=""),"",G12+H11)</f>
        <v>-285.78326718749997</v>
      </c>
      <c r="I12" s="10">
        <f t="shared" si="7"/>
        <v>-469.46989531855468</v>
      </c>
      <c r="J12" s="10">
        <f t="shared" si="7"/>
        <v>-653.332556468235</v>
      </c>
      <c r="K12" s="10">
        <f t="shared" si="7"/>
        <v>-837.37141933485043</v>
      </c>
      <c r="L12" s="10">
        <f t="shared" si="7"/>
        <v>-1299.4948437525688</v>
      </c>
      <c r="M12" s="10">
        <f t="shared" si="7"/>
        <v>-1756.2056635394663</v>
      </c>
      <c r="N12" s="10">
        <f t="shared" si="7"/>
        <v>-2238.1260637558298</v>
      </c>
      <c r="O12" s="10">
        <f t="shared" si="7"/>
        <v>-2714.4849026485563</v>
      </c>
      <c r="P12" s="10">
        <f>IF(OR(O12="",P11=""),"",O12+P11)</f>
        <v>-3192.2597186769808</v>
      </c>
      <c r="Q12" s="10">
        <f t="shared" si="7"/>
        <v>-3196.0980622343154</v>
      </c>
      <c r="AV12" s="236"/>
      <c r="AW12" s="258"/>
      <c r="AX12" s="7" t="s">
        <v>12</v>
      </c>
      <c r="AY12" s="242">
        <v>9438181.4971731771</v>
      </c>
      <c r="AZ12" s="242">
        <f>IF(OR(AZ10="",AZ8=""),"",AZ8+AZ10)</f>
        <v>7041760.996033676</v>
      </c>
      <c r="BA12" s="10">
        <f t="shared" ref="BA12:BX12" si="8">IF(OR(BA10="",BA8=""),"",BA8+BA10)</f>
        <v>70101.115534154043</v>
      </c>
      <c r="BB12" s="10">
        <f t="shared" si="8"/>
        <v>43759.036887292365</v>
      </c>
      <c r="BC12" s="10">
        <f t="shared" si="8"/>
        <v>46507.992958575553</v>
      </c>
      <c r="BD12" s="10">
        <f t="shared" si="8"/>
        <v>1132162.8404528203</v>
      </c>
      <c r="BE12" s="10">
        <f t="shared" si="8"/>
        <v>-1391125.5171574287</v>
      </c>
      <c r="BF12" s="10">
        <f t="shared" si="8"/>
        <v>-11867.566633659035</v>
      </c>
      <c r="BG12" s="10">
        <f t="shared" si="8"/>
        <v>298092.94475136464</v>
      </c>
      <c r="BH12" s="10">
        <f t="shared" si="8"/>
        <v>-102199.15147926752</v>
      </c>
      <c r="BI12" s="10">
        <f t="shared" si="8"/>
        <v>151357.5256885197</v>
      </c>
      <c r="BJ12" s="10">
        <f t="shared" si="8"/>
        <v>119713.95482309566</v>
      </c>
      <c r="BK12" s="10">
        <f t="shared" si="8"/>
        <v>21033.750244769974</v>
      </c>
      <c r="BL12" s="10">
        <f t="shared" si="8"/>
        <v>39830.400045030146</v>
      </c>
      <c r="BM12" s="10">
        <f t="shared" si="8"/>
        <v>-134046.65199885209</v>
      </c>
      <c r="BN12" s="10">
        <f t="shared" si="8"/>
        <v>-103335.37236979694</v>
      </c>
      <c r="BO12" s="10">
        <f t="shared" si="8"/>
        <v>123658.68208574253</v>
      </c>
      <c r="BP12" s="10">
        <f t="shared" si="8"/>
        <v>-148840.97588800747</v>
      </c>
      <c r="BQ12" s="10">
        <f t="shared" si="8"/>
        <v>502735.43099470076</v>
      </c>
      <c r="BR12" s="10">
        <f t="shared" si="8"/>
        <v>-53327.60894122305</v>
      </c>
      <c r="BS12" s="10">
        <f t="shared" si="8"/>
        <v>-103623.75533147853</v>
      </c>
      <c r="BT12" s="10">
        <f t="shared" si="8"/>
        <v>-125729.27017696001</v>
      </c>
      <c r="BU12" s="10">
        <f t="shared" si="8"/>
        <v>-450762.18656408251</v>
      </c>
      <c r="BV12" s="10">
        <f t="shared" si="8"/>
        <v>-125929.32534722939</v>
      </c>
      <c r="BW12" s="10">
        <f t="shared" si="8"/>
        <v>13487.834355839041</v>
      </c>
      <c r="BX12" s="10">
        <f t="shared" si="8"/>
        <v>-69344.354066793268</v>
      </c>
    </row>
    <row r="13" spans="1:78" s="4" customFormat="1" ht="14.4" x14ac:dyDescent="0.3">
      <c r="A13" s="258"/>
      <c r="B13" s="7" t="s">
        <v>12</v>
      </c>
      <c r="C13" s="10">
        <v>0</v>
      </c>
      <c r="D13" s="10">
        <f>IF(OR(D11="",D9=""),"",D9+D11)</f>
        <v>0</v>
      </c>
      <c r="E13" s="10">
        <f t="shared" ref="E13:F13" si="9">IF(OR(E11="",E9=""),"",E9+E11)</f>
        <v>0</v>
      </c>
      <c r="F13" s="10">
        <f t="shared" si="9"/>
        <v>0</v>
      </c>
      <c r="G13" s="10">
        <f>IF(OR(G11="",G9=""),"",G9+G11)</f>
        <v>-189657.13625000001</v>
      </c>
      <c r="H13" s="10">
        <f>IF(OR(H11="",H9=""),"",H9+H11)</f>
        <v>-2015.8670171875001</v>
      </c>
      <c r="I13" s="10">
        <f t="shared" ref="I13:Q13" si="10">IF(OR(I11="",I9=""),"",I9+I11)</f>
        <v>-183.6866281310547</v>
      </c>
      <c r="J13" s="10">
        <f t="shared" si="10"/>
        <v>-183.86266114968029</v>
      </c>
      <c r="K13" s="10">
        <f t="shared" si="10"/>
        <v>-184.0388628666154</v>
      </c>
      <c r="L13" s="10">
        <f t="shared" si="10"/>
        <v>-201534.06342441772</v>
      </c>
      <c r="M13" s="10">
        <f>IF(OR(M11="",M9=""),"",M9+M11)</f>
        <v>-456.7108197868975</v>
      </c>
      <c r="N13" s="10">
        <f t="shared" si="10"/>
        <v>-481.9204002163637</v>
      </c>
      <c r="O13" s="10">
        <f t="shared" si="10"/>
        <v>-476.35883889272668</v>
      </c>
      <c r="P13" s="10">
        <f t="shared" si="10"/>
        <v>-477.7748160284246</v>
      </c>
      <c r="Q13" s="10">
        <f t="shared" si="10"/>
        <v>392455.32165644271</v>
      </c>
      <c r="AV13" s="236"/>
      <c r="AW13" s="258"/>
      <c r="AX13" s="11" t="s">
        <v>3</v>
      </c>
      <c r="AY13" s="242">
        <v>-6620806.4949026238</v>
      </c>
      <c r="AZ13" s="242">
        <f>IF(OR(AZ12="",AY13=""),"",AZ12+AY13)</f>
        <v>420954.50113105215</v>
      </c>
      <c r="BA13" s="10">
        <f t="shared" ref="BA13:BX13" si="11">IF(OR(BA12="",AZ13=""),"",BA12+AZ13)</f>
        <v>491055.61666520621</v>
      </c>
      <c r="BB13" s="10">
        <f t="shared" si="11"/>
        <v>534814.65355249855</v>
      </c>
      <c r="BC13" s="10">
        <f t="shared" si="11"/>
        <v>581322.64651107416</v>
      </c>
      <c r="BD13" s="10">
        <f t="shared" si="11"/>
        <v>1713485.4869638945</v>
      </c>
      <c r="BE13" s="10">
        <f t="shared" si="11"/>
        <v>322359.96980646579</v>
      </c>
      <c r="BF13" s="10">
        <f t="shared" si="11"/>
        <v>310492.40317280678</v>
      </c>
      <c r="BG13" s="10">
        <f t="shared" si="11"/>
        <v>608585.34792417148</v>
      </c>
      <c r="BH13" s="10">
        <f t="shared" si="11"/>
        <v>506386.19644490397</v>
      </c>
      <c r="BI13" s="10">
        <f t="shared" si="11"/>
        <v>657743.72213342367</v>
      </c>
      <c r="BJ13" s="10">
        <f t="shared" si="11"/>
        <v>777457.67695651937</v>
      </c>
      <c r="BK13" s="10">
        <f t="shared" si="11"/>
        <v>798491.42720128933</v>
      </c>
      <c r="BL13" s="10">
        <f t="shared" si="11"/>
        <v>838321.8272463195</v>
      </c>
      <c r="BM13" s="10">
        <f t="shared" si="11"/>
        <v>704275.17524746736</v>
      </c>
      <c r="BN13" s="10">
        <f t="shared" si="11"/>
        <v>600939.80287767039</v>
      </c>
      <c r="BO13" s="10">
        <f t="shared" si="11"/>
        <v>724598.48496341286</v>
      </c>
      <c r="BP13" s="10">
        <f t="shared" si="11"/>
        <v>575757.50907540543</v>
      </c>
      <c r="BQ13" s="10">
        <f t="shared" si="11"/>
        <v>1078492.9400701062</v>
      </c>
      <c r="BR13" s="10">
        <f t="shared" si="11"/>
        <v>1025165.3311288832</v>
      </c>
      <c r="BS13" s="10">
        <f t="shared" si="11"/>
        <v>921541.57579740463</v>
      </c>
      <c r="BT13" s="10">
        <f t="shared" si="11"/>
        <v>795812.30562044459</v>
      </c>
      <c r="BU13" s="10">
        <f t="shared" si="11"/>
        <v>345050.11905636208</v>
      </c>
      <c r="BV13" s="10">
        <f t="shared" si="11"/>
        <v>219120.7937091327</v>
      </c>
      <c r="BW13" s="10">
        <f>IF(OR(BW12="",BV13=""),"",BW12+BV13)</f>
        <v>232608.62806497174</v>
      </c>
      <c r="BX13" s="10">
        <f t="shared" si="11"/>
        <v>163264.27399817848</v>
      </c>
    </row>
    <row r="14" spans="1:78" s="4" customFormat="1" ht="14.4" x14ac:dyDescent="0.3">
      <c r="A14" s="258"/>
      <c r="B14" s="11" t="s">
        <v>3</v>
      </c>
      <c r="C14" s="10">
        <v>0</v>
      </c>
      <c r="D14" s="10">
        <f>IF(OR(D13="",C14=""),"",D13+C14)</f>
        <v>0</v>
      </c>
      <c r="E14" s="10">
        <f t="shared" ref="E14:Q14" si="12">IF(OR(E13="",D14=""),"",E13+D14)</f>
        <v>0</v>
      </c>
      <c r="F14" s="10">
        <f t="shared" si="12"/>
        <v>0</v>
      </c>
      <c r="G14" s="10">
        <f>IF(OR(G13="",F14=""),"",G13+F14)</f>
        <v>-189657.13625000001</v>
      </c>
      <c r="H14" s="10">
        <f>IF(OR(H13="",G14=""),"",H13+G14+H6)</f>
        <v>-191673.00326718751</v>
      </c>
      <c r="I14" s="10">
        <f t="shared" si="12"/>
        <v>-191856.68989531856</v>
      </c>
      <c r="J14" s="10">
        <f t="shared" si="12"/>
        <v>-192040.55255646823</v>
      </c>
      <c r="K14" s="10">
        <f t="shared" si="12"/>
        <v>-192224.59141933484</v>
      </c>
      <c r="L14" s="10">
        <f t="shared" si="12"/>
        <v>-393758.65484375256</v>
      </c>
      <c r="M14" s="10">
        <f t="shared" si="12"/>
        <v>-394215.36566353944</v>
      </c>
      <c r="N14" s="10">
        <f t="shared" si="12"/>
        <v>-394697.2860637558</v>
      </c>
      <c r="O14" s="10">
        <f t="shared" si="12"/>
        <v>-395173.64490264852</v>
      </c>
      <c r="P14" s="10">
        <f t="shared" si="12"/>
        <v>-395651.41971867695</v>
      </c>
      <c r="Q14" s="10">
        <f t="shared" si="12"/>
        <v>-3196.0980622342322</v>
      </c>
      <c r="AV14" s="236"/>
    </row>
    <row r="15" spans="1:78" s="5" customFormat="1" ht="8.25" customHeight="1" x14ac:dyDescent="0.3">
      <c r="A15" s="44"/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AV15" s="237"/>
    </row>
    <row r="16" spans="1:78" s="1" customFormat="1" ht="14.4" x14ac:dyDescent="0.3"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AV16" s="238"/>
    </row>
    <row r="17" spans="1:48" s="1" customFormat="1" ht="14.4" x14ac:dyDescent="0.3"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AV17" s="238"/>
    </row>
    <row r="18" spans="1:48" s="1" customFormat="1" ht="14.4" x14ac:dyDescent="0.3"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AV18" s="238"/>
    </row>
    <row r="19" spans="1:48" s="1" customFormat="1" ht="14.4" x14ac:dyDescent="0.3"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AV19" s="238"/>
    </row>
    <row r="20" spans="1:48" s="1" customFormat="1" ht="14.4" x14ac:dyDescent="0.3"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AV20" s="238"/>
    </row>
    <row r="21" spans="1:48" s="1" customFormat="1" ht="14.4" x14ac:dyDescent="0.3"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AV21" s="238"/>
    </row>
    <row r="22" spans="1:48" s="1" customFormat="1" ht="14.4" x14ac:dyDescent="0.3"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AV22" s="238"/>
    </row>
    <row r="23" spans="1:48" s="1" customFormat="1" ht="14.4" x14ac:dyDescent="0.3"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AV23" s="238"/>
    </row>
    <row r="24" spans="1:48" s="1" customFormat="1" ht="14.4" x14ac:dyDescent="0.3"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AV24" s="238"/>
    </row>
    <row r="25" spans="1:48" s="1" customFormat="1" ht="14.4" x14ac:dyDescent="0.3"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AV25" s="238"/>
    </row>
    <row r="26" spans="1:48" s="1" customFormat="1" ht="14.4" x14ac:dyDescent="0.3"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AV26" s="238"/>
    </row>
    <row r="27" spans="1:48" ht="14.4" x14ac:dyDescent="0.3"/>
    <row r="28" spans="1:48" ht="14.4" x14ac:dyDescent="0.3">
      <c r="A28" s="84" t="s">
        <v>78</v>
      </c>
    </row>
    <row r="29" spans="1:48" ht="14.4" x14ac:dyDescent="0.3">
      <c r="A29" s="6"/>
      <c r="C29" s="12">
        <v>42370</v>
      </c>
      <c r="D29" s="12">
        <v>42401</v>
      </c>
      <c r="E29" s="12">
        <v>42430</v>
      </c>
      <c r="F29" s="12">
        <v>42461</v>
      </c>
      <c r="G29" s="12">
        <v>42491</v>
      </c>
      <c r="H29" s="12">
        <v>42522</v>
      </c>
      <c r="I29" s="12">
        <v>42552</v>
      </c>
      <c r="J29" s="12">
        <v>42583</v>
      </c>
      <c r="K29" s="12">
        <v>42614</v>
      </c>
      <c r="L29" s="12">
        <v>42644</v>
      </c>
      <c r="M29" s="12">
        <v>42675</v>
      </c>
      <c r="N29" s="12">
        <v>42705</v>
      </c>
      <c r="O29" s="12">
        <v>42736</v>
      </c>
      <c r="P29" s="12">
        <v>42767</v>
      </c>
      <c r="Q29" s="12">
        <v>42795</v>
      </c>
      <c r="R29" s="12">
        <v>42826</v>
      </c>
      <c r="S29" s="12">
        <v>42856</v>
      </c>
      <c r="T29" s="12">
        <v>42887</v>
      </c>
      <c r="U29" s="12">
        <v>42917</v>
      </c>
      <c r="V29" s="12">
        <v>42948</v>
      </c>
      <c r="W29" s="12">
        <v>42979</v>
      </c>
      <c r="X29" s="12">
        <v>43009</v>
      </c>
      <c r="Y29" s="12">
        <v>43040</v>
      </c>
      <c r="Z29" s="12">
        <v>43070</v>
      </c>
      <c r="AA29" s="12">
        <v>43101</v>
      </c>
      <c r="AB29" s="12">
        <v>43132</v>
      </c>
      <c r="AC29" s="12">
        <v>43160</v>
      </c>
      <c r="AD29" s="12">
        <v>43191</v>
      </c>
      <c r="AE29" s="12">
        <v>43221</v>
      </c>
      <c r="AF29" s="12">
        <v>43252</v>
      </c>
      <c r="AG29" s="12">
        <v>43282</v>
      </c>
      <c r="AH29" s="12">
        <v>43313</v>
      </c>
      <c r="AI29" s="12">
        <v>43344</v>
      </c>
      <c r="AJ29" s="12">
        <v>43374</v>
      </c>
      <c r="AK29" s="12">
        <v>43405</v>
      </c>
      <c r="AL29" s="12">
        <v>43435</v>
      </c>
      <c r="AM29" s="12">
        <v>43466</v>
      </c>
      <c r="AN29" s="12">
        <v>43497</v>
      </c>
      <c r="AO29" s="12">
        <v>43525</v>
      </c>
      <c r="AP29" s="12">
        <v>43556</v>
      </c>
      <c r="AQ29" s="12">
        <v>43586</v>
      </c>
      <c r="AR29" s="12">
        <v>43617</v>
      </c>
    </row>
    <row r="30" spans="1:48" s="2" customFormat="1" ht="15" customHeight="1" x14ac:dyDescent="0.3">
      <c r="A30" s="255" t="s">
        <v>25</v>
      </c>
      <c r="B30" s="17"/>
      <c r="C30" s="32"/>
      <c r="D30" s="32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67">
        <v>13541921.743700374</v>
      </c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66"/>
      <c r="AQ30" s="66"/>
      <c r="AR30" s="66"/>
      <c r="AV30" s="235"/>
    </row>
    <row r="31" spans="1:48" s="4" customFormat="1" ht="15" customHeight="1" x14ac:dyDescent="0.3">
      <c r="A31" s="255"/>
      <c r="B31" s="17" t="s">
        <v>28</v>
      </c>
      <c r="C31" s="32"/>
      <c r="D31" s="32"/>
      <c r="E31" s="21">
        <f>+E57</f>
        <v>0</v>
      </c>
      <c r="F31" s="21">
        <f t="shared" ref="F31:AR31" si="13">+F57</f>
        <v>1315.62</v>
      </c>
      <c r="G31" s="21">
        <f t="shared" si="13"/>
        <v>9547.77</v>
      </c>
      <c r="H31" s="21">
        <f t="shared" si="13"/>
        <v>131836.54999999999</v>
      </c>
      <c r="I31" s="21">
        <f t="shared" si="13"/>
        <v>295613.25</v>
      </c>
      <c r="J31" s="21">
        <f t="shared" si="13"/>
        <v>620316.48999999987</v>
      </c>
      <c r="K31" s="21">
        <f t="shared" si="13"/>
        <v>555398.20999999985</v>
      </c>
      <c r="L31" s="21">
        <f t="shared" si="13"/>
        <v>198514.37000000011</v>
      </c>
      <c r="M31" s="21">
        <f t="shared" si="13"/>
        <v>277476.9599999999</v>
      </c>
      <c r="N31" s="21">
        <f t="shared" si="13"/>
        <v>434867.4</v>
      </c>
      <c r="O31" s="21">
        <f t="shared" si="13"/>
        <v>508459.40000000014</v>
      </c>
      <c r="P31" s="21">
        <f t="shared" si="13"/>
        <v>490745.49000000017</v>
      </c>
      <c r="Q31" s="21">
        <f t="shared" si="13"/>
        <v>527476.22000000009</v>
      </c>
      <c r="R31" s="21">
        <f t="shared" si="13"/>
        <v>258953.52000000025</v>
      </c>
      <c r="S31" s="21">
        <f t="shared" si="13"/>
        <v>394310.88999999978</v>
      </c>
      <c r="T31" s="21">
        <f t="shared" si="13"/>
        <v>1342259.4100000001</v>
      </c>
      <c r="U31" s="21">
        <f t="shared" si="13"/>
        <v>1962488.9300000002</v>
      </c>
      <c r="V31" s="21">
        <f t="shared" si="13"/>
        <v>2100865.73</v>
      </c>
      <c r="W31" s="21">
        <f t="shared" si="13"/>
        <v>1649752.0800000003</v>
      </c>
      <c r="X31" s="21">
        <f t="shared" si="13"/>
        <v>751621.14999999979</v>
      </c>
      <c r="Y31" s="21">
        <f t="shared" si="13"/>
        <v>841460.40999999968</v>
      </c>
      <c r="Z31" s="21">
        <f t="shared" si="13"/>
        <v>1085634.8200000005</v>
      </c>
      <c r="AA31" s="21">
        <f t="shared" si="13"/>
        <v>1183123.0699999994</v>
      </c>
      <c r="AB31" s="21">
        <f t="shared" si="13"/>
        <v>1041235.799999999</v>
      </c>
      <c r="AC31" s="21">
        <f t="shared" si="13"/>
        <v>1113426.4299999995</v>
      </c>
      <c r="AD31" s="21">
        <f t="shared" si="13"/>
        <v>1057341.1199999994</v>
      </c>
      <c r="AE31" s="21">
        <f t="shared" si="13"/>
        <v>1420849.9099999997</v>
      </c>
      <c r="AF31" s="21">
        <f t="shared" si="13"/>
        <v>3799102.3500000015</v>
      </c>
      <c r="AG31" s="21">
        <f t="shared" si="13"/>
        <v>5128806.18</v>
      </c>
      <c r="AH31" s="21">
        <f t="shared" si="13"/>
        <v>4697486.7700000005</v>
      </c>
      <c r="AI31" s="21">
        <f t="shared" si="13"/>
        <v>3577277.59</v>
      </c>
      <c r="AJ31" s="21">
        <f t="shared" si="13"/>
        <v>1552311.3900000006</v>
      </c>
      <c r="AK31" s="21">
        <f t="shared" si="13"/>
        <v>1560965.8799999983</v>
      </c>
      <c r="AL31" s="21">
        <f t="shared" si="13"/>
        <v>1902498.7800000007</v>
      </c>
      <c r="AM31" s="21">
        <f t="shared" si="13"/>
        <v>2044546.7300000009</v>
      </c>
      <c r="AN31" s="21">
        <f t="shared" si="13"/>
        <v>1819223.7300000016</v>
      </c>
      <c r="AO31" s="21">
        <f t="shared" si="13"/>
        <v>1991958.3199999982</v>
      </c>
      <c r="AP31" s="21">
        <f t="shared" si="13"/>
        <v>1852056.3300000017</v>
      </c>
      <c r="AQ31" s="21">
        <f t="shared" si="13"/>
        <v>2404199.6199999982</v>
      </c>
      <c r="AR31" s="21">
        <f t="shared" si="13"/>
        <v>6080629.2500000019</v>
      </c>
      <c r="AV31" s="236"/>
    </row>
    <row r="32" spans="1:48" s="4" customFormat="1" ht="14.4" x14ac:dyDescent="0.3">
      <c r="A32" s="255"/>
      <c r="B32" s="18" t="s">
        <v>26</v>
      </c>
      <c r="C32" s="26"/>
      <c r="D32" s="26"/>
      <c r="E32" s="21">
        <v>0</v>
      </c>
      <c r="F32" s="21">
        <v>0</v>
      </c>
      <c r="G32" s="21">
        <v>17393.11</v>
      </c>
      <c r="H32" s="21">
        <v>264954.01</v>
      </c>
      <c r="I32" s="21">
        <v>347680.79</v>
      </c>
      <c r="J32" s="21">
        <v>348292.31</v>
      </c>
      <c r="K32" s="21">
        <v>325763.31</v>
      </c>
      <c r="L32" s="21">
        <v>246495.91999999998</v>
      </c>
      <c r="M32" s="21">
        <v>210020.45</v>
      </c>
      <c r="N32" s="21">
        <v>286405.52</v>
      </c>
      <c r="O32" s="21">
        <v>537350.65</v>
      </c>
      <c r="P32" s="21">
        <v>2380685.19</v>
      </c>
      <c r="Q32" s="21">
        <v>1978228.74</v>
      </c>
      <c r="R32" s="21">
        <v>1865586.4</v>
      </c>
      <c r="S32" s="21">
        <v>1834668.9400000002</v>
      </c>
      <c r="T32" s="21">
        <v>2295880.5500000003</v>
      </c>
      <c r="U32" s="21">
        <v>2739739.71</v>
      </c>
      <c r="V32" s="21">
        <v>2810029.6700000004</v>
      </c>
      <c r="W32" s="21">
        <v>2397146.59</v>
      </c>
      <c r="X32" s="21">
        <v>2196198.75</v>
      </c>
      <c r="Y32" s="21">
        <v>1955310.19</v>
      </c>
      <c r="Z32" s="21">
        <v>2272928.3199999998</v>
      </c>
      <c r="AA32" s="21">
        <v>3133513.62</v>
      </c>
      <c r="AB32" s="21">
        <v>2686519.32</v>
      </c>
      <c r="AC32" s="21">
        <v>2253809.6800000002</v>
      </c>
      <c r="AD32" s="21">
        <v>2191880.6200000006</v>
      </c>
      <c r="AE32" s="21">
        <v>2008078.9100000001</v>
      </c>
      <c r="AF32" s="21">
        <v>2628092.9099999997</v>
      </c>
      <c r="AG32" s="21">
        <v>2927384.4800000004</v>
      </c>
      <c r="AH32" s="21">
        <v>2713828.6699999995</v>
      </c>
      <c r="AI32" s="21">
        <v>2656476.0999999996</v>
      </c>
      <c r="AJ32" s="21">
        <v>2241568.5700000003</v>
      </c>
      <c r="AK32" s="21">
        <v>2050332.64</v>
      </c>
      <c r="AL32" s="21">
        <v>2540211.56</v>
      </c>
      <c r="AM32" s="21">
        <v>2758522.64</v>
      </c>
      <c r="AN32" s="21">
        <v>3731846.29</v>
      </c>
      <c r="AO32" s="21">
        <v>3504116.61</v>
      </c>
      <c r="AP32" s="21">
        <v>2834702.33</v>
      </c>
      <c r="AQ32" s="21">
        <v>2693990.7500000005</v>
      </c>
      <c r="AR32" s="21">
        <v>3224890.5700000003</v>
      </c>
      <c r="AV32" s="236"/>
    </row>
    <row r="33" spans="1:48" s="4" customFormat="1" ht="14.4" x14ac:dyDescent="0.3">
      <c r="A33" s="255"/>
      <c r="B33" s="18" t="s">
        <v>47</v>
      </c>
      <c r="C33" s="26"/>
      <c r="D33" s="26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>
        <v>0</v>
      </c>
      <c r="P33" s="21">
        <v>-1207876.0699999998</v>
      </c>
      <c r="Q33" s="21">
        <v>-991453.85</v>
      </c>
      <c r="R33" s="21">
        <v>-942175.03</v>
      </c>
      <c r="S33" s="21">
        <v>-924830.89</v>
      </c>
      <c r="T33" s="21">
        <v>-1162964.6800000002</v>
      </c>
      <c r="U33" s="21">
        <v>-1377616.51</v>
      </c>
      <c r="V33" s="21">
        <v>-1419206.7000000002</v>
      </c>
      <c r="W33" s="21">
        <v>-1209460.76</v>
      </c>
      <c r="X33" s="21">
        <v>-1107295.8</v>
      </c>
      <c r="Y33" s="21">
        <v>-988276.53</v>
      </c>
      <c r="Z33" s="21">
        <v>-1145553.06</v>
      </c>
      <c r="AA33" s="21">
        <v>-1569459.38</v>
      </c>
      <c r="AB33" s="21">
        <v>231630.62999999998</v>
      </c>
      <c r="AC33" s="21">
        <v>87666.98000000001</v>
      </c>
      <c r="AD33" s="21">
        <v>85411.62</v>
      </c>
      <c r="AE33" s="21">
        <v>84463.6</v>
      </c>
      <c r="AF33" s="21">
        <v>105228.66999999998</v>
      </c>
      <c r="AG33" s="21">
        <v>100170.55</v>
      </c>
      <c r="AH33" s="21">
        <v>108068.86000000002</v>
      </c>
      <c r="AI33" s="21">
        <v>105313.19999999998</v>
      </c>
      <c r="AJ33" s="21">
        <v>93009.289999999979</v>
      </c>
      <c r="AK33" s="21">
        <v>85572.94</v>
      </c>
      <c r="AL33" s="21">
        <v>97124.979999999981</v>
      </c>
      <c r="AM33" s="21">
        <v>105785.10999999999</v>
      </c>
      <c r="AN33" s="21">
        <v>181359.25</v>
      </c>
      <c r="AO33" s="21">
        <v>164712.29999999999</v>
      </c>
      <c r="AP33" s="21">
        <v>113525.45999999999</v>
      </c>
      <c r="AQ33" s="21">
        <v>93935.329999999987</v>
      </c>
      <c r="AR33" s="21">
        <v>130300.17</v>
      </c>
      <c r="AV33" s="236"/>
    </row>
    <row r="34" spans="1:48" s="4" customFormat="1" ht="14.4" x14ac:dyDescent="0.3">
      <c r="A34" s="255"/>
      <c r="B34" s="18" t="s">
        <v>48</v>
      </c>
      <c r="C34" s="26"/>
      <c r="D34" s="26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>
        <f>+O32+O33</f>
        <v>537350.65</v>
      </c>
      <c r="P34" s="21">
        <f t="shared" ref="P34:AR34" si="14">+P32+P33</f>
        <v>1172809.1200000001</v>
      </c>
      <c r="Q34" s="21">
        <f t="shared" si="14"/>
        <v>986774.89</v>
      </c>
      <c r="R34" s="21">
        <f t="shared" si="14"/>
        <v>923411.36999999988</v>
      </c>
      <c r="S34" s="21">
        <f t="shared" si="14"/>
        <v>909838.05000000016</v>
      </c>
      <c r="T34" s="21">
        <f t="shared" si="14"/>
        <v>1132915.8700000001</v>
      </c>
      <c r="U34" s="21">
        <f t="shared" si="14"/>
        <v>1362123.2</v>
      </c>
      <c r="V34" s="21">
        <f t="shared" si="14"/>
        <v>1390822.9700000002</v>
      </c>
      <c r="W34" s="21">
        <f t="shared" si="14"/>
        <v>1187685.8299999998</v>
      </c>
      <c r="X34" s="21">
        <f t="shared" si="14"/>
        <v>1088902.95</v>
      </c>
      <c r="Y34" s="21">
        <f t="shared" si="14"/>
        <v>967033.65999999992</v>
      </c>
      <c r="Z34" s="21">
        <f t="shared" si="14"/>
        <v>1127375.2599999998</v>
      </c>
      <c r="AA34" s="21">
        <f t="shared" si="14"/>
        <v>1564054.2400000002</v>
      </c>
      <c r="AB34" s="21">
        <f t="shared" si="14"/>
        <v>2918149.9499999997</v>
      </c>
      <c r="AC34" s="21">
        <f t="shared" si="14"/>
        <v>2341476.66</v>
      </c>
      <c r="AD34" s="21">
        <f t="shared" si="14"/>
        <v>2277292.2400000007</v>
      </c>
      <c r="AE34" s="21">
        <f t="shared" si="14"/>
        <v>2092542.5100000002</v>
      </c>
      <c r="AF34" s="21">
        <f t="shared" si="14"/>
        <v>2733321.5799999996</v>
      </c>
      <c r="AG34" s="21">
        <f t="shared" si="14"/>
        <v>3027555.0300000003</v>
      </c>
      <c r="AH34" s="21">
        <f t="shared" si="14"/>
        <v>2821897.5299999993</v>
      </c>
      <c r="AI34" s="21">
        <f t="shared" si="14"/>
        <v>2761789.3</v>
      </c>
      <c r="AJ34" s="21">
        <f t="shared" si="14"/>
        <v>2334577.8600000003</v>
      </c>
      <c r="AK34" s="21">
        <f t="shared" si="14"/>
        <v>2135905.58</v>
      </c>
      <c r="AL34" s="21">
        <f t="shared" si="14"/>
        <v>2637336.54</v>
      </c>
      <c r="AM34" s="21">
        <f t="shared" si="14"/>
        <v>2864307.75</v>
      </c>
      <c r="AN34" s="21">
        <f t="shared" si="14"/>
        <v>3913205.54</v>
      </c>
      <c r="AO34" s="21">
        <f t="shared" si="14"/>
        <v>3668828.9099999997</v>
      </c>
      <c r="AP34" s="21">
        <f t="shared" si="14"/>
        <v>2948227.79</v>
      </c>
      <c r="AQ34" s="21">
        <f t="shared" si="14"/>
        <v>2787926.0800000005</v>
      </c>
      <c r="AR34" s="21">
        <f t="shared" si="14"/>
        <v>3355190.74</v>
      </c>
      <c r="AV34" s="236"/>
    </row>
    <row r="35" spans="1:48" s="4" customFormat="1" ht="14.4" x14ac:dyDescent="0.3">
      <c r="A35" s="255"/>
      <c r="B35" s="18" t="s">
        <v>13</v>
      </c>
      <c r="C35" s="26"/>
      <c r="D35" s="26"/>
      <c r="E35" s="21">
        <f>+E31-E32</f>
        <v>0</v>
      </c>
      <c r="F35" s="21">
        <f t="shared" ref="F35:N35" si="15">+F31-F32</f>
        <v>1315.62</v>
      </c>
      <c r="G35" s="21">
        <f t="shared" si="15"/>
        <v>-7845.34</v>
      </c>
      <c r="H35" s="21">
        <f t="shared" si="15"/>
        <v>-133117.46000000002</v>
      </c>
      <c r="I35" s="21">
        <f t="shared" si="15"/>
        <v>-52067.539999999979</v>
      </c>
      <c r="J35" s="21">
        <f t="shared" si="15"/>
        <v>272024.17999999988</v>
      </c>
      <c r="K35" s="21">
        <f t="shared" si="15"/>
        <v>229634.89999999985</v>
      </c>
      <c r="L35" s="21">
        <f t="shared" si="15"/>
        <v>-47981.549999999872</v>
      </c>
      <c r="M35" s="21">
        <f t="shared" si="15"/>
        <v>67456.509999999893</v>
      </c>
      <c r="N35" s="21">
        <f t="shared" si="15"/>
        <v>148461.88</v>
      </c>
      <c r="O35" s="21">
        <f>+O31-O34</f>
        <v>-28891.249999999884</v>
      </c>
      <c r="P35" s="21">
        <f t="shared" ref="P35:AR35" si="16">+P31-P34</f>
        <v>-682063.62999999989</v>
      </c>
      <c r="Q35" s="21">
        <f t="shared" si="16"/>
        <v>-459298.66999999993</v>
      </c>
      <c r="R35" s="21">
        <f t="shared" si="16"/>
        <v>-664457.84999999963</v>
      </c>
      <c r="S35" s="21">
        <f t="shared" si="16"/>
        <v>-515527.16000000038</v>
      </c>
      <c r="T35" s="21">
        <f t="shared" si="16"/>
        <v>209343.54000000004</v>
      </c>
      <c r="U35" s="21">
        <f t="shared" si="16"/>
        <v>600365.73000000021</v>
      </c>
      <c r="V35" s="21">
        <f t="shared" si="16"/>
        <v>710042.75999999978</v>
      </c>
      <c r="W35" s="21">
        <f t="shared" si="16"/>
        <v>462066.25000000047</v>
      </c>
      <c r="X35" s="21">
        <f t="shared" si="16"/>
        <v>-337281.80000000016</v>
      </c>
      <c r="Y35" s="21">
        <f t="shared" si="16"/>
        <v>-125573.25000000023</v>
      </c>
      <c r="Z35" s="21">
        <f t="shared" si="16"/>
        <v>-41740.439999999246</v>
      </c>
      <c r="AA35" s="21">
        <f t="shared" si="16"/>
        <v>-380931.17000000086</v>
      </c>
      <c r="AB35" s="21">
        <f t="shared" si="16"/>
        <v>-1876914.1500000008</v>
      </c>
      <c r="AC35" s="21">
        <f t="shared" si="16"/>
        <v>-1228050.2300000007</v>
      </c>
      <c r="AD35" s="21">
        <f t="shared" si="16"/>
        <v>-1219951.1200000013</v>
      </c>
      <c r="AE35" s="21">
        <f t="shared" si="16"/>
        <v>-671692.60000000056</v>
      </c>
      <c r="AF35" s="21">
        <f t="shared" si="16"/>
        <v>1065780.7700000019</v>
      </c>
      <c r="AG35" s="21">
        <f t="shared" si="16"/>
        <v>2101251.1499999994</v>
      </c>
      <c r="AH35" s="21">
        <f t="shared" si="16"/>
        <v>1875589.2400000012</v>
      </c>
      <c r="AI35" s="21">
        <f t="shared" si="16"/>
        <v>815488.29</v>
      </c>
      <c r="AJ35" s="21">
        <f t="shared" si="16"/>
        <v>-782266.46999999974</v>
      </c>
      <c r="AK35" s="21">
        <f t="shared" si="16"/>
        <v>-574939.70000000182</v>
      </c>
      <c r="AL35" s="21">
        <f t="shared" si="16"/>
        <v>-734837.75999999931</v>
      </c>
      <c r="AM35" s="21">
        <f t="shared" si="16"/>
        <v>-819761.01999999909</v>
      </c>
      <c r="AN35" s="21">
        <f t="shared" si="16"/>
        <v>-2093981.8099999984</v>
      </c>
      <c r="AO35" s="21">
        <f t="shared" si="16"/>
        <v>-1676870.5900000015</v>
      </c>
      <c r="AP35" s="21">
        <f t="shared" si="16"/>
        <v>-1096171.4599999983</v>
      </c>
      <c r="AQ35" s="21">
        <f t="shared" si="16"/>
        <v>-383726.46000000229</v>
      </c>
      <c r="AR35" s="21">
        <f t="shared" si="16"/>
        <v>2725438.5100000016</v>
      </c>
      <c r="AV35" s="236"/>
    </row>
    <row r="36" spans="1:48" s="4" customFormat="1" ht="14.4" x14ac:dyDescent="0.3">
      <c r="A36" s="255"/>
      <c r="B36" s="19" t="s">
        <v>8</v>
      </c>
      <c r="C36" s="30"/>
      <c r="D36" s="30"/>
      <c r="E36" s="21">
        <v>0</v>
      </c>
      <c r="F36" s="21">
        <v>0.81740457315000004</v>
      </c>
      <c r="G36" s="21">
        <v>-4.1120878401733671</v>
      </c>
      <c r="H36" s="21">
        <v>-72.888470503810979</v>
      </c>
      <c r="I36" s="21">
        <v>-100.53727091046454</v>
      </c>
      <c r="J36" s="21">
        <v>51.055640138452524</v>
      </c>
      <c r="K36" s="21">
        <v>195.04628353960507</v>
      </c>
      <c r="L36" s="21">
        <v>165.9908425098269</v>
      </c>
      <c r="M36" s="21">
        <v>209.91998739941698</v>
      </c>
      <c r="N36" s="21">
        <v>383.53972018736869</v>
      </c>
      <c r="O36" s="21">
        <v>337.36408653681991</v>
      </c>
      <c r="P36" s="21">
        <v>9076.6036423770038</v>
      </c>
      <c r="Q36" s="21">
        <v>10216.276345416782</v>
      </c>
      <c r="R36" s="21">
        <v>8686.3771002478079</v>
      </c>
      <c r="S36" s="21">
        <v>7314.3584137188782</v>
      </c>
      <c r="T36" s="21">
        <v>7856.1289780218758</v>
      </c>
      <c r="U36" s="21">
        <v>6862.6005905357752</v>
      </c>
      <c r="V36" s="21">
        <v>6374.4645350234823</v>
      </c>
      <c r="W36" s="21">
        <v>5398.8726272971644</v>
      </c>
      <c r="X36" s="21">
        <v>3668.3903488622923</v>
      </c>
      <c r="Y36" s="21">
        <v>2313.3890565334823</v>
      </c>
      <c r="Z36" s="21">
        <v>1092.2218515735174</v>
      </c>
      <c r="AA36" s="21">
        <v>-1730.0916849366415</v>
      </c>
      <c r="AB36" s="21">
        <v>-4351.5884484099142</v>
      </c>
      <c r="AC36" s="21">
        <v>-6849.9712319403661</v>
      </c>
      <c r="AD36" s="21">
        <v>-9906.2199792734245</v>
      </c>
      <c r="AE36" s="21">
        <v>-10518.596470181234</v>
      </c>
      <c r="AF36" s="21">
        <v>-8700.4568393734316</v>
      </c>
      <c r="AG36" s="21">
        <v>-4669.5918585107474</v>
      </c>
      <c r="AH36" s="21">
        <v>-791.3491249462927</v>
      </c>
      <c r="AI36" s="21">
        <v>993.01159523930812</v>
      </c>
      <c r="AJ36" s="21">
        <v>-361.67784872719307</v>
      </c>
      <c r="AK36" s="21">
        <v>-1403.27042635164</v>
      </c>
      <c r="AL36" s="21">
        <v>-2996.657001182999</v>
      </c>
      <c r="AM36" s="21">
        <v>-4836.4667881191972</v>
      </c>
      <c r="AN36" s="21">
        <v>-9325.6901584176212</v>
      </c>
      <c r="AO36" s="21">
        <v>-12687.750328235825</v>
      </c>
      <c r="AP36" s="21">
        <v>-14324.604336454917</v>
      </c>
      <c r="AQ36" s="21">
        <v>-15084.304300307596</v>
      </c>
      <c r="AR36" s="21">
        <v>-8657.226352239104</v>
      </c>
      <c r="AS36" s="106" t="s">
        <v>80</v>
      </c>
      <c r="AT36" s="106" t="s">
        <v>81</v>
      </c>
      <c r="AV36" s="236"/>
    </row>
    <row r="37" spans="1:48" s="4" customFormat="1" ht="14.4" x14ac:dyDescent="0.3">
      <c r="A37" s="255"/>
      <c r="B37" s="19" t="s">
        <v>27</v>
      </c>
      <c r="C37" s="30"/>
      <c r="D37" s="30"/>
      <c r="E37" s="21">
        <f>+E36</f>
        <v>0</v>
      </c>
      <c r="F37" s="16">
        <f>+E37+F36</f>
        <v>0.81740457315000004</v>
      </c>
      <c r="G37" s="16">
        <f t="shared" ref="G37:AR37" si="17">+F37+G36</f>
        <v>-3.294683267023367</v>
      </c>
      <c r="H37" s="16">
        <f t="shared" si="17"/>
        <v>-76.183153770834352</v>
      </c>
      <c r="I37" s="16">
        <f t="shared" si="17"/>
        <v>-176.72042468129888</v>
      </c>
      <c r="J37" s="16">
        <f t="shared" si="17"/>
        <v>-125.66478454284635</v>
      </c>
      <c r="K37" s="16">
        <f t="shared" si="17"/>
        <v>69.381498996758722</v>
      </c>
      <c r="L37" s="16">
        <f t="shared" si="17"/>
        <v>235.37234150658563</v>
      </c>
      <c r="M37" s="16">
        <f t="shared" si="17"/>
        <v>445.29232890600258</v>
      </c>
      <c r="N37" s="16">
        <f t="shared" si="17"/>
        <v>828.83204909337132</v>
      </c>
      <c r="O37" s="16">
        <f t="shared" si="17"/>
        <v>1166.1961356301913</v>
      </c>
      <c r="P37" s="16">
        <f t="shared" si="17"/>
        <v>10242.799778007195</v>
      </c>
      <c r="Q37" s="16">
        <f t="shared" si="17"/>
        <v>20459.076123423976</v>
      </c>
      <c r="R37" s="16">
        <f t="shared" si="17"/>
        <v>29145.453223671786</v>
      </c>
      <c r="S37" s="16">
        <f t="shared" si="17"/>
        <v>36459.811637390667</v>
      </c>
      <c r="T37" s="16">
        <f t="shared" si="17"/>
        <v>44315.940615412546</v>
      </c>
      <c r="U37" s="16">
        <f t="shared" si="17"/>
        <v>51178.541205948321</v>
      </c>
      <c r="V37" s="16">
        <f t="shared" si="17"/>
        <v>57553.005740971799</v>
      </c>
      <c r="W37" s="16">
        <f t="shared" si="17"/>
        <v>62951.878368268961</v>
      </c>
      <c r="X37" s="16">
        <f t="shared" si="17"/>
        <v>66620.268717131257</v>
      </c>
      <c r="Y37" s="16">
        <f t="shared" si="17"/>
        <v>68933.657773664745</v>
      </c>
      <c r="Z37" s="16">
        <f t="shared" si="17"/>
        <v>70025.87962523826</v>
      </c>
      <c r="AA37" s="16">
        <f t="shared" si="17"/>
        <v>68295.787940301612</v>
      </c>
      <c r="AB37" s="16">
        <f t="shared" si="17"/>
        <v>63944.199491891697</v>
      </c>
      <c r="AC37" s="16">
        <f t="shared" si="17"/>
        <v>57094.228259951327</v>
      </c>
      <c r="AD37" s="16">
        <f t="shared" si="17"/>
        <v>47188.008280677903</v>
      </c>
      <c r="AE37" s="16">
        <f t="shared" si="17"/>
        <v>36669.411810496669</v>
      </c>
      <c r="AF37" s="16">
        <f t="shared" si="17"/>
        <v>27968.954971123239</v>
      </c>
      <c r="AG37" s="16">
        <f t="shared" si="17"/>
        <v>23299.363112612493</v>
      </c>
      <c r="AH37" s="16">
        <f t="shared" si="17"/>
        <v>22508.0139876662</v>
      </c>
      <c r="AI37" s="16">
        <f t="shared" si="17"/>
        <v>23501.02558290551</v>
      </c>
      <c r="AJ37" s="16">
        <f t="shared" si="17"/>
        <v>23139.347734178318</v>
      </c>
      <c r="AK37" s="16">
        <f t="shared" si="17"/>
        <v>21736.077307826679</v>
      </c>
      <c r="AL37" s="16">
        <f t="shared" si="17"/>
        <v>18739.420306643682</v>
      </c>
      <c r="AM37" s="16">
        <f t="shared" si="17"/>
        <v>13902.953518524486</v>
      </c>
      <c r="AN37" s="16">
        <f t="shared" si="17"/>
        <v>4577.2633601068646</v>
      </c>
      <c r="AO37" s="16">
        <f t="shared" si="17"/>
        <v>-8110.4869681289601</v>
      </c>
      <c r="AP37" s="16">
        <f t="shared" si="17"/>
        <v>-22435.091304583875</v>
      </c>
      <c r="AQ37" s="16">
        <f t="shared" si="17"/>
        <v>-37519.39560489147</v>
      </c>
      <c r="AR37" s="16">
        <f t="shared" si="17"/>
        <v>-46176.62195713057</v>
      </c>
      <c r="AS37" s="107">
        <f>+'MEEIA 2 calcs'!AR22</f>
        <v>-36524.301393109679</v>
      </c>
      <c r="AT37" s="108">
        <f>+AR37-AS37</f>
        <v>-9652.3205640208907</v>
      </c>
      <c r="AV37" s="236"/>
    </row>
    <row r="38" spans="1:48" s="4" customFormat="1" ht="14.4" x14ac:dyDescent="0.3">
      <c r="A38" s="255"/>
      <c r="B38" s="18" t="s">
        <v>14</v>
      </c>
      <c r="C38" s="26"/>
      <c r="D38" s="26"/>
      <c r="E38" s="21">
        <f>+E35+E36</f>
        <v>0</v>
      </c>
      <c r="F38" s="21">
        <f t="shared" ref="F38:AR38" si="18">+F35+F36</f>
        <v>1316.4374045731499</v>
      </c>
      <c r="G38" s="21">
        <f t="shared" si="18"/>
        <v>-7849.4520878401736</v>
      </c>
      <c r="H38" s="21">
        <f t="shared" si="18"/>
        <v>-133190.34847050384</v>
      </c>
      <c r="I38" s="21">
        <f t="shared" si="18"/>
        <v>-52168.077270910442</v>
      </c>
      <c r="J38" s="21">
        <f t="shared" si="18"/>
        <v>272075.23564013833</v>
      </c>
      <c r="K38" s="21">
        <f t="shared" si="18"/>
        <v>229829.94628353947</v>
      </c>
      <c r="L38" s="21">
        <f t="shared" si="18"/>
        <v>-47815.559157490046</v>
      </c>
      <c r="M38" s="21">
        <f t="shared" si="18"/>
        <v>67666.429987399315</v>
      </c>
      <c r="N38" s="21">
        <f t="shared" si="18"/>
        <v>148845.41972018738</v>
      </c>
      <c r="O38" s="21">
        <f t="shared" si="18"/>
        <v>-28553.885913463062</v>
      </c>
      <c r="P38" s="21">
        <f t="shared" si="18"/>
        <v>-672987.02635762293</v>
      </c>
      <c r="Q38" s="21">
        <f t="shared" si="18"/>
        <v>-449082.39365458314</v>
      </c>
      <c r="R38" s="21">
        <f t="shared" si="18"/>
        <v>-655771.47289975185</v>
      </c>
      <c r="S38" s="21">
        <f t="shared" si="18"/>
        <v>-508212.80158628151</v>
      </c>
      <c r="T38" s="21">
        <f t="shared" si="18"/>
        <v>217199.66897802192</v>
      </c>
      <c r="U38" s="21">
        <f t="shared" si="18"/>
        <v>607228.330590536</v>
      </c>
      <c r="V38" s="21">
        <f t="shared" si="18"/>
        <v>716417.22453502321</v>
      </c>
      <c r="W38" s="21">
        <f t="shared" si="18"/>
        <v>467465.12262729765</v>
      </c>
      <c r="X38" s="21">
        <f t="shared" si="18"/>
        <v>-333613.40965113789</v>
      </c>
      <c r="Y38" s="21">
        <f t="shared" si="18"/>
        <v>-123259.86094346675</v>
      </c>
      <c r="Z38" s="21">
        <f t="shared" si="18"/>
        <v>-40648.218148425731</v>
      </c>
      <c r="AA38" s="21">
        <f t="shared" si="18"/>
        <v>-382661.26168493752</v>
      </c>
      <c r="AB38" s="21">
        <f t="shared" si="18"/>
        <v>-1881265.7384484108</v>
      </c>
      <c r="AC38" s="21">
        <f t="shared" si="18"/>
        <v>-1234900.2012319411</v>
      </c>
      <c r="AD38" s="21">
        <f t="shared" si="18"/>
        <v>-1229857.3399792747</v>
      </c>
      <c r="AE38" s="21">
        <f t="shared" si="18"/>
        <v>-682211.19647018181</v>
      </c>
      <c r="AF38" s="21">
        <f t="shared" si="18"/>
        <v>1057080.3131606285</v>
      </c>
      <c r="AG38" s="21">
        <f t="shared" si="18"/>
        <v>2096581.5581414886</v>
      </c>
      <c r="AH38" s="21">
        <f t="shared" si="18"/>
        <v>1874797.8908750548</v>
      </c>
      <c r="AI38" s="21">
        <f t="shared" si="18"/>
        <v>816481.30159523932</v>
      </c>
      <c r="AJ38" s="21">
        <f t="shared" si="18"/>
        <v>-782628.14784872695</v>
      </c>
      <c r="AK38" s="21">
        <f t="shared" si="18"/>
        <v>-576342.97042635351</v>
      </c>
      <c r="AL38" s="21">
        <f t="shared" si="18"/>
        <v>-737834.41700118233</v>
      </c>
      <c r="AM38" s="21">
        <f t="shared" si="18"/>
        <v>-824597.48678811826</v>
      </c>
      <c r="AN38" s="21">
        <f t="shared" si="18"/>
        <v>-2103307.5001584161</v>
      </c>
      <c r="AO38" s="21">
        <f t="shared" si="18"/>
        <v>-1689558.3403282373</v>
      </c>
      <c r="AP38" s="21">
        <f t="shared" si="18"/>
        <v>-1110496.0643364533</v>
      </c>
      <c r="AQ38" s="21">
        <f t="shared" si="18"/>
        <v>-398810.76430030988</v>
      </c>
      <c r="AR38" s="21">
        <f t="shared" si="18"/>
        <v>2716781.2836477626</v>
      </c>
      <c r="AV38" s="236"/>
    </row>
    <row r="39" spans="1:48" s="5" customFormat="1" ht="14.4" x14ac:dyDescent="0.3">
      <c r="A39" s="255"/>
      <c r="B39" s="20" t="s">
        <v>2</v>
      </c>
      <c r="C39" s="28"/>
      <c r="D39" s="28"/>
      <c r="E39" s="21">
        <f>+D39+E38</f>
        <v>0</v>
      </c>
      <c r="F39" s="21">
        <f t="shared" ref="F39:O39" si="19">+E39+F38</f>
        <v>1316.4374045731499</v>
      </c>
      <c r="G39" s="21">
        <f t="shared" si="19"/>
        <v>-6533.0146832670234</v>
      </c>
      <c r="H39" s="21">
        <f t="shared" si="19"/>
        <v>-139723.36315377086</v>
      </c>
      <c r="I39" s="21">
        <f t="shared" si="19"/>
        <v>-191891.44042468129</v>
      </c>
      <c r="J39" s="21">
        <f t="shared" si="19"/>
        <v>80183.795215457038</v>
      </c>
      <c r="K39" s="21">
        <f t="shared" si="19"/>
        <v>310013.7414989965</v>
      </c>
      <c r="L39" s="21">
        <f t="shared" si="19"/>
        <v>262198.18234150647</v>
      </c>
      <c r="M39" s="21">
        <f t="shared" si="19"/>
        <v>329864.61232890579</v>
      </c>
      <c r="N39" s="21">
        <f t="shared" si="19"/>
        <v>478710.03204909316</v>
      </c>
      <c r="O39" s="21">
        <f t="shared" si="19"/>
        <v>450156.14613563009</v>
      </c>
      <c r="P39" s="21">
        <f>+O39+P38+P30+P33</f>
        <v>12111214.793478381</v>
      </c>
      <c r="Q39" s="21">
        <f t="shared" ref="Q39:AR39" si="20">+P39+Q38+Q30+Q33</f>
        <v>10670678.549823798</v>
      </c>
      <c r="R39" s="21">
        <f t="shared" si="20"/>
        <v>9072732.0469240472</v>
      </c>
      <c r="S39" s="21">
        <f t="shared" si="20"/>
        <v>7639688.355337766</v>
      </c>
      <c r="T39" s="21">
        <f t="shared" si="20"/>
        <v>6693923.3443157878</v>
      </c>
      <c r="U39" s="21">
        <f t="shared" si="20"/>
        <v>5923535.1649063239</v>
      </c>
      <c r="V39" s="21">
        <f t="shared" si="20"/>
        <v>5220745.6894413466</v>
      </c>
      <c r="W39" s="21">
        <f t="shared" si="20"/>
        <v>4478750.0520686442</v>
      </c>
      <c r="X39" s="21">
        <f t="shared" si="20"/>
        <v>3037840.8424175065</v>
      </c>
      <c r="Y39" s="21">
        <f t="shared" si="20"/>
        <v>1926304.4514740396</v>
      </c>
      <c r="Z39" s="21">
        <f t="shared" si="20"/>
        <v>740103.17332561384</v>
      </c>
      <c r="AA39" s="21">
        <f t="shared" si="20"/>
        <v>-1212017.4683593237</v>
      </c>
      <c r="AB39" s="21">
        <f t="shared" si="20"/>
        <v>-2861652.5768077346</v>
      </c>
      <c r="AC39" s="21">
        <f t="shared" si="20"/>
        <v>-4008885.7980396757</v>
      </c>
      <c r="AD39" s="21">
        <f t="shared" si="20"/>
        <v>-5153331.5180189507</v>
      </c>
      <c r="AE39" s="21">
        <f t="shared" si="20"/>
        <v>-5751079.1144891325</v>
      </c>
      <c r="AF39" s="21">
        <f t="shared" si="20"/>
        <v>-4588770.1313285045</v>
      </c>
      <c r="AG39" s="21">
        <f t="shared" si="20"/>
        <v>-2392018.0231870161</v>
      </c>
      <c r="AH39" s="21">
        <f t="shared" si="20"/>
        <v>-409151.27231196139</v>
      </c>
      <c r="AI39" s="21">
        <f t="shared" si="20"/>
        <v>512643.22928327788</v>
      </c>
      <c r="AJ39" s="21">
        <f t="shared" si="20"/>
        <v>-176975.62856544909</v>
      </c>
      <c r="AK39" s="21">
        <f t="shared" si="20"/>
        <v>-667745.65899180272</v>
      </c>
      <c r="AL39" s="21">
        <f t="shared" si="20"/>
        <v>-1308455.0959929852</v>
      </c>
      <c r="AM39" s="21">
        <f t="shared" si="20"/>
        <v>-2027267.4727811036</v>
      </c>
      <c r="AN39" s="21">
        <f t="shared" si="20"/>
        <v>-3949215.7229395197</v>
      </c>
      <c r="AO39" s="21">
        <f t="shared" si="20"/>
        <v>-5474061.7632677574</v>
      </c>
      <c r="AP39" s="21">
        <f t="shared" si="20"/>
        <v>-6471032.367604211</v>
      </c>
      <c r="AQ39" s="21">
        <f t="shared" si="20"/>
        <v>-6775907.801904521</v>
      </c>
      <c r="AR39" s="21">
        <f t="shared" si="20"/>
        <v>-3928826.3482567584</v>
      </c>
      <c r="AV39" s="237"/>
    </row>
    <row r="40" spans="1:48" ht="14.4" x14ac:dyDescent="0.3"/>
    <row r="41" spans="1:48" ht="14.4" x14ac:dyDescent="0.3">
      <c r="A41" s="39" t="s">
        <v>38</v>
      </c>
      <c r="B41" s="39"/>
      <c r="C41" s="34"/>
      <c r="D41" s="34"/>
      <c r="E41" s="105" t="s">
        <v>79</v>
      </c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</row>
    <row r="42" spans="1:48" ht="14.4" x14ac:dyDescent="0.3">
      <c r="A42" s="40" t="s">
        <v>33</v>
      </c>
      <c r="C42" s="41"/>
      <c r="D42" s="41"/>
      <c r="E42" s="45">
        <v>0</v>
      </c>
      <c r="F42" s="45">
        <v>1315.62</v>
      </c>
      <c r="G42" s="45">
        <v>10863.39</v>
      </c>
      <c r="H42" s="45">
        <v>131166.53999999998</v>
      </c>
      <c r="I42" s="45">
        <v>387036.02</v>
      </c>
      <c r="J42" s="45">
        <v>954427.99</v>
      </c>
      <c r="K42" s="45">
        <v>1422347.46</v>
      </c>
      <c r="L42" s="45">
        <v>1541935.33</v>
      </c>
      <c r="M42" s="45">
        <v>1724075.76</v>
      </c>
      <c r="N42" s="45">
        <v>2021006.24</v>
      </c>
      <c r="O42" s="45">
        <v>2345067.64</v>
      </c>
      <c r="P42" s="45">
        <v>2665179.0900000003</v>
      </c>
      <c r="Q42" s="45">
        <v>2980723.6900000004</v>
      </c>
      <c r="R42" s="45">
        <v>3131477.4300000006</v>
      </c>
      <c r="S42" s="45">
        <v>3331069.0200000005</v>
      </c>
      <c r="T42" s="45">
        <v>4201806.9000000004</v>
      </c>
      <c r="U42" s="45">
        <v>5473047.7200000007</v>
      </c>
      <c r="V42" s="45">
        <v>6865154.2600000007</v>
      </c>
      <c r="W42" s="45">
        <v>7768433.6700000009</v>
      </c>
      <c r="X42" s="46">
        <v>8046566.0200000005</v>
      </c>
      <c r="Y42" s="46">
        <v>8430171.9900000002</v>
      </c>
      <c r="Z42" s="46">
        <v>8973651.790000001</v>
      </c>
      <c r="AA42" s="46">
        <v>9526672.7300000004</v>
      </c>
      <c r="AB42" s="46">
        <v>10016175.68</v>
      </c>
      <c r="AC42" s="46">
        <v>10476907.279999999</v>
      </c>
      <c r="AD42" s="46">
        <v>10845217.629999999</v>
      </c>
      <c r="AE42" s="46">
        <v>11326489.399999999</v>
      </c>
      <c r="AF42" s="46">
        <v>13319448.119999999</v>
      </c>
      <c r="AG42" s="46">
        <v>16025105.289999999</v>
      </c>
      <c r="AH42" s="46">
        <v>18630918.66</v>
      </c>
      <c r="AI42" s="46">
        <v>20159549.379999999</v>
      </c>
      <c r="AJ42" s="46">
        <v>20538767.649999999</v>
      </c>
      <c r="AK42" s="46">
        <v>21025291.689999998</v>
      </c>
      <c r="AL42" s="46">
        <v>21687799.919999998</v>
      </c>
      <c r="AM42" s="46">
        <v>22350456.27</v>
      </c>
      <c r="AN42" s="46">
        <v>22942873.07</v>
      </c>
      <c r="AO42" s="46">
        <v>23494830.52</v>
      </c>
      <c r="AP42" s="46">
        <v>23930455.640000001</v>
      </c>
      <c r="AQ42" s="46">
        <v>24520866.27</v>
      </c>
      <c r="AR42" s="46">
        <v>27144259.460000001</v>
      </c>
    </row>
    <row r="43" spans="1:48" ht="14.4" x14ac:dyDescent="0.3">
      <c r="A43" s="40" t="s">
        <v>34</v>
      </c>
      <c r="C43" s="41"/>
      <c r="D43" s="41"/>
      <c r="E43" s="45">
        <v>0</v>
      </c>
      <c r="F43" s="45">
        <v>0</v>
      </c>
      <c r="G43" s="45">
        <v>0</v>
      </c>
      <c r="H43" s="45">
        <v>4137.67</v>
      </c>
      <c r="I43" s="45">
        <v>17379.89</v>
      </c>
      <c r="J43" s="45">
        <v>31710.98</v>
      </c>
      <c r="K43" s="45">
        <v>53901.279999999999</v>
      </c>
      <c r="L43" s="45">
        <v>77392.58</v>
      </c>
      <c r="M43" s="45">
        <v>104809.43</v>
      </c>
      <c r="N43" s="45">
        <v>141632.76</v>
      </c>
      <c r="O43" s="45">
        <v>189180.89</v>
      </c>
      <c r="P43" s="45">
        <v>231631.52000000002</v>
      </c>
      <c r="Q43" s="45">
        <v>284317.06</v>
      </c>
      <c r="R43" s="45">
        <v>308249.02</v>
      </c>
      <c r="S43" s="45">
        <v>353276.86</v>
      </c>
      <c r="T43" s="45">
        <v>437936.68</v>
      </c>
      <c r="U43" s="45">
        <v>570057.93999999994</v>
      </c>
      <c r="V43" s="45">
        <v>694339.08</v>
      </c>
      <c r="W43" s="45">
        <v>837878.04999999993</v>
      </c>
      <c r="X43" s="46">
        <v>948910.29999999993</v>
      </c>
      <c r="Y43" s="46">
        <v>1055083.5899999999</v>
      </c>
      <c r="Z43" s="46">
        <v>1178710.0299999998</v>
      </c>
      <c r="AA43" s="46">
        <v>1324771.1099999999</v>
      </c>
      <c r="AB43" s="46">
        <v>1450947.7499999998</v>
      </c>
      <c r="AC43" s="46">
        <v>1608620.2299999997</v>
      </c>
      <c r="AD43" s="46">
        <v>1789739.7799999998</v>
      </c>
      <c r="AE43" s="46">
        <v>2044452.3199999998</v>
      </c>
      <c r="AF43" s="46">
        <v>2426232.96</v>
      </c>
      <c r="AG43" s="46">
        <v>2956688.29</v>
      </c>
      <c r="AH43" s="46">
        <v>3400127.59</v>
      </c>
      <c r="AI43" s="46">
        <v>3902289.12</v>
      </c>
      <c r="AJ43" s="46">
        <v>4245964.8900000006</v>
      </c>
      <c r="AK43" s="46">
        <v>4556973.95</v>
      </c>
      <c r="AL43" s="46">
        <v>4900967.08</v>
      </c>
      <c r="AM43" s="46">
        <v>5271737.41</v>
      </c>
      <c r="AN43" s="46">
        <v>5586511.8100000005</v>
      </c>
      <c r="AO43" s="46">
        <v>5965803.6600000001</v>
      </c>
      <c r="AP43" s="46">
        <v>6353214.2999999998</v>
      </c>
      <c r="AQ43" s="46">
        <v>6845511.75</v>
      </c>
      <c r="AR43" s="46">
        <v>7542708.96</v>
      </c>
    </row>
    <row r="44" spans="1:48" ht="14.4" x14ac:dyDescent="0.3">
      <c r="A44" s="40" t="s">
        <v>35</v>
      </c>
      <c r="C44" s="41"/>
      <c r="D44" s="41"/>
      <c r="E44" s="45">
        <v>0</v>
      </c>
      <c r="F44" s="45">
        <v>0</v>
      </c>
      <c r="G44" s="45">
        <v>0</v>
      </c>
      <c r="H44" s="45">
        <v>6869.5</v>
      </c>
      <c r="I44" s="45">
        <v>31303.59</v>
      </c>
      <c r="J44" s="45">
        <v>64748.7</v>
      </c>
      <c r="K44" s="45">
        <v>121255.72</v>
      </c>
      <c r="L44" s="45">
        <v>169552.81</v>
      </c>
      <c r="M44" s="45">
        <v>225508.91</v>
      </c>
      <c r="N44" s="45">
        <v>301145.52</v>
      </c>
      <c r="O44" s="45">
        <v>398580.96</v>
      </c>
      <c r="P44" s="45">
        <v>490208.33</v>
      </c>
      <c r="Q44" s="45">
        <v>604857.14</v>
      </c>
      <c r="R44" s="45">
        <v>666314.65</v>
      </c>
      <c r="S44" s="45">
        <v>770470.61</v>
      </c>
      <c r="T44" s="45">
        <v>994805.05</v>
      </c>
      <c r="U44" s="45">
        <v>1330352.24</v>
      </c>
      <c r="V44" s="45">
        <v>1652784.7</v>
      </c>
      <c r="W44" s="45">
        <v>2007406.74</v>
      </c>
      <c r="X44" s="46">
        <v>2239872.39</v>
      </c>
      <c r="Y44" s="46">
        <v>2463589.64</v>
      </c>
      <c r="Z44" s="46">
        <v>2730371.64</v>
      </c>
      <c r="AA44" s="46">
        <v>3042506.19</v>
      </c>
      <c r="AB44" s="46">
        <v>3314030.7199999997</v>
      </c>
      <c r="AC44" s="46">
        <v>3633532.4899999998</v>
      </c>
      <c r="AD44" s="46">
        <v>3968022.1199999996</v>
      </c>
      <c r="AE44" s="46">
        <v>4418193.97</v>
      </c>
      <c r="AF44" s="46">
        <v>5292598.74</v>
      </c>
      <c r="AG44" s="46">
        <v>6473842.0099999998</v>
      </c>
      <c r="AH44" s="46">
        <v>7487104.5899999999</v>
      </c>
      <c r="AI44" s="46">
        <v>8491574.9000000004</v>
      </c>
      <c r="AJ44" s="46">
        <v>9047137.040000001</v>
      </c>
      <c r="AK44" s="46">
        <v>9551899.1300000008</v>
      </c>
      <c r="AL44" s="46">
        <v>10140818.360000001</v>
      </c>
      <c r="AM44" s="46">
        <v>10806286.970000001</v>
      </c>
      <c r="AN44" s="46">
        <v>11396408.860000001</v>
      </c>
      <c r="AO44" s="46">
        <v>12084453.48</v>
      </c>
      <c r="AP44" s="46">
        <v>12758882.860000001</v>
      </c>
      <c r="AQ44" s="46">
        <v>13617205.550000001</v>
      </c>
      <c r="AR44" s="46">
        <v>15282414.110000001</v>
      </c>
    </row>
    <row r="45" spans="1:48" ht="14.4" x14ac:dyDescent="0.3">
      <c r="A45" s="40" t="s">
        <v>36</v>
      </c>
      <c r="C45" s="41"/>
      <c r="D45" s="41"/>
      <c r="E45" s="45">
        <v>0</v>
      </c>
      <c r="F45" s="45">
        <v>0</v>
      </c>
      <c r="G45" s="45">
        <v>0</v>
      </c>
      <c r="H45" s="45">
        <v>526.23</v>
      </c>
      <c r="I45" s="45">
        <v>2233.4700000000003</v>
      </c>
      <c r="J45" s="45">
        <v>4262.4400000000005</v>
      </c>
      <c r="K45" s="45">
        <v>8761.7000000000007</v>
      </c>
      <c r="L45" s="45">
        <v>13045.740000000002</v>
      </c>
      <c r="M45" s="45">
        <v>20273.660000000003</v>
      </c>
      <c r="N45" s="45">
        <v>37885.900000000009</v>
      </c>
      <c r="O45" s="45">
        <v>65178.16</v>
      </c>
      <c r="P45" s="45">
        <v>88883.11</v>
      </c>
      <c r="Q45" s="45">
        <v>117758.75</v>
      </c>
      <c r="R45" s="45">
        <v>128287.45</v>
      </c>
      <c r="S45" s="45">
        <v>156969.91999999998</v>
      </c>
      <c r="T45" s="45">
        <v>283745.70999999996</v>
      </c>
      <c r="U45" s="45">
        <v>460465.1</v>
      </c>
      <c r="V45" s="45">
        <v>676481.38</v>
      </c>
      <c r="W45" s="45">
        <v>878807.12</v>
      </c>
      <c r="X45" s="46">
        <v>979154.54</v>
      </c>
      <c r="Y45" s="46">
        <v>1074451.24</v>
      </c>
      <c r="Z45" s="46">
        <v>1186616.24</v>
      </c>
      <c r="AA45" s="46">
        <v>1315454.6599999999</v>
      </c>
      <c r="AB45" s="46">
        <v>1428559.95</v>
      </c>
      <c r="AC45" s="46">
        <v>1557915.5699999998</v>
      </c>
      <c r="AD45" s="46">
        <v>1686488.2399999998</v>
      </c>
      <c r="AE45" s="46">
        <v>1862900.9999999998</v>
      </c>
      <c r="AF45" s="46">
        <v>2278664.34</v>
      </c>
      <c r="AG45" s="46">
        <v>2813126</v>
      </c>
      <c r="AH45" s="46">
        <v>3289771.59</v>
      </c>
      <c r="AI45" s="46">
        <v>3697831.11</v>
      </c>
      <c r="AJ45" s="46">
        <v>3900717.4</v>
      </c>
      <c r="AK45" s="46">
        <v>4087079.7399999998</v>
      </c>
      <c r="AL45" s="46">
        <v>4305525.0999999996</v>
      </c>
      <c r="AM45" s="46">
        <v>4552393.01</v>
      </c>
      <c r="AN45" s="46">
        <v>4778787.0999999996</v>
      </c>
      <c r="AO45" s="46">
        <v>5045402.72</v>
      </c>
      <c r="AP45" s="46">
        <v>5300788.51</v>
      </c>
      <c r="AQ45" s="46">
        <v>5635365.4399999995</v>
      </c>
      <c r="AR45" s="46">
        <v>6411912.9499999993</v>
      </c>
    </row>
    <row r="46" spans="1:48" ht="14.4" x14ac:dyDescent="0.3">
      <c r="A46" s="40" t="s">
        <v>37</v>
      </c>
      <c r="C46" s="41"/>
      <c r="D46" s="41"/>
      <c r="E46" s="45">
        <v>0</v>
      </c>
      <c r="F46" s="45">
        <v>0</v>
      </c>
      <c r="G46" s="45">
        <v>0</v>
      </c>
      <c r="H46" s="45">
        <v>0</v>
      </c>
      <c r="I46" s="45">
        <v>360.22</v>
      </c>
      <c r="J46" s="45">
        <v>1610.72</v>
      </c>
      <c r="K46" s="45">
        <v>3708.4399999999996</v>
      </c>
      <c r="L46" s="45">
        <v>5556.58</v>
      </c>
      <c r="M46" s="45">
        <v>7842.59</v>
      </c>
      <c r="N46" s="45">
        <v>10918.86</v>
      </c>
      <c r="O46" s="45">
        <v>16615.46</v>
      </c>
      <c r="P46" s="45">
        <v>22758.07</v>
      </c>
      <c r="Q46" s="45">
        <v>31593.03</v>
      </c>
      <c r="R46" s="45">
        <v>39281.5</v>
      </c>
      <c r="S46" s="45">
        <v>50126.66</v>
      </c>
      <c r="T46" s="45">
        <v>70160.39</v>
      </c>
      <c r="U46" s="45">
        <v>99498.43</v>
      </c>
      <c r="V46" s="45">
        <v>125723.48999999999</v>
      </c>
      <c r="W46" s="45">
        <v>151515.57</v>
      </c>
      <c r="X46" s="46">
        <v>170427.22</v>
      </c>
      <c r="Y46" s="46">
        <v>188562.65</v>
      </c>
      <c r="Z46" s="46">
        <v>208655.59</v>
      </c>
      <c r="AA46" s="46">
        <v>231472.88999999998</v>
      </c>
      <c r="AB46" s="46">
        <v>251997.65999999997</v>
      </c>
      <c r="AC46" s="46">
        <v>274863.21999999997</v>
      </c>
      <c r="AD46" s="46">
        <v>298818.81999999995</v>
      </c>
      <c r="AE46" s="46">
        <v>331875.56999999995</v>
      </c>
      <c r="AF46" s="46">
        <v>404071.67999999993</v>
      </c>
      <c r="AG46" s="46">
        <v>500160.08999999997</v>
      </c>
      <c r="AH46" s="46">
        <v>581014.66999999993</v>
      </c>
      <c r="AI46" s="46">
        <v>646771.12999999989</v>
      </c>
      <c r="AJ46" s="46">
        <v>682335.71999999986</v>
      </c>
      <c r="AK46" s="46">
        <v>715657.68999999983</v>
      </c>
      <c r="AL46" s="46">
        <v>756057.14999999979</v>
      </c>
      <c r="AM46" s="46">
        <v>803044.9099999998</v>
      </c>
      <c r="AN46" s="46">
        <v>850516.91999999981</v>
      </c>
      <c r="AO46" s="46">
        <v>903405.12999999977</v>
      </c>
      <c r="AP46" s="46">
        <v>953931.43999999971</v>
      </c>
      <c r="AQ46" s="46">
        <v>1023538.6499999997</v>
      </c>
      <c r="AR46" s="46">
        <v>1212863.4699999997</v>
      </c>
    </row>
    <row r="47" spans="1:48" ht="14.4" x14ac:dyDescent="0.3">
      <c r="A47" s="40" t="s">
        <v>29</v>
      </c>
      <c r="C47" s="41"/>
      <c r="D47" s="41"/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1868.8500000000001</v>
      </c>
      <c r="K47" s="45">
        <v>4053.29</v>
      </c>
      <c r="L47" s="45">
        <v>5059.2199999999993</v>
      </c>
      <c r="M47" s="45">
        <v>7508.869999999999</v>
      </c>
      <c r="N47" s="45">
        <v>12297.34</v>
      </c>
      <c r="O47" s="45">
        <v>18722.91</v>
      </c>
      <c r="P47" s="45">
        <v>25431.389999999996</v>
      </c>
      <c r="Q47" s="45">
        <v>32318.059999999998</v>
      </c>
      <c r="R47" s="45">
        <v>36911.199999999997</v>
      </c>
      <c r="S47" s="45">
        <v>42919.069999999992</v>
      </c>
      <c r="T47" s="45">
        <v>58636.82</v>
      </c>
      <c r="U47" s="45">
        <v>76159.05</v>
      </c>
      <c r="V47" s="45">
        <v>95963.299999999988</v>
      </c>
      <c r="W47" s="45">
        <v>116157.13999999998</v>
      </c>
      <c r="X47" s="46">
        <v>126888.96999999999</v>
      </c>
      <c r="Y47" s="46">
        <v>141420.74</v>
      </c>
      <c r="Z47" s="46">
        <v>160909.37999999995</v>
      </c>
      <c r="AA47" s="46">
        <v>181160.15999999997</v>
      </c>
      <c r="AB47" s="46">
        <v>201561.77999999997</v>
      </c>
      <c r="AC47" s="46">
        <v>224861.17999999996</v>
      </c>
      <c r="AD47" s="46">
        <v>245754.5</v>
      </c>
      <c r="AE47" s="46">
        <v>270978.73999999993</v>
      </c>
      <c r="AF47" s="46">
        <v>332977.51</v>
      </c>
      <c r="AG47" s="46">
        <v>413877.85</v>
      </c>
      <c r="AH47" s="46">
        <v>491349.19999999995</v>
      </c>
      <c r="AI47" s="46">
        <v>559548.25</v>
      </c>
      <c r="AJ47" s="46">
        <v>594952.58000000007</v>
      </c>
      <c r="AK47" s="46">
        <v>633938.96</v>
      </c>
      <c r="AL47" s="46">
        <v>682172.33</v>
      </c>
      <c r="AM47" s="46">
        <v>733968.09999999986</v>
      </c>
      <c r="AN47" s="46">
        <v>782012.6399999999</v>
      </c>
      <c r="AO47" s="46">
        <v>835173.21</v>
      </c>
      <c r="AP47" s="46">
        <v>883852.3</v>
      </c>
      <c r="AQ47" s="46">
        <v>942837.01</v>
      </c>
      <c r="AR47" s="46">
        <v>1071794.97</v>
      </c>
    </row>
    <row r="48" spans="1:48" ht="14.4" x14ac:dyDescent="0.3">
      <c r="A48" s="35" t="s">
        <v>31</v>
      </c>
      <c r="B48" s="35"/>
      <c r="C48" s="33"/>
      <c r="D48" s="33"/>
      <c r="E48" s="48">
        <f>SUM(E42:E47)</f>
        <v>0</v>
      </c>
      <c r="F48" s="48">
        <f t="shared" ref="F48:AR48" si="21">SUM(F42:F47)</f>
        <v>1315.62</v>
      </c>
      <c r="G48" s="48">
        <f t="shared" si="21"/>
        <v>10863.39</v>
      </c>
      <c r="H48" s="48">
        <f t="shared" si="21"/>
        <v>142699.94</v>
      </c>
      <c r="I48" s="48">
        <f t="shared" si="21"/>
        <v>438313.19</v>
      </c>
      <c r="J48" s="48">
        <f t="shared" si="21"/>
        <v>1058629.68</v>
      </c>
      <c r="K48" s="48">
        <f t="shared" si="21"/>
        <v>1614027.89</v>
      </c>
      <c r="L48" s="48">
        <f t="shared" si="21"/>
        <v>1812542.2600000002</v>
      </c>
      <c r="M48" s="48">
        <f t="shared" si="21"/>
        <v>2090019.22</v>
      </c>
      <c r="N48" s="48">
        <f t="shared" si="21"/>
        <v>2524886.6199999996</v>
      </c>
      <c r="O48" s="48">
        <f t="shared" si="21"/>
        <v>3033346.0200000005</v>
      </c>
      <c r="P48" s="48">
        <f t="shared" si="21"/>
        <v>3524091.5100000002</v>
      </c>
      <c r="Q48" s="48">
        <f t="shared" si="21"/>
        <v>4051567.7300000004</v>
      </c>
      <c r="R48" s="48">
        <f t="shared" si="21"/>
        <v>4310521.2500000009</v>
      </c>
      <c r="S48" s="48">
        <f t="shared" si="21"/>
        <v>4704832.1400000006</v>
      </c>
      <c r="T48" s="48">
        <f t="shared" si="21"/>
        <v>6047091.5499999998</v>
      </c>
      <c r="U48" s="48">
        <f t="shared" si="21"/>
        <v>8009580.4799999995</v>
      </c>
      <c r="V48" s="48">
        <f t="shared" si="21"/>
        <v>10110446.210000003</v>
      </c>
      <c r="W48" s="48">
        <f t="shared" si="21"/>
        <v>11760198.290000001</v>
      </c>
      <c r="X48" s="48">
        <f t="shared" si="21"/>
        <v>12511819.440000001</v>
      </c>
      <c r="Y48" s="48">
        <f t="shared" si="21"/>
        <v>13353279.850000001</v>
      </c>
      <c r="Z48" s="48">
        <f t="shared" si="21"/>
        <v>14438914.670000002</v>
      </c>
      <c r="AA48" s="48">
        <f t="shared" si="21"/>
        <v>15622037.74</v>
      </c>
      <c r="AB48" s="48">
        <f t="shared" si="21"/>
        <v>16663273.539999997</v>
      </c>
      <c r="AC48" s="48">
        <f t="shared" si="21"/>
        <v>17776699.969999999</v>
      </c>
      <c r="AD48" s="48">
        <f t="shared" si="21"/>
        <v>18834041.089999996</v>
      </c>
      <c r="AE48" s="48">
        <f t="shared" si="21"/>
        <v>20254890.999999996</v>
      </c>
      <c r="AF48" s="48">
        <f t="shared" si="21"/>
        <v>24053993.350000001</v>
      </c>
      <c r="AG48" s="48">
        <f t="shared" si="21"/>
        <v>29182799.529999997</v>
      </c>
      <c r="AH48" s="48">
        <f t="shared" si="21"/>
        <v>33880286.300000004</v>
      </c>
      <c r="AI48" s="48">
        <f t="shared" si="21"/>
        <v>37457563.890000001</v>
      </c>
      <c r="AJ48" s="48">
        <f t="shared" si="21"/>
        <v>39009875.279999994</v>
      </c>
      <c r="AK48" s="48">
        <f t="shared" si="21"/>
        <v>40570841.159999996</v>
      </c>
      <c r="AL48" s="48">
        <f t="shared" si="21"/>
        <v>42473339.939999998</v>
      </c>
      <c r="AM48" s="48">
        <f t="shared" si="21"/>
        <v>44517886.669999994</v>
      </c>
      <c r="AN48" s="48">
        <f t="shared" si="21"/>
        <v>46337110.400000006</v>
      </c>
      <c r="AO48" s="48">
        <f t="shared" si="21"/>
        <v>48329068.719999999</v>
      </c>
      <c r="AP48" s="48">
        <f t="shared" si="21"/>
        <v>50181125.049999997</v>
      </c>
      <c r="AQ48" s="48">
        <f t="shared" si="21"/>
        <v>52585324.669999994</v>
      </c>
      <c r="AR48" s="48">
        <f t="shared" si="21"/>
        <v>58665953.920000002</v>
      </c>
    </row>
    <row r="49" spans="1:44" ht="14.4" x14ac:dyDescent="0.3">
      <c r="A49" s="40"/>
      <c r="C49" s="41"/>
      <c r="D49" s="41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</row>
    <row r="50" spans="1:44" ht="14.4" x14ac:dyDescent="0.3">
      <c r="A50" s="39" t="s">
        <v>39</v>
      </c>
      <c r="B50" s="39"/>
      <c r="C50" s="41"/>
      <c r="D50" s="41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</row>
    <row r="51" spans="1:44" ht="14.4" x14ac:dyDescent="0.3">
      <c r="A51" s="42" t="s">
        <v>33</v>
      </c>
      <c r="B51" s="42"/>
      <c r="C51" s="41"/>
      <c r="D51" s="41"/>
      <c r="E51" s="49">
        <f>E42-D42</f>
        <v>0</v>
      </c>
      <c r="F51" s="49">
        <f>IF(F42="","",F42-E42)</f>
        <v>1315.62</v>
      </c>
      <c r="G51" s="49">
        <f>IF(G42="","",G42-F42)</f>
        <v>9547.77</v>
      </c>
      <c r="H51" s="49">
        <f t="shared" ref="H51:AR56" si="22">IF(H42="","",H42-G42)</f>
        <v>120303.14999999998</v>
      </c>
      <c r="I51" s="49">
        <f t="shared" si="22"/>
        <v>255869.48000000004</v>
      </c>
      <c r="J51" s="49">
        <f t="shared" si="22"/>
        <v>567391.97</v>
      </c>
      <c r="K51" s="49">
        <f t="shared" si="22"/>
        <v>467919.47</v>
      </c>
      <c r="L51" s="49">
        <f t="shared" si="22"/>
        <v>119587.87000000011</v>
      </c>
      <c r="M51" s="49">
        <f t="shared" si="22"/>
        <v>182140.42999999993</v>
      </c>
      <c r="N51" s="49">
        <f t="shared" si="22"/>
        <v>296930.48</v>
      </c>
      <c r="O51" s="49">
        <f t="shared" si="22"/>
        <v>324061.40000000014</v>
      </c>
      <c r="P51" s="49">
        <f t="shared" si="22"/>
        <v>320111.45000000019</v>
      </c>
      <c r="Q51" s="49">
        <f t="shared" si="22"/>
        <v>315544.60000000009</v>
      </c>
      <c r="R51" s="49">
        <f t="shared" si="22"/>
        <v>150753.74000000022</v>
      </c>
      <c r="S51" s="49">
        <f t="shared" si="22"/>
        <v>199591.58999999985</v>
      </c>
      <c r="T51" s="49">
        <f t="shared" si="22"/>
        <v>870737.87999999989</v>
      </c>
      <c r="U51" s="49">
        <f t="shared" si="22"/>
        <v>1271240.8200000003</v>
      </c>
      <c r="V51" s="49">
        <f t="shared" si="22"/>
        <v>1392106.54</v>
      </c>
      <c r="W51" s="49">
        <f t="shared" si="22"/>
        <v>903279.41000000015</v>
      </c>
      <c r="X51" s="49">
        <f t="shared" si="22"/>
        <v>278132.34999999963</v>
      </c>
      <c r="Y51" s="49">
        <f>IF(Y42="","",Y42-X42)</f>
        <v>383605.96999999974</v>
      </c>
      <c r="Z51" s="49">
        <f t="shared" si="22"/>
        <v>543479.80000000075</v>
      </c>
      <c r="AA51" s="49">
        <f t="shared" si="22"/>
        <v>553020.93999999948</v>
      </c>
      <c r="AB51" s="49">
        <f t="shared" si="22"/>
        <v>489502.94999999925</v>
      </c>
      <c r="AC51" s="49">
        <f t="shared" si="22"/>
        <v>460731.59999999963</v>
      </c>
      <c r="AD51" s="49">
        <f t="shared" si="22"/>
        <v>368310.34999999963</v>
      </c>
      <c r="AE51" s="49">
        <f t="shared" si="22"/>
        <v>481271.76999999955</v>
      </c>
      <c r="AF51" s="49">
        <f t="shared" si="22"/>
        <v>1992958.7200000007</v>
      </c>
      <c r="AG51" s="49">
        <f t="shared" si="22"/>
        <v>2705657.17</v>
      </c>
      <c r="AH51" s="49">
        <f t="shared" si="22"/>
        <v>2605813.370000001</v>
      </c>
      <c r="AI51" s="49">
        <f t="shared" si="22"/>
        <v>1528630.7199999988</v>
      </c>
      <c r="AJ51" s="49">
        <f t="shared" si="22"/>
        <v>379218.26999999955</v>
      </c>
      <c r="AK51" s="49">
        <f t="shared" si="22"/>
        <v>486524.03999999911</v>
      </c>
      <c r="AL51" s="49">
        <f t="shared" si="22"/>
        <v>662508.23000000045</v>
      </c>
      <c r="AM51" s="49">
        <f t="shared" si="22"/>
        <v>662656.35000000149</v>
      </c>
      <c r="AN51" s="49">
        <f t="shared" si="22"/>
        <v>592416.80000000075</v>
      </c>
      <c r="AO51" s="49">
        <f>IF(AO42="","",AO42-AN42)</f>
        <v>551957.44999999925</v>
      </c>
      <c r="AP51" s="49">
        <f>IF(AP42="","",AP42-AO42)</f>
        <v>435625.12000000104</v>
      </c>
      <c r="AQ51" s="49">
        <f t="shared" si="22"/>
        <v>590410.62999999896</v>
      </c>
      <c r="AR51" s="49">
        <f t="shared" si="22"/>
        <v>2623393.1900000013</v>
      </c>
    </row>
    <row r="52" spans="1:44" ht="14.4" x14ac:dyDescent="0.3">
      <c r="A52" s="42" t="s">
        <v>34</v>
      </c>
      <c r="B52" s="42"/>
      <c r="C52" s="41"/>
      <c r="D52" s="41"/>
      <c r="E52" s="49">
        <f t="shared" ref="E52:E56" si="23">E43-D43</f>
        <v>0</v>
      </c>
      <c r="F52" s="49">
        <f t="shared" ref="F52:U56" si="24">IF(F43="","",F43-E43)</f>
        <v>0</v>
      </c>
      <c r="G52" s="49">
        <f t="shared" si="24"/>
        <v>0</v>
      </c>
      <c r="H52" s="49">
        <f t="shared" si="24"/>
        <v>4137.67</v>
      </c>
      <c r="I52" s="49">
        <f t="shared" si="24"/>
        <v>13242.22</v>
      </c>
      <c r="J52" s="49">
        <f t="shared" si="24"/>
        <v>14331.09</v>
      </c>
      <c r="K52" s="49">
        <f t="shared" si="24"/>
        <v>22190.3</v>
      </c>
      <c r="L52" s="49">
        <f t="shared" si="24"/>
        <v>23491.300000000003</v>
      </c>
      <c r="M52" s="49">
        <f t="shared" si="24"/>
        <v>27416.849999999991</v>
      </c>
      <c r="N52" s="49">
        <f t="shared" si="24"/>
        <v>36823.330000000016</v>
      </c>
      <c r="O52" s="49">
        <f t="shared" si="24"/>
        <v>47548.130000000005</v>
      </c>
      <c r="P52" s="49">
        <f t="shared" si="24"/>
        <v>42450.630000000005</v>
      </c>
      <c r="Q52" s="49">
        <f t="shared" si="24"/>
        <v>52685.539999999979</v>
      </c>
      <c r="R52" s="49">
        <f t="shared" si="24"/>
        <v>23931.960000000021</v>
      </c>
      <c r="S52" s="49">
        <f t="shared" si="24"/>
        <v>45027.839999999967</v>
      </c>
      <c r="T52" s="49">
        <f t="shared" si="24"/>
        <v>84659.82</v>
      </c>
      <c r="U52" s="49">
        <f t="shared" si="24"/>
        <v>132121.25999999995</v>
      </c>
      <c r="V52" s="49">
        <f t="shared" si="22"/>
        <v>124281.14000000001</v>
      </c>
      <c r="W52" s="49">
        <f t="shared" si="22"/>
        <v>143538.96999999997</v>
      </c>
      <c r="X52" s="49">
        <f t="shared" si="22"/>
        <v>111032.25</v>
      </c>
      <c r="Y52" s="49">
        <f t="shared" si="22"/>
        <v>106173.28999999992</v>
      </c>
      <c r="Z52" s="49">
        <f t="shared" si="22"/>
        <v>123626.43999999994</v>
      </c>
      <c r="AA52" s="49">
        <f t="shared" si="22"/>
        <v>146061.08000000007</v>
      </c>
      <c r="AB52" s="49">
        <f t="shared" si="22"/>
        <v>126176.6399999999</v>
      </c>
      <c r="AC52" s="49">
        <f t="shared" si="22"/>
        <v>157672.47999999998</v>
      </c>
      <c r="AD52" s="49">
        <f t="shared" si="22"/>
        <v>181119.55000000005</v>
      </c>
      <c r="AE52" s="49">
        <f t="shared" si="22"/>
        <v>254712.54000000004</v>
      </c>
      <c r="AF52" s="49">
        <f t="shared" si="22"/>
        <v>381780.64000000013</v>
      </c>
      <c r="AG52" s="49">
        <f t="shared" si="22"/>
        <v>530455.33000000007</v>
      </c>
      <c r="AH52" s="49">
        <f t="shared" si="22"/>
        <v>443439.29999999981</v>
      </c>
      <c r="AI52" s="49">
        <f t="shared" si="22"/>
        <v>502161.53000000026</v>
      </c>
      <c r="AJ52" s="49">
        <f t="shared" si="22"/>
        <v>343675.77000000048</v>
      </c>
      <c r="AK52" s="49">
        <f t="shared" si="22"/>
        <v>311009.05999999959</v>
      </c>
      <c r="AL52" s="49">
        <f t="shared" si="22"/>
        <v>343993.12999999989</v>
      </c>
      <c r="AM52" s="49">
        <f t="shared" si="22"/>
        <v>370770.33000000007</v>
      </c>
      <c r="AN52" s="49">
        <f t="shared" si="22"/>
        <v>314774.40000000037</v>
      </c>
      <c r="AO52" s="49">
        <f>IF(AO43="","",AO43-AN43)</f>
        <v>379291.84999999963</v>
      </c>
      <c r="AP52" s="49">
        <f t="shared" si="22"/>
        <v>387410.63999999966</v>
      </c>
      <c r="AQ52" s="49">
        <f t="shared" si="22"/>
        <v>492297.45000000019</v>
      </c>
      <c r="AR52" s="49">
        <f t="shared" si="22"/>
        <v>697197.21</v>
      </c>
    </row>
    <row r="53" spans="1:44" ht="14.4" x14ac:dyDescent="0.3">
      <c r="A53" s="42" t="s">
        <v>35</v>
      </c>
      <c r="B53" s="42"/>
      <c r="C53" s="41"/>
      <c r="D53" s="41"/>
      <c r="E53" s="49">
        <f t="shared" si="23"/>
        <v>0</v>
      </c>
      <c r="F53" s="49">
        <f t="shared" si="24"/>
        <v>0</v>
      </c>
      <c r="G53" s="49">
        <f t="shared" si="24"/>
        <v>0</v>
      </c>
      <c r="H53" s="49">
        <f t="shared" si="24"/>
        <v>6869.5</v>
      </c>
      <c r="I53" s="49">
        <f t="shared" si="24"/>
        <v>24434.09</v>
      </c>
      <c r="J53" s="49">
        <f t="shared" si="24"/>
        <v>33445.11</v>
      </c>
      <c r="K53" s="49">
        <f t="shared" si="24"/>
        <v>56507.020000000004</v>
      </c>
      <c r="L53" s="49">
        <f t="shared" si="24"/>
        <v>48297.09</v>
      </c>
      <c r="M53" s="49">
        <f t="shared" si="24"/>
        <v>55956.100000000006</v>
      </c>
      <c r="N53" s="49">
        <f t="shared" si="24"/>
        <v>75636.610000000015</v>
      </c>
      <c r="O53" s="49">
        <f t="shared" si="24"/>
        <v>97435.44</v>
      </c>
      <c r="P53" s="49">
        <f t="shared" si="24"/>
        <v>91627.37</v>
      </c>
      <c r="Q53" s="49">
        <f t="shared" si="24"/>
        <v>114648.81</v>
      </c>
      <c r="R53" s="49">
        <f t="shared" si="24"/>
        <v>61457.510000000009</v>
      </c>
      <c r="S53" s="49">
        <f t="shared" si="24"/>
        <v>104155.95999999996</v>
      </c>
      <c r="T53" s="49">
        <f t="shared" si="24"/>
        <v>224334.44000000006</v>
      </c>
      <c r="U53" s="49">
        <f t="shared" si="24"/>
        <v>335547.18999999994</v>
      </c>
      <c r="V53" s="49">
        <f t="shared" si="22"/>
        <v>322432.45999999996</v>
      </c>
      <c r="W53" s="49">
        <f t="shared" si="22"/>
        <v>354622.04000000004</v>
      </c>
      <c r="X53" s="49">
        <f t="shared" si="22"/>
        <v>232465.65000000014</v>
      </c>
      <c r="Y53" s="49">
        <f t="shared" si="22"/>
        <v>223717.25</v>
      </c>
      <c r="Z53" s="49">
        <f t="shared" si="22"/>
        <v>266782</v>
      </c>
      <c r="AA53" s="49">
        <f t="shared" si="22"/>
        <v>312134.54999999981</v>
      </c>
      <c r="AB53" s="49">
        <f t="shared" si="22"/>
        <v>271524.5299999998</v>
      </c>
      <c r="AC53" s="49">
        <f t="shared" si="22"/>
        <v>319501.77</v>
      </c>
      <c r="AD53" s="49">
        <f t="shared" si="22"/>
        <v>334489.62999999989</v>
      </c>
      <c r="AE53" s="49">
        <f t="shared" si="22"/>
        <v>450171.85000000009</v>
      </c>
      <c r="AF53" s="49">
        <f t="shared" si="22"/>
        <v>874404.77000000048</v>
      </c>
      <c r="AG53" s="49">
        <f t="shared" si="22"/>
        <v>1181243.2699999996</v>
      </c>
      <c r="AH53" s="49">
        <f t="shared" si="22"/>
        <v>1013262.5800000001</v>
      </c>
      <c r="AI53" s="49">
        <f t="shared" si="22"/>
        <v>1004470.3100000005</v>
      </c>
      <c r="AJ53" s="49">
        <f t="shared" si="22"/>
        <v>555562.1400000006</v>
      </c>
      <c r="AK53" s="49">
        <f t="shared" si="22"/>
        <v>504762.08999999985</v>
      </c>
      <c r="AL53" s="49">
        <f t="shared" si="22"/>
        <v>588919.23000000045</v>
      </c>
      <c r="AM53" s="49">
        <f t="shared" si="22"/>
        <v>665468.6099999994</v>
      </c>
      <c r="AN53" s="49">
        <f t="shared" si="22"/>
        <v>590121.8900000006</v>
      </c>
      <c r="AO53" s="49">
        <f t="shared" si="22"/>
        <v>688044.61999999918</v>
      </c>
      <c r="AP53" s="49">
        <f t="shared" si="22"/>
        <v>674429.38000000082</v>
      </c>
      <c r="AQ53" s="49">
        <f t="shared" si="22"/>
        <v>858322.68999999948</v>
      </c>
      <c r="AR53" s="49">
        <f t="shared" si="22"/>
        <v>1665208.5600000005</v>
      </c>
    </row>
    <row r="54" spans="1:44" ht="14.4" x14ac:dyDescent="0.3">
      <c r="A54" s="42" t="s">
        <v>36</v>
      </c>
      <c r="B54" s="42"/>
      <c r="C54" s="41"/>
      <c r="D54" s="41"/>
      <c r="E54" s="49">
        <f t="shared" si="23"/>
        <v>0</v>
      </c>
      <c r="F54" s="49">
        <f t="shared" si="24"/>
        <v>0</v>
      </c>
      <c r="G54" s="49">
        <f t="shared" si="24"/>
        <v>0</v>
      </c>
      <c r="H54" s="49">
        <f t="shared" si="24"/>
        <v>526.23</v>
      </c>
      <c r="I54" s="49">
        <f t="shared" si="24"/>
        <v>1707.2400000000002</v>
      </c>
      <c r="J54" s="49">
        <f t="shared" si="24"/>
        <v>2028.9700000000003</v>
      </c>
      <c r="K54" s="49">
        <f t="shared" si="24"/>
        <v>4499.26</v>
      </c>
      <c r="L54" s="49">
        <f t="shared" si="24"/>
        <v>4284.0400000000009</v>
      </c>
      <c r="M54" s="49">
        <f t="shared" si="24"/>
        <v>7227.9200000000019</v>
      </c>
      <c r="N54" s="49">
        <f t="shared" si="24"/>
        <v>17612.240000000005</v>
      </c>
      <c r="O54" s="49">
        <f t="shared" si="24"/>
        <v>27292.259999999995</v>
      </c>
      <c r="P54" s="49">
        <f t="shared" si="24"/>
        <v>23704.949999999997</v>
      </c>
      <c r="Q54" s="49">
        <f t="shared" si="24"/>
        <v>28875.64</v>
      </c>
      <c r="R54" s="49">
        <f t="shared" si="24"/>
        <v>10528.699999999997</v>
      </c>
      <c r="S54" s="49">
        <f t="shared" si="24"/>
        <v>28682.469999999987</v>
      </c>
      <c r="T54" s="49">
        <f t="shared" si="24"/>
        <v>126775.78999999998</v>
      </c>
      <c r="U54" s="49">
        <f t="shared" si="24"/>
        <v>176719.39</v>
      </c>
      <c r="V54" s="49">
        <f t="shared" si="22"/>
        <v>216016.28000000003</v>
      </c>
      <c r="W54" s="49">
        <f t="shared" si="22"/>
        <v>202325.74</v>
      </c>
      <c r="X54" s="49">
        <f t="shared" si="22"/>
        <v>100347.42000000004</v>
      </c>
      <c r="Y54" s="49">
        <f t="shared" si="22"/>
        <v>95296.699999999953</v>
      </c>
      <c r="Z54" s="49">
        <f t="shared" si="22"/>
        <v>112165</v>
      </c>
      <c r="AA54" s="49">
        <f t="shared" si="22"/>
        <v>128838.41999999993</v>
      </c>
      <c r="AB54" s="49">
        <f t="shared" si="22"/>
        <v>113105.29000000004</v>
      </c>
      <c r="AC54" s="49">
        <f t="shared" si="22"/>
        <v>129355.61999999988</v>
      </c>
      <c r="AD54" s="49">
        <f t="shared" si="22"/>
        <v>128572.66999999993</v>
      </c>
      <c r="AE54" s="49">
        <f t="shared" si="22"/>
        <v>176412.76</v>
      </c>
      <c r="AF54" s="49">
        <f t="shared" si="22"/>
        <v>415763.34000000008</v>
      </c>
      <c r="AG54" s="49">
        <f t="shared" si="22"/>
        <v>534461.66000000015</v>
      </c>
      <c r="AH54" s="49">
        <f t="shared" si="22"/>
        <v>476645.58999999985</v>
      </c>
      <c r="AI54" s="49">
        <f t="shared" si="22"/>
        <v>408059.52</v>
      </c>
      <c r="AJ54" s="49">
        <f t="shared" si="22"/>
        <v>202886.29000000004</v>
      </c>
      <c r="AK54" s="49">
        <f t="shared" si="22"/>
        <v>186362.33999999985</v>
      </c>
      <c r="AL54" s="49">
        <f t="shared" si="22"/>
        <v>218445.35999999987</v>
      </c>
      <c r="AM54" s="49">
        <f t="shared" si="22"/>
        <v>246867.91000000015</v>
      </c>
      <c r="AN54" s="49">
        <f t="shared" si="22"/>
        <v>226394.08999999985</v>
      </c>
      <c r="AO54" s="49">
        <f t="shared" si="22"/>
        <v>266615.62000000011</v>
      </c>
      <c r="AP54" s="49">
        <f t="shared" si="22"/>
        <v>255385.79000000004</v>
      </c>
      <c r="AQ54" s="49">
        <f t="shared" si="22"/>
        <v>334576.9299999997</v>
      </c>
      <c r="AR54" s="49">
        <f t="shared" si="22"/>
        <v>776547.50999999978</v>
      </c>
    </row>
    <row r="55" spans="1:44" ht="14.4" x14ac:dyDescent="0.3">
      <c r="A55" s="42" t="s">
        <v>37</v>
      </c>
      <c r="B55" s="42"/>
      <c r="C55" s="41"/>
      <c r="D55" s="41"/>
      <c r="E55" s="49">
        <f t="shared" si="23"/>
        <v>0</v>
      </c>
      <c r="F55" s="49">
        <f t="shared" si="24"/>
        <v>0</v>
      </c>
      <c r="G55" s="49">
        <f t="shared" si="24"/>
        <v>0</v>
      </c>
      <c r="H55" s="49">
        <f t="shared" si="24"/>
        <v>0</v>
      </c>
      <c r="I55" s="49">
        <f t="shared" si="24"/>
        <v>360.22</v>
      </c>
      <c r="J55" s="49">
        <f t="shared" si="24"/>
        <v>1250.5</v>
      </c>
      <c r="K55" s="49">
        <f t="shared" si="24"/>
        <v>2097.7199999999993</v>
      </c>
      <c r="L55" s="49">
        <f t="shared" si="24"/>
        <v>1848.1400000000003</v>
      </c>
      <c r="M55" s="49">
        <f t="shared" si="24"/>
        <v>2286.0100000000002</v>
      </c>
      <c r="N55" s="49">
        <f t="shared" si="24"/>
        <v>3076.2700000000004</v>
      </c>
      <c r="O55" s="49">
        <f t="shared" si="24"/>
        <v>5696.5999999999985</v>
      </c>
      <c r="P55" s="49">
        <f t="shared" si="24"/>
        <v>6142.6100000000006</v>
      </c>
      <c r="Q55" s="49">
        <f t="shared" si="24"/>
        <v>8834.9599999999991</v>
      </c>
      <c r="R55" s="49">
        <f t="shared" si="24"/>
        <v>7688.4700000000012</v>
      </c>
      <c r="S55" s="49">
        <f t="shared" si="24"/>
        <v>10845.160000000003</v>
      </c>
      <c r="T55" s="49">
        <f t="shared" si="24"/>
        <v>20033.729999999996</v>
      </c>
      <c r="U55" s="49">
        <f t="shared" si="24"/>
        <v>29338.039999999994</v>
      </c>
      <c r="V55" s="49">
        <f t="shared" si="22"/>
        <v>26225.059999999998</v>
      </c>
      <c r="W55" s="49">
        <f t="shared" si="22"/>
        <v>25792.080000000016</v>
      </c>
      <c r="X55" s="49">
        <f t="shared" si="22"/>
        <v>18911.649999999994</v>
      </c>
      <c r="Y55" s="49">
        <f t="shared" si="22"/>
        <v>18135.429999999993</v>
      </c>
      <c r="Z55" s="49">
        <f t="shared" si="22"/>
        <v>20092.940000000002</v>
      </c>
      <c r="AA55" s="49">
        <f t="shared" si="22"/>
        <v>22817.299999999988</v>
      </c>
      <c r="AB55" s="49">
        <f t="shared" si="22"/>
        <v>20524.76999999999</v>
      </c>
      <c r="AC55" s="49">
        <f t="shared" si="22"/>
        <v>22865.559999999998</v>
      </c>
      <c r="AD55" s="49">
        <f t="shared" si="22"/>
        <v>23955.599999999977</v>
      </c>
      <c r="AE55" s="49">
        <f t="shared" si="22"/>
        <v>33056.75</v>
      </c>
      <c r="AF55" s="49">
        <f t="shared" si="22"/>
        <v>72196.109999999986</v>
      </c>
      <c r="AG55" s="49">
        <f t="shared" si="22"/>
        <v>96088.410000000033</v>
      </c>
      <c r="AH55" s="49">
        <f t="shared" si="22"/>
        <v>80854.579999999958</v>
      </c>
      <c r="AI55" s="49">
        <f t="shared" si="22"/>
        <v>65756.459999999963</v>
      </c>
      <c r="AJ55" s="49">
        <f t="shared" si="22"/>
        <v>35564.589999999967</v>
      </c>
      <c r="AK55" s="49">
        <f t="shared" si="22"/>
        <v>33321.969999999972</v>
      </c>
      <c r="AL55" s="49">
        <f t="shared" si="22"/>
        <v>40399.459999999963</v>
      </c>
      <c r="AM55" s="49">
        <f t="shared" si="22"/>
        <v>46987.760000000009</v>
      </c>
      <c r="AN55" s="49">
        <f t="shared" si="22"/>
        <v>47472.010000000009</v>
      </c>
      <c r="AO55" s="49">
        <f t="shared" si="22"/>
        <v>52888.209999999963</v>
      </c>
      <c r="AP55" s="49">
        <f t="shared" si="22"/>
        <v>50526.309999999939</v>
      </c>
      <c r="AQ55" s="49">
        <f t="shared" si="22"/>
        <v>69607.209999999963</v>
      </c>
      <c r="AR55" s="49">
        <f t="shared" si="22"/>
        <v>189324.82000000007</v>
      </c>
    </row>
    <row r="56" spans="1:44" ht="14.4" x14ac:dyDescent="0.3">
      <c r="A56" s="42" t="s">
        <v>29</v>
      </c>
      <c r="B56" s="42"/>
      <c r="C56" s="41"/>
      <c r="D56" s="41"/>
      <c r="E56" s="49">
        <f t="shared" si="23"/>
        <v>0</v>
      </c>
      <c r="F56" s="49">
        <f t="shared" si="24"/>
        <v>0</v>
      </c>
      <c r="G56" s="49">
        <f t="shared" si="24"/>
        <v>0</v>
      </c>
      <c r="H56" s="49">
        <f t="shared" si="24"/>
        <v>0</v>
      </c>
      <c r="I56" s="49">
        <f t="shared" si="24"/>
        <v>0</v>
      </c>
      <c r="J56" s="49">
        <f t="shared" si="24"/>
        <v>1868.8500000000001</v>
      </c>
      <c r="K56" s="49">
        <f t="shared" si="24"/>
        <v>2184.4399999999996</v>
      </c>
      <c r="L56" s="49">
        <f t="shared" si="24"/>
        <v>1005.9299999999994</v>
      </c>
      <c r="M56" s="49">
        <f t="shared" si="24"/>
        <v>2449.6499999999996</v>
      </c>
      <c r="N56" s="49">
        <f t="shared" si="24"/>
        <v>4788.4700000000012</v>
      </c>
      <c r="O56" s="49">
        <f t="shared" si="24"/>
        <v>6425.57</v>
      </c>
      <c r="P56" s="49">
        <f t="shared" si="24"/>
        <v>6708.4799999999959</v>
      </c>
      <c r="Q56" s="49">
        <f t="shared" si="24"/>
        <v>6886.6700000000019</v>
      </c>
      <c r="R56" s="49">
        <f t="shared" si="24"/>
        <v>4593.1399999999994</v>
      </c>
      <c r="S56" s="49">
        <f t="shared" si="24"/>
        <v>6007.8699999999953</v>
      </c>
      <c r="T56" s="49">
        <f t="shared" si="24"/>
        <v>15717.750000000007</v>
      </c>
      <c r="U56" s="49">
        <f t="shared" si="24"/>
        <v>17522.230000000003</v>
      </c>
      <c r="V56" s="49">
        <f t="shared" si="22"/>
        <v>19804.249999999985</v>
      </c>
      <c r="W56" s="49">
        <f t="shared" si="22"/>
        <v>20193.839999999997</v>
      </c>
      <c r="X56" s="49">
        <f t="shared" si="22"/>
        <v>10731.830000000002</v>
      </c>
      <c r="Y56" s="49">
        <f t="shared" si="22"/>
        <v>14531.770000000004</v>
      </c>
      <c r="Z56" s="49">
        <f t="shared" si="22"/>
        <v>19488.639999999956</v>
      </c>
      <c r="AA56" s="49">
        <f t="shared" si="22"/>
        <v>20250.780000000028</v>
      </c>
      <c r="AB56" s="49">
        <f t="shared" si="22"/>
        <v>20401.619999999995</v>
      </c>
      <c r="AC56" s="49">
        <f t="shared" si="22"/>
        <v>23299.399999999994</v>
      </c>
      <c r="AD56" s="49">
        <f t="shared" si="22"/>
        <v>20893.320000000036</v>
      </c>
      <c r="AE56" s="49">
        <f t="shared" si="22"/>
        <v>25224.239999999932</v>
      </c>
      <c r="AF56" s="49">
        <f t="shared" si="22"/>
        <v>61998.770000000077</v>
      </c>
      <c r="AG56" s="49">
        <f t="shared" si="22"/>
        <v>80900.339999999967</v>
      </c>
      <c r="AH56" s="49">
        <f t="shared" si="22"/>
        <v>77471.349999999977</v>
      </c>
      <c r="AI56" s="49">
        <f t="shared" si="22"/>
        <v>68199.050000000047</v>
      </c>
      <c r="AJ56" s="49">
        <f t="shared" si="22"/>
        <v>35404.330000000075</v>
      </c>
      <c r="AK56" s="49">
        <f t="shared" si="22"/>
        <v>38986.379999999888</v>
      </c>
      <c r="AL56" s="49">
        <f t="shared" si="22"/>
        <v>48233.369999999995</v>
      </c>
      <c r="AM56" s="49">
        <f t="shared" si="22"/>
        <v>51795.769999999902</v>
      </c>
      <c r="AN56" s="49">
        <f t="shared" si="22"/>
        <v>48044.540000000037</v>
      </c>
      <c r="AO56" s="49">
        <f t="shared" si="22"/>
        <v>53160.570000000065</v>
      </c>
      <c r="AP56" s="49">
        <f t="shared" si="22"/>
        <v>48679.090000000084</v>
      </c>
      <c r="AQ56" s="49">
        <f t="shared" si="22"/>
        <v>58984.709999999963</v>
      </c>
      <c r="AR56" s="49">
        <f t="shared" si="22"/>
        <v>128957.95999999996</v>
      </c>
    </row>
    <row r="57" spans="1:44" ht="14.4" x14ac:dyDescent="0.3">
      <c r="A57" s="38" t="s">
        <v>31</v>
      </c>
      <c r="B57" s="38"/>
      <c r="C57" s="41"/>
      <c r="D57" s="41"/>
      <c r="E57" s="48">
        <f>SUM(E51:E56)</f>
        <v>0</v>
      </c>
      <c r="F57" s="48">
        <f t="shared" ref="F57:AR57" si="25">SUM(F51:F56)</f>
        <v>1315.62</v>
      </c>
      <c r="G57" s="48">
        <f t="shared" si="25"/>
        <v>9547.77</v>
      </c>
      <c r="H57" s="48">
        <f t="shared" si="25"/>
        <v>131836.54999999999</v>
      </c>
      <c r="I57" s="48">
        <f t="shared" si="25"/>
        <v>295613.25</v>
      </c>
      <c r="J57" s="48">
        <f t="shared" si="25"/>
        <v>620316.48999999987</v>
      </c>
      <c r="K57" s="48">
        <f t="shared" si="25"/>
        <v>555398.20999999985</v>
      </c>
      <c r="L57" s="48">
        <f t="shared" si="25"/>
        <v>198514.37000000011</v>
      </c>
      <c r="M57" s="48">
        <f t="shared" si="25"/>
        <v>277476.9599999999</v>
      </c>
      <c r="N57" s="48">
        <f t="shared" si="25"/>
        <v>434867.4</v>
      </c>
      <c r="O57" s="48">
        <f t="shared" si="25"/>
        <v>508459.40000000014</v>
      </c>
      <c r="P57" s="48">
        <f t="shared" si="25"/>
        <v>490745.49000000017</v>
      </c>
      <c r="Q57" s="48">
        <f t="shared" si="25"/>
        <v>527476.22000000009</v>
      </c>
      <c r="R57" s="48">
        <f t="shared" si="25"/>
        <v>258953.52000000025</v>
      </c>
      <c r="S57" s="48">
        <f t="shared" si="25"/>
        <v>394310.88999999978</v>
      </c>
      <c r="T57" s="48">
        <f t="shared" si="25"/>
        <v>1342259.4100000001</v>
      </c>
      <c r="U57" s="48">
        <f t="shared" si="25"/>
        <v>1962488.9300000002</v>
      </c>
      <c r="V57" s="48">
        <f t="shared" si="25"/>
        <v>2100865.73</v>
      </c>
      <c r="W57" s="48">
        <f t="shared" si="25"/>
        <v>1649752.0800000003</v>
      </c>
      <c r="X57" s="48">
        <f t="shared" si="25"/>
        <v>751621.14999999979</v>
      </c>
      <c r="Y57" s="48">
        <f t="shared" si="25"/>
        <v>841460.40999999968</v>
      </c>
      <c r="Z57" s="48">
        <f t="shared" si="25"/>
        <v>1085634.8200000005</v>
      </c>
      <c r="AA57" s="48">
        <f t="shared" si="25"/>
        <v>1183123.0699999994</v>
      </c>
      <c r="AB57" s="48">
        <f t="shared" si="25"/>
        <v>1041235.799999999</v>
      </c>
      <c r="AC57" s="48">
        <f t="shared" si="25"/>
        <v>1113426.4299999995</v>
      </c>
      <c r="AD57" s="48">
        <f t="shared" si="25"/>
        <v>1057341.1199999994</v>
      </c>
      <c r="AE57" s="48">
        <f t="shared" si="25"/>
        <v>1420849.9099999997</v>
      </c>
      <c r="AF57" s="48">
        <f t="shared" si="25"/>
        <v>3799102.3500000015</v>
      </c>
      <c r="AG57" s="48">
        <f t="shared" si="25"/>
        <v>5128806.18</v>
      </c>
      <c r="AH57" s="48">
        <f t="shared" si="25"/>
        <v>4697486.7700000005</v>
      </c>
      <c r="AI57" s="48">
        <f t="shared" si="25"/>
        <v>3577277.59</v>
      </c>
      <c r="AJ57" s="48">
        <f t="shared" si="25"/>
        <v>1552311.3900000006</v>
      </c>
      <c r="AK57" s="48">
        <f t="shared" si="25"/>
        <v>1560965.8799999983</v>
      </c>
      <c r="AL57" s="48">
        <f t="shared" si="25"/>
        <v>1902498.7800000007</v>
      </c>
      <c r="AM57" s="48">
        <f t="shared" si="25"/>
        <v>2044546.7300000009</v>
      </c>
      <c r="AN57" s="48">
        <f t="shared" si="25"/>
        <v>1819223.7300000016</v>
      </c>
      <c r="AO57" s="48">
        <f t="shared" si="25"/>
        <v>1991958.3199999982</v>
      </c>
      <c r="AP57" s="48">
        <f t="shared" si="25"/>
        <v>1852056.3300000017</v>
      </c>
      <c r="AQ57" s="48">
        <f t="shared" si="25"/>
        <v>2404199.6199999982</v>
      </c>
      <c r="AR57" s="48">
        <f t="shared" si="25"/>
        <v>6080629.2500000019</v>
      </c>
    </row>
    <row r="58" spans="1:44" ht="14.4" x14ac:dyDescent="0.3"/>
    <row r="59" spans="1:44" ht="14.4" x14ac:dyDescent="0.3"/>
    <row r="60" spans="1:44" ht="14.4" x14ac:dyDescent="0.3"/>
    <row r="61" spans="1:44" ht="14.4" x14ac:dyDescent="0.3"/>
    <row r="62" spans="1:44" ht="14.4" x14ac:dyDescent="0.3"/>
    <row r="63" spans="1:44" ht="14.4" x14ac:dyDescent="0.3"/>
    <row r="64" spans="1:44" ht="14.4" x14ac:dyDescent="0.3"/>
    <row r="65" ht="14.4" x14ac:dyDescent="0.3"/>
    <row r="66" ht="14.4" x14ac:dyDescent="0.3"/>
    <row r="67" ht="14.4" x14ac:dyDescent="0.3"/>
    <row r="68" ht="14.4" x14ac:dyDescent="0.3"/>
    <row r="69" ht="14.4" x14ac:dyDescent="0.3"/>
    <row r="70" ht="14.4" x14ac:dyDescent="0.3"/>
    <row r="71" ht="14.4" x14ac:dyDescent="0.3"/>
    <row r="72" ht="14.4" x14ac:dyDescent="0.3"/>
    <row r="73" ht="14.4" x14ac:dyDescent="0.3"/>
    <row r="74" ht="14.4" x14ac:dyDescent="0.3"/>
    <row r="75" ht="14.4" x14ac:dyDescent="0.3"/>
    <row r="76" ht="14.4" x14ac:dyDescent="0.3"/>
    <row r="77" ht="14.4" x14ac:dyDescent="0.3"/>
    <row r="78" ht="14.4" x14ac:dyDescent="0.3"/>
    <row r="79" ht="14.4" x14ac:dyDescent="0.3"/>
    <row r="80" ht="14.4" x14ac:dyDescent="0.3"/>
    <row r="81" ht="14.4" x14ac:dyDescent="0.3"/>
    <row r="82" ht="14.4" x14ac:dyDescent="0.3"/>
    <row r="83" ht="14.4" x14ac:dyDescent="0.3"/>
    <row r="84" ht="14.4" x14ac:dyDescent="0.3"/>
    <row r="85" ht="14.4" x14ac:dyDescent="0.3"/>
    <row r="86" ht="14.4" x14ac:dyDescent="0.3"/>
    <row r="87" ht="14.4" x14ac:dyDescent="0.3"/>
    <row r="88" ht="14.4" x14ac:dyDescent="0.3"/>
    <row r="89" ht="14.4" x14ac:dyDescent="0.3"/>
    <row r="90" ht="14.4" x14ac:dyDescent="0.3"/>
    <row r="91" ht="14.4" x14ac:dyDescent="0.3"/>
    <row r="92" ht="14.4" x14ac:dyDescent="0.3"/>
    <row r="93" ht="14.4" x14ac:dyDescent="0.3"/>
    <row r="94" ht="14.4" x14ac:dyDescent="0.3"/>
    <row r="95" ht="14.4" x14ac:dyDescent="0.3"/>
    <row r="96" ht="14.4" x14ac:dyDescent="0.3"/>
    <row r="97" ht="14.4" x14ac:dyDescent="0.3"/>
    <row r="98" ht="14.4" x14ac:dyDescent="0.3"/>
    <row r="99" ht="14.4" x14ac:dyDescent="0.3"/>
    <row r="100" ht="14.4" x14ac:dyDescent="0.3"/>
    <row r="101" ht="14.4" x14ac:dyDescent="0.3"/>
    <row r="102" ht="14.4" x14ac:dyDescent="0.3"/>
    <row r="103" ht="14.4" x14ac:dyDescent="0.3"/>
    <row r="104" ht="14.4" x14ac:dyDescent="0.3"/>
    <row r="105" ht="14.4" x14ac:dyDescent="0.3"/>
    <row r="106" ht="15" customHeight="1" x14ac:dyDescent="0.3"/>
    <row r="107" ht="15" customHeight="1" x14ac:dyDescent="0.3"/>
    <row r="108" ht="15" customHeight="1" x14ac:dyDescent="0.3"/>
    <row r="109" ht="15" customHeight="1" x14ac:dyDescent="0.3"/>
    <row r="110" ht="15" customHeight="1" x14ac:dyDescent="0.3"/>
    <row r="111" ht="15" customHeight="1" x14ac:dyDescent="0.3"/>
    <row r="112" ht="15" customHeight="1" x14ac:dyDescent="0.3"/>
    <row r="113" ht="15" customHeight="1" x14ac:dyDescent="0.3"/>
    <row r="114" ht="15" customHeight="1" x14ac:dyDescent="0.3"/>
    <row r="115" ht="15" customHeight="1" x14ac:dyDescent="0.3"/>
    <row r="116" ht="15" customHeight="1" x14ac:dyDescent="0.3"/>
    <row r="117" ht="15" customHeight="1" x14ac:dyDescent="0.3"/>
    <row r="118" ht="15" customHeight="1" x14ac:dyDescent="0.3"/>
    <row r="119" ht="15" customHeight="1" x14ac:dyDescent="0.3"/>
    <row r="120" ht="15" customHeight="1" x14ac:dyDescent="0.3"/>
    <row r="121" ht="15" customHeight="1" x14ac:dyDescent="0.3"/>
    <row r="122" ht="15" customHeight="1" x14ac:dyDescent="0.3"/>
    <row r="123" ht="15" customHeight="1" x14ac:dyDescent="0.3"/>
    <row r="124" ht="15" customHeight="1" x14ac:dyDescent="0.3"/>
    <row r="125" ht="15" customHeight="1" x14ac:dyDescent="0.3"/>
    <row r="126" ht="15" customHeight="1" x14ac:dyDescent="0.3"/>
    <row r="127" ht="15" customHeight="1" x14ac:dyDescent="0.3"/>
    <row r="128" ht="15" customHeight="1" x14ac:dyDescent="0.3"/>
    <row r="129" ht="15" customHeight="1" x14ac:dyDescent="0.3"/>
    <row r="130" ht="15" customHeight="1" x14ac:dyDescent="0.3"/>
    <row r="131" ht="15" customHeight="1" x14ac:dyDescent="0.3"/>
    <row r="132" ht="15" customHeight="1" x14ac:dyDescent="0.3"/>
    <row r="133" ht="15" customHeight="1" x14ac:dyDescent="0.3"/>
    <row r="134" ht="15" customHeight="1" x14ac:dyDescent="0.3"/>
    <row r="135" ht="15" customHeight="1" x14ac:dyDescent="0.3"/>
    <row r="136" ht="15" customHeight="1" x14ac:dyDescent="0.3"/>
    <row r="137" ht="15" customHeight="1" x14ac:dyDescent="0.3"/>
    <row r="138" ht="15" customHeight="1" x14ac:dyDescent="0.3"/>
    <row r="139" ht="15" customHeight="1" x14ac:dyDescent="0.3"/>
    <row r="140" ht="15" customHeight="1" x14ac:dyDescent="0.3"/>
    <row r="141" ht="15" customHeight="1" x14ac:dyDescent="0.3"/>
    <row r="142" ht="15" customHeight="1" x14ac:dyDescent="0.3"/>
    <row r="143" ht="15" customHeight="1" x14ac:dyDescent="0.3"/>
    <row r="144" ht="15" customHeight="1" x14ac:dyDescent="0.3"/>
    <row r="145" ht="15" customHeight="1" x14ac:dyDescent="0.3"/>
    <row r="146" ht="15" customHeight="1" x14ac:dyDescent="0.3"/>
    <row r="147" ht="15" customHeight="1" x14ac:dyDescent="0.3"/>
    <row r="148" ht="15" customHeight="1" x14ac:dyDescent="0.3"/>
    <row r="149" ht="15" customHeight="1" x14ac:dyDescent="0.3"/>
    <row r="150" ht="15" customHeight="1" x14ac:dyDescent="0.3"/>
    <row r="151" ht="15" customHeight="1" x14ac:dyDescent="0.3"/>
    <row r="152" ht="15" customHeight="1" x14ac:dyDescent="0.3"/>
    <row r="153" ht="15" customHeight="1" x14ac:dyDescent="0.3"/>
    <row r="154" ht="15" customHeight="1" x14ac:dyDescent="0.3"/>
    <row r="155" ht="15" customHeight="1" x14ac:dyDescent="0.3"/>
    <row r="156" ht="15" customHeight="1" x14ac:dyDescent="0.3"/>
    <row r="157" ht="15" customHeight="1" x14ac:dyDescent="0.3"/>
    <row r="158" ht="15" customHeight="1" x14ac:dyDescent="0.3"/>
    <row r="159" ht="15" customHeight="1" x14ac:dyDescent="0.3"/>
    <row r="160" ht="15" customHeight="1" x14ac:dyDescent="0.3"/>
    <row r="161" ht="15" customHeight="1" x14ac:dyDescent="0.3"/>
    <row r="162" ht="15" customHeight="1" x14ac:dyDescent="0.3"/>
    <row r="163" ht="15" customHeight="1" x14ac:dyDescent="0.3"/>
    <row r="164" ht="15" customHeight="1" x14ac:dyDescent="0.3"/>
    <row r="165" ht="15" customHeight="1" x14ac:dyDescent="0.3"/>
    <row r="166" ht="15" customHeight="1" x14ac:dyDescent="0.3"/>
    <row r="167" ht="15" customHeight="1" x14ac:dyDescent="0.3"/>
    <row r="168" ht="15" customHeight="1" x14ac:dyDescent="0.3"/>
    <row r="169" ht="15" customHeight="1" x14ac:dyDescent="0.3"/>
  </sheetData>
  <mergeCells count="3">
    <mergeCell ref="AW5:AW13"/>
    <mergeCell ref="A6:A14"/>
    <mergeCell ref="A30:A39"/>
  </mergeCells>
  <printOptions headings="1"/>
  <pageMargins left="0.2" right="0.2" top="0.5" bottom="0.5" header="0.3" footer="0.3"/>
  <pageSetup scale="68" orientation="portrait" cellComments="asDisplayed" r:id="rId1"/>
  <headerFooter>
    <oddHeader>&amp;C&amp;A</oddHead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K73"/>
  <sheetViews>
    <sheetView workbookViewId="0">
      <pane xSplit="1" ySplit="3" topLeftCell="BM4" activePane="bottomRight" state="frozen"/>
      <selection activeCell="AL26" sqref="AL26"/>
      <selection pane="topRight" activeCell="AL26" sqref="AL26"/>
      <selection pane="bottomLeft" activeCell="AL26" sqref="AL26"/>
      <selection pane="bottomRight" activeCell="BX17" sqref="BX17"/>
    </sheetView>
  </sheetViews>
  <sheetFormatPr defaultColWidth="9.109375" defaultRowHeight="14.4" x14ac:dyDescent="0.3"/>
  <cols>
    <col min="1" max="1" width="39.109375" style="40" customWidth="1"/>
    <col min="2" max="3" width="11" style="40" customWidth="1"/>
    <col min="4" max="4" width="16" style="40" customWidth="1"/>
    <col min="5" max="18" width="14.109375" style="40" customWidth="1"/>
    <col min="19" max="19" width="15" style="40" bestFit="1" customWidth="1"/>
    <col min="20" max="20" width="14.109375" style="40" customWidth="1"/>
    <col min="21" max="21" width="15" style="40" customWidth="1"/>
    <col min="22" max="37" width="15.33203125" style="40" bestFit="1" customWidth="1"/>
    <col min="38" max="38" width="15" style="40" bestFit="1" customWidth="1"/>
    <col min="39" max="47" width="15.33203125" style="40" bestFit="1" customWidth="1"/>
    <col min="48" max="48" width="16.44140625" style="40" customWidth="1"/>
    <col min="49" max="57" width="15.33203125" style="40" bestFit="1" customWidth="1"/>
    <col min="58" max="59" width="16.33203125" style="40" bestFit="1" customWidth="1"/>
    <col min="60" max="71" width="16.33203125" style="40" customWidth="1"/>
    <col min="72" max="74" width="16.33203125" style="40" bestFit="1" customWidth="1"/>
    <col min="75" max="75" width="16.44140625" style="40" customWidth="1"/>
    <col min="76" max="84" width="15.33203125" style="40" bestFit="1" customWidth="1"/>
    <col min="85" max="86" width="16.33203125" style="40" bestFit="1" customWidth="1"/>
    <col min="87" max="89" width="16.33203125" style="130" bestFit="1" customWidth="1"/>
    <col min="90" max="16384" width="9.109375" style="40"/>
  </cols>
  <sheetData>
    <row r="1" spans="1:89" x14ac:dyDescent="0.3">
      <c r="A1" s="35" t="s">
        <v>30</v>
      </c>
      <c r="BT1" s="261"/>
      <c r="BU1" s="261"/>
      <c r="BV1" s="261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</row>
    <row r="2" spans="1:89" x14ac:dyDescent="0.3">
      <c r="A2" s="27"/>
      <c r="BT2" s="262"/>
      <c r="BU2" s="262"/>
      <c r="BV2" s="26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</row>
    <row r="3" spans="1:89" x14ac:dyDescent="0.3">
      <c r="B3" s="12">
        <v>42370</v>
      </c>
      <c r="C3" s="12">
        <v>42401</v>
      </c>
      <c r="D3" s="12">
        <v>42430</v>
      </c>
      <c r="E3" s="12">
        <v>42461</v>
      </c>
      <c r="F3" s="12">
        <v>42491</v>
      </c>
      <c r="G3" s="12">
        <v>42522</v>
      </c>
      <c r="H3" s="12">
        <v>42552</v>
      </c>
      <c r="I3" s="12">
        <v>42583</v>
      </c>
      <c r="J3" s="12">
        <v>42614</v>
      </c>
      <c r="K3" s="12">
        <v>42644</v>
      </c>
      <c r="L3" s="12">
        <v>42675</v>
      </c>
      <c r="M3" s="12">
        <v>42705</v>
      </c>
      <c r="N3" s="12">
        <v>42736</v>
      </c>
      <c r="O3" s="12">
        <v>42767</v>
      </c>
      <c r="P3" s="12">
        <v>42795</v>
      </c>
      <c r="Q3" s="12">
        <v>42826</v>
      </c>
      <c r="R3" s="12">
        <v>42856</v>
      </c>
      <c r="S3" s="12">
        <v>42887</v>
      </c>
      <c r="T3" s="12">
        <v>42917</v>
      </c>
      <c r="U3" s="12">
        <v>42948</v>
      </c>
      <c r="V3" s="12">
        <v>42979</v>
      </c>
      <c r="W3" s="12">
        <v>43009</v>
      </c>
      <c r="X3" s="12">
        <v>43040</v>
      </c>
      <c r="Y3" s="12">
        <v>43070</v>
      </c>
      <c r="Z3" s="12">
        <v>43101</v>
      </c>
      <c r="AA3" s="12">
        <v>43132</v>
      </c>
      <c r="AB3" s="12">
        <v>43160</v>
      </c>
      <c r="AC3" s="12">
        <v>43191</v>
      </c>
      <c r="AD3" s="12">
        <v>43221</v>
      </c>
      <c r="AE3" s="12">
        <v>43252</v>
      </c>
      <c r="AF3" s="12">
        <v>43282</v>
      </c>
      <c r="AG3" s="12">
        <v>43313</v>
      </c>
      <c r="AH3" s="12">
        <v>43344</v>
      </c>
      <c r="AI3" s="12">
        <v>43374</v>
      </c>
      <c r="AJ3" s="12">
        <v>43405</v>
      </c>
      <c r="AK3" s="12">
        <v>43435</v>
      </c>
      <c r="AL3" s="12">
        <v>43466</v>
      </c>
      <c r="AM3" s="12">
        <v>43497</v>
      </c>
      <c r="AN3" s="12">
        <v>43525</v>
      </c>
      <c r="AO3" s="12">
        <v>43556</v>
      </c>
      <c r="AP3" s="12">
        <v>43586</v>
      </c>
      <c r="AQ3" s="12">
        <v>43617</v>
      </c>
      <c r="AR3" s="12">
        <v>43647</v>
      </c>
      <c r="AS3" s="12">
        <v>43678</v>
      </c>
      <c r="AT3" s="12">
        <v>43709</v>
      </c>
      <c r="AU3" s="12">
        <v>43739</v>
      </c>
      <c r="AV3" s="12">
        <v>43770</v>
      </c>
      <c r="AW3" s="12">
        <v>43800</v>
      </c>
      <c r="AX3" s="12">
        <v>43831</v>
      </c>
      <c r="AY3" s="12">
        <v>43862</v>
      </c>
      <c r="AZ3" s="12">
        <v>43891</v>
      </c>
      <c r="BA3" s="12">
        <v>43922</v>
      </c>
      <c r="BB3" s="12">
        <v>43952</v>
      </c>
      <c r="BC3" s="12">
        <v>43983</v>
      </c>
      <c r="BD3" s="12">
        <v>44013</v>
      </c>
      <c r="BE3" s="12">
        <v>44044</v>
      </c>
      <c r="BF3" s="12">
        <v>44075</v>
      </c>
      <c r="BG3" s="12">
        <v>44105</v>
      </c>
      <c r="BH3" s="12">
        <v>44136</v>
      </c>
      <c r="BI3" s="12">
        <v>44166</v>
      </c>
      <c r="BJ3" s="12">
        <v>44197</v>
      </c>
      <c r="BK3" s="12">
        <v>44228</v>
      </c>
      <c r="BL3" s="12">
        <v>44256</v>
      </c>
      <c r="BM3" s="174">
        <v>44287</v>
      </c>
      <c r="BN3" s="174">
        <v>44317</v>
      </c>
      <c r="BO3" s="12">
        <v>44348</v>
      </c>
      <c r="BP3" s="12">
        <v>44378</v>
      </c>
      <c r="BQ3" s="12">
        <v>44409</v>
      </c>
      <c r="BR3" s="12">
        <v>44440</v>
      </c>
      <c r="BS3" s="12">
        <v>44470</v>
      </c>
      <c r="BT3" s="12">
        <v>44501</v>
      </c>
      <c r="BU3" s="12">
        <v>44531</v>
      </c>
      <c r="BV3" s="12">
        <v>44562</v>
      </c>
      <c r="BW3" s="12">
        <v>44593</v>
      </c>
      <c r="BX3" s="12">
        <v>44621</v>
      </c>
      <c r="BY3" s="12">
        <v>44652</v>
      </c>
      <c r="BZ3" s="12">
        <v>44682</v>
      </c>
      <c r="CA3" s="12">
        <v>44713</v>
      </c>
      <c r="CB3" s="12">
        <v>44743</v>
      </c>
      <c r="CC3" s="12">
        <v>44774</v>
      </c>
      <c r="CD3" s="12">
        <v>44805</v>
      </c>
      <c r="CE3" s="12">
        <v>44835</v>
      </c>
      <c r="CF3" s="12">
        <v>44866</v>
      </c>
      <c r="CG3" s="12">
        <v>44896</v>
      </c>
      <c r="CH3" s="12">
        <v>44927</v>
      </c>
      <c r="CI3" s="31"/>
      <c r="CJ3" s="31"/>
      <c r="CK3" s="31"/>
    </row>
    <row r="4" spans="1:89" s="2" customFormat="1" x14ac:dyDescent="0.3">
      <c r="A4" s="39" t="s">
        <v>38</v>
      </c>
      <c r="B4" s="34"/>
      <c r="C4" s="34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117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117"/>
      <c r="BU4" s="31"/>
      <c r="BV4" s="31"/>
      <c r="BW4" s="117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</row>
    <row r="5" spans="1:89" x14ac:dyDescent="0.3">
      <c r="A5" s="40" t="s">
        <v>33</v>
      </c>
      <c r="B5" s="41"/>
      <c r="C5" s="41"/>
      <c r="D5" s="45">
        <v>0</v>
      </c>
      <c r="E5" s="45">
        <v>1328.78</v>
      </c>
      <c r="F5" s="45">
        <v>10855.31</v>
      </c>
      <c r="G5" s="45">
        <v>131208.19</v>
      </c>
      <c r="H5" s="45">
        <v>387288.84</v>
      </c>
      <c r="I5" s="45">
        <v>759760.94</v>
      </c>
      <c r="J5" s="45">
        <v>1430369.44</v>
      </c>
      <c r="K5" s="45">
        <v>1550921.07</v>
      </c>
      <c r="L5" s="45">
        <v>1735396.69</v>
      </c>
      <c r="M5" s="45">
        <v>2037094.64</v>
      </c>
      <c r="N5" s="45">
        <v>2364452.61</v>
      </c>
      <c r="O5" s="45">
        <v>2681724.66</v>
      </c>
      <c r="P5" s="45">
        <v>2987072.85</v>
      </c>
      <c r="Q5" s="45">
        <v>3184865.01</v>
      </c>
      <c r="R5" s="45">
        <v>3385529.7699999996</v>
      </c>
      <c r="S5" s="45">
        <v>4264552</v>
      </c>
      <c r="T5" s="45">
        <v>5547156.3399999999</v>
      </c>
      <c r="U5" s="45">
        <v>6946190.2599999998</v>
      </c>
      <c r="V5" s="45">
        <v>7850232.6099999994</v>
      </c>
      <c r="W5" s="46">
        <v>8126747.0099999998</v>
      </c>
      <c r="X5" s="46">
        <v>8499539.6099999994</v>
      </c>
      <c r="Y5" s="46">
        <v>9058824.6600000001</v>
      </c>
      <c r="Z5" s="46">
        <v>9650198.3699999992</v>
      </c>
      <c r="AA5" s="46">
        <v>10151034.449999999</v>
      </c>
      <c r="AB5" s="46">
        <v>10613841.620000001</v>
      </c>
      <c r="AC5" s="46">
        <v>10869441.710000001</v>
      </c>
      <c r="AD5" s="46">
        <v>11350949.390000001</v>
      </c>
      <c r="AE5" s="46">
        <v>13348695.730000002</v>
      </c>
      <c r="AF5" s="46">
        <v>16063513.910000002</v>
      </c>
      <c r="AG5" s="46">
        <v>18680994.800000004</v>
      </c>
      <c r="AH5" s="46">
        <v>20236402.510000005</v>
      </c>
      <c r="AI5" s="46">
        <v>20777772.98</v>
      </c>
      <c r="AJ5" s="46">
        <v>21274714.609999999</v>
      </c>
      <c r="AK5" s="46">
        <v>21954224.789999999</v>
      </c>
      <c r="AL5" s="46">
        <v>22632751.569999997</v>
      </c>
      <c r="AM5" s="46">
        <v>23234453.34</v>
      </c>
      <c r="AN5" s="46">
        <v>23939498.760000002</v>
      </c>
      <c r="AO5" s="46">
        <v>24497192.960000001</v>
      </c>
      <c r="AP5" s="46">
        <v>24846329.540000003</v>
      </c>
      <c r="AQ5" s="46">
        <v>27513104.980000004</v>
      </c>
      <c r="AR5" s="46">
        <v>30526797.800000001</v>
      </c>
      <c r="AS5" s="46">
        <v>33776773.060000002</v>
      </c>
      <c r="AT5" s="46">
        <v>35595655.670000002</v>
      </c>
      <c r="AU5" s="46">
        <f>36043069.48+0</f>
        <v>36043069.479999997</v>
      </c>
      <c r="AV5" s="46">
        <f>36595561+0</f>
        <v>36595561</v>
      </c>
      <c r="AW5" s="46">
        <f>37286780.96+0</f>
        <v>37286780.960000001</v>
      </c>
      <c r="AX5" s="46">
        <f>37986377.11+0</f>
        <v>37986377.109999999</v>
      </c>
      <c r="AY5" s="46">
        <f>0+36858732.18</f>
        <v>36858732.18</v>
      </c>
      <c r="AZ5" s="46">
        <f>0+37334684.61</f>
        <v>37334684.609999999</v>
      </c>
      <c r="BA5" s="46">
        <f t="shared" ref="BA5:BF5" si="0">37334684.61+0</f>
        <v>37334684.609999999</v>
      </c>
      <c r="BB5" s="46">
        <f t="shared" si="0"/>
        <v>37334684.609999999</v>
      </c>
      <c r="BC5" s="46">
        <f t="shared" si="0"/>
        <v>37334684.609999999</v>
      </c>
      <c r="BD5" s="46">
        <f t="shared" si="0"/>
        <v>37334684.609999999</v>
      </c>
      <c r="BE5" s="46">
        <f t="shared" si="0"/>
        <v>37334684.609999999</v>
      </c>
      <c r="BF5" s="46">
        <f t="shared" si="0"/>
        <v>37334684.609999999</v>
      </c>
      <c r="BG5" s="46">
        <f>37334684.61+0</f>
        <v>37334684.609999999</v>
      </c>
      <c r="BH5" s="46">
        <f t="shared" ref="BH5:BM5" si="1">37334684.61+0</f>
        <v>37334684.609999999</v>
      </c>
      <c r="BI5" s="46">
        <f t="shared" si="1"/>
        <v>37334684.609999999</v>
      </c>
      <c r="BJ5" s="46">
        <f t="shared" si="1"/>
        <v>37334684.609999999</v>
      </c>
      <c r="BK5" s="46">
        <f t="shared" si="1"/>
        <v>37334684.609999999</v>
      </c>
      <c r="BL5" s="46">
        <f t="shared" si="1"/>
        <v>37334684.609999999</v>
      </c>
      <c r="BM5" s="46">
        <f t="shared" si="1"/>
        <v>37334684.609999999</v>
      </c>
      <c r="BN5" s="46">
        <f t="shared" ref="BN5:BS5" si="2">37334684.61+0</f>
        <v>37334684.609999999</v>
      </c>
      <c r="BO5" s="46">
        <f t="shared" si="2"/>
        <v>37334684.609999999</v>
      </c>
      <c r="BP5" s="46">
        <f t="shared" si="2"/>
        <v>37334684.609999999</v>
      </c>
      <c r="BQ5" s="46">
        <f t="shared" si="2"/>
        <v>37334684.609999999</v>
      </c>
      <c r="BR5" s="46">
        <f t="shared" si="2"/>
        <v>37334684.609999999</v>
      </c>
      <c r="BS5" s="46">
        <f t="shared" si="2"/>
        <v>37334684.609999999</v>
      </c>
      <c r="BT5" s="123">
        <f>BS5+BT14</f>
        <v>37334684.609999999</v>
      </c>
      <c r="BU5" s="123">
        <f>BT5+BU14</f>
        <v>37334684.609999999</v>
      </c>
      <c r="BV5" s="123">
        <f t="shared" ref="BV5:CH5" si="3">BU5+BV14</f>
        <v>37334684.609999999</v>
      </c>
      <c r="BW5" s="123">
        <f t="shared" si="3"/>
        <v>37334684.609999999</v>
      </c>
      <c r="BX5" s="123">
        <f t="shared" si="3"/>
        <v>37334684.609999999</v>
      </c>
      <c r="BY5" s="123">
        <f t="shared" si="3"/>
        <v>37334684.609999999</v>
      </c>
      <c r="BZ5" s="123">
        <f t="shared" si="3"/>
        <v>37334684.609999999</v>
      </c>
      <c r="CA5" s="123">
        <f t="shared" si="3"/>
        <v>37334684.609999999</v>
      </c>
      <c r="CB5" s="123">
        <f t="shared" si="3"/>
        <v>37334684.609999999</v>
      </c>
      <c r="CC5" s="123">
        <f t="shared" si="3"/>
        <v>37334684.609999999</v>
      </c>
      <c r="CD5" s="123">
        <f t="shared" si="3"/>
        <v>37334684.609999999</v>
      </c>
      <c r="CE5" s="123">
        <f t="shared" si="3"/>
        <v>37334684.609999999</v>
      </c>
      <c r="CF5" s="123">
        <f t="shared" si="3"/>
        <v>37334684.609999999</v>
      </c>
      <c r="CG5" s="123">
        <f t="shared" si="3"/>
        <v>37334684.609999999</v>
      </c>
      <c r="CH5" s="123">
        <f t="shared" si="3"/>
        <v>37334684.609999999</v>
      </c>
      <c r="CI5" s="131"/>
      <c r="CJ5" s="131"/>
      <c r="CK5" s="131"/>
    </row>
    <row r="6" spans="1:89" x14ac:dyDescent="0.3">
      <c r="A6" s="40" t="s">
        <v>34</v>
      </c>
      <c r="B6" s="41"/>
      <c r="C6" s="41"/>
      <c r="D6" s="45">
        <v>0</v>
      </c>
      <c r="E6" s="45">
        <v>0</v>
      </c>
      <c r="F6" s="45">
        <v>0</v>
      </c>
      <c r="G6" s="45">
        <v>4167.9399999999996</v>
      </c>
      <c r="H6" s="45">
        <v>17525.88</v>
      </c>
      <c r="I6" s="45">
        <v>31980.06</v>
      </c>
      <c r="J6" s="45">
        <v>54300.31</v>
      </c>
      <c r="K6" s="45">
        <v>77885.14</v>
      </c>
      <c r="L6" s="45">
        <v>105438.65</v>
      </c>
      <c r="M6" s="45">
        <v>142311.95000000001</v>
      </c>
      <c r="N6" s="45">
        <v>189359.05000000002</v>
      </c>
      <c r="O6" s="45">
        <v>231701.2</v>
      </c>
      <c r="P6" s="45">
        <v>283963.62</v>
      </c>
      <c r="Q6" s="45">
        <v>308673.44</v>
      </c>
      <c r="R6" s="45">
        <v>357395.51</v>
      </c>
      <c r="S6" s="45">
        <v>446610.88</v>
      </c>
      <c r="T6" s="45">
        <v>585542.78</v>
      </c>
      <c r="U6" s="45">
        <v>716001.10999999987</v>
      </c>
      <c r="V6" s="45">
        <v>865623.52</v>
      </c>
      <c r="W6" s="46">
        <v>981465.67</v>
      </c>
      <c r="X6" s="46">
        <v>1068238.3799999999</v>
      </c>
      <c r="Y6" s="46">
        <v>1193729.2599999998</v>
      </c>
      <c r="Z6" s="46">
        <v>1341747.9499999997</v>
      </c>
      <c r="AA6" s="46">
        <v>1469438.1399999997</v>
      </c>
      <c r="AB6" s="46">
        <v>1628844.4099999997</v>
      </c>
      <c r="AC6" s="46">
        <v>1811879.49</v>
      </c>
      <c r="AD6" s="46">
        <v>2069719.65</v>
      </c>
      <c r="AE6" s="46">
        <v>2457404.2800000003</v>
      </c>
      <c r="AF6" s="46">
        <v>2966091.15</v>
      </c>
      <c r="AG6" s="46">
        <v>3413766.9499999997</v>
      </c>
      <c r="AH6" s="46">
        <v>3901789.65</v>
      </c>
      <c r="AI6" s="46">
        <v>4245964.8900000006</v>
      </c>
      <c r="AJ6" s="46">
        <v>4556973.95</v>
      </c>
      <c r="AK6" s="46">
        <v>4900967.08</v>
      </c>
      <c r="AL6" s="46">
        <v>5271737.41</v>
      </c>
      <c r="AM6" s="46">
        <v>5581907.2999999998</v>
      </c>
      <c r="AN6" s="46">
        <v>6001660.4600000009</v>
      </c>
      <c r="AO6" s="46">
        <v>6425471.5500000007</v>
      </c>
      <c r="AP6" s="46">
        <v>6844402.4900000002</v>
      </c>
      <c r="AQ6" s="46">
        <v>7540501.0500000007</v>
      </c>
      <c r="AR6" s="46">
        <v>8428918.1699999999</v>
      </c>
      <c r="AS6" s="46">
        <v>9148140.2100000009</v>
      </c>
      <c r="AT6" s="46">
        <v>9900811.9400000013</v>
      </c>
      <c r="AU6" s="46">
        <f>10403257.47+14619.86</f>
        <v>10417877.33</v>
      </c>
      <c r="AV6" s="46">
        <f>17933.11+10840302.54</f>
        <v>10858235.649999999</v>
      </c>
      <c r="AW6" s="46">
        <f>11209069.54+21421.12</f>
        <v>11230490.659999998</v>
      </c>
      <c r="AX6" s="46">
        <f>11649860.33+25097.33</f>
        <v>11674957.66</v>
      </c>
      <c r="AY6" s="46">
        <f>27924.85+11990356.64</f>
        <v>12018281.49</v>
      </c>
      <c r="AZ6" s="46">
        <f>31132.53+12369648.49</f>
        <v>12400781.02</v>
      </c>
      <c r="BA6" s="46">
        <f t="shared" ref="BA6:BF6" si="4">12369648.49+31132.53</f>
        <v>12400781.02</v>
      </c>
      <c r="BB6" s="46">
        <f t="shared" si="4"/>
        <v>12400781.02</v>
      </c>
      <c r="BC6" s="46">
        <f t="shared" si="4"/>
        <v>12400781.02</v>
      </c>
      <c r="BD6" s="46">
        <f t="shared" si="4"/>
        <v>12400781.02</v>
      </c>
      <c r="BE6" s="46">
        <f t="shared" si="4"/>
        <v>12400781.02</v>
      </c>
      <c r="BF6" s="46">
        <f t="shared" si="4"/>
        <v>12400781.02</v>
      </c>
      <c r="BG6" s="46">
        <f>12369648.49+31132.53</f>
        <v>12400781.02</v>
      </c>
      <c r="BH6" s="46">
        <f>12369648.49+31132.53</f>
        <v>12400781.02</v>
      </c>
      <c r="BI6" s="46">
        <f>12369648.49+31132.53</f>
        <v>12400781.02</v>
      </c>
      <c r="BJ6" s="46">
        <f>12369648.49+31132.53</f>
        <v>12400781.02</v>
      </c>
      <c r="BK6" s="46">
        <f>12369648.49+31388.17</f>
        <v>12401036.66</v>
      </c>
      <c r="BL6" s="46">
        <f>12369648.49+31980.51</f>
        <v>12401629</v>
      </c>
      <c r="BM6" s="46">
        <f>12369648.49+32612.92</f>
        <v>12402261.41</v>
      </c>
      <c r="BN6" s="46">
        <f>12369648.49+33505.45</f>
        <v>12403153.939999999</v>
      </c>
      <c r="BO6" s="46">
        <f>12369648.49+35463.84</f>
        <v>12405112.33</v>
      </c>
      <c r="BP6" s="46">
        <f>12369648.49+38039.83</f>
        <v>12407688.32</v>
      </c>
      <c r="BQ6" s="46">
        <f>12369648.49+40941.42</f>
        <v>12410589.91</v>
      </c>
      <c r="BR6" s="46">
        <f>12369648.49+43196.63</f>
        <v>12412845.120000001</v>
      </c>
      <c r="BS6" s="46">
        <f>12369648.49+44397.68</f>
        <v>12414046.17</v>
      </c>
      <c r="BT6" s="123">
        <f t="shared" ref="BT6:BT9" si="5">BS6+BT15</f>
        <v>12415039.209999999</v>
      </c>
      <c r="BU6" s="123">
        <f t="shared" ref="BU6:CH10" si="6">BT6+BU15</f>
        <v>12416061.92</v>
      </c>
      <c r="BV6" s="123">
        <f t="shared" si="6"/>
        <v>12417123.02</v>
      </c>
      <c r="BW6" s="123">
        <f t="shared" si="6"/>
        <v>12417941.67</v>
      </c>
      <c r="BX6" s="123">
        <f t="shared" si="6"/>
        <v>12417941.67</v>
      </c>
      <c r="BY6" s="123">
        <f t="shared" si="6"/>
        <v>12417941.67</v>
      </c>
      <c r="BZ6" s="123">
        <f t="shared" si="6"/>
        <v>12417941.67</v>
      </c>
      <c r="CA6" s="123">
        <f t="shared" si="6"/>
        <v>12417941.67</v>
      </c>
      <c r="CB6" s="123">
        <f t="shared" si="6"/>
        <v>12417941.67</v>
      </c>
      <c r="CC6" s="123">
        <f t="shared" si="6"/>
        <v>12417941.67</v>
      </c>
      <c r="CD6" s="123">
        <f t="shared" si="6"/>
        <v>12417941.67</v>
      </c>
      <c r="CE6" s="123">
        <f t="shared" si="6"/>
        <v>12417941.67</v>
      </c>
      <c r="CF6" s="123">
        <f t="shared" si="6"/>
        <v>12417941.67</v>
      </c>
      <c r="CG6" s="123">
        <f t="shared" si="6"/>
        <v>12417941.67</v>
      </c>
      <c r="CH6" s="123">
        <f t="shared" si="6"/>
        <v>12417941.67</v>
      </c>
      <c r="CI6" s="131"/>
      <c r="CJ6" s="131"/>
      <c r="CK6" s="131"/>
    </row>
    <row r="7" spans="1:89" x14ac:dyDescent="0.3">
      <c r="A7" s="40" t="s">
        <v>35</v>
      </c>
      <c r="B7" s="41"/>
      <c r="C7" s="41"/>
      <c r="D7" s="45">
        <v>0</v>
      </c>
      <c r="E7" s="45">
        <v>0</v>
      </c>
      <c r="F7" s="45">
        <v>0</v>
      </c>
      <c r="G7" s="45">
        <v>6853.38</v>
      </c>
      <c r="H7" s="45">
        <v>31346.880000000001</v>
      </c>
      <c r="I7" s="45">
        <v>64756.57</v>
      </c>
      <c r="J7" s="45">
        <v>121217.18</v>
      </c>
      <c r="K7" s="45">
        <v>169574.21</v>
      </c>
      <c r="L7" s="45">
        <v>225474</v>
      </c>
      <c r="M7" s="45">
        <v>301020.03000000003</v>
      </c>
      <c r="N7" s="45">
        <v>398372.26</v>
      </c>
      <c r="O7" s="45">
        <v>489934.36</v>
      </c>
      <c r="P7" s="45">
        <v>604498.14</v>
      </c>
      <c r="Q7" s="45">
        <v>665653.74</v>
      </c>
      <c r="R7" s="45">
        <v>767859.38</v>
      </c>
      <c r="S7" s="45">
        <v>989490.46</v>
      </c>
      <c r="T7" s="45">
        <v>1321696.51</v>
      </c>
      <c r="U7" s="45">
        <v>1640841.6600000001</v>
      </c>
      <c r="V7" s="45">
        <v>1992842.86</v>
      </c>
      <c r="W7" s="46">
        <v>2223572.41</v>
      </c>
      <c r="X7" s="46">
        <v>2462963.7799999998</v>
      </c>
      <c r="Y7" s="46">
        <v>2729745.36</v>
      </c>
      <c r="Z7" s="46">
        <v>3041850.56</v>
      </c>
      <c r="AA7" s="46">
        <v>3313329.05</v>
      </c>
      <c r="AB7" s="46">
        <v>3632789.6599999997</v>
      </c>
      <c r="AC7" s="46">
        <v>3967218.2799999993</v>
      </c>
      <c r="AD7" s="46">
        <v>4417212.879999999</v>
      </c>
      <c r="AE7" s="46">
        <v>5288524.1399999987</v>
      </c>
      <c r="AF7" s="46">
        <v>6465914.9300000006</v>
      </c>
      <c r="AG7" s="46">
        <v>7475631.5000000009</v>
      </c>
      <c r="AH7" s="46">
        <v>8491958.2899999991</v>
      </c>
      <c r="AI7" s="46">
        <v>9047137.040000001</v>
      </c>
      <c r="AJ7" s="46">
        <v>9551899.1300000008</v>
      </c>
      <c r="AK7" s="46">
        <v>10140818.360000001</v>
      </c>
      <c r="AL7" s="46">
        <v>10806286.970000001</v>
      </c>
      <c r="AM7" s="46">
        <v>11385718.91</v>
      </c>
      <c r="AN7" s="46">
        <v>12157855.650000002</v>
      </c>
      <c r="AO7" s="46">
        <v>12903645.290000003</v>
      </c>
      <c r="AP7" s="46">
        <v>13617957.34</v>
      </c>
      <c r="AQ7" s="46">
        <v>15284047.689999999</v>
      </c>
      <c r="AR7" s="46">
        <v>17381958.23</v>
      </c>
      <c r="AS7" s="46">
        <v>19154184.34</v>
      </c>
      <c r="AT7" s="46">
        <v>20774799.379999999</v>
      </c>
      <c r="AU7" s="46">
        <f>21466264.93+141399.01</f>
        <v>21607663.940000001</v>
      </c>
      <c r="AV7" s="46">
        <f>154940.01+22162809.44</f>
        <v>22317749.450000003</v>
      </c>
      <c r="AW7" s="46">
        <f>22915276.66+171269.94</f>
        <v>23086546.600000001</v>
      </c>
      <c r="AX7" s="46">
        <f>23704212.35+189482.57</f>
        <v>23893694.920000002</v>
      </c>
      <c r="AY7" s="46">
        <f>205033.54+24339777.35</f>
        <v>24544810.890000001</v>
      </c>
      <c r="AZ7" s="46">
        <f>221566.4+25027821.97</f>
        <v>25249388.369999997</v>
      </c>
      <c r="BA7" s="46">
        <f>25027821.97+223852.71</f>
        <v>25251674.68</v>
      </c>
      <c r="BB7" s="46">
        <f>25027821.97+226513.58</f>
        <v>25254335.549999997</v>
      </c>
      <c r="BC7" s="46">
        <f>25027821.97+238736.89</f>
        <v>25266558.859999999</v>
      </c>
      <c r="BD7" s="46">
        <f>25027821.97+261590.07</f>
        <v>25289412.039999999</v>
      </c>
      <c r="BE7" s="46">
        <f>25027821.97+282130.34</f>
        <v>25309952.309999999</v>
      </c>
      <c r="BF7" s="46">
        <f>25027821.97+297152.55</f>
        <v>25324974.52</v>
      </c>
      <c r="BG7" s="46">
        <f>25027821.97+303863.64</f>
        <v>25331685.609999999</v>
      </c>
      <c r="BH7" s="46">
        <f>25027821.97+310566.48</f>
        <v>25338388.449999999</v>
      </c>
      <c r="BI7" s="46">
        <f>25027821.97+318693.52</f>
        <v>25346515.489999998</v>
      </c>
      <c r="BJ7" s="46">
        <f>25027821.97+327022.82</f>
        <v>25354844.789999999</v>
      </c>
      <c r="BK7" s="46">
        <f>25027821.97+335823.09</f>
        <v>25363645.059999999</v>
      </c>
      <c r="BL7" s="46">
        <f>25027821.97+346156.16</f>
        <v>25373978.129999999</v>
      </c>
      <c r="BM7" s="46">
        <f>25027821.97+354916.17</f>
        <v>25382738.140000001</v>
      </c>
      <c r="BN7" s="46">
        <f>25027821.97+365961.08</f>
        <v>25393783.049999997</v>
      </c>
      <c r="BO7" s="46">
        <f>25027821.97+397868.39</f>
        <v>25425690.359999999</v>
      </c>
      <c r="BP7" s="46">
        <f>25027821.97+438814.57</f>
        <v>25466636.539999999</v>
      </c>
      <c r="BQ7" s="46">
        <f>25027821.97+475224.93</f>
        <v>25503046.899999999</v>
      </c>
      <c r="BR7" s="46">
        <f>25027821.97+497543.33</f>
        <v>25525365.299999997</v>
      </c>
      <c r="BS7" s="46">
        <f>25027821.97+506487.62</f>
        <v>25534309.59</v>
      </c>
      <c r="BT7" s="123">
        <f t="shared" si="5"/>
        <v>25543622.239999998</v>
      </c>
      <c r="BU7" s="123">
        <f t="shared" si="6"/>
        <v>25555373.959999997</v>
      </c>
      <c r="BV7" s="123">
        <f t="shared" si="6"/>
        <v>25567379.269999996</v>
      </c>
      <c r="BW7" s="123">
        <f t="shared" si="6"/>
        <v>25577505.799999997</v>
      </c>
      <c r="BX7" s="123">
        <f t="shared" si="6"/>
        <v>25577505.799999997</v>
      </c>
      <c r="BY7" s="123">
        <f t="shared" si="6"/>
        <v>25577505.799999997</v>
      </c>
      <c r="BZ7" s="123">
        <f t="shared" si="6"/>
        <v>25577505.799999997</v>
      </c>
      <c r="CA7" s="123">
        <f t="shared" si="6"/>
        <v>25577505.799999997</v>
      </c>
      <c r="CB7" s="123">
        <f t="shared" si="6"/>
        <v>25577505.799999997</v>
      </c>
      <c r="CC7" s="123">
        <f t="shared" si="6"/>
        <v>25577505.799999997</v>
      </c>
      <c r="CD7" s="123">
        <f t="shared" si="6"/>
        <v>25577505.799999997</v>
      </c>
      <c r="CE7" s="123">
        <f t="shared" si="6"/>
        <v>25577505.799999997</v>
      </c>
      <c r="CF7" s="123">
        <f t="shared" si="6"/>
        <v>25577505.799999997</v>
      </c>
      <c r="CG7" s="123">
        <f t="shared" si="6"/>
        <v>25577505.799999997</v>
      </c>
      <c r="CH7" s="123">
        <f t="shared" si="6"/>
        <v>25577505.799999997</v>
      </c>
      <c r="CI7" s="131"/>
      <c r="CJ7" s="131"/>
      <c r="CK7" s="131"/>
    </row>
    <row r="8" spans="1:89" x14ac:dyDescent="0.3">
      <c r="A8" s="40" t="s">
        <v>36</v>
      </c>
      <c r="B8" s="41"/>
      <c r="C8" s="41"/>
      <c r="D8" s="45">
        <v>0</v>
      </c>
      <c r="E8" s="45">
        <v>0</v>
      </c>
      <c r="F8" s="45">
        <v>0</v>
      </c>
      <c r="G8" s="45">
        <v>526.23</v>
      </c>
      <c r="H8" s="45">
        <v>2233.4699999999998</v>
      </c>
      <c r="I8" s="45">
        <v>4262.4399999999996</v>
      </c>
      <c r="J8" s="45">
        <v>8761.7000000000007</v>
      </c>
      <c r="K8" s="45">
        <v>13045.74</v>
      </c>
      <c r="L8" s="45">
        <v>20273.66</v>
      </c>
      <c r="M8" s="45">
        <v>37982.83</v>
      </c>
      <c r="N8" s="45">
        <v>65485.26</v>
      </c>
      <c r="O8" s="45">
        <v>89352.91</v>
      </c>
      <c r="P8" s="45">
        <v>118408.26</v>
      </c>
      <c r="Q8" s="45">
        <v>129165.95000000001</v>
      </c>
      <c r="R8" s="45">
        <v>156969.91999999998</v>
      </c>
      <c r="S8" s="45">
        <v>283536.74</v>
      </c>
      <c r="T8" s="45">
        <v>459226.48</v>
      </c>
      <c r="U8" s="45">
        <v>674409.64</v>
      </c>
      <c r="V8" s="45">
        <v>877196.58000000007</v>
      </c>
      <c r="W8" s="46">
        <v>977284.15000000014</v>
      </c>
      <c r="X8" s="46">
        <v>1073543.23</v>
      </c>
      <c r="Y8" s="46">
        <v>1185708.23</v>
      </c>
      <c r="Z8" s="46">
        <v>1314546.6499999999</v>
      </c>
      <c r="AA8" s="46">
        <v>1427651.01</v>
      </c>
      <c r="AB8" s="46">
        <v>1557090.47</v>
      </c>
      <c r="AC8" s="46">
        <v>1686737.0899999999</v>
      </c>
      <c r="AD8" s="46">
        <v>1863356.25</v>
      </c>
      <c r="AE8" s="46">
        <v>2279448.1</v>
      </c>
      <c r="AF8" s="46">
        <v>2814330.83</v>
      </c>
      <c r="AG8" s="46">
        <v>3291326.8600000003</v>
      </c>
      <c r="AH8" s="46">
        <v>3697906.36</v>
      </c>
      <c r="AI8" s="46">
        <v>3900717.4</v>
      </c>
      <c r="AJ8" s="46">
        <v>4087079.7399999998</v>
      </c>
      <c r="AK8" s="46">
        <v>4305525.0999999996</v>
      </c>
      <c r="AL8" s="46">
        <v>4552393.01</v>
      </c>
      <c r="AM8" s="46">
        <v>4768797.74</v>
      </c>
      <c r="AN8" s="46">
        <v>5069031.21</v>
      </c>
      <c r="AO8" s="46">
        <v>5347376.22</v>
      </c>
      <c r="AP8" s="46">
        <v>5635365.4399999995</v>
      </c>
      <c r="AQ8" s="46">
        <v>6411912.9499999993</v>
      </c>
      <c r="AR8" s="46">
        <v>7373784.9299999997</v>
      </c>
      <c r="AS8" s="46">
        <v>8233706.0199999996</v>
      </c>
      <c r="AT8" s="46">
        <v>8908132.5299999993</v>
      </c>
      <c r="AU8" s="46">
        <f>9176465.3+47940.65</f>
        <v>9224405.9500000011</v>
      </c>
      <c r="AV8" s="46">
        <f>52071.47+9446777.6</f>
        <v>9498849.0700000003</v>
      </c>
      <c r="AW8" s="46">
        <f>9709021.01+56434.82</f>
        <v>9765455.8300000001</v>
      </c>
      <c r="AX8" s="46">
        <f>10002128.12+61120.41</f>
        <v>10063248.529999999</v>
      </c>
      <c r="AY8" s="46">
        <f>64854.68+10245268.37</f>
        <v>10310123.049999999</v>
      </c>
      <c r="AZ8" s="46">
        <f>69029.51+10511883.99</f>
        <v>10580913.5</v>
      </c>
      <c r="BA8" s="46">
        <f>10511883.99+69029.51</f>
        <v>10580913.5</v>
      </c>
      <c r="BB8" s="46">
        <f>10511883.99+69029.51</f>
        <v>10580913.5</v>
      </c>
      <c r="BC8" s="46">
        <f>10511883.99+69029.51</f>
        <v>10580913.5</v>
      </c>
      <c r="BD8" s="46">
        <f>10511883.99+69029.51</f>
        <v>10580913.5</v>
      </c>
      <c r="BE8" s="46">
        <f>10511883.99+85843.09</f>
        <v>10597727.08</v>
      </c>
      <c r="BF8" s="46">
        <f>10511883.99+105230.49</f>
        <v>10617114.48</v>
      </c>
      <c r="BG8" s="46">
        <f>10511883.99+112015.56</f>
        <v>10623899.550000001</v>
      </c>
      <c r="BH8" s="46">
        <f>10511883.99+118182.79</f>
        <v>10630066.779999999</v>
      </c>
      <c r="BI8" s="46">
        <f>10511883.99+127769.78</f>
        <v>10639653.77</v>
      </c>
      <c r="BJ8" s="46">
        <f>10511883.99+140267.36</f>
        <v>10652151.35</v>
      </c>
      <c r="BK8" s="46">
        <f>10511883.99+150310.67</f>
        <v>10662194.66</v>
      </c>
      <c r="BL8" s="46">
        <f>10511883.99+160806.72</f>
        <v>10672690.710000001</v>
      </c>
      <c r="BM8" s="46">
        <f>10511883.99+170582.68</f>
        <v>10682466.67</v>
      </c>
      <c r="BN8" s="46">
        <f>10511883.99+184110.33</f>
        <v>10695994.32</v>
      </c>
      <c r="BO8" s="46">
        <f>10511883.99+220605.18</f>
        <v>10732489.17</v>
      </c>
      <c r="BP8" s="46">
        <f>10511883.99+268285.15</f>
        <v>10780169.140000001</v>
      </c>
      <c r="BQ8" s="46">
        <f>10511883.99+313573.59</f>
        <v>10825457.58</v>
      </c>
      <c r="BR8" s="46">
        <f>10511883.99+343059.99</f>
        <v>10854943.98</v>
      </c>
      <c r="BS8" s="46">
        <f>10511883.99+354893.28</f>
        <v>10866777.27</v>
      </c>
      <c r="BT8" s="123">
        <f t="shared" si="5"/>
        <v>10877151.85</v>
      </c>
      <c r="BU8" s="123">
        <f t="shared" si="6"/>
        <v>10889209.299999999</v>
      </c>
      <c r="BV8" s="123">
        <f t="shared" si="6"/>
        <v>10902034.089999998</v>
      </c>
      <c r="BW8" s="123">
        <f t="shared" si="6"/>
        <v>10912364.269999998</v>
      </c>
      <c r="BX8" s="123">
        <f t="shared" si="6"/>
        <v>10912364.269999998</v>
      </c>
      <c r="BY8" s="123">
        <f t="shared" si="6"/>
        <v>10912364.269999998</v>
      </c>
      <c r="BZ8" s="123">
        <f t="shared" si="6"/>
        <v>10912364.269999998</v>
      </c>
      <c r="CA8" s="123">
        <f t="shared" si="6"/>
        <v>10912364.269999998</v>
      </c>
      <c r="CB8" s="123">
        <f t="shared" si="6"/>
        <v>10912364.269999998</v>
      </c>
      <c r="CC8" s="123">
        <f t="shared" si="6"/>
        <v>10912364.269999998</v>
      </c>
      <c r="CD8" s="123">
        <f t="shared" si="6"/>
        <v>10912364.269999998</v>
      </c>
      <c r="CE8" s="123">
        <f t="shared" si="6"/>
        <v>10912364.269999998</v>
      </c>
      <c r="CF8" s="123">
        <f t="shared" si="6"/>
        <v>10912364.269999998</v>
      </c>
      <c r="CG8" s="123">
        <f t="shared" si="6"/>
        <v>10912364.269999998</v>
      </c>
      <c r="CH8" s="123">
        <f t="shared" si="6"/>
        <v>10912364.269999998</v>
      </c>
      <c r="CI8" s="131"/>
      <c r="CJ8" s="131"/>
      <c r="CK8" s="131"/>
    </row>
    <row r="9" spans="1:89" x14ac:dyDescent="0.3">
      <c r="A9" s="40" t="s">
        <v>37</v>
      </c>
      <c r="B9" s="41"/>
      <c r="C9" s="41"/>
      <c r="D9" s="45">
        <v>0</v>
      </c>
      <c r="E9" s="45">
        <v>0</v>
      </c>
      <c r="F9" s="45">
        <v>0</v>
      </c>
      <c r="G9" s="45">
        <v>0</v>
      </c>
      <c r="H9" s="45">
        <v>360.22</v>
      </c>
      <c r="I9" s="45">
        <v>1610.72</v>
      </c>
      <c r="J9" s="45">
        <v>3708.44</v>
      </c>
      <c r="K9" s="45">
        <v>5556.58</v>
      </c>
      <c r="L9" s="45">
        <v>7842.59</v>
      </c>
      <c r="M9" s="45">
        <v>10918.86</v>
      </c>
      <c r="N9" s="45">
        <v>16615.46</v>
      </c>
      <c r="O9" s="45">
        <v>22758.07</v>
      </c>
      <c r="P9" s="45">
        <v>31593.03</v>
      </c>
      <c r="Q9" s="45">
        <v>39281.5</v>
      </c>
      <c r="R9" s="45">
        <v>50126.66</v>
      </c>
      <c r="S9" s="45">
        <v>70160.39</v>
      </c>
      <c r="T9" s="45">
        <v>99498.43</v>
      </c>
      <c r="U9" s="45">
        <v>125723.48999999999</v>
      </c>
      <c r="V9" s="45">
        <v>151515.57</v>
      </c>
      <c r="W9" s="46">
        <v>170427.22</v>
      </c>
      <c r="X9" s="46">
        <v>188562.65</v>
      </c>
      <c r="Y9" s="46">
        <v>208655.59</v>
      </c>
      <c r="Z9" s="46">
        <v>231472.88999999998</v>
      </c>
      <c r="AA9" s="46">
        <v>251997.65999999997</v>
      </c>
      <c r="AB9" s="46">
        <v>274863.21999999997</v>
      </c>
      <c r="AC9" s="46">
        <v>298818.81999999995</v>
      </c>
      <c r="AD9" s="46">
        <v>331875.56999999995</v>
      </c>
      <c r="AE9" s="46">
        <v>404071.67999999993</v>
      </c>
      <c r="AF9" s="46">
        <v>500160.08999999997</v>
      </c>
      <c r="AG9" s="46">
        <v>581014.66999999993</v>
      </c>
      <c r="AH9" s="46">
        <v>646771.12999999989</v>
      </c>
      <c r="AI9" s="46">
        <v>682335.71999999986</v>
      </c>
      <c r="AJ9" s="46">
        <v>715657.68999999983</v>
      </c>
      <c r="AK9" s="46">
        <v>756057.14999999979</v>
      </c>
      <c r="AL9" s="46">
        <v>803044.9099999998</v>
      </c>
      <c r="AM9" s="46">
        <v>847067.0299999998</v>
      </c>
      <c r="AN9" s="46">
        <v>906643.35999999987</v>
      </c>
      <c r="AO9" s="46">
        <v>960281.54999999981</v>
      </c>
      <c r="AP9" s="46">
        <v>1023538.6499999997</v>
      </c>
      <c r="AQ9" s="46">
        <v>1212863.4699999997</v>
      </c>
      <c r="AR9" s="46">
        <v>1467669.6399999997</v>
      </c>
      <c r="AS9" s="46">
        <v>1693254.0199999996</v>
      </c>
      <c r="AT9" s="46">
        <v>1837329.1699999995</v>
      </c>
      <c r="AU9" s="46">
        <f>1898561.58+190.94</f>
        <v>1898752.52</v>
      </c>
      <c r="AV9" s="46">
        <f>495.42+1951906.31</f>
        <v>1952401.73</v>
      </c>
      <c r="AW9" s="46">
        <f>2005628.02+817.44</f>
        <v>2006445.46</v>
      </c>
      <c r="AX9" s="46">
        <f>2064005.66+1163.45</f>
        <v>2065169.1099999999</v>
      </c>
      <c r="AY9" s="46">
        <f>1454.53+2116249.21</f>
        <v>2117703.7399999998</v>
      </c>
      <c r="AZ9" s="46">
        <f>1758.71+2169137.42</f>
        <v>2170896.13</v>
      </c>
      <c r="BA9" s="46">
        <f t="shared" ref="BA9:BF9" si="7">2169137.42+1758.71</f>
        <v>2170896.13</v>
      </c>
      <c r="BB9" s="46">
        <f t="shared" si="7"/>
        <v>2170896.13</v>
      </c>
      <c r="BC9" s="46">
        <f t="shared" si="7"/>
        <v>2170896.13</v>
      </c>
      <c r="BD9" s="46">
        <f t="shared" si="7"/>
        <v>2170896.13</v>
      </c>
      <c r="BE9" s="46">
        <f t="shared" si="7"/>
        <v>2170896.13</v>
      </c>
      <c r="BF9" s="46">
        <f t="shared" si="7"/>
        <v>2170896.13</v>
      </c>
      <c r="BG9" s="46">
        <f>2169137.42+1758.71</f>
        <v>2170896.13</v>
      </c>
      <c r="BH9" s="46">
        <f t="shared" ref="BH9:BL9" si="8">2169137.42+1758.71</f>
        <v>2170896.13</v>
      </c>
      <c r="BI9" s="46">
        <f t="shared" si="8"/>
        <v>2170896.13</v>
      </c>
      <c r="BJ9" s="46">
        <f t="shared" si="8"/>
        <v>2170896.13</v>
      </c>
      <c r="BK9" s="46">
        <f t="shared" si="8"/>
        <v>2170896.13</v>
      </c>
      <c r="BL9" s="46">
        <f t="shared" si="8"/>
        <v>2170896.13</v>
      </c>
      <c r="BM9" s="46">
        <f>2169137.42+1758.71</f>
        <v>2170896.13</v>
      </c>
      <c r="BN9" s="46">
        <f>2169137.42+1758.71</f>
        <v>2170896.13</v>
      </c>
      <c r="BO9" s="46">
        <f>2169137.42+1758.71</f>
        <v>2170896.13</v>
      </c>
      <c r="BP9" s="46">
        <f>2169137.42+1758.71</f>
        <v>2170896.13</v>
      </c>
      <c r="BQ9" s="46">
        <f>2169137.42+1657.56</f>
        <v>2170794.98</v>
      </c>
      <c r="BR9" s="46">
        <f>2169137.42+1549.4</f>
        <v>2170686.8199999998</v>
      </c>
      <c r="BS9" s="46">
        <f>2169137.42+1481.88</f>
        <v>2170619.2999999998</v>
      </c>
      <c r="BT9" s="123">
        <f t="shared" si="5"/>
        <v>2170565.11</v>
      </c>
      <c r="BU9" s="123">
        <f t="shared" si="6"/>
        <v>2170508.5299999998</v>
      </c>
      <c r="BV9" s="123">
        <f t="shared" si="6"/>
        <v>2170447.3499999996</v>
      </c>
      <c r="BW9" s="123">
        <f t="shared" si="6"/>
        <v>2170395.8799999994</v>
      </c>
      <c r="BX9" s="123">
        <f t="shared" si="6"/>
        <v>2170395.8799999994</v>
      </c>
      <c r="BY9" s="123">
        <f t="shared" si="6"/>
        <v>2170395.8799999994</v>
      </c>
      <c r="BZ9" s="123">
        <f t="shared" si="6"/>
        <v>2170395.8799999994</v>
      </c>
      <c r="CA9" s="123">
        <f t="shared" si="6"/>
        <v>2170395.8799999994</v>
      </c>
      <c r="CB9" s="123">
        <f t="shared" si="6"/>
        <v>2170395.8799999994</v>
      </c>
      <c r="CC9" s="123">
        <f t="shared" si="6"/>
        <v>2170395.8799999994</v>
      </c>
      <c r="CD9" s="123">
        <f t="shared" si="6"/>
        <v>2170395.8799999994</v>
      </c>
      <c r="CE9" s="123">
        <f t="shared" si="6"/>
        <v>2170395.8799999994</v>
      </c>
      <c r="CF9" s="123">
        <f t="shared" si="6"/>
        <v>2170395.8799999994</v>
      </c>
      <c r="CG9" s="123">
        <f t="shared" si="6"/>
        <v>2170395.8799999994</v>
      </c>
      <c r="CH9" s="123">
        <f t="shared" si="6"/>
        <v>2170395.8799999994</v>
      </c>
      <c r="CI9" s="131"/>
      <c r="CJ9" s="131"/>
      <c r="CK9" s="131"/>
    </row>
    <row r="10" spans="1:89" x14ac:dyDescent="0.3">
      <c r="A10" s="40" t="s">
        <v>29</v>
      </c>
      <c r="B10" s="41"/>
      <c r="C10" s="41"/>
      <c r="D10" s="45">
        <v>0</v>
      </c>
      <c r="E10" s="45">
        <v>0</v>
      </c>
      <c r="F10" s="45">
        <v>0</v>
      </c>
      <c r="G10" s="45">
        <v>0</v>
      </c>
      <c r="H10" s="45">
        <v>0</v>
      </c>
      <c r="I10" s="45">
        <v>1938.36</v>
      </c>
      <c r="J10" s="45">
        <v>4471.67</v>
      </c>
      <c r="K10" s="45">
        <v>5196.7299999999996</v>
      </c>
      <c r="L10" s="45">
        <v>6862.23</v>
      </c>
      <c r="M10" s="45">
        <v>10267.16</v>
      </c>
      <c r="N10" s="45">
        <v>14971.71</v>
      </c>
      <c r="O10" s="45">
        <v>19986.64</v>
      </c>
      <c r="P10" s="45">
        <v>24761.3</v>
      </c>
      <c r="Q10" s="45">
        <v>35353.409999999996</v>
      </c>
      <c r="R10" s="45">
        <v>37586.060000000005</v>
      </c>
      <c r="S10" s="45">
        <v>49965.19000000001</v>
      </c>
      <c r="T10" s="45">
        <f>S10</f>
        <v>49965.19000000001</v>
      </c>
      <c r="U10" s="45">
        <v>79271.760000000009</v>
      </c>
      <c r="V10" s="45">
        <v>98032.219999999987</v>
      </c>
      <c r="W10" s="46">
        <v>106584.77999999998</v>
      </c>
      <c r="X10" s="46">
        <v>118285.69999999998</v>
      </c>
      <c r="Y10" s="46">
        <v>131572.22999999998</v>
      </c>
      <c r="Z10" s="46">
        <v>161846.31999999998</v>
      </c>
      <c r="AA10" s="46">
        <v>190951.01</v>
      </c>
      <c r="AB10" s="46">
        <v>213429.63</v>
      </c>
      <c r="AC10" s="46">
        <v>246557.09999999998</v>
      </c>
      <c r="AD10" s="46">
        <v>271769.84999999998</v>
      </c>
      <c r="AE10" s="46">
        <v>331308.89999999997</v>
      </c>
      <c r="AF10" s="46">
        <v>412191.51</v>
      </c>
      <c r="AG10" s="46">
        <v>493335.19</v>
      </c>
      <c r="AH10" s="46">
        <v>559581.99</v>
      </c>
      <c r="AI10" s="46">
        <v>595007.44000000006</v>
      </c>
      <c r="AJ10" s="46">
        <v>634031.60000000009</v>
      </c>
      <c r="AK10" s="46">
        <v>682284.17</v>
      </c>
      <c r="AL10" s="46">
        <v>734097.55</v>
      </c>
      <c r="AM10" s="46">
        <v>781994.41999999993</v>
      </c>
      <c r="AN10" s="46">
        <v>837841.06999999983</v>
      </c>
      <c r="AO10" s="46">
        <v>888476.94</v>
      </c>
      <c r="AP10" s="46">
        <v>942837.01</v>
      </c>
      <c r="AQ10" s="46">
        <v>1071794.97</v>
      </c>
      <c r="AR10" s="46">
        <v>1230408.1299999999</v>
      </c>
      <c r="AS10" s="46">
        <v>1372751.47</v>
      </c>
      <c r="AT10" s="46">
        <v>1487367.92</v>
      </c>
      <c r="AU10" s="115">
        <f>1535636.39+0</f>
        <v>1535636.39</v>
      </c>
      <c r="AV10" s="46">
        <f>0+1583004.44</f>
        <v>1583004.44</v>
      </c>
      <c r="AW10" s="46">
        <f>1658816.51+0</f>
        <v>1658816.51</v>
      </c>
      <c r="AX10" s="46">
        <f>1720936.64+0</f>
        <v>1720936.64</v>
      </c>
      <c r="AY10" s="46">
        <f>0+1772288.01</f>
        <v>1772288.01</v>
      </c>
      <c r="AZ10" s="46">
        <f>0+1825448.58</f>
        <v>1825448.58</v>
      </c>
      <c r="BA10" s="46">
        <f>1825448.58+0</f>
        <v>1825448.58</v>
      </c>
      <c r="BB10" s="46">
        <f t="shared" ref="BB10:BM10" si="9">1822821.1+0</f>
        <v>1822821.1</v>
      </c>
      <c r="BC10" s="46">
        <f t="shared" si="9"/>
        <v>1822821.1</v>
      </c>
      <c r="BD10" s="46">
        <f t="shared" si="9"/>
        <v>1822821.1</v>
      </c>
      <c r="BE10" s="46">
        <f t="shared" si="9"/>
        <v>1822821.1</v>
      </c>
      <c r="BF10" s="46">
        <f t="shared" si="9"/>
        <v>1822821.1</v>
      </c>
      <c r="BG10" s="46">
        <f t="shared" si="9"/>
        <v>1822821.1</v>
      </c>
      <c r="BH10" s="46">
        <f t="shared" si="9"/>
        <v>1822821.1</v>
      </c>
      <c r="BI10" s="46">
        <f t="shared" si="9"/>
        <v>1822821.1</v>
      </c>
      <c r="BJ10" s="46">
        <f t="shared" si="9"/>
        <v>1822821.1</v>
      </c>
      <c r="BK10" s="46">
        <f t="shared" si="9"/>
        <v>1822821.1</v>
      </c>
      <c r="BL10" s="46">
        <f t="shared" si="9"/>
        <v>1822821.1</v>
      </c>
      <c r="BM10" s="46">
        <f t="shared" si="9"/>
        <v>1822821.1</v>
      </c>
      <c r="BN10" s="46">
        <f t="shared" ref="BN10:BS10" si="10">1822821.1+0</f>
        <v>1822821.1</v>
      </c>
      <c r="BO10" s="46">
        <f t="shared" si="10"/>
        <v>1822821.1</v>
      </c>
      <c r="BP10" s="46">
        <f t="shared" si="10"/>
        <v>1822821.1</v>
      </c>
      <c r="BQ10" s="46">
        <f t="shared" si="10"/>
        <v>1822821.1</v>
      </c>
      <c r="BR10" s="46">
        <f t="shared" si="10"/>
        <v>1822821.1</v>
      </c>
      <c r="BS10" s="46">
        <f t="shared" si="10"/>
        <v>1822821.1</v>
      </c>
      <c r="BT10" s="248">
        <f>BS10+BT19</f>
        <v>1822821.1</v>
      </c>
      <c r="BU10" s="123">
        <f t="shared" si="6"/>
        <v>1822821.1</v>
      </c>
      <c r="BV10" s="123">
        <f t="shared" si="6"/>
        <v>1822821.1</v>
      </c>
      <c r="BW10" s="123">
        <f>BV10+BW19</f>
        <v>1822821.1</v>
      </c>
      <c r="BX10" s="123">
        <f t="shared" si="6"/>
        <v>1822821.1</v>
      </c>
      <c r="BY10" s="123">
        <f t="shared" si="6"/>
        <v>1822821.1</v>
      </c>
      <c r="BZ10" s="123">
        <f t="shared" si="6"/>
        <v>1822821.1</v>
      </c>
      <c r="CA10" s="123">
        <f t="shared" si="6"/>
        <v>1822821.1</v>
      </c>
      <c r="CB10" s="123">
        <f t="shared" si="6"/>
        <v>1822821.1</v>
      </c>
      <c r="CC10" s="123">
        <f t="shared" si="6"/>
        <v>1822821.1</v>
      </c>
      <c r="CD10" s="123">
        <f t="shared" si="6"/>
        <v>1822821.1</v>
      </c>
      <c r="CE10" s="123">
        <f t="shared" si="6"/>
        <v>1822821.1</v>
      </c>
      <c r="CF10" s="123">
        <f t="shared" si="6"/>
        <v>1822821.1</v>
      </c>
      <c r="CG10" s="123">
        <f>CF10+CG19</f>
        <v>1822821.1</v>
      </c>
      <c r="CH10" s="123">
        <f t="shared" si="6"/>
        <v>1822821.1</v>
      </c>
      <c r="CI10" s="131"/>
      <c r="CJ10" s="131"/>
      <c r="CK10" s="131"/>
    </row>
    <row r="11" spans="1:89" x14ac:dyDescent="0.3">
      <c r="A11" s="35" t="s">
        <v>31</v>
      </c>
      <c r="B11" s="33"/>
      <c r="C11" s="33"/>
      <c r="D11" s="48">
        <f>SUM(D5:D10)</f>
        <v>0</v>
      </c>
      <c r="E11" s="48">
        <f t="shared" ref="E11:BX11" si="11">SUM(E5:E10)</f>
        <v>1328.78</v>
      </c>
      <c r="F11" s="48">
        <f t="shared" si="11"/>
        <v>10855.31</v>
      </c>
      <c r="G11" s="48">
        <f t="shared" si="11"/>
        <v>142755.74000000002</v>
      </c>
      <c r="H11" s="48">
        <f t="shared" si="11"/>
        <v>438755.29</v>
      </c>
      <c r="I11" s="48">
        <f t="shared" si="11"/>
        <v>864309.08999999985</v>
      </c>
      <c r="J11" s="48">
        <f t="shared" si="11"/>
        <v>1622828.7399999998</v>
      </c>
      <c r="K11" s="48">
        <f t="shared" si="11"/>
        <v>1822179.47</v>
      </c>
      <c r="L11" s="48">
        <f t="shared" si="11"/>
        <v>2101287.8199999998</v>
      </c>
      <c r="M11" s="48">
        <f t="shared" si="11"/>
        <v>2539595.4700000002</v>
      </c>
      <c r="N11" s="48">
        <f t="shared" si="11"/>
        <v>3049256.3499999996</v>
      </c>
      <c r="O11" s="48">
        <f t="shared" si="11"/>
        <v>3535457.8400000003</v>
      </c>
      <c r="P11" s="48">
        <f t="shared" si="11"/>
        <v>4050297.1999999997</v>
      </c>
      <c r="Q11" s="48">
        <f t="shared" si="11"/>
        <v>4362993.05</v>
      </c>
      <c r="R11" s="48">
        <f t="shared" si="11"/>
        <v>4755467.2999999989</v>
      </c>
      <c r="S11" s="48">
        <f t="shared" si="11"/>
        <v>6104315.6600000001</v>
      </c>
      <c r="T11" s="48">
        <f t="shared" si="11"/>
        <v>8063085.7299999995</v>
      </c>
      <c r="U11" s="48">
        <f t="shared" si="11"/>
        <v>10182437.92</v>
      </c>
      <c r="V11" s="48">
        <f t="shared" si="11"/>
        <v>11835443.359999999</v>
      </c>
      <c r="W11" s="48">
        <f t="shared" si="11"/>
        <v>12586081.24</v>
      </c>
      <c r="X11" s="48">
        <f t="shared" si="11"/>
        <v>13411133.349999998</v>
      </c>
      <c r="Y11" s="48">
        <f t="shared" si="11"/>
        <v>14508235.33</v>
      </c>
      <c r="Z11" s="48">
        <f t="shared" si="11"/>
        <v>15741662.74</v>
      </c>
      <c r="AA11" s="48">
        <f t="shared" si="11"/>
        <v>16804401.32</v>
      </c>
      <c r="AB11" s="48">
        <f t="shared" si="11"/>
        <v>17920859.009999998</v>
      </c>
      <c r="AC11" s="48">
        <f t="shared" si="11"/>
        <v>18880652.490000002</v>
      </c>
      <c r="AD11" s="48">
        <f t="shared" si="11"/>
        <v>20304883.590000004</v>
      </c>
      <c r="AE11" s="48">
        <f t="shared" si="11"/>
        <v>24109452.829999998</v>
      </c>
      <c r="AF11" s="48">
        <f t="shared" si="11"/>
        <v>29222202.420000002</v>
      </c>
      <c r="AG11" s="48">
        <f t="shared" si="11"/>
        <v>33936069.969999999</v>
      </c>
      <c r="AH11" s="48">
        <f t="shared" si="11"/>
        <v>37534409.930000007</v>
      </c>
      <c r="AI11" s="48">
        <f t="shared" si="11"/>
        <v>39248935.469999999</v>
      </c>
      <c r="AJ11" s="48">
        <f t="shared" si="11"/>
        <v>40820356.719999999</v>
      </c>
      <c r="AK11" s="48">
        <f t="shared" si="11"/>
        <v>42739876.649999999</v>
      </c>
      <c r="AL11" s="48">
        <f t="shared" si="11"/>
        <v>44800311.419999987</v>
      </c>
      <c r="AM11" s="48">
        <f t="shared" si="11"/>
        <v>46599938.740000002</v>
      </c>
      <c r="AN11" s="48">
        <f t="shared" si="11"/>
        <v>48912530.510000005</v>
      </c>
      <c r="AO11" s="48">
        <f t="shared" si="11"/>
        <v>51022444.509999998</v>
      </c>
      <c r="AP11" s="48">
        <f t="shared" si="11"/>
        <v>52910430.469999999</v>
      </c>
      <c r="AQ11" s="48">
        <f t="shared" si="11"/>
        <v>59034225.109999999</v>
      </c>
      <c r="AR11" s="48">
        <f t="shared" si="11"/>
        <v>66409536.900000006</v>
      </c>
      <c r="AS11" s="48">
        <f t="shared" si="11"/>
        <v>73378809.11999999</v>
      </c>
      <c r="AT11" s="48">
        <f t="shared" si="11"/>
        <v>78504096.609999999</v>
      </c>
      <c r="AU11" s="48">
        <f t="shared" si="11"/>
        <v>80727405.609999999</v>
      </c>
      <c r="AV11" s="48">
        <f t="shared" ref="AV11:BV11" si="12">SUM(AV5:AV10)</f>
        <v>82805801.339999989</v>
      </c>
      <c r="AW11" s="48">
        <f t="shared" si="12"/>
        <v>85034536.019999996</v>
      </c>
      <c r="AX11" s="48">
        <f t="shared" si="12"/>
        <v>87404383.969999999</v>
      </c>
      <c r="AY11" s="48">
        <f t="shared" si="12"/>
        <v>87621939.359999999</v>
      </c>
      <c r="AZ11" s="48">
        <f t="shared" si="12"/>
        <v>89562112.209999993</v>
      </c>
      <c r="BA11" s="48">
        <f t="shared" si="12"/>
        <v>89564398.519999996</v>
      </c>
      <c r="BB11" s="48">
        <f t="shared" si="12"/>
        <v>89564431.909999982</v>
      </c>
      <c r="BC11" s="48">
        <f t="shared" si="12"/>
        <v>89576655.219999984</v>
      </c>
      <c r="BD11" s="48">
        <f t="shared" si="12"/>
        <v>89599508.399999976</v>
      </c>
      <c r="BE11" s="48">
        <f t="shared" si="12"/>
        <v>89636862.249999985</v>
      </c>
      <c r="BF11" s="48">
        <f t="shared" si="12"/>
        <v>89671271.859999985</v>
      </c>
      <c r="BG11" s="48">
        <f t="shared" si="12"/>
        <v>89684768.019999981</v>
      </c>
      <c r="BH11" s="48">
        <f t="shared" si="12"/>
        <v>89697638.089999989</v>
      </c>
      <c r="BI11" s="48">
        <f t="shared" si="12"/>
        <v>89715352.119999975</v>
      </c>
      <c r="BJ11" s="48">
        <f t="shared" si="12"/>
        <v>89736178.99999997</v>
      </c>
      <c r="BK11" s="48">
        <f t="shared" si="12"/>
        <v>89755278.219999984</v>
      </c>
      <c r="BL11" s="48">
        <f t="shared" si="12"/>
        <v>89776699.679999977</v>
      </c>
      <c r="BM11" s="48">
        <f t="shared" si="12"/>
        <v>89795868.059999987</v>
      </c>
      <c r="BN11" s="48">
        <f t="shared" si="12"/>
        <v>89821333.149999976</v>
      </c>
      <c r="BO11" s="48">
        <f t="shared" si="12"/>
        <v>89891693.699999988</v>
      </c>
      <c r="BP11" s="48">
        <f t="shared" si="12"/>
        <v>89982895.839999989</v>
      </c>
      <c r="BQ11" s="48">
        <f t="shared" si="12"/>
        <v>90067395.079999983</v>
      </c>
      <c r="BR11" s="48">
        <f t="shared" si="12"/>
        <v>90121346.929999992</v>
      </c>
      <c r="BS11" s="48">
        <f t="shared" si="12"/>
        <v>90143258.039999992</v>
      </c>
      <c r="BT11" s="48">
        <f t="shared" si="12"/>
        <v>90163884.11999999</v>
      </c>
      <c r="BU11" s="48">
        <f t="shared" si="12"/>
        <v>90188659.419999987</v>
      </c>
      <c r="BV11" s="48">
        <f t="shared" si="12"/>
        <v>90214489.439999983</v>
      </c>
      <c r="BW11" s="48">
        <f t="shared" si="11"/>
        <v>90235713.329999983</v>
      </c>
      <c r="BX11" s="48">
        <f t="shared" si="11"/>
        <v>90235713.329999983</v>
      </c>
      <c r="BY11" s="48">
        <f t="shared" ref="BY11:CH11" si="13">SUM(BY5:BY10)</f>
        <v>90235713.329999983</v>
      </c>
      <c r="BZ11" s="48">
        <f t="shared" si="13"/>
        <v>90235713.329999983</v>
      </c>
      <c r="CA11" s="48">
        <f t="shared" si="13"/>
        <v>90235713.329999983</v>
      </c>
      <c r="CB11" s="48">
        <f t="shared" si="13"/>
        <v>90235713.329999983</v>
      </c>
      <c r="CC11" s="48">
        <f t="shared" si="13"/>
        <v>90235713.329999983</v>
      </c>
      <c r="CD11" s="48">
        <f t="shared" si="13"/>
        <v>90235713.329999983</v>
      </c>
      <c r="CE11" s="48">
        <f t="shared" si="13"/>
        <v>90235713.329999983</v>
      </c>
      <c r="CF11" s="48">
        <f t="shared" si="13"/>
        <v>90235713.329999983</v>
      </c>
      <c r="CG11" s="48">
        <f t="shared" si="13"/>
        <v>90235713.329999983</v>
      </c>
      <c r="CH11" s="48">
        <f t="shared" si="13"/>
        <v>90235713.329999983</v>
      </c>
      <c r="CI11" s="126"/>
      <c r="CJ11" s="126"/>
      <c r="CK11" s="126"/>
    </row>
    <row r="12" spans="1:89" x14ac:dyDescent="0.3">
      <c r="B12" s="41"/>
      <c r="C12" s="41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31"/>
      <c r="BN12" s="31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132"/>
      <c r="CJ12" s="132"/>
      <c r="CK12" s="132"/>
    </row>
    <row r="13" spans="1:89" x14ac:dyDescent="0.3">
      <c r="A13" s="39" t="s">
        <v>39</v>
      </c>
      <c r="B13" s="41"/>
      <c r="C13" s="41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31"/>
      <c r="BN13" s="31"/>
      <c r="BO13" s="49"/>
      <c r="BP13" s="49"/>
      <c r="BQ13" s="49"/>
      <c r="BR13" s="49"/>
      <c r="BS13" s="49"/>
      <c r="BT13" s="117" t="s">
        <v>82</v>
      </c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132"/>
      <c r="CJ13" s="132"/>
      <c r="CK13" s="132"/>
    </row>
    <row r="14" spans="1:89" x14ac:dyDescent="0.3">
      <c r="A14" s="42" t="s">
        <v>33</v>
      </c>
      <c r="B14" s="41"/>
      <c r="C14" s="41"/>
      <c r="D14" s="49">
        <f>D5-C5</f>
        <v>0</v>
      </c>
      <c r="E14" s="49">
        <f>IF(E5="","",E5-D5)</f>
        <v>1328.78</v>
      </c>
      <c r="F14" s="49">
        <f>IF(F5="","",F5-E5)</f>
        <v>9526.5299999999988</v>
      </c>
      <c r="G14" s="49">
        <f t="shared" ref="F14:AV19" si="14">IF(G5="","",G5-F5)</f>
        <v>120352.88</v>
      </c>
      <c r="H14" s="49">
        <f t="shared" si="14"/>
        <v>256080.65000000002</v>
      </c>
      <c r="I14" s="49">
        <f t="shared" si="14"/>
        <v>372472.09999999992</v>
      </c>
      <c r="J14" s="49">
        <f t="shared" si="14"/>
        <v>670608.5</v>
      </c>
      <c r="K14" s="49">
        <f t="shared" si="14"/>
        <v>120551.63000000012</v>
      </c>
      <c r="L14" s="49">
        <f t="shared" si="14"/>
        <v>184475.61999999988</v>
      </c>
      <c r="M14" s="49">
        <f t="shared" si="14"/>
        <v>301697.94999999995</v>
      </c>
      <c r="N14" s="49">
        <f t="shared" si="14"/>
        <v>327357.96999999997</v>
      </c>
      <c r="O14" s="49">
        <f t="shared" si="14"/>
        <v>317272.05000000028</v>
      </c>
      <c r="P14" s="49">
        <f t="shared" si="14"/>
        <v>305348.18999999994</v>
      </c>
      <c r="Q14" s="49">
        <f t="shared" si="14"/>
        <v>197792.15999999968</v>
      </c>
      <c r="R14" s="49">
        <f t="shared" si="14"/>
        <v>200664.75999999978</v>
      </c>
      <c r="S14" s="49">
        <f t="shared" si="14"/>
        <v>879022.23000000045</v>
      </c>
      <c r="T14" s="49">
        <f t="shared" si="14"/>
        <v>1282604.3399999999</v>
      </c>
      <c r="U14" s="49">
        <f t="shared" si="14"/>
        <v>1399033.92</v>
      </c>
      <c r="V14" s="49">
        <f t="shared" si="14"/>
        <v>904042.34999999963</v>
      </c>
      <c r="W14" s="49">
        <f t="shared" si="14"/>
        <v>276514.40000000037</v>
      </c>
      <c r="X14" s="49">
        <f>IF(X5="","",X5-W5)</f>
        <v>372792.59999999963</v>
      </c>
      <c r="Y14" s="49">
        <f t="shared" si="14"/>
        <v>559285.05000000075</v>
      </c>
      <c r="Z14" s="49">
        <f t="shared" si="14"/>
        <v>591373.70999999903</v>
      </c>
      <c r="AA14" s="49">
        <f t="shared" si="14"/>
        <v>500836.08000000007</v>
      </c>
      <c r="AB14" s="49">
        <f t="shared" si="14"/>
        <v>462807.17000000179</v>
      </c>
      <c r="AC14" s="49">
        <f t="shared" si="14"/>
        <v>255600.08999999985</v>
      </c>
      <c r="AD14" s="49">
        <f t="shared" si="14"/>
        <v>481507.6799999997</v>
      </c>
      <c r="AE14" s="49">
        <f t="shared" si="14"/>
        <v>1997746.3400000017</v>
      </c>
      <c r="AF14" s="49">
        <f t="shared" si="14"/>
        <v>2714818.1799999997</v>
      </c>
      <c r="AG14" s="49">
        <f t="shared" si="14"/>
        <v>2617480.8900000025</v>
      </c>
      <c r="AH14" s="49">
        <f t="shared" si="14"/>
        <v>1555407.7100000009</v>
      </c>
      <c r="AI14" s="49">
        <f t="shared" si="14"/>
        <v>541370.46999999508</v>
      </c>
      <c r="AJ14" s="49">
        <f t="shared" si="14"/>
        <v>496941.62999999896</v>
      </c>
      <c r="AK14" s="49">
        <f t="shared" si="14"/>
        <v>679510.1799999997</v>
      </c>
      <c r="AL14" s="49">
        <f t="shared" si="14"/>
        <v>678526.77999999747</v>
      </c>
      <c r="AM14" s="49">
        <f t="shared" si="14"/>
        <v>601701.77000000328</v>
      </c>
      <c r="AN14" s="49">
        <f t="shared" si="14"/>
        <v>705045.42000000179</v>
      </c>
      <c r="AO14" s="49">
        <f t="shared" si="14"/>
        <v>557694.19999999925</v>
      </c>
      <c r="AP14" s="49">
        <f t="shared" si="14"/>
        <v>349136.58000000194</v>
      </c>
      <c r="AQ14" s="49">
        <f t="shared" si="14"/>
        <v>2666775.4400000013</v>
      </c>
      <c r="AR14" s="49">
        <f t="shared" si="14"/>
        <v>3013692.8199999966</v>
      </c>
      <c r="AS14" s="49">
        <f t="shared" si="14"/>
        <v>3249975.2600000016</v>
      </c>
      <c r="AT14" s="49">
        <f t="shared" si="14"/>
        <v>1818882.6099999994</v>
      </c>
      <c r="AU14" s="49">
        <f t="shared" si="14"/>
        <v>447413.80999999493</v>
      </c>
      <c r="AV14" s="49">
        <f t="shared" si="14"/>
        <v>552491.52000000328</v>
      </c>
      <c r="AW14" s="49">
        <f t="shared" ref="AW14:AW19" si="15">IF(AW5="","",AW5-AV5)</f>
        <v>691219.96000000089</v>
      </c>
      <c r="AX14" s="49">
        <f t="shared" ref="AX14:AX19" si="16">IF(AX5="","",AX5-AW5)</f>
        <v>699596.14999999851</v>
      </c>
      <c r="AY14" s="49">
        <f t="shared" ref="AY14:AY19" si="17">IF(AY5="","",AY5-AX5)</f>
        <v>-1127644.9299999997</v>
      </c>
      <c r="AZ14" s="49">
        <f t="shared" ref="AZ14:AZ19" si="18">IF(AZ5="","",AZ5-AY5)</f>
        <v>475952.4299999997</v>
      </c>
      <c r="BA14" s="49">
        <f t="shared" ref="BA14:BA19" si="19">IF(BA5="","",BA5-AZ5)</f>
        <v>0</v>
      </c>
      <c r="BB14" s="49">
        <f t="shared" ref="BB14:BB19" si="20">IF(BB5="","",BB5-BA5)</f>
        <v>0</v>
      </c>
      <c r="BC14" s="49">
        <f t="shared" ref="BC14:BC19" si="21">IF(BC5="","",BC5-BB5)</f>
        <v>0</v>
      </c>
      <c r="BD14" s="49">
        <f t="shared" ref="BD14:BD19" si="22">IF(BD5="","",BD5-BC5)</f>
        <v>0</v>
      </c>
      <c r="BE14" s="49">
        <f t="shared" ref="BE14:BE19" si="23">IF(BE5="","",BE5-BD5)</f>
        <v>0</v>
      </c>
      <c r="BF14" s="49">
        <f t="shared" ref="BF14:BF19" si="24">IF(BF5="","",BF5-BE5)</f>
        <v>0</v>
      </c>
      <c r="BG14" s="49">
        <f t="shared" ref="BG14:BS19" si="25">IF(BG5="","",BG5-BF5)</f>
        <v>0</v>
      </c>
      <c r="BH14" s="49">
        <f t="shared" si="25"/>
        <v>0</v>
      </c>
      <c r="BI14" s="49">
        <f t="shared" si="25"/>
        <v>0</v>
      </c>
      <c r="BJ14" s="49">
        <f t="shared" si="25"/>
        <v>0</v>
      </c>
      <c r="BK14" s="49">
        <f t="shared" si="25"/>
        <v>0</v>
      </c>
      <c r="BL14" s="49">
        <f t="shared" si="25"/>
        <v>0</v>
      </c>
      <c r="BM14" s="49">
        <f t="shared" si="25"/>
        <v>0</v>
      </c>
      <c r="BN14" s="49">
        <f t="shared" si="25"/>
        <v>0</v>
      </c>
      <c r="BO14" s="49">
        <f t="shared" si="25"/>
        <v>0</v>
      </c>
      <c r="BP14" s="49">
        <f t="shared" si="25"/>
        <v>0</v>
      </c>
      <c r="BQ14" s="49">
        <f t="shared" si="25"/>
        <v>0</v>
      </c>
      <c r="BR14" s="49">
        <f t="shared" si="25"/>
        <v>0</v>
      </c>
      <c r="BS14" s="49">
        <f t="shared" si="25"/>
        <v>0</v>
      </c>
      <c r="BT14" s="165">
        <v>0</v>
      </c>
      <c r="BU14" s="165">
        <v>0</v>
      </c>
      <c r="BV14" s="165">
        <v>0</v>
      </c>
      <c r="BW14" s="165">
        <v>0</v>
      </c>
      <c r="BX14" s="165">
        <v>0</v>
      </c>
      <c r="BY14" s="165">
        <v>0</v>
      </c>
      <c r="BZ14" s="165">
        <v>0</v>
      </c>
      <c r="CA14" s="165">
        <v>0</v>
      </c>
      <c r="CB14" s="165">
        <v>0</v>
      </c>
      <c r="CC14" s="165">
        <v>0</v>
      </c>
      <c r="CD14" s="165">
        <v>0</v>
      </c>
      <c r="CE14" s="165">
        <v>0</v>
      </c>
      <c r="CF14" s="165">
        <v>0</v>
      </c>
      <c r="CG14" s="165">
        <v>0</v>
      </c>
      <c r="CH14" s="165">
        <v>0</v>
      </c>
      <c r="CI14" s="132"/>
      <c r="CJ14" s="132"/>
      <c r="CK14" s="132"/>
    </row>
    <row r="15" spans="1:89" x14ac:dyDescent="0.3">
      <c r="A15" s="42" t="s">
        <v>34</v>
      </c>
      <c r="B15" s="41"/>
      <c r="C15" s="41"/>
      <c r="D15" s="49">
        <f t="shared" ref="D15:D19" si="26">D6-C6</f>
        <v>0</v>
      </c>
      <c r="E15" s="49">
        <f t="shared" ref="E15:T19" si="27">IF(E6="","",E6-D6)</f>
        <v>0</v>
      </c>
      <c r="F15" s="49">
        <f t="shared" si="27"/>
        <v>0</v>
      </c>
      <c r="G15" s="49">
        <f t="shared" si="27"/>
        <v>4167.9399999999996</v>
      </c>
      <c r="H15" s="49">
        <f t="shared" si="27"/>
        <v>13357.940000000002</v>
      </c>
      <c r="I15" s="49">
        <f t="shared" si="27"/>
        <v>14454.18</v>
      </c>
      <c r="J15" s="49">
        <f t="shared" si="27"/>
        <v>22320.249999999996</v>
      </c>
      <c r="K15" s="49">
        <f t="shared" si="27"/>
        <v>23584.83</v>
      </c>
      <c r="L15" s="49">
        <f t="shared" si="27"/>
        <v>27553.509999999995</v>
      </c>
      <c r="M15" s="49">
        <f t="shared" si="27"/>
        <v>36873.300000000017</v>
      </c>
      <c r="N15" s="49">
        <f t="shared" si="27"/>
        <v>47047.100000000006</v>
      </c>
      <c r="O15" s="49">
        <f t="shared" si="27"/>
        <v>42342.149999999994</v>
      </c>
      <c r="P15" s="49">
        <f t="shared" si="27"/>
        <v>52262.419999999984</v>
      </c>
      <c r="Q15" s="49">
        <f t="shared" si="27"/>
        <v>24709.820000000007</v>
      </c>
      <c r="R15" s="49">
        <f t="shared" si="27"/>
        <v>48722.070000000007</v>
      </c>
      <c r="S15" s="49">
        <f t="shared" si="27"/>
        <v>89215.37</v>
      </c>
      <c r="T15" s="49">
        <f t="shared" si="27"/>
        <v>138931.90000000002</v>
      </c>
      <c r="U15" s="49">
        <f t="shared" si="14"/>
        <v>130458.32999999984</v>
      </c>
      <c r="V15" s="49">
        <f t="shared" si="14"/>
        <v>149622.41000000015</v>
      </c>
      <c r="W15" s="49">
        <f t="shared" si="14"/>
        <v>115842.15000000002</v>
      </c>
      <c r="X15" s="49">
        <f t="shared" si="14"/>
        <v>86772.709999999846</v>
      </c>
      <c r="Y15" s="49">
        <f t="shared" si="14"/>
        <v>125490.87999999989</v>
      </c>
      <c r="Z15" s="49">
        <f t="shared" si="14"/>
        <v>148018.68999999994</v>
      </c>
      <c r="AA15" s="49">
        <f t="shared" si="14"/>
        <v>127690.18999999994</v>
      </c>
      <c r="AB15" s="49">
        <f t="shared" si="14"/>
        <v>159406.27000000002</v>
      </c>
      <c r="AC15" s="49">
        <f t="shared" si="14"/>
        <v>183035.08000000031</v>
      </c>
      <c r="AD15" s="49">
        <f t="shared" si="14"/>
        <v>257840.15999999992</v>
      </c>
      <c r="AE15" s="49">
        <f t="shared" si="14"/>
        <v>387684.63000000035</v>
      </c>
      <c r="AF15" s="49">
        <f t="shared" si="14"/>
        <v>508686.86999999965</v>
      </c>
      <c r="AG15" s="49">
        <f t="shared" si="14"/>
        <v>447675.79999999981</v>
      </c>
      <c r="AH15" s="49">
        <f t="shared" si="14"/>
        <v>488022.70000000019</v>
      </c>
      <c r="AI15" s="49">
        <f t="shared" si="14"/>
        <v>344175.24000000069</v>
      </c>
      <c r="AJ15" s="49">
        <f t="shared" si="14"/>
        <v>311009.05999999959</v>
      </c>
      <c r="AK15" s="49">
        <f t="shared" si="14"/>
        <v>343993.12999999989</v>
      </c>
      <c r="AL15" s="49">
        <f t="shared" si="14"/>
        <v>370770.33000000007</v>
      </c>
      <c r="AM15" s="49">
        <f t="shared" si="14"/>
        <v>310169.88999999966</v>
      </c>
      <c r="AN15" s="49">
        <f t="shared" si="14"/>
        <v>419753.16000000108</v>
      </c>
      <c r="AO15" s="49">
        <f t="shared" si="14"/>
        <v>423811.08999999985</v>
      </c>
      <c r="AP15" s="49">
        <f t="shared" si="14"/>
        <v>418930.93999999948</v>
      </c>
      <c r="AQ15" s="49">
        <f t="shared" si="14"/>
        <v>696098.56000000052</v>
      </c>
      <c r="AR15" s="49">
        <f t="shared" si="14"/>
        <v>888417.11999999918</v>
      </c>
      <c r="AS15" s="49">
        <f t="shared" si="14"/>
        <v>719222.04000000097</v>
      </c>
      <c r="AT15" s="49">
        <f t="shared" si="14"/>
        <v>752671.73000000045</v>
      </c>
      <c r="AU15" s="49">
        <f t="shared" si="14"/>
        <v>517065.38999999873</v>
      </c>
      <c r="AV15" s="49">
        <f t="shared" si="14"/>
        <v>440358.31999999844</v>
      </c>
      <c r="AW15" s="49">
        <f t="shared" si="15"/>
        <v>372255.00999999978</v>
      </c>
      <c r="AX15" s="49">
        <f t="shared" si="16"/>
        <v>444467.00000000186</v>
      </c>
      <c r="AY15" s="49">
        <f t="shared" si="17"/>
        <v>343323.83000000007</v>
      </c>
      <c r="AZ15" s="49">
        <f t="shared" si="18"/>
        <v>382499.52999999933</v>
      </c>
      <c r="BA15" s="49">
        <f t="shared" si="19"/>
        <v>0</v>
      </c>
      <c r="BB15" s="49">
        <f t="shared" si="20"/>
        <v>0</v>
      </c>
      <c r="BC15" s="49">
        <f t="shared" si="21"/>
        <v>0</v>
      </c>
      <c r="BD15" s="49">
        <f t="shared" si="22"/>
        <v>0</v>
      </c>
      <c r="BE15" s="49">
        <f t="shared" si="23"/>
        <v>0</v>
      </c>
      <c r="BF15" s="49">
        <f t="shared" si="24"/>
        <v>0</v>
      </c>
      <c r="BG15" s="49">
        <f t="shared" si="25"/>
        <v>0</v>
      </c>
      <c r="BH15" s="49">
        <f t="shared" si="25"/>
        <v>0</v>
      </c>
      <c r="BI15" s="49">
        <f t="shared" si="25"/>
        <v>0</v>
      </c>
      <c r="BJ15" s="49">
        <f t="shared" si="25"/>
        <v>0</v>
      </c>
      <c r="BK15" s="49">
        <f t="shared" si="25"/>
        <v>255.64000000059605</v>
      </c>
      <c r="BL15" s="49">
        <f t="shared" si="25"/>
        <v>592.33999999985099</v>
      </c>
      <c r="BM15" s="49">
        <f t="shared" si="25"/>
        <v>632.41000000014901</v>
      </c>
      <c r="BN15" s="49">
        <f t="shared" si="25"/>
        <v>892.52999999932945</v>
      </c>
      <c r="BO15" s="49">
        <f t="shared" si="25"/>
        <v>1958.390000000596</v>
      </c>
      <c r="BP15" s="49">
        <f t="shared" si="25"/>
        <v>2575.9900000002235</v>
      </c>
      <c r="BQ15" s="49">
        <f t="shared" si="25"/>
        <v>2901.589999999851</v>
      </c>
      <c r="BR15" s="49">
        <f t="shared" si="25"/>
        <v>2255.2100000008941</v>
      </c>
      <c r="BS15" s="49">
        <f t="shared" si="25"/>
        <v>1201.0499999988824</v>
      </c>
      <c r="BT15" s="165">
        <v>993.04</v>
      </c>
      <c r="BU15" s="165">
        <v>1022.71</v>
      </c>
      <c r="BV15" s="165">
        <v>1061.0999999999999</v>
      </c>
      <c r="BW15" s="165">
        <v>818.65</v>
      </c>
      <c r="BX15" s="165">
        <v>0</v>
      </c>
      <c r="BY15" s="165">
        <v>0</v>
      </c>
      <c r="BZ15" s="165">
        <v>0</v>
      </c>
      <c r="CA15" s="165">
        <v>0</v>
      </c>
      <c r="CB15" s="165">
        <v>0</v>
      </c>
      <c r="CC15" s="165">
        <v>0</v>
      </c>
      <c r="CD15" s="165">
        <v>0</v>
      </c>
      <c r="CE15" s="165">
        <v>0</v>
      </c>
      <c r="CF15" s="165">
        <v>0</v>
      </c>
      <c r="CG15" s="165">
        <v>0</v>
      </c>
      <c r="CH15" s="165">
        <v>0</v>
      </c>
      <c r="CI15" s="132"/>
      <c r="CJ15" s="132"/>
      <c r="CK15" s="132"/>
    </row>
    <row r="16" spans="1:89" x14ac:dyDescent="0.3">
      <c r="A16" s="42" t="s">
        <v>35</v>
      </c>
      <c r="B16" s="41"/>
      <c r="C16" s="41"/>
      <c r="D16" s="49">
        <f t="shared" si="26"/>
        <v>0</v>
      </c>
      <c r="E16" s="49">
        <f t="shared" si="27"/>
        <v>0</v>
      </c>
      <c r="F16" s="49">
        <f t="shared" si="14"/>
        <v>0</v>
      </c>
      <c r="G16" s="49">
        <f t="shared" si="14"/>
        <v>6853.38</v>
      </c>
      <c r="H16" s="49">
        <f t="shared" si="14"/>
        <v>24493.5</v>
      </c>
      <c r="I16" s="49">
        <f t="shared" si="14"/>
        <v>33409.69</v>
      </c>
      <c r="J16" s="49">
        <f t="shared" si="14"/>
        <v>56460.609999999993</v>
      </c>
      <c r="K16" s="49">
        <f t="shared" si="14"/>
        <v>48357.03</v>
      </c>
      <c r="L16" s="49">
        <f t="shared" si="14"/>
        <v>55899.790000000008</v>
      </c>
      <c r="M16" s="49">
        <f t="shared" si="14"/>
        <v>75546.030000000028</v>
      </c>
      <c r="N16" s="49">
        <f t="shared" si="14"/>
        <v>97352.229999999981</v>
      </c>
      <c r="O16" s="49">
        <f t="shared" si="14"/>
        <v>91562.099999999977</v>
      </c>
      <c r="P16" s="49">
        <f t="shared" si="14"/>
        <v>114563.78000000003</v>
      </c>
      <c r="Q16" s="49">
        <f t="shared" si="14"/>
        <v>61155.599999999977</v>
      </c>
      <c r="R16" s="49">
        <f t="shared" si="14"/>
        <v>102205.64000000001</v>
      </c>
      <c r="S16" s="49">
        <f t="shared" si="14"/>
        <v>221631.07999999996</v>
      </c>
      <c r="T16" s="49">
        <f t="shared" si="14"/>
        <v>332206.05000000005</v>
      </c>
      <c r="U16" s="49">
        <f t="shared" si="14"/>
        <v>319145.15000000014</v>
      </c>
      <c r="V16" s="49">
        <f t="shared" si="14"/>
        <v>352001.19999999995</v>
      </c>
      <c r="W16" s="49">
        <f t="shared" si="14"/>
        <v>230729.55000000005</v>
      </c>
      <c r="X16" s="49">
        <f t="shared" si="14"/>
        <v>239391.36999999965</v>
      </c>
      <c r="Y16" s="49">
        <f t="shared" si="14"/>
        <v>266781.58000000007</v>
      </c>
      <c r="Z16" s="49">
        <f t="shared" si="14"/>
        <v>312105.20000000019</v>
      </c>
      <c r="AA16" s="49">
        <f t="shared" si="14"/>
        <v>271478.48999999976</v>
      </c>
      <c r="AB16" s="49">
        <f t="shared" si="14"/>
        <v>319460.60999999987</v>
      </c>
      <c r="AC16" s="49">
        <f t="shared" si="14"/>
        <v>334428.61999999965</v>
      </c>
      <c r="AD16" s="49">
        <f t="shared" si="14"/>
        <v>449994.59999999963</v>
      </c>
      <c r="AE16" s="49">
        <f t="shared" si="14"/>
        <v>871311.25999999978</v>
      </c>
      <c r="AF16" s="49">
        <f t="shared" si="14"/>
        <v>1177390.7900000019</v>
      </c>
      <c r="AG16" s="49">
        <f t="shared" si="14"/>
        <v>1009716.5700000003</v>
      </c>
      <c r="AH16" s="49">
        <f t="shared" si="14"/>
        <v>1016326.7899999982</v>
      </c>
      <c r="AI16" s="49">
        <f t="shared" si="14"/>
        <v>555178.75000000186</v>
      </c>
      <c r="AJ16" s="49">
        <f t="shared" si="14"/>
        <v>504762.08999999985</v>
      </c>
      <c r="AK16" s="49">
        <f t="shared" si="14"/>
        <v>588919.23000000045</v>
      </c>
      <c r="AL16" s="49">
        <f t="shared" si="14"/>
        <v>665468.6099999994</v>
      </c>
      <c r="AM16" s="49">
        <f t="shared" si="14"/>
        <v>579431.93999999948</v>
      </c>
      <c r="AN16" s="49">
        <f t="shared" si="14"/>
        <v>772136.74000000209</v>
      </c>
      <c r="AO16" s="49">
        <f t="shared" si="14"/>
        <v>745789.6400000006</v>
      </c>
      <c r="AP16" s="49">
        <f t="shared" si="14"/>
        <v>714312.04999999702</v>
      </c>
      <c r="AQ16" s="49">
        <f t="shared" si="14"/>
        <v>1666090.3499999996</v>
      </c>
      <c r="AR16" s="49">
        <f t="shared" si="14"/>
        <v>2097910.540000001</v>
      </c>
      <c r="AS16" s="49">
        <f t="shared" si="14"/>
        <v>1772226.1099999994</v>
      </c>
      <c r="AT16" s="49">
        <f t="shared" si="14"/>
        <v>1620615.0399999991</v>
      </c>
      <c r="AU16" s="49">
        <f t="shared" si="14"/>
        <v>832864.56000000238</v>
      </c>
      <c r="AV16" s="49">
        <f t="shared" si="14"/>
        <v>710085.51000000164</v>
      </c>
      <c r="AW16" s="49">
        <f t="shared" si="15"/>
        <v>768797.14999999851</v>
      </c>
      <c r="AX16" s="49">
        <f t="shared" si="16"/>
        <v>807148.3200000003</v>
      </c>
      <c r="AY16" s="49">
        <f t="shared" si="17"/>
        <v>651115.96999999881</v>
      </c>
      <c r="AZ16" s="49">
        <f t="shared" si="18"/>
        <v>704577.47999999672</v>
      </c>
      <c r="BA16" s="49">
        <f t="shared" si="19"/>
        <v>2286.3100000023842</v>
      </c>
      <c r="BB16" s="49">
        <f t="shared" si="20"/>
        <v>2660.8699999973178</v>
      </c>
      <c r="BC16" s="49">
        <f t="shared" si="21"/>
        <v>12223.310000002384</v>
      </c>
      <c r="BD16" s="49">
        <f t="shared" si="22"/>
        <v>22853.179999999702</v>
      </c>
      <c r="BE16" s="49">
        <f t="shared" si="23"/>
        <v>20540.269999999553</v>
      </c>
      <c r="BF16" s="49">
        <f t="shared" si="24"/>
        <v>15022.210000000894</v>
      </c>
      <c r="BG16" s="49">
        <f t="shared" si="25"/>
        <v>6711.089999999851</v>
      </c>
      <c r="BH16" s="49">
        <f t="shared" si="25"/>
        <v>6702.839999999851</v>
      </c>
      <c r="BI16" s="49">
        <f t="shared" si="25"/>
        <v>8127.0399999991059</v>
      </c>
      <c r="BJ16" s="49">
        <f t="shared" si="25"/>
        <v>8329.3000000007451</v>
      </c>
      <c r="BK16" s="49">
        <f t="shared" si="25"/>
        <v>8800.269999999553</v>
      </c>
      <c r="BL16" s="49">
        <f t="shared" si="25"/>
        <v>10333.070000000298</v>
      </c>
      <c r="BM16" s="49">
        <f t="shared" si="25"/>
        <v>8760.0100000016391</v>
      </c>
      <c r="BN16" s="49">
        <f t="shared" si="25"/>
        <v>11044.909999996424</v>
      </c>
      <c r="BO16" s="49">
        <f t="shared" si="25"/>
        <v>31907.310000002384</v>
      </c>
      <c r="BP16" s="49">
        <f t="shared" si="25"/>
        <v>40946.179999999702</v>
      </c>
      <c r="BQ16" s="49">
        <f t="shared" si="25"/>
        <v>36410.359999999404</v>
      </c>
      <c r="BR16" s="49">
        <f t="shared" si="25"/>
        <v>22318.39999999851</v>
      </c>
      <c r="BS16" s="49">
        <f t="shared" si="25"/>
        <v>8944.2900000028312</v>
      </c>
      <c r="BT16" s="165">
        <v>9312.65</v>
      </c>
      <c r="BU16" s="165">
        <v>11751.72</v>
      </c>
      <c r="BV16" s="165">
        <v>12005.31</v>
      </c>
      <c r="BW16" s="165">
        <v>10126.530000000001</v>
      </c>
      <c r="BX16" s="165">
        <v>0</v>
      </c>
      <c r="BY16" s="165">
        <v>0</v>
      </c>
      <c r="BZ16" s="165">
        <v>0</v>
      </c>
      <c r="CA16" s="165">
        <v>0</v>
      </c>
      <c r="CB16" s="165">
        <v>0</v>
      </c>
      <c r="CC16" s="165">
        <v>0</v>
      </c>
      <c r="CD16" s="165">
        <v>0</v>
      </c>
      <c r="CE16" s="165">
        <v>0</v>
      </c>
      <c r="CF16" s="165">
        <v>0</v>
      </c>
      <c r="CG16" s="165">
        <v>0</v>
      </c>
      <c r="CH16" s="165">
        <v>0</v>
      </c>
      <c r="CI16" s="132"/>
      <c r="CJ16" s="132"/>
      <c r="CK16" s="132"/>
    </row>
    <row r="17" spans="1:89" x14ac:dyDescent="0.3">
      <c r="A17" s="42" t="s">
        <v>36</v>
      </c>
      <c r="B17" s="41"/>
      <c r="C17" s="41"/>
      <c r="D17" s="49">
        <f t="shared" si="26"/>
        <v>0</v>
      </c>
      <c r="E17" s="49">
        <f t="shared" si="27"/>
        <v>0</v>
      </c>
      <c r="F17" s="49">
        <f t="shared" si="14"/>
        <v>0</v>
      </c>
      <c r="G17" s="49">
        <f t="shared" si="14"/>
        <v>526.23</v>
      </c>
      <c r="H17" s="49">
        <f t="shared" si="14"/>
        <v>1707.2399999999998</v>
      </c>
      <c r="I17" s="49">
        <f t="shared" si="14"/>
        <v>2028.9699999999998</v>
      </c>
      <c r="J17" s="49">
        <f t="shared" si="14"/>
        <v>4499.2600000000011</v>
      </c>
      <c r="K17" s="49">
        <f t="shared" si="14"/>
        <v>4284.0399999999991</v>
      </c>
      <c r="L17" s="49">
        <f t="shared" si="14"/>
        <v>7227.92</v>
      </c>
      <c r="M17" s="49">
        <f t="shared" si="14"/>
        <v>17709.170000000002</v>
      </c>
      <c r="N17" s="49">
        <f t="shared" si="14"/>
        <v>27502.43</v>
      </c>
      <c r="O17" s="49">
        <f t="shared" si="14"/>
        <v>23867.65</v>
      </c>
      <c r="P17" s="49">
        <f t="shared" si="14"/>
        <v>29055.349999999991</v>
      </c>
      <c r="Q17" s="49">
        <f t="shared" si="14"/>
        <v>10757.690000000017</v>
      </c>
      <c r="R17" s="49">
        <f t="shared" si="14"/>
        <v>27803.969999999972</v>
      </c>
      <c r="S17" s="49">
        <f t="shared" si="14"/>
        <v>126566.82</v>
      </c>
      <c r="T17" s="49">
        <f t="shared" si="14"/>
        <v>175689.74</v>
      </c>
      <c r="U17" s="49">
        <f t="shared" si="14"/>
        <v>215183.16000000003</v>
      </c>
      <c r="V17" s="49">
        <f t="shared" si="14"/>
        <v>202786.94000000006</v>
      </c>
      <c r="W17" s="49">
        <f t="shared" si="14"/>
        <v>100087.57000000007</v>
      </c>
      <c r="X17" s="49">
        <f t="shared" si="14"/>
        <v>96259.079999999842</v>
      </c>
      <c r="Y17" s="49">
        <f t="shared" si="14"/>
        <v>112165</v>
      </c>
      <c r="Z17" s="49">
        <f t="shared" si="14"/>
        <v>128838.41999999993</v>
      </c>
      <c r="AA17" s="49">
        <f t="shared" si="14"/>
        <v>113104.3600000001</v>
      </c>
      <c r="AB17" s="49">
        <f t="shared" si="14"/>
        <v>129439.45999999996</v>
      </c>
      <c r="AC17" s="49">
        <f t="shared" si="14"/>
        <v>129646.61999999988</v>
      </c>
      <c r="AD17" s="49">
        <f t="shared" si="14"/>
        <v>176619.16000000015</v>
      </c>
      <c r="AE17" s="49">
        <f t="shared" si="14"/>
        <v>416091.85000000009</v>
      </c>
      <c r="AF17" s="49">
        <f t="shared" si="14"/>
        <v>534882.73</v>
      </c>
      <c r="AG17" s="49">
        <f t="shared" si="14"/>
        <v>476996.03000000026</v>
      </c>
      <c r="AH17" s="49">
        <f t="shared" si="14"/>
        <v>406579.49999999953</v>
      </c>
      <c r="AI17" s="49">
        <f t="shared" si="14"/>
        <v>202811.04000000004</v>
      </c>
      <c r="AJ17" s="49">
        <f t="shared" si="14"/>
        <v>186362.33999999985</v>
      </c>
      <c r="AK17" s="49">
        <f t="shared" si="14"/>
        <v>218445.35999999987</v>
      </c>
      <c r="AL17" s="49">
        <f t="shared" si="14"/>
        <v>246867.91000000015</v>
      </c>
      <c r="AM17" s="49">
        <f t="shared" si="14"/>
        <v>216404.73000000045</v>
      </c>
      <c r="AN17" s="49">
        <f t="shared" si="14"/>
        <v>300233.46999999974</v>
      </c>
      <c r="AO17" s="49">
        <f t="shared" si="14"/>
        <v>278345.00999999978</v>
      </c>
      <c r="AP17" s="49">
        <f t="shared" si="14"/>
        <v>287989.21999999974</v>
      </c>
      <c r="AQ17" s="49">
        <f t="shared" si="14"/>
        <v>776547.50999999978</v>
      </c>
      <c r="AR17" s="49">
        <f t="shared" si="14"/>
        <v>961871.98000000045</v>
      </c>
      <c r="AS17" s="49">
        <f t="shared" si="14"/>
        <v>859921.08999999985</v>
      </c>
      <c r="AT17" s="49">
        <f t="shared" si="14"/>
        <v>674426.50999999978</v>
      </c>
      <c r="AU17" s="49">
        <f t="shared" si="14"/>
        <v>316273.42000000179</v>
      </c>
      <c r="AV17" s="49">
        <f t="shared" si="14"/>
        <v>274443.11999999918</v>
      </c>
      <c r="AW17" s="49">
        <f t="shared" si="15"/>
        <v>266606.75999999978</v>
      </c>
      <c r="AX17" s="49">
        <f t="shared" si="16"/>
        <v>297792.69999999925</v>
      </c>
      <c r="AY17" s="49">
        <f t="shared" si="17"/>
        <v>246874.51999999955</v>
      </c>
      <c r="AZ17" s="49">
        <f t="shared" si="18"/>
        <v>270790.45000000112</v>
      </c>
      <c r="BA17" s="49">
        <f t="shared" si="19"/>
        <v>0</v>
      </c>
      <c r="BB17" s="49">
        <f t="shared" si="20"/>
        <v>0</v>
      </c>
      <c r="BC17" s="49">
        <f t="shared" si="21"/>
        <v>0</v>
      </c>
      <c r="BD17" s="49">
        <f t="shared" si="22"/>
        <v>0</v>
      </c>
      <c r="BE17" s="49">
        <f t="shared" si="23"/>
        <v>16813.580000000075</v>
      </c>
      <c r="BF17" s="49">
        <f t="shared" si="24"/>
        <v>19387.400000000373</v>
      </c>
      <c r="BG17" s="49">
        <f t="shared" si="25"/>
        <v>6785.070000000298</v>
      </c>
      <c r="BH17" s="49">
        <f t="shared" si="25"/>
        <v>6167.2299999985844</v>
      </c>
      <c r="BI17" s="49">
        <f t="shared" si="25"/>
        <v>9586.9900000002235</v>
      </c>
      <c r="BJ17" s="49">
        <f t="shared" si="25"/>
        <v>12497.580000000075</v>
      </c>
      <c r="BK17" s="49">
        <f t="shared" si="25"/>
        <v>10043.310000000522</v>
      </c>
      <c r="BL17" s="49">
        <f t="shared" si="25"/>
        <v>10496.050000000745</v>
      </c>
      <c r="BM17" s="49">
        <f t="shared" si="25"/>
        <v>9775.9599999990314</v>
      </c>
      <c r="BN17" s="49">
        <f t="shared" si="25"/>
        <v>13527.650000000373</v>
      </c>
      <c r="BO17" s="49">
        <f t="shared" si="25"/>
        <v>36494.849999999627</v>
      </c>
      <c r="BP17" s="49">
        <f t="shared" si="25"/>
        <v>47679.970000000671</v>
      </c>
      <c r="BQ17" s="49">
        <f t="shared" si="25"/>
        <v>45288.439999999478</v>
      </c>
      <c r="BR17" s="49">
        <f t="shared" si="25"/>
        <v>29486.400000000373</v>
      </c>
      <c r="BS17" s="49">
        <f t="shared" si="25"/>
        <v>11833.289999999106</v>
      </c>
      <c r="BT17" s="165">
        <v>10374.58</v>
      </c>
      <c r="BU17" s="165">
        <v>12057.45</v>
      </c>
      <c r="BV17" s="165">
        <v>12824.79</v>
      </c>
      <c r="BW17" s="165">
        <v>10330.18</v>
      </c>
      <c r="BX17" s="165">
        <v>0</v>
      </c>
      <c r="BY17" s="165">
        <v>0</v>
      </c>
      <c r="BZ17" s="165">
        <v>0</v>
      </c>
      <c r="CA17" s="165">
        <v>0</v>
      </c>
      <c r="CB17" s="165">
        <v>0</v>
      </c>
      <c r="CC17" s="165">
        <v>0</v>
      </c>
      <c r="CD17" s="165">
        <v>0</v>
      </c>
      <c r="CE17" s="165">
        <v>0</v>
      </c>
      <c r="CF17" s="165">
        <v>0</v>
      </c>
      <c r="CG17" s="165">
        <v>0</v>
      </c>
      <c r="CH17" s="165">
        <v>0</v>
      </c>
      <c r="CI17" s="132"/>
      <c r="CJ17" s="132"/>
      <c r="CK17" s="132"/>
    </row>
    <row r="18" spans="1:89" x14ac:dyDescent="0.3">
      <c r="A18" s="42" t="s">
        <v>37</v>
      </c>
      <c r="B18" s="41"/>
      <c r="C18" s="41"/>
      <c r="D18" s="49">
        <f t="shared" si="26"/>
        <v>0</v>
      </c>
      <c r="E18" s="49">
        <f t="shared" si="27"/>
        <v>0</v>
      </c>
      <c r="F18" s="49">
        <f t="shared" si="14"/>
        <v>0</v>
      </c>
      <c r="G18" s="49">
        <f t="shared" si="14"/>
        <v>0</v>
      </c>
      <c r="H18" s="49">
        <f t="shared" si="14"/>
        <v>360.22</v>
      </c>
      <c r="I18" s="49">
        <f t="shared" si="14"/>
        <v>1250.5</v>
      </c>
      <c r="J18" s="49">
        <f t="shared" si="14"/>
        <v>2097.7200000000003</v>
      </c>
      <c r="K18" s="49">
        <f t="shared" si="14"/>
        <v>1848.1399999999999</v>
      </c>
      <c r="L18" s="49">
        <f t="shared" si="14"/>
        <v>2286.0100000000002</v>
      </c>
      <c r="M18" s="49">
        <f t="shared" si="14"/>
        <v>3076.2700000000004</v>
      </c>
      <c r="N18" s="49">
        <f t="shared" si="14"/>
        <v>5696.5999999999985</v>
      </c>
      <c r="O18" s="49">
        <f t="shared" si="14"/>
        <v>6142.6100000000006</v>
      </c>
      <c r="P18" s="49">
        <f t="shared" si="14"/>
        <v>8834.9599999999991</v>
      </c>
      <c r="Q18" s="49">
        <f t="shared" si="14"/>
        <v>7688.4700000000012</v>
      </c>
      <c r="R18" s="49">
        <f t="shared" si="14"/>
        <v>10845.160000000003</v>
      </c>
      <c r="S18" s="49">
        <f t="shared" si="14"/>
        <v>20033.729999999996</v>
      </c>
      <c r="T18" s="49">
        <f t="shared" si="14"/>
        <v>29338.039999999994</v>
      </c>
      <c r="U18" s="49">
        <f t="shared" si="14"/>
        <v>26225.059999999998</v>
      </c>
      <c r="V18" s="49">
        <f t="shared" si="14"/>
        <v>25792.080000000016</v>
      </c>
      <c r="W18" s="49">
        <f t="shared" si="14"/>
        <v>18911.649999999994</v>
      </c>
      <c r="X18" s="49">
        <f t="shared" si="14"/>
        <v>18135.429999999993</v>
      </c>
      <c r="Y18" s="49">
        <f t="shared" si="14"/>
        <v>20092.940000000002</v>
      </c>
      <c r="Z18" s="49">
        <f t="shared" si="14"/>
        <v>22817.299999999988</v>
      </c>
      <c r="AA18" s="49">
        <f t="shared" si="14"/>
        <v>20524.76999999999</v>
      </c>
      <c r="AB18" s="49">
        <f t="shared" si="14"/>
        <v>22865.559999999998</v>
      </c>
      <c r="AC18" s="49">
        <f t="shared" si="14"/>
        <v>23955.599999999977</v>
      </c>
      <c r="AD18" s="49">
        <f t="shared" si="14"/>
        <v>33056.75</v>
      </c>
      <c r="AE18" s="49">
        <f t="shared" si="14"/>
        <v>72196.109999999986</v>
      </c>
      <c r="AF18" s="49">
        <f t="shared" si="14"/>
        <v>96088.410000000033</v>
      </c>
      <c r="AG18" s="49">
        <f t="shared" si="14"/>
        <v>80854.579999999958</v>
      </c>
      <c r="AH18" s="49">
        <f t="shared" si="14"/>
        <v>65756.459999999963</v>
      </c>
      <c r="AI18" s="49">
        <f t="shared" si="14"/>
        <v>35564.589999999967</v>
      </c>
      <c r="AJ18" s="49">
        <f t="shared" si="14"/>
        <v>33321.969999999972</v>
      </c>
      <c r="AK18" s="49">
        <f t="shared" si="14"/>
        <v>40399.459999999963</v>
      </c>
      <c r="AL18" s="49">
        <f t="shared" si="14"/>
        <v>46987.760000000009</v>
      </c>
      <c r="AM18" s="49">
        <f t="shared" si="14"/>
        <v>44022.119999999995</v>
      </c>
      <c r="AN18" s="49">
        <f t="shared" si="14"/>
        <v>59576.330000000075</v>
      </c>
      <c r="AO18" s="49">
        <f t="shared" si="14"/>
        <v>53638.189999999944</v>
      </c>
      <c r="AP18" s="49">
        <f t="shared" si="14"/>
        <v>63257.09999999986</v>
      </c>
      <c r="AQ18" s="49">
        <f t="shared" si="14"/>
        <v>189324.82000000007</v>
      </c>
      <c r="AR18" s="49">
        <f t="shared" si="14"/>
        <v>254806.16999999993</v>
      </c>
      <c r="AS18" s="49">
        <f t="shared" si="14"/>
        <v>225584.37999999989</v>
      </c>
      <c r="AT18" s="49">
        <f t="shared" si="14"/>
        <v>144075.14999999991</v>
      </c>
      <c r="AU18" s="49">
        <f t="shared" si="14"/>
        <v>61423.350000000559</v>
      </c>
      <c r="AV18" s="49">
        <f t="shared" si="14"/>
        <v>53649.209999999963</v>
      </c>
      <c r="AW18" s="49">
        <f t="shared" si="15"/>
        <v>54043.729999999981</v>
      </c>
      <c r="AX18" s="49">
        <f t="shared" si="16"/>
        <v>58723.649999999907</v>
      </c>
      <c r="AY18" s="49">
        <f t="shared" si="17"/>
        <v>52534.629999999888</v>
      </c>
      <c r="AZ18" s="49">
        <f t="shared" si="18"/>
        <v>53192.39000000013</v>
      </c>
      <c r="BA18" s="49">
        <f t="shared" si="19"/>
        <v>0</v>
      </c>
      <c r="BB18" s="49">
        <f t="shared" si="20"/>
        <v>0</v>
      </c>
      <c r="BC18" s="49">
        <f t="shared" si="21"/>
        <v>0</v>
      </c>
      <c r="BD18" s="49">
        <f t="shared" si="22"/>
        <v>0</v>
      </c>
      <c r="BE18" s="49">
        <f t="shared" si="23"/>
        <v>0</v>
      </c>
      <c r="BF18" s="49">
        <f t="shared" si="24"/>
        <v>0</v>
      </c>
      <c r="BG18" s="49">
        <f t="shared" si="25"/>
        <v>0</v>
      </c>
      <c r="BH18" s="49">
        <f t="shared" si="25"/>
        <v>0</v>
      </c>
      <c r="BI18" s="49">
        <f t="shared" si="25"/>
        <v>0</v>
      </c>
      <c r="BJ18" s="49">
        <f t="shared" si="25"/>
        <v>0</v>
      </c>
      <c r="BK18" s="49">
        <f t="shared" si="25"/>
        <v>0</v>
      </c>
      <c r="BL18" s="49">
        <f t="shared" si="25"/>
        <v>0</v>
      </c>
      <c r="BM18" s="49">
        <f t="shared" si="25"/>
        <v>0</v>
      </c>
      <c r="BN18" s="49">
        <f t="shared" si="25"/>
        <v>0</v>
      </c>
      <c r="BO18" s="49">
        <f t="shared" si="25"/>
        <v>0</v>
      </c>
      <c r="BP18" s="49">
        <f t="shared" si="25"/>
        <v>0</v>
      </c>
      <c r="BQ18" s="49">
        <f t="shared" si="25"/>
        <v>-101.14999999990687</v>
      </c>
      <c r="BR18" s="49">
        <f t="shared" si="25"/>
        <v>-108.16000000014901</v>
      </c>
      <c r="BS18" s="49">
        <f t="shared" si="25"/>
        <v>-67.520000000018626</v>
      </c>
      <c r="BT18" s="165">
        <v>-54.19</v>
      </c>
      <c r="BU18" s="165">
        <v>-56.58</v>
      </c>
      <c r="BV18" s="165">
        <v>-61.18</v>
      </c>
      <c r="BW18" s="165">
        <v>-51.47</v>
      </c>
      <c r="BX18" s="165">
        <v>0</v>
      </c>
      <c r="BY18" s="165">
        <v>0</v>
      </c>
      <c r="BZ18" s="165">
        <v>0</v>
      </c>
      <c r="CA18" s="165">
        <v>0</v>
      </c>
      <c r="CB18" s="165">
        <v>0</v>
      </c>
      <c r="CC18" s="165">
        <v>0</v>
      </c>
      <c r="CD18" s="165">
        <v>0</v>
      </c>
      <c r="CE18" s="165">
        <v>0</v>
      </c>
      <c r="CF18" s="165">
        <v>0</v>
      </c>
      <c r="CG18" s="165">
        <v>0</v>
      </c>
      <c r="CH18" s="165">
        <v>0</v>
      </c>
      <c r="CI18" s="132"/>
      <c r="CJ18" s="132"/>
      <c r="CK18" s="132"/>
    </row>
    <row r="19" spans="1:89" x14ac:dyDescent="0.3">
      <c r="A19" s="42" t="s">
        <v>29</v>
      </c>
      <c r="B19" s="41"/>
      <c r="C19" s="41"/>
      <c r="D19" s="49">
        <f t="shared" si="26"/>
        <v>0</v>
      </c>
      <c r="E19" s="49">
        <f t="shared" si="27"/>
        <v>0</v>
      </c>
      <c r="F19" s="49">
        <f t="shared" si="14"/>
        <v>0</v>
      </c>
      <c r="G19" s="49">
        <f t="shared" si="14"/>
        <v>0</v>
      </c>
      <c r="H19" s="49">
        <f t="shared" si="14"/>
        <v>0</v>
      </c>
      <c r="I19" s="49">
        <f t="shared" si="14"/>
        <v>1938.36</v>
      </c>
      <c r="J19" s="49">
        <f t="shared" si="14"/>
        <v>2533.3100000000004</v>
      </c>
      <c r="K19" s="49">
        <f t="shared" si="14"/>
        <v>725.05999999999949</v>
      </c>
      <c r="L19" s="49">
        <f t="shared" si="14"/>
        <v>1665.5</v>
      </c>
      <c r="M19" s="49">
        <f t="shared" si="14"/>
        <v>3404.9300000000003</v>
      </c>
      <c r="N19" s="49">
        <f t="shared" si="14"/>
        <v>4704.5499999999993</v>
      </c>
      <c r="O19" s="49">
        <f t="shared" si="14"/>
        <v>5014.93</v>
      </c>
      <c r="P19" s="49">
        <f t="shared" si="14"/>
        <v>4774.66</v>
      </c>
      <c r="Q19" s="49">
        <f t="shared" si="14"/>
        <v>10592.109999999997</v>
      </c>
      <c r="R19" s="49">
        <f t="shared" si="14"/>
        <v>2232.6500000000087</v>
      </c>
      <c r="S19" s="49">
        <f t="shared" si="14"/>
        <v>12379.130000000005</v>
      </c>
      <c r="T19" s="49">
        <f t="shared" si="14"/>
        <v>0</v>
      </c>
      <c r="U19" s="49">
        <f t="shared" si="14"/>
        <v>29306.57</v>
      </c>
      <c r="V19" s="49">
        <f t="shared" si="14"/>
        <v>18760.459999999977</v>
      </c>
      <c r="W19" s="49">
        <f t="shared" si="14"/>
        <v>8552.5599999999977</v>
      </c>
      <c r="X19" s="49">
        <f t="shared" si="14"/>
        <v>11700.919999999998</v>
      </c>
      <c r="Y19" s="49">
        <f t="shared" si="14"/>
        <v>13286.529999999999</v>
      </c>
      <c r="Z19" s="49">
        <f t="shared" si="14"/>
        <v>30274.089999999997</v>
      </c>
      <c r="AA19" s="49">
        <f t="shared" si="14"/>
        <v>29104.690000000031</v>
      </c>
      <c r="AB19" s="49">
        <f t="shared" si="14"/>
        <v>22478.619999999995</v>
      </c>
      <c r="AC19" s="49">
        <f t="shared" si="14"/>
        <v>33127.469999999972</v>
      </c>
      <c r="AD19" s="49">
        <f t="shared" si="14"/>
        <v>25212.75</v>
      </c>
      <c r="AE19" s="49">
        <f t="shared" si="14"/>
        <v>59539.049999999988</v>
      </c>
      <c r="AF19" s="49">
        <f t="shared" si="14"/>
        <v>80882.610000000044</v>
      </c>
      <c r="AG19" s="49">
        <f t="shared" si="14"/>
        <v>81143.679999999993</v>
      </c>
      <c r="AH19" s="49">
        <f t="shared" si="14"/>
        <v>66246.799999999988</v>
      </c>
      <c r="AI19" s="49">
        <f t="shared" si="14"/>
        <v>35425.45000000007</v>
      </c>
      <c r="AJ19" s="49">
        <f t="shared" si="14"/>
        <v>39024.160000000033</v>
      </c>
      <c r="AK19" s="49">
        <f t="shared" si="14"/>
        <v>48252.569999999949</v>
      </c>
      <c r="AL19" s="49">
        <f t="shared" si="14"/>
        <v>51813.380000000005</v>
      </c>
      <c r="AM19" s="49">
        <f t="shared" si="14"/>
        <v>47896.869999999879</v>
      </c>
      <c r="AN19" s="49">
        <f t="shared" si="14"/>
        <v>55846.649999999907</v>
      </c>
      <c r="AO19" s="49">
        <f t="shared" si="14"/>
        <v>50635.870000000112</v>
      </c>
      <c r="AP19" s="49">
        <f t="shared" si="14"/>
        <v>54360.070000000065</v>
      </c>
      <c r="AQ19" s="49">
        <f t="shared" si="14"/>
        <v>128957.95999999996</v>
      </c>
      <c r="AR19" s="49">
        <f t="shared" si="14"/>
        <v>158613.15999999992</v>
      </c>
      <c r="AS19" s="49">
        <f t="shared" si="14"/>
        <v>142343.34000000008</v>
      </c>
      <c r="AT19" s="49">
        <f t="shared" si="14"/>
        <v>114616.44999999995</v>
      </c>
      <c r="AU19" s="49">
        <f t="shared" si="14"/>
        <v>48268.469999999972</v>
      </c>
      <c r="AV19" s="49">
        <f t="shared" si="14"/>
        <v>47368.050000000047</v>
      </c>
      <c r="AW19" s="49">
        <f t="shared" si="15"/>
        <v>75812.070000000065</v>
      </c>
      <c r="AX19" s="49">
        <f t="shared" si="16"/>
        <v>62120.129999999888</v>
      </c>
      <c r="AY19" s="49">
        <f t="shared" si="17"/>
        <v>51351.370000000112</v>
      </c>
      <c r="AZ19" s="49">
        <f t="shared" si="18"/>
        <v>53160.570000000065</v>
      </c>
      <c r="BA19" s="49">
        <f t="shared" si="19"/>
        <v>0</v>
      </c>
      <c r="BB19" s="49">
        <f t="shared" si="20"/>
        <v>-2627.4799999999814</v>
      </c>
      <c r="BC19" s="49">
        <f t="shared" si="21"/>
        <v>0</v>
      </c>
      <c r="BD19" s="49">
        <f t="shared" si="22"/>
        <v>0</v>
      </c>
      <c r="BE19" s="49">
        <f t="shared" si="23"/>
        <v>0</v>
      </c>
      <c r="BF19" s="49">
        <f t="shared" si="24"/>
        <v>0</v>
      </c>
      <c r="BG19" s="49">
        <f t="shared" si="25"/>
        <v>0</v>
      </c>
      <c r="BH19" s="49">
        <f t="shared" si="25"/>
        <v>0</v>
      </c>
      <c r="BI19" s="49">
        <f t="shared" si="25"/>
        <v>0</v>
      </c>
      <c r="BJ19" s="49">
        <f t="shared" si="25"/>
        <v>0</v>
      </c>
      <c r="BK19" s="49">
        <f t="shared" si="25"/>
        <v>0</v>
      </c>
      <c r="BL19" s="49">
        <f t="shared" si="25"/>
        <v>0</v>
      </c>
      <c r="BM19" s="49">
        <f t="shared" si="25"/>
        <v>0</v>
      </c>
      <c r="BN19" s="49">
        <f t="shared" si="25"/>
        <v>0</v>
      </c>
      <c r="BO19" s="49">
        <f t="shared" si="25"/>
        <v>0</v>
      </c>
      <c r="BP19" s="49">
        <f t="shared" si="25"/>
        <v>0</v>
      </c>
      <c r="BQ19" s="49">
        <f t="shared" si="25"/>
        <v>0</v>
      </c>
      <c r="BR19" s="49">
        <f t="shared" si="25"/>
        <v>0</v>
      </c>
      <c r="BS19" s="49">
        <f t="shared" si="25"/>
        <v>0</v>
      </c>
      <c r="BT19" s="244">
        <v>0</v>
      </c>
      <c r="BU19" s="244">
        <v>0</v>
      </c>
      <c r="BV19" s="244">
        <v>0</v>
      </c>
      <c r="BW19" s="244">
        <v>0</v>
      </c>
      <c r="BX19" s="244">
        <v>0</v>
      </c>
      <c r="BY19" s="244">
        <v>0</v>
      </c>
      <c r="BZ19" s="244">
        <v>0</v>
      </c>
      <c r="CA19" s="244">
        <v>0</v>
      </c>
      <c r="CB19" s="244">
        <v>0</v>
      </c>
      <c r="CC19" s="244">
        <v>0</v>
      </c>
      <c r="CD19" s="244">
        <v>0</v>
      </c>
      <c r="CE19" s="244">
        <v>0</v>
      </c>
      <c r="CF19" s="244">
        <v>0</v>
      </c>
      <c r="CG19" s="244">
        <v>0</v>
      </c>
      <c r="CH19" s="244">
        <v>0</v>
      </c>
      <c r="CI19" s="132"/>
      <c r="CJ19" s="132"/>
      <c r="CK19" s="132"/>
    </row>
    <row r="20" spans="1:89" x14ac:dyDescent="0.3">
      <c r="A20" s="38" t="s">
        <v>31</v>
      </c>
      <c r="B20" s="41"/>
      <c r="C20" s="41"/>
      <c r="D20" s="48">
        <f>SUM(D14:D19)</f>
        <v>0</v>
      </c>
      <c r="E20" s="48">
        <f t="shared" ref="E20:BX20" si="28">SUM(E14:E19)</f>
        <v>1328.78</v>
      </c>
      <c r="F20" s="48">
        <f t="shared" si="28"/>
        <v>9526.5299999999988</v>
      </c>
      <c r="G20" s="48">
        <f t="shared" si="28"/>
        <v>131900.43000000002</v>
      </c>
      <c r="H20" s="48">
        <f t="shared" si="28"/>
        <v>295999.55</v>
      </c>
      <c r="I20" s="48">
        <f t="shared" si="28"/>
        <v>425553.79999999987</v>
      </c>
      <c r="J20" s="48">
        <f t="shared" si="28"/>
        <v>758519.65</v>
      </c>
      <c r="K20" s="48">
        <f t="shared" si="28"/>
        <v>199350.73000000016</v>
      </c>
      <c r="L20" s="48">
        <f t="shared" si="28"/>
        <v>279108.34999999992</v>
      </c>
      <c r="M20" s="48">
        <f t="shared" si="28"/>
        <v>438307.65</v>
      </c>
      <c r="N20" s="48">
        <f t="shared" si="28"/>
        <v>509660.87999999989</v>
      </c>
      <c r="O20" s="48">
        <f t="shared" si="28"/>
        <v>486201.49000000028</v>
      </c>
      <c r="P20" s="48">
        <f t="shared" si="28"/>
        <v>514839.35999999993</v>
      </c>
      <c r="Q20" s="48">
        <f t="shared" si="28"/>
        <v>312695.84999999963</v>
      </c>
      <c r="R20" s="48">
        <f t="shared" si="28"/>
        <v>392474.24999999977</v>
      </c>
      <c r="S20" s="48">
        <f t="shared" si="28"/>
        <v>1348848.3600000003</v>
      </c>
      <c r="T20" s="48">
        <f t="shared" si="28"/>
        <v>1958770.0699999998</v>
      </c>
      <c r="U20" s="48">
        <f t="shared" si="28"/>
        <v>2119352.19</v>
      </c>
      <c r="V20" s="48">
        <f t="shared" si="28"/>
        <v>1653005.44</v>
      </c>
      <c r="W20" s="48">
        <f t="shared" si="28"/>
        <v>750637.88000000059</v>
      </c>
      <c r="X20" s="48">
        <f t="shared" si="28"/>
        <v>825052.10999999905</v>
      </c>
      <c r="Y20" s="48">
        <f t="shared" si="28"/>
        <v>1097101.9800000007</v>
      </c>
      <c r="Z20" s="48">
        <f t="shared" si="28"/>
        <v>1233427.4099999992</v>
      </c>
      <c r="AA20" s="48">
        <f t="shared" si="28"/>
        <v>1062738.5799999998</v>
      </c>
      <c r="AB20" s="48">
        <f t="shared" si="28"/>
        <v>1116457.6900000018</v>
      </c>
      <c r="AC20" s="48">
        <f t="shared" si="28"/>
        <v>959793.47999999963</v>
      </c>
      <c r="AD20" s="48">
        <f t="shared" si="28"/>
        <v>1424231.0999999994</v>
      </c>
      <c r="AE20" s="48">
        <f t="shared" si="28"/>
        <v>3804569.2400000016</v>
      </c>
      <c r="AF20" s="48">
        <f t="shared" si="28"/>
        <v>5112749.5900000026</v>
      </c>
      <c r="AG20" s="48">
        <f t="shared" si="28"/>
        <v>4713867.5500000026</v>
      </c>
      <c r="AH20" s="48">
        <f t="shared" si="28"/>
        <v>3598339.9599999986</v>
      </c>
      <c r="AI20" s="48">
        <f t="shared" si="28"/>
        <v>1714525.5399999977</v>
      </c>
      <c r="AJ20" s="48">
        <f t="shared" si="28"/>
        <v>1571421.2499999981</v>
      </c>
      <c r="AK20" s="48">
        <f t="shared" si="28"/>
        <v>1919519.9299999997</v>
      </c>
      <c r="AL20" s="48">
        <f t="shared" si="28"/>
        <v>2060434.7699999972</v>
      </c>
      <c r="AM20" s="48">
        <f t="shared" si="28"/>
        <v>1799627.3200000029</v>
      </c>
      <c r="AN20" s="48">
        <f t="shared" si="28"/>
        <v>2312591.7700000047</v>
      </c>
      <c r="AO20" s="48">
        <f t="shared" si="28"/>
        <v>2109913.9999999995</v>
      </c>
      <c r="AP20" s="48">
        <f t="shared" si="28"/>
        <v>1887985.9599999981</v>
      </c>
      <c r="AQ20" s="48">
        <f t="shared" si="28"/>
        <v>6123794.6400000015</v>
      </c>
      <c r="AR20" s="48">
        <f t="shared" si="28"/>
        <v>7375311.7899999972</v>
      </c>
      <c r="AS20" s="48">
        <f t="shared" si="28"/>
        <v>6969272.2200000016</v>
      </c>
      <c r="AT20" s="48">
        <f t="shared" si="28"/>
        <v>5125287.4899999993</v>
      </c>
      <c r="AU20" s="48">
        <f t="shared" si="28"/>
        <v>2223308.9999999981</v>
      </c>
      <c r="AV20" s="48">
        <f t="shared" ref="AV20:BV20" si="29">SUM(AV14:AV19)</f>
        <v>2078395.7300000025</v>
      </c>
      <c r="AW20" s="48">
        <f t="shared" si="29"/>
        <v>2228734.6799999988</v>
      </c>
      <c r="AX20" s="48">
        <f t="shared" si="29"/>
        <v>2369847.9499999997</v>
      </c>
      <c r="AY20" s="48">
        <f t="shared" si="29"/>
        <v>217555.38999999873</v>
      </c>
      <c r="AZ20" s="48">
        <f t="shared" si="29"/>
        <v>1940172.8499999971</v>
      </c>
      <c r="BA20" s="48">
        <f t="shared" si="29"/>
        <v>2286.3100000023842</v>
      </c>
      <c r="BB20" s="48">
        <f t="shared" si="29"/>
        <v>33.389999997336417</v>
      </c>
      <c r="BC20" s="48">
        <f t="shared" si="29"/>
        <v>12223.310000002384</v>
      </c>
      <c r="BD20" s="48">
        <f t="shared" si="29"/>
        <v>22853.179999999702</v>
      </c>
      <c r="BE20" s="48">
        <f t="shared" si="29"/>
        <v>37353.849999999627</v>
      </c>
      <c r="BF20" s="48">
        <f t="shared" si="29"/>
        <v>34409.610000001267</v>
      </c>
      <c r="BG20" s="48">
        <f t="shared" si="29"/>
        <v>13496.160000000149</v>
      </c>
      <c r="BH20" s="48">
        <f t="shared" si="29"/>
        <v>12870.069999998435</v>
      </c>
      <c r="BI20" s="48">
        <f t="shared" si="29"/>
        <v>17714.029999999329</v>
      </c>
      <c r="BJ20" s="48">
        <f t="shared" si="29"/>
        <v>20826.88000000082</v>
      </c>
      <c r="BK20" s="48">
        <f t="shared" si="29"/>
        <v>19099.220000000671</v>
      </c>
      <c r="BL20" s="48">
        <f t="shared" si="29"/>
        <v>21421.460000000894</v>
      </c>
      <c r="BM20" s="48">
        <f t="shared" si="29"/>
        <v>19168.38000000082</v>
      </c>
      <c r="BN20" s="48">
        <f t="shared" si="29"/>
        <v>25465.089999996126</v>
      </c>
      <c r="BO20" s="48">
        <f t="shared" si="29"/>
        <v>70360.550000002608</v>
      </c>
      <c r="BP20" s="48">
        <f t="shared" si="29"/>
        <v>91202.140000000596</v>
      </c>
      <c r="BQ20" s="48">
        <f t="shared" si="29"/>
        <v>84499.239999998827</v>
      </c>
      <c r="BR20" s="48">
        <f t="shared" si="29"/>
        <v>53951.849999999627</v>
      </c>
      <c r="BS20" s="48">
        <f t="shared" ref="BS20" si="30">SUM(BS14:BS19)</f>
        <v>21911.110000000801</v>
      </c>
      <c r="BT20" s="48">
        <f t="shared" si="29"/>
        <v>20626.079999999998</v>
      </c>
      <c r="BU20" s="48">
        <f t="shared" si="29"/>
        <v>24775.3</v>
      </c>
      <c r="BV20" s="48">
        <f t="shared" si="29"/>
        <v>25830.02</v>
      </c>
      <c r="BW20" s="48">
        <f t="shared" si="28"/>
        <v>21223.89</v>
      </c>
      <c r="BX20" s="48">
        <f t="shared" si="28"/>
        <v>0</v>
      </c>
      <c r="BY20" s="48">
        <f t="shared" ref="BY20:CH20" si="31">SUM(BY14:BY19)</f>
        <v>0</v>
      </c>
      <c r="BZ20" s="48">
        <f t="shared" si="31"/>
        <v>0</v>
      </c>
      <c r="CA20" s="48">
        <f t="shared" si="31"/>
        <v>0</v>
      </c>
      <c r="CB20" s="48">
        <f t="shared" si="31"/>
        <v>0</v>
      </c>
      <c r="CC20" s="48">
        <f t="shared" si="31"/>
        <v>0</v>
      </c>
      <c r="CD20" s="48">
        <f t="shared" si="31"/>
        <v>0</v>
      </c>
      <c r="CE20" s="48">
        <f t="shared" si="31"/>
        <v>0</v>
      </c>
      <c r="CF20" s="48">
        <f t="shared" si="31"/>
        <v>0</v>
      </c>
      <c r="CG20" s="48">
        <f t="shared" si="31"/>
        <v>0</v>
      </c>
      <c r="CH20" s="48">
        <f t="shared" si="31"/>
        <v>0</v>
      </c>
      <c r="CI20" s="126"/>
      <c r="CJ20" s="126"/>
      <c r="CK20" s="126"/>
    </row>
    <row r="21" spans="1:89" x14ac:dyDescent="0.3">
      <c r="A21" s="38"/>
      <c r="B21" s="41"/>
      <c r="C21" s="41"/>
      <c r="BM21" s="31"/>
      <c r="BN21" s="31"/>
    </row>
    <row r="22" spans="1:89" x14ac:dyDescent="0.3">
      <c r="A22" s="29" t="s">
        <v>32</v>
      </c>
      <c r="B22" s="41"/>
      <c r="C22" s="41"/>
      <c r="AV22" s="117"/>
      <c r="BT22" s="158" t="s">
        <v>83</v>
      </c>
      <c r="BU22" s="159"/>
      <c r="BW22" s="117"/>
    </row>
    <row r="23" spans="1:89" x14ac:dyDescent="0.3">
      <c r="A23" s="40" t="s">
        <v>33</v>
      </c>
      <c r="B23" s="41"/>
      <c r="C23" s="41"/>
      <c r="D23" s="47">
        <v>993615280</v>
      </c>
      <c r="E23" s="47">
        <v>799965556</v>
      </c>
      <c r="F23" s="47">
        <v>694347365</v>
      </c>
      <c r="G23" s="47">
        <v>1033880199</v>
      </c>
      <c r="H23" s="47">
        <v>1389519683</v>
      </c>
      <c r="I23" s="47">
        <v>1393717014</v>
      </c>
      <c r="J23" s="47">
        <v>1260356462</v>
      </c>
      <c r="K23" s="47">
        <v>898752689</v>
      </c>
      <c r="L23" s="47">
        <v>737254549</v>
      </c>
      <c r="M23" s="47">
        <v>1139687162</v>
      </c>
      <c r="N23" s="47">
        <v>1486587515</v>
      </c>
      <c r="O23" s="47">
        <v>1118519560</v>
      </c>
      <c r="P23" s="47">
        <v>900425374</v>
      </c>
      <c r="Q23" s="47">
        <v>785388980</v>
      </c>
      <c r="R23" s="47">
        <v>745552820</v>
      </c>
      <c r="S23" s="47">
        <v>999249366</v>
      </c>
      <c r="T23" s="47">
        <v>1328710328</v>
      </c>
      <c r="U23" s="47">
        <v>1345571317</v>
      </c>
      <c r="V23" s="47">
        <v>1065182267</v>
      </c>
      <c r="W23" s="47">
        <v>935823271</v>
      </c>
      <c r="X23" s="47">
        <v>821487370</v>
      </c>
      <c r="Y23" s="47">
        <v>1061048123</v>
      </c>
      <c r="Z23" s="47">
        <v>1655009463</v>
      </c>
      <c r="AA23" s="47">
        <v>1329247401</v>
      </c>
      <c r="AB23" s="47">
        <v>1071720684</v>
      </c>
      <c r="AC23" s="47">
        <v>1035354332</v>
      </c>
      <c r="AD23" s="47">
        <v>838111932</v>
      </c>
      <c r="AE23" s="47">
        <v>1238437606</v>
      </c>
      <c r="AF23" s="47">
        <v>1451979984</v>
      </c>
      <c r="AG23" s="47">
        <v>1300666274</v>
      </c>
      <c r="AH23" s="47">
        <v>1250635703</v>
      </c>
      <c r="AI23" s="47">
        <v>971081766</v>
      </c>
      <c r="AJ23" s="47">
        <v>906818656</v>
      </c>
      <c r="AK23" s="47">
        <v>1263779046</v>
      </c>
      <c r="AL23" s="47">
        <v>1395672993</v>
      </c>
      <c r="AM23" s="47">
        <v>1407530571</v>
      </c>
      <c r="AN23" s="47">
        <v>1268128455</v>
      </c>
      <c r="AO23" s="47">
        <v>872933544</v>
      </c>
      <c r="AP23" s="47">
        <v>738196558</v>
      </c>
      <c r="AQ23" s="47">
        <v>978975302</v>
      </c>
      <c r="AR23" s="47">
        <v>1243909773</v>
      </c>
      <c r="AS23" s="47">
        <v>1310015315</v>
      </c>
      <c r="AT23" s="47">
        <v>1208033233</v>
      </c>
      <c r="AU23" s="113">
        <v>993546162</v>
      </c>
      <c r="AV23" s="47">
        <v>897156231</v>
      </c>
      <c r="AW23" s="47">
        <v>1208147189</v>
      </c>
      <c r="AX23" s="47">
        <v>1334184680</v>
      </c>
      <c r="AY23" s="47">
        <v>1302694951</v>
      </c>
      <c r="AZ23" s="47">
        <v>1123586700</v>
      </c>
      <c r="BA23" s="47">
        <v>886578697</v>
      </c>
      <c r="BB23" s="47">
        <v>790098101</v>
      </c>
      <c r="BC23" s="47">
        <v>1041013964</v>
      </c>
      <c r="BD23" s="47">
        <v>1397050553</v>
      </c>
      <c r="BE23" s="47">
        <v>1310723723</v>
      </c>
      <c r="BF23" s="47">
        <v>1275164339</v>
      </c>
      <c r="BG23" s="47">
        <v>800796996</v>
      </c>
      <c r="BH23" s="47">
        <v>856955103</v>
      </c>
      <c r="BI23" s="47">
        <v>1137867523</v>
      </c>
      <c r="BJ23" s="47">
        <v>1482496943</v>
      </c>
      <c r="BK23" s="47">
        <v>1507047480</v>
      </c>
      <c r="BL23" s="47">
        <v>1193201650</v>
      </c>
      <c r="BM23" s="47">
        <v>803567941</v>
      </c>
      <c r="BN23" s="47">
        <v>753161249</v>
      </c>
      <c r="BO23" s="47">
        <v>1061485022</v>
      </c>
      <c r="BP23" s="47">
        <v>1299384453</v>
      </c>
      <c r="BQ23" s="47">
        <v>1325635096</v>
      </c>
      <c r="BR23" s="47">
        <v>1302322503</v>
      </c>
      <c r="BS23" s="47">
        <v>902367562</v>
      </c>
      <c r="BT23" s="160">
        <f>'[115]PPC.1, PCR.2F, EO.3'!B27</f>
        <v>796812660.43541384</v>
      </c>
      <c r="BU23" s="160">
        <f>'[115]PPC.1, PCR.2F, EO.3'!C27</f>
        <v>1157369057.08395</v>
      </c>
      <c r="BV23" s="160">
        <f>'[115]PPC.1, PCR.2F, EO.3'!D27</f>
        <v>1478634346.33868</v>
      </c>
      <c r="BW23" s="160">
        <f>'[115]PPC.1, PCR.2F, EO.3'!E27</f>
        <v>1323518453.1260486</v>
      </c>
      <c r="BX23" s="160">
        <f>'[115]PPC.1, PCR.2F, EO.3'!F27</f>
        <v>1110791598.7821016</v>
      </c>
      <c r="BY23" s="160">
        <f>'[115]PPC.1, PCR.2F, EO.3'!G27</f>
        <v>839065097.60276854</v>
      </c>
      <c r="BZ23" s="160">
        <f>'[115]PPC.1, PCR.2F, EO.3'!H27</f>
        <v>711851889.28208947</v>
      </c>
      <c r="CA23" s="160">
        <f>'[115]PPC.1, PCR.2F, EO.3'!I27</f>
        <v>923148067.42551374</v>
      </c>
      <c r="CB23" s="160">
        <f>'[115]PPC.1, PCR.2F, EO.3'!J27</f>
        <v>1201635038.5335217</v>
      </c>
      <c r="CC23" s="160">
        <f>'[115]PPC.1, PCR.2F, EO.3'!K27</f>
        <v>1264992699.0363278</v>
      </c>
      <c r="CD23" s="160">
        <f>'[115]PPC.1, PCR.2F, EO.3'!L27</f>
        <v>1112196280.8657734</v>
      </c>
      <c r="CE23" s="160">
        <f>'[115]PPC.1, PCR.2F, EO.3'!M27</f>
        <v>794430199.64865971</v>
      </c>
      <c r="CF23" s="160">
        <f>'[115]PPC.1, PCR.2F, EO.3'!N27</f>
        <v>776592236.84661663</v>
      </c>
      <c r="CG23" s="160">
        <f>'[115]PPC.1, PCR.2F, EO.3'!O27</f>
        <v>1131796844.74505</v>
      </c>
      <c r="CH23" s="160">
        <f>'[115]PPC.1, PCR.2F, EO.3'!P27</f>
        <v>1449074036.6106224</v>
      </c>
      <c r="CI23" s="133"/>
      <c r="CJ23" s="133"/>
      <c r="CK23" s="133"/>
    </row>
    <row r="24" spans="1:89" x14ac:dyDescent="0.3">
      <c r="A24" s="40" t="s">
        <v>34</v>
      </c>
      <c r="B24" s="41"/>
      <c r="C24" s="41"/>
      <c r="D24" s="47">
        <v>260227273</v>
      </c>
      <c r="E24" s="47">
        <v>236480663</v>
      </c>
      <c r="F24" s="47">
        <v>226604577</v>
      </c>
      <c r="G24" s="47">
        <v>276800633</v>
      </c>
      <c r="H24" s="47">
        <v>328433342</v>
      </c>
      <c r="I24" s="47">
        <v>327996744</v>
      </c>
      <c r="J24" s="47">
        <v>315410170</v>
      </c>
      <c r="K24" s="47">
        <v>268275261</v>
      </c>
      <c r="L24" s="47">
        <v>238400191</v>
      </c>
      <c r="M24" s="47">
        <v>276639061</v>
      </c>
      <c r="N24" s="47">
        <v>331623730</v>
      </c>
      <c r="O24" s="47">
        <v>274620464</v>
      </c>
      <c r="P24" s="47">
        <v>244043467</v>
      </c>
      <c r="Q24" s="47">
        <v>230986921</v>
      </c>
      <c r="R24" s="47">
        <v>228484392</v>
      </c>
      <c r="S24" s="47">
        <v>271547337</v>
      </c>
      <c r="T24" s="47">
        <v>314773105</v>
      </c>
      <c r="U24" s="47">
        <v>317794583</v>
      </c>
      <c r="V24" s="47">
        <v>284270101</v>
      </c>
      <c r="W24" s="47">
        <v>269129889</v>
      </c>
      <c r="X24" s="47">
        <v>240618906</v>
      </c>
      <c r="Y24" s="47">
        <v>265688240</v>
      </c>
      <c r="Z24" s="47">
        <v>350848362</v>
      </c>
      <c r="AA24" s="47">
        <v>304988610</v>
      </c>
      <c r="AB24" s="47">
        <v>267166722</v>
      </c>
      <c r="AC24" s="47">
        <v>263421812</v>
      </c>
      <c r="AD24" s="47">
        <v>238338730</v>
      </c>
      <c r="AE24" s="47">
        <v>299991891</v>
      </c>
      <c r="AF24" s="47">
        <v>330814291</v>
      </c>
      <c r="AG24" s="47">
        <v>309298324</v>
      </c>
      <c r="AH24" s="47">
        <v>303923884</v>
      </c>
      <c r="AI24" s="47">
        <v>267631865</v>
      </c>
      <c r="AJ24" s="47">
        <v>241319654</v>
      </c>
      <c r="AK24" s="47">
        <v>291652347</v>
      </c>
      <c r="AL24" s="47">
        <v>307968093</v>
      </c>
      <c r="AM24" s="47">
        <v>308068267</v>
      </c>
      <c r="AN24" s="47">
        <v>290178959</v>
      </c>
      <c r="AO24" s="47">
        <v>235096003</v>
      </c>
      <c r="AP24" s="47">
        <v>221772499</v>
      </c>
      <c r="AQ24" s="47">
        <v>258735845</v>
      </c>
      <c r="AR24" s="47">
        <v>295975497</v>
      </c>
      <c r="AS24" s="47">
        <v>304175879</v>
      </c>
      <c r="AT24" s="47">
        <v>293549572</v>
      </c>
      <c r="AU24" s="113">
        <v>264736629</v>
      </c>
      <c r="AV24" s="47">
        <v>237145043</v>
      </c>
      <c r="AW24" s="47">
        <v>278572550</v>
      </c>
      <c r="AX24" s="47">
        <v>297050898</v>
      </c>
      <c r="AY24" s="47">
        <v>290934660</v>
      </c>
      <c r="AZ24" s="47">
        <v>265078600</v>
      </c>
      <c r="BA24" s="47">
        <v>203506574</v>
      </c>
      <c r="BB24" s="47">
        <v>184563246</v>
      </c>
      <c r="BC24" s="47">
        <v>231230759</v>
      </c>
      <c r="BD24" s="47">
        <v>288425422</v>
      </c>
      <c r="BE24" s="47">
        <v>281389691</v>
      </c>
      <c r="BF24" s="47">
        <v>269111017</v>
      </c>
      <c r="BG24" s="47">
        <v>218212399</v>
      </c>
      <c r="BH24" s="47">
        <v>218068919</v>
      </c>
      <c r="BI24" s="47">
        <v>251883126</v>
      </c>
      <c r="BJ24" s="47">
        <v>300425840</v>
      </c>
      <c r="BK24" s="47">
        <v>303577891</v>
      </c>
      <c r="BL24" s="47">
        <v>265359424</v>
      </c>
      <c r="BM24" s="47">
        <v>211100441</v>
      </c>
      <c r="BN24" s="47">
        <v>205986967</v>
      </c>
      <c r="BO24" s="47">
        <v>264522271</v>
      </c>
      <c r="BP24" s="47">
        <v>291815734</v>
      </c>
      <c r="BQ24" s="47">
        <v>291413887</v>
      </c>
      <c r="BR24" s="47">
        <v>294374400</v>
      </c>
      <c r="BS24" s="47">
        <v>245524134</v>
      </c>
      <c r="BT24" s="160">
        <f>'[115]PPC.1, PCR.2F, EO.3'!B28</f>
        <v>217941054.76363721</v>
      </c>
      <c r="BU24" s="160">
        <f>'[115]PPC.1, PCR.2F, EO.3'!C28</f>
        <v>260526356.23743695</v>
      </c>
      <c r="BV24" s="160">
        <f>'[115]PPC.1, PCR.2F, EO.3'!D28</f>
        <v>306274652.53873587</v>
      </c>
      <c r="BW24" s="160">
        <f>'[115]PPC.1, PCR.2F, EO.3'!E28</f>
        <v>285517827.64903766</v>
      </c>
      <c r="BX24" s="160">
        <f>'[115]PPC.1, PCR.2F, EO.3'!F28</f>
        <v>257181425.95938891</v>
      </c>
      <c r="BY24" s="160">
        <f>'[115]PPC.1, PCR.2F, EO.3'!G28</f>
        <v>219502566.31664321</v>
      </c>
      <c r="BZ24" s="160">
        <f>'[115]PPC.1, PCR.2F, EO.3'!H28</f>
        <v>205415342.75190684</v>
      </c>
      <c r="CA24" s="160">
        <f>'[115]PPC.1, PCR.2F, EO.3'!I28</f>
        <v>242281417.54910415</v>
      </c>
      <c r="CB24" s="160">
        <f>'[115]PPC.1, PCR.2F, EO.3'!J28</f>
        <v>283647576.54717648</v>
      </c>
      <c r="CC24" s="160">
        <f>'[115]PPC.1, PCR.2F, EO.3'!K28</f>
        <v>289331881.39896315</v>
      </c>
      <c r="CD24" s="160">
        <f>'[115]PPC.1, PCR.2F, EO.3'!L28</f>
        <v>273365539.59096646</v>
      </c>
      <c r="CE24" s="160">
        <f>'[115]PPC.1, PCR.2F, EO.3'!M28</f>
        <v>225709833.69615775</v>
      </c>
      <c r="CF24" s="160">
        <f>'[115]PPC.1, PCR.2F, EO.3'!N28</f>
        <v>217445379.57126927</v>
      </c>
      <c r="CG24" s="160">
        <f>'[115]PPC.1, PCR.2F, EO.3'!O28</f>
        <v>260293096.73863193</v>
      </c>
      <c r="CH24" s="160">
        <f>'[115]PPC.1, PCR.2F, EO.3'!P28</f>
        <v>306051532.59623951</v>
      </c>
      <c r="CI24" s="133"/>
      <c r="CJ24" s="133"/>
      <c r="CK24" s="133"/>
    </row>
    <row r="25" spans="1:89" x14ac:dyDescent="0.3">
      <c r="A25" s="40" t="s">
        <v>35</v>
      </c>
      <c r="B25" s="41"/>
      <c r="C25" s="41"/>
      <c r="D25" s="47">
        <v>596370095</v>
      </c>
      <c r="E25" s="47">
        <v>585567373</v>
      </c>
      <c r="F25" s="47">
        <v>584363020</v>
      </c>
      <c r="G25" s="47">
        <v>661650596</v>
      </c>
      <c r="H25" s="47">
        <v>744450846</v>
      </c>
      <c r="I25" s="47">
        <v>746230356</v>
      </c>
      <c r="J25" s="47">
        <v>749176357</v>
      </c>
      <c r="K25" s="47">
        <v>659221190</v>
      </c>
      <c r="L25" s="47">
        <v>600231827</v>
      </c>
      <c r="M25" s="47">
        <v>624953134</v>
      </c>
      <c r="N25" s="47">
        <v>693030252</v>
      </c>
      <c r="O25" s="47">
        <v>607344097</v>
      </c>
      <c r="P25" s="47">
        <v>572358448</v>
      </c>
      <c r="Q25" s="47">
        <v>562854773</v>
      </c>
      <c r="R25" s="47">
        <v>578075204</v>
      </c>
      <c r="S25" s="47">
        <v>655641906</v>
      </c>
      <c r="T25" s="47">
        <v>714056556</v>
      </c>
      <c r="U25" s="47">
        <v>727381902</v>
      </c>
      <c r="V25" s="47">
        <v>685704779</v>
      </c>
      <c r="W25" s="47">
        <v>658415575</v>
      </c>
      <c r="X25" s="47">
        <v>591258230</v>
      </c>
      <c r="Y25" s="47">
        <v>617045102</v>
      </c>
      <c r="Z25" s="47">
        <v>713223360</v>
      </c>
      <c r="AA25" s="47">
        <v>637748229</v>
      </c>
      <c r="AB25" s="47">
        <v>591995322</v>
      </c>
      <c r="AC25" s="47">
        <v>597309651</v>
      </c>
      <c r="AD25" s="47">
        <v>591787732</v>
      </c>
      <c r="AE25" s="47">
        <v>706111391</v>
      </c>
      <c r="AF25" s="47">
        <v>750019857</v>
      </c>
      <c r="AG25" s="47">
        <v>709167976</v>
      </c>
      <c r="AH25" s="47">
        <v>721543630</v>
      </c>
      <c r="AI25" s="47">
        <v>655717182</v>
      </c>
      <c r="AJ25" s="47">
        <v>583325592</v>
      </c>
      <c r="AK25" s="47">
        <v>635010680</v>
      </c>
      <c r="AL25" s="47">
        <v>645753087</v>
      </c>
      <c r="AM25" s="47">
        <v>624256369</v>
      </c>
      <c r="AN25" s="47">
        <v>599641261</v>
      </c>
      <c r="AO25" s="47">
        <v>546450417</v>
      </c>
      <c r="AP25" s="47">
        <v>548775486</v>
      </c>
      <c r="AQ25" s="47">
        <v>609609142</v>
      </c>
      <c r="AR25" s="47">
        <v>656813642</v>
      </c>
      <c r="AS25" s="47">
        <v>671886437</v>
      </c>
      <c r="AT25" s="47">
        <v>678219627</v>
      </c>
      <c r="AU25" s="113">
        <v>622550219</v>
      </c>
      <c r="AV25" s="47">
        <v>549600433</v>
      </c>
      <c r="AW25" s="47">
        <v>596432225</v>
      </c>
      <c r="AX25" s="47">
        <v>616923082</v>
      </c>
      <c r="AY25" s="47">
        <v>599527620</v>
      </c>
      <c r="AZ25" s="47">
        <v>566693954</v>
      </c>
      <c r="BA25" s="47">
        <v>483801855</v>
      </c>
      <c r="BB25" s="47">
        <v>451939609</v>
      </c>
      <c r="BC25" s="47">
        <v>534583835</v>
      </c>
      <c r="BD25" s="47">
        <v>624356693</v>
      </c>
      <c r="BE25" s="47">
        <v>621885740</v>
      </c>
      <c r="BF25" s="47">
        <v>619148163</v>
      </c>
      <c r="BG25" s="47">
        <v>528448107.69999999</v>
      </c>
      <c r="BH25" s="47">
        <v>514648084</v>
      </c>
      <c r="BI25" s="47">
        <v>553120787</v>
      </c>
      <c r="BJ25" s="47">
        <v>592823385</v>
      </c>
      <c r="BK25" s="47">
        <v>585712392</v>
      </c>
      <c r="BL25" s="47">
        <v>543642088</v>
      </c>
      <c r="BM25" s="47">
        <v>483262229</v>
      </c>
      <c r="BN25" s="47">
        <v>492375125.19999999</v>
      </c>
      <c r="BO25" s="47">
        <v>586671915</v>
      </c>
      <c r="BP25" s="47">
        <v>641235470</v>
      </c>
      <c r="BQ25" s="47">
        <v>634777638</v>
      </c>
      <c r="BR25" s="47">
        <v>647017474</v>
      </c>
      <c r="BS25" s="47">
        <v>568724491</v>
      </c>
      <c r="BT25" s="160">
        <f>'[115]PPC.1, PCR.2F, EO.3'!B29</f>
        <v>516727312.60267711</v>
      </c>
      <c r="BU25" s="160">
        <f>'[115]PPC.1, PCR.2F, EO.3'!C29</f>
        <v>558551990.87100005</v>
      </c>
      <c r="BV25" s="160">
        <f>'[115]PPC.1, PCR.2F, EO.3'!D29</f>
        <v>610883728.45255411</v>
      </c>
      <c r="BW25" s="160">
        <f>'[115]PPC.1, PCR.2F, EO.3'!E29</f>
        <v>575430083.70531464</v>
      </c>
      <c r="BX25" s="160">
        <f>'[115]PPC.1, PCR.2F, EO.3'!F29</f>
        <v>530185014.36311901</v>
      </c>
      <c r="BY25" s="160">
        <f>'[115]PPC.1, PCR.2F, EO.3'!G29</f>
        <v>500519096.71525455</v>
      </c>
      <c r="BZ25" s="160">
        <f>'[115]PPC.1, PCR.2F, EO.3'!H29</f>
        <v>493830553.80443114</v>
      </c>
      <c r="CA25" s="160">
        <f>'[115]PPC.1, PCR.2F, EO.3'!I29</f>
        <v>570196217.27078354</v>
      </c>
      <c r="CB25" s="160">
        <f>'[115]PPC.1, PCR.2F, EO.3'!J29</f>
        <v>625222755.73775768</v>
      </c>
      <c r="CC25" s="160">
        <f>'[115]PPC.1, PCR.2F, EO.3'!K29</f>
        <v>640394294.02634192</v>
      </c>
      <c r="CD25" s="160">
        <f>'[115]PPC.1, PCR.2F, EO.3'!L29</f>
        <v>641507465.15801418</v>
      </c>
      <c r="CE25" s="160">
        <f>'[115]PPC.1, PCR.2F, EO.3'!M29</f>
        <v>556286312.81562757</v>
      </c>
      <c r="CF25" s="160">
        <f>'[115]PPC.1, PCR.2F, EO.3'!N29</f>
        <v>517714035.24129713</v>
      </c>
      <c r="CG25" s="160">
        <f>'[115]PPC.1, PCR.2F, EO.3'!O29</f>
        <v>558980459.35089493</v>
      </c>
      <c r="CH25" s="160">
        <f>'[115]PPC.1, PCR.2F, EO.3'!P29</f>
        <v>621625054.46826029</v>
      </c>
      <c r="CI25" s="133"/>
      <c r="CJ25" s="133"/>
      <c r="CK25" s="133"/>
    </row>
    <row r="26" spans="1:89" x14ac:dyDescent="0.3">
      <c r="A26" s="40" t="s">
        <v>36</v>
      </c>
      <c r="B26" s="41"/>
      <c r="C26" s="41"/>
      <c r="D26" s="47">
        <v>247441789</v>
      </c>
      <c r="E26" s="47">
        <v>263524459</v>
      </c>
      <c r="F26" s="47">
        <v>273810149</v>
      </c>
      <c r="G26" s="47">
        <v>281099842</v>
      </c>
      <c r="H26" s="47">
        <v>312186695</v>
      </c>
      <c r="I26" s="47">
        <v>304162315</v>
      </c>
      <c r="J26" s="47">
        <v>330143172</v>
      </c>
      <c r="K26" s="47">
        <v>280092260</v>
      </c>
      <c r="L26" s="47">
        <v>268855946</v>
      </c>
      <c r="M26" s="47">
        <v>269553572</v>
      </c>
      <c r="N26" s="47">
        <v>287482958</v>
      </c>
      <c r="O26" s="47">
        <v>284042474</v>
      </c>
      <c r="P26" s="47">
        <v>243773343</v>
      </c>
      <c r="Q26" s="47">
        <v>262317859</v>
      </c>
      <c r="R26" s="47">
        <v>265729533</v>
      </c>
      <c r="S26" s="47">
        <v>305383990</v>
      </c>
      <c r="T26" s="47">
        <v>299141306</v>
      </c>
      <c r="U26" s="47">
        <v>315582091</v>
      </c>
      <c r="V26" s="47">
        <v>303646750</v>
      </c>
      <c r="W26" s="47">
        <v>297206861</v>
      </c>
      <c r="X26" s="47">
        <v>267769856</v>
      </c>
      <c r="Y26" s="47">
        <v>280403761</v>
      </c>
      <c r="Z26" s="47">
        <v>308993823</v>
      </c>
      <c r="AA26" s="47">
        <v>274104685</v>
      </c>
      <c r="AB26" s="47">
        <v>272372147</v>
      </c>
      <c r="AC26" s="47">
        <v>251417733</v>
      </c>
      <c r="AD26" s="47">
        <v>289575324</v>
      </c>
      <c r="AE26" s="47">
        <v>314032531</v>
      </c>
      <c r="AF26" s="47">
        <v>325203026</v>
      </c>
      <c r="AG26" s="47">
        <v>319660753</v>
      </c>
      <c r="AH26" s="47">
        <v>311095874</v>
      </c>
      <c r="AI26" s="47">
        <v>289535965</v>
      </c>
      <c r="AJ26" s="47">
        <v>271491896</v>
      </c>
      <c r="AK26" s="47">
        <v>291933586</v>
      </c>
      <c r="AL26" s="47">
        <v>252980562</v>
      </c>
      <c r="AM26" s="47">
        <v>248710812</v>
      </c>
      <c r="AN26" s="47">
        <v>242499726</v>
      </c>
      <c r="AO26" s="47">
        <v>232539680</v>
      </c>
      <c r="AP26" s="47">
        <v>229224298</v>
      </c>
      <c r="AQ26" s="47">
        <v>266349220</v>
      </c>
      <c r="AR26" s="47">
        <v>267674678</v>
      </c>
      <c r="AS26" s="47">
        <v>281003685</v>
      </c>
      <c r="AT26" s="47">
        <v>279302255</v>
      </c>
      <c r="AU26" s="113">
        <v>258807768</v>
      </c>
      <c r="AV26" s="47">
        <v>239334214</v>
      </c>
      <c r="AW26" s="47">
        <v>241025466</v>
      </c>
      <c r="AX26" s="47">
        <v>247898204</v>
      </c>
      <c r="AY26" s="47">
        <v>255420215</v>
      </c>
      <c r="AZ26" s="47">
        <v>225135566</v>
      </c>
      <c r="BA26" s="47">
        <v>219961316</v>
      </c>
      <c r="BB26" s="47">
        <v>207074154</v>
      </c>
      <c r="BC26" s="47">
        <v>241165089</v>
      </c>
      <c r="BD26" s="47">
        <v>253833450</v>
      </c>
      <c r="BE26" s="47">
        <v>266058831</v>
      </c>
      <c r="BF26" s="47">
        <v>266126792</v>
      </c>
      <c r="BG26" s="47">
        <v>236673642.40000001</v>
      </c>
      <c r="BH26" s="47">
        <v>234876378</v>
      </c>
      <c r="BI26" s="47">
        <v>245759481</v>
      </c>
      <c r="BJ26" s="47">
        <v>241302585</v>
      </c>
      <c r="BK26" s="47">
        <v>254211213</v>
      </c>
      <c r="BL26" s="47">
        <v>216207694</v>
      </c>
      <c r="BM26" s="47">
        <v>214809052</v>
      </c>
      <c r="BN26" s="47">
        <v>221576502.5</v>
      </c>
      <c r="BO26" s="47">
        <v>232417188</v>
      </c>
      <c r="BP26" s="47">
        <v>286577542</v>
      </c>
      <c r="BQ26" s="47">
        <v>263115351</v>
      </c>
      <c r="BR26" s="47">
        <v>266455046</v>
      </c>
      <c r="BS26" s="47">
        <v>230080105</v>
      </c>
      <c r="BT26" s="160">
        <f>'[115]PPC.1, PCR.2F, EO.3'!B30</f>
        <v>231625738.06268328</v>
      </c>
      <c r="BU26" s="160">
        <f>'[115]PPC.1, PCR.2F, EO.3'!C30</f>
        <v>240413522.25924894</v>
      </c>
      <c r="BV26" s="160">
        <f>'[115]PPC.1, PCR.2F, EO.3'!D30</f>
        <v>244639931.64925104</v>
      </c>
      <c r="BW26" s="160">
        <f>'[115]PPC.1, PCR.2F, EO.3'!E30</f>
        <v>233049922.16264266</v>
      </c>
      <c r="BX26" s="160">
        <f>'[115]PPC.1, PCR.2F, EO.3'!F30</f>
        <v>229849559.52004918</v>
      </c>
      <c r="BY26" s="160">
        <f>'[115]PPC.1, PCR.2F, EO.3'!G30</f>
        <v>224598437.26976842</v>
      </c>
      <c r="BZ26" s="160">
        <f>'[115]PPC.1, PCR.2F, EO.3'!H30</f>
        <v>227370334.59913951</v>
      </c>
      <c r="CA26" s="160">
        <f>'[115]PPC.1, PCR.2F, EO.3'!I30</f>
        <v>246060745.08831936</v>
      </c>
      <c r="CB26" s="160">
        <f>'[115]PPC.1, PCR.2F, EO.3'!J30</f>
        <v>262654356.89546087</v>
      </c>
      <c r="CC26" s="160">
        <f>'[115]PPC.1, PCR.2F, EO.3'!K30</f>
        <v>267226354.874975</v>
      </c>
      <c r="CD26" s="160">
        <f>'[115]PPC.1, PCR.2F, EO.3'!L30</f>
        <v>261622583.21947673</v>
      </c>
      <c r="CE26" s="160">
        <f>'[115]PPC.1, PCR.2F, EO.3'!M30</f>
        <v>244373082.33714232</v>
      </c>
      <c r="CF26" s="160">
        <f>'[115]PPC.1, PCR.2F, EO.3'!N30</f>
        <v>230263072.51766002</v>
      </c>
      <c r="CG26" s="160">
        <f>'[115]PPC.1, PCR.2F, EO.3'!O30</f>
        <v>238613621.292808</v>
      </c>
      <c r="CH26" s="160">
        <f>'[115]PPC.1, PCR.2F, EO.3'!P30</f>
        <v>243467013.54529017</v>
      </c>
      <c r="CI26" s="133"/>
      <c r="CJ26" s="133"/>
      <c r="CK26" s="133"/>
    </row>
    <row r="27" spans="1:89" x14ac:dyDescent="0.3">
      <c r="A27" s="40" t="s">
        <v>37</v>
      </c>
      <c r="B27" s="41"/>
      <c r="C27" s="41"/>
      <c r="D27" s="47">
        <v>127273740</v>
      </c>
      <c r="E27" s="47">
        <v>133415922</v>
      </c>
      <c r="F27" s="47">
        <v>133920097</v>
      </c>
      <c r="G27" s="47">
        <v>151320401</v>
      </c>
      <c r="H27" s="47">
        <v>158812387</v>
      </c>
      <c r="I27" s="47">
        <v>160367769</v>
      </c>
      <c r="J27" s="47">
        <v>176194341</v>
      </c>
      <c r="K27" s="47">
        <v>154604539</v>
      </c>
      <c r="L27" s="47">
        <v>142536252</v>
      </c>
      <c r="M27" s="47">
        <v>134004611</v>
      </c>
      <c r="N27" s="47">
        <v>132646039</v>
      </c>
      <c r="O27" s="47">
        <v>136324918</v>
      </c>
      <c r="P27" s="47">
        <v>118000396</v>
      </c>
      <c r="Q27" s="47">
        <v>130771713</v>
      </c>
      <c r="R27" s="47">
        <v>133006544</v>
      </c>
      <c r="S27" s="47">
        <v>158813593</v>
      </c>
      <c r="T27" s="47">
        <v>150211763</v>
      </c>
      <c r="U27" s="47">
        <v>166478792</v>
      </c>
      <c r="V27" s="47">
        <v>158634223</v>
      </c>
      <c r="W27" s="47">
        <v>151247524</v>
      </c>
      <c r="X27" s="47">
        <v>147830606</v>
      </c>
      <c r="Y27" s="47">
        <v>132139915</v>
      </c>
      <c r="Z27" s="47">
        <v>134787267</v>
      </c>
      <c r="AA27" s="47">
        <v>125603697</v>
      </c>
      <c r="AB27" s="47">
        <v>125857767</v>
      </c>
      <c r="AC27" s="47">
        <v>119174583</v>
      </c>
      <c r="AD27" s="47">
        <v>136766539</v>
      </c>
      <c r="AE27" s="47">
        <v>151258088</v>
      </c>
      <c r="AF27" s="47">
        <v>155948179</v>
      </c>
      <c r="AG27" s="47">
        <v>160224923</v>
      </c>
      <c r="AH27" s="47">
        <v>150480926</v>
      </c>
      <c r="AI27" s="47">
        <v>148580162</v>
      </c>
      <c r="AJ27" s="47">
        <v>139627995</v>
      </c>
      <c r="AK27" s="47">
        <v>135972391</v>
      </c>
      <c r="AL27" s="47">
        <v>101960146</v>
      </c>
      <c r="AM27" s="47">
        <v>96075286</v>
      </c>
      <c r="AN27" s="47">
        <v>99309923</v>
      </c>
      <c r="AO27" s="47">
        <v>98876748</v>
      </c>
      <c r="AP27" s="47">
        <v>96480454</v>
      </c>
      <c r="AQ27" s="47">
        <v>121526151</v>
      </c>
      <c r="AR27" s="47">
        <v>113123855</v>
      </c>
      <c r="AS27" s="47">
        <v>125262874</v>
      </c>
      <c r="AT27" s="47">
        <v>126945040</v>
      </c>
      <c r="AU27" s="113">
        <v>119752379</v>
      </c>
      <c r="AV27" s="47">
        <v>106348532</v>
      </c>
      <c r="AW27" s="47">
        <v>100067076</v>
      </c>
      <c r="AX27" s="47">
        <v>105899561</v>
      </c>
      <c r="AY27" s="47">
        <v>111203176</v>
      </c>
      <c r="AZ27" s="47">
        <v>86704807</v>
      </c>
      <c r="BA27" s="47">
        <v>92097434</v>
      </c>
      <c r="BB27" s="47">
        <v>93506334</v>
      </c>
      <c r="BC27" s="47">
        <v>92139707</v>
      </c>
      <c r="BD27" s="47">
        <v>105110654</v>
      </c>
      <c r="BE27" s="47">
        <v>108265948</v>
      </c>
      <c r="BF27" s="47">
        <v>109806573</v>
      </c>
      <c r="BG27" s="47">
        <v>96724322.099999994</v>
      </c>
      <c r="BH27" s="47">
        <v>94866307</v>
      </c>
      <c r="BI27" s="47">
        <v>96874394</v>
      </c>
      <c r="BJ27" s="47">
        <v>84244327</v>
      </c>
      <c r="BK27" s="47">
        <v>112346620</v>
      </c>
      <c r="BL27" s="47">
        <v>50801494</v>
      </c>
      <c r="BM27" s="47">
        <v>85186767</v>
      </c>
      <c r="BN27" s="47">
        <v>94290468.700000003</v>
      </c>
      <c r="BO27" s="47">
        <v>96665030</v>
      </c>
      <c r="BP27" s="47">
        <v>111403127</v>
      </c>
      <c r="BQ27" s="47">
        <v>106051211</v>
      </c>
      <c r="BR27" s="47">
        <v>114673513</v>
      </c>
      <c r="BS27" s="47">
        <v>105106440</v>
      </c>
      <c r="BT27" s="245">
        <f>'[115]PPC.1, PCR.2F, EO.3'!B31</f>
        <v>96163830.731033847</v>
      </c>
      <c r="BU27" s="245">
        <f>'[115]PPC.1, PCR.2F, EO.3'!C31</f>
        <v>94109067.558028832</v>
      </c>
      <c r="BV27" s="245">
        <f>'[115]PPC.1, PCR.2F, EO.3'!D31</f>
        <v>93653912.248884782</v>
      </c>
      <c r="BW27" s="245">
        <f>'[115]PPC.1, PCR.2F, EO.3'!E31</f>
        <v>85920997.61912322</v>
      </c>
      <c r="BX27" s="245">
        <f>'[115]PPC.1, PCR.2F, EO.3'!F31</f>
        <v>92937115.673861131</v>
      </c>
      <c r="BY27" s="245">
        <f>'[115]PPC.1, PCR.2F, EO.3'!G31</f>
        <v>95430162.554982468</v>
      </c>
      <c r="BZ27" s="245">
        <f>'[115]PPC.1, PCR.2F, EO.3'!H31</f>
        <v>103376400.7354092</v>
      </c>
      <c r="CA27" s="245">
        <f>'[115]PPC.1, PCR.2F, EO.3'!I31</f>
        <v>107783855.10587853</v>
      </c>
      <c r="CB27" s="245">
        <f>'[115]PPC.1, PCR.2F, EO.3'!J31</f>
        <v>116470133.49866222</v>
      </c>
      <c r="CC27" s="245">
        <f>'[115]PPC.1, PCR.2F, EO.3'!K31</f>
        <v>115573128.90151967</v>
      </c>
      <c r="CD27" s="245">
        <f>'[115]PPC.1, PCR.2F, EO.3'!L31</f>
        <v>109282029.6161512</v>
      </c>
      <c r="CE27" s="245">
        <f>'[115]PPC.1, PCR.2F, EO.3'!M31</f>
        <v>106525675.34103945</v>
      </c>
      <c r="CF27" s="245">
        <f>'[115]PPC.1, PCR.2F, EO.3'!N31</f>
        <v>99214570.454463914</v>
      </c>
      <c r="CG27" s="245">
        <f>'[115]PPC.1, PCR.2F, EO.3'!O31</f>
        <v>97087562.389173344</v>
      </c>
      <c r="CH27" s="245">
        <f>'[115]PPC.1, PCR.2F, EO.3'!P31</f>
        <v>96464302.312017411</v>
      </c>
      <c r="CI27" s="133"/>
      <c r="CJ27" s="133"/>
      <c r="CK27" s="133"/>
    </row>
    <row r="28" spans="1:89" x14ac:dyDescent="0.3">
      <c r="A28" s="35" t="s">
        <v>31</v>
      </c>
      <c r="B28" s="33"/>
      <c r="C28" s="33"/>
      <c r="D28" s="37">
        <f>SUM(D23:D27)</f>
        <v>2224928177</v>
      </c>
      <c r="E28" s="37">
        <f t="shared" ref="E28:BX28" si="32">SUM(E23:E27)</f>
        <v>2018953973</v>
      </c>
      <c r="F28" s="37">
        <f t="shared" si="32"/>
        <v>1913045208</v>
      </c>
      <c r="G28" s="37">
        <f t="shared" si="32"/>
        <v>2404751671</v>
      </c>
      <c r="H28" s="37">
        <f t="shared" si="32"/>
        <v>2933402953</v>
      </c>
      <c r="I28" s="37">
        <f t="shared" si="32"/>
        <v>2932474198</v>
      </c>
      <c r="J28" s="37">
        <f t="shared" si="32"/>
        <v>2831280502</v>
      </c>
      <c r="K28" s="37">
        <f t="shared" si="32"/>
        <v>2260945939</v>
      </c>
      <c r="L28" s="37">
        <f t="shared" si="32"/>
        <v>1987278765</v>
      </c>
      <c r="M28" s="37">
        <f t="shared" si="32"/>
        <v>2444837540</v>
      </c>
      <c r="N28" s="37">
        <f t="shared" si="32"/>
        <v>2931370494</v>
      </c>
      <c r="O28" s="37">
        <f t="shared" si="32"/>
        <v>2420851513</v>
      </c>
      <c r="P28" s="37">
        <f t="shared" si="32"/>
        <v>2078601028</v>
      </c>
      <c r="Q28" s="37">
        <f t="shared" si="32"/>
        <v>1972320246</v>
      </c>
      <c r="R28" s="37">
        <f t="shared" si="32"/>
        <v>1950848493</v>
      </c>
      <c r="S28" s="37">
        <f t="shared" si="32"/>
        <v>2390636192</v>
      </c>
      <c r="T28" s="37">
        <f t="shared" si="32"/>
        <v>2806893058</v>
      </c>
      <c r="U28" s="37">
        <f t="shared" si="32"/>
        <v>2872808685</v>
      </c>
      <c r="V28" s="37">
        <f t="shared" si="32"/>
        <v>2497438120</v>
      </c>
      <c r="W28" s="37">
        <f t="shared" si="32"/>
        <v>2311823120</v>
      </c>
      <c r="X28" s="37">
        <f t="shared" si="32"/>
        <v>2068964968</v>
      </c>
      <c r="Y28" s="37">
        <f t="shared" si="32"/>
        <v>2356325141</v>
      </c>
      <c r="Z28" s="37">
        <f t="shared" si="32"/>
        <v>3162862275</v>
      </c>
      <c r="AA28" s="37">
        <f t="shared" si="32"/>
        <v>2671692622</v>
      </c>
      <c r="AB28" s="37">
        <f t="shared" si="32"/>
        <v>2329112642</v>
      </c>
      <c r="AC28" s="37">
        <f t="shared" si="32"/>
        <v>2266678111</v>
      </c>
      <c r="AD28" s="37">
        <f t="shared" si="32"/>
        <v>2094580257</v>
      </c>
      <c r="AE28" s="37">
        <f t="shared" si="32"/>
        <v>2709831507</v>
      </c>
      <c r="AF28" s="37">
        <f t="shared" si="32"/>
        <v>3013965337</v>
      </c>
      <c r="AG28" s="37">
        <f t="shared" si="32"/>
        <v>2799018250</v>
      </c>
      <c r="AH28" s="37">
        <f t="shared" si="32"/>
        <v>2737680017</v>
      </c>
      <c r="AI28" s="37">
        <f t="shared" si="32"/>
        <v>2332546940</v>
      </c>
      <c r="AJ28" s="37">
        <f t="shared" si="32"/>
        <v>2142583793</v>
      </c>
      <c r="AK28" s="37">
        <f t="shared" si="32"/>
        <v>2618348050</v>
      </c>
      <c r="AL28" s="37">
        <f t="shared" si="32"/>
        <v>2704334881</v>
      </c>
      <c r="AM28" s="37">
        <f t="shared" si="32"/>
        <v>2684641305</v>
      </c>
      <c r="AN28" s="37">
        <f t="shared" si="32"/>
        <v>2499758324</v>
      </c>
      <c r="AO28" s="37">
        <f t="shared" si="32"/>
        <v>1985896392</v>
      </c>
      <c r="AP28" s="37">
        <f t="shared" si="32"/>
        <v>1834449295</v>
      </c>
      <c r="AQ28" s="37">
        <f t="shared" si="32"/>
        <v>2235195660</v>
      </c>
      <c r="AR28" s="37">
        <f t="shared" si="32"/>
        <v>2577497445</v>
      </c>
      <c r="AS28" s="37">
        <f t="shared" si="32"/>
        <v>2692344190</v>
      </c>
      <c r="AT28" s="37">
        <f t="shared" si="32"/>
        <v>2586049727</v>
      </c>
      <c r="AU28" s="37">
        <f t="shared" si="32"/>
        <v>2259393157</v>
      </c>
      <c r="AV28" s="37">
        <f t="shared" ref="AV28:BV28" si="33">SUM(AV23:AV27)</f>
        <v>2029584453</v>
      </c>
      <c r="AW28" s="37">
        <f t="shared" si="33"/>
        <v>2424244506</v>
      </c>
      <c r="AX28" s="37">
        <f t="shared" si="33"/>
        <v>2601956425</v>
      </c>
      <c r="AY28" s="37">
        <f t="shared" si="33"/>
        <v>2559780622</v>
      </c>
      <c r="AZ28" s="37">
        <f t="shared" si="33"/>
        <v>2267199627</v>
      </c>
      <c r="BA28" s="37">
        <f t="shared" si="33"/>
        <v>1885945876</v>
      </c>
      <c r="BB28" s="37">
        <f t="shared" si="33"/>
        <v>1727181444</v>
      </c>
      <c r="BC28" s="37">
        <f t="shared" si="33"/>
        <v>2140133354</v>
      </c>
      <c r="BD28" s="37">
        <f t="shared" si="33"/>
        <v>2668776772</v>
      </c>
      <c r="BE28" s="37">
        <f t="shared" si="33"/>
        <v>2588323933</v>
      </c>
      <c r="BF28" s="37">
        <f t="shared" si="33"/>
        <v>2539356884</v>
      </c>
      <c r="BG28" s="37">
        <f t="shared" si="33"/>
        <v>1880855467.2</v>
      </c>
      <c r="BH28" s="37">
        <f t="shared" si="33"/>
        <v>1919414791</v>
      </c>
      <c r="BI28" s="37">
        <f t="shared" si="33"/>
        <v>2285505311</v>
      </c>
      <c r="BJ28" s="37">
        <f t="shared" si="33"/>
        <v>2701293080</v>
      </c>
      <c r="BK28" s="37">
        <f t="shared" si="33"/>
        <v>2762895596</v>
      </c>
      <c r="BL28" s="37">
        <f t="shared" si="33"/>
        <v>2269212350</v>
      </c>
      <c r="BM28" s="37">
        <f t="shared" si="33"/>
        <v>1797926430</v>
      </c>
      <c r="BN28" s="37">
        <f t="shared" si="33"/>
        <v>1767390312.4000001</v>
      </c>
      <c r="BO28" s="37">
        <f t="shared" si="33"/>
        <v>2241761426</v>
      </c>
      <c r="BP28" s="37">
        <f t="shared" si="33"/>
        <v>2630416326</v>
      </c>
      <c r="BQ28" s="37">
        <f t="shared" si="33"/>
        <v>2620993183</v>
      </c>
      <c r="BR28" s="37">
        <f t="shared" si="33"/>
        <v>2624842936</v>
      </c>
      <c r="BS28" s="37">
        <f t="shared" si="33"/>
        <v>2051802732</v>
      </c>
      <c r="BT28" s="37">
        <f t="shared" si="33"/>
        <v>1859270596.5954454</v>
      </c>
      <c r="BU28" s="37">
        <f t="shared" si="33"/>
        <v>2310969994.0096645</v>
      </c>
      <c r="BV28" s="37">
        <f t="shared" si="33"/>
        <v>2734086571.2281055</v>
      </c>
      <c r="BW28" s="37">
        <f t="shared" si="32"/>
        <v>2503437284.262167</v>
      </c>
      <c r="BX28" s="37">
        <f t="shared" si="32"/>
        <v>2220944714.2985196</v>
      </c>
      <c r="BY28" s="37">
        <f t="shared" ref="BY28:CH28" si="34">SUM(BY23:BY27)</f>
        <v>1879115360.4594173</v>
      </c>
      <c r="BZ28" s="37">
        <f t="shared" si="34"/>
        <v>1741844521.1729763</v>
      </c>
      <c r="CA28" s="37">
        <f t="shared" si="34"/>
        <v>2089470302.4395993</v>
      </c>
      <c r="CB28" s="37">
        <f t="shared" si="34"/>
        <v>2489629861.2125788</v>
      </c>
      <c r="CC28" s="37">
        <f t="shared" si="34"/>
        <v>2577518358.2381277</v>
      </c>
      <c r="CD28" s="37">
        <f t="shared" si="34"/>
        <v>2397973898.4503822</v>
      </c>
      <c r="CE28" s="37">
        <f t="shared" si="34"/>
        <v>1927325103.8386266</v>
      </c>
      <c r="CF28" s="37">
        <f t="shared" si="34"/>
        <v>1841229294.6313071</v>
      </c>
      <c r="CG28" s="37">
        <f t="shared" si="34"/>
        <v>2286771584.5165582</v>
      </c>
      <c r="CH28" s="37">
        <f t="shared" si="34"/>
        <v>2716681939.5324297</v>
      </c>
      <c r="CI28" s="134"/>
      <c r="CJ28" s="134"/>
      <c r="CK28" s="134"/>
    </row>
    <row r="29" spans="1:89" x14ac:dyDescent="0.3">
      <c r="B29" s="41"/>
      <c r="C29" s="41"/>
    </row>
    <row r="30" spans="1:89" x14ac:dyDescent="0.3">
      <c r="A30" s="29" t="s">
        <v>40</v>
      </c>
      <c r="B30" s="41"/>
      <c r="C30" s="41"/>
    </row>
    <row r="31" spans="1:89" x14ac:dyDescent="0.3">
      <c r="A31" s="40" t="s">
        <v>33</v>
      </c>
      <c r="B31" s="41"/>
      <c r="C31" s="41"/>
      <c r="D31" s="118">
        <f>D14+(D$19*(D23/D$28))</f>
        <v>0</v>
      </c>
      <c r="E31" s="119">
        <f>IF(E14="","",E14+(E$19*(E23/E$28)))</f>
        <v>1328.78</v>
      </c>
      <c r="F31" s="119">
        <f t="shared" ref="E31:F35" si="35">IF(F14="","",F14+(F$19*(F23/F$28)))</f>
        <v>9526.5299999999988</v>
      </c>
      <c r="G31" s="118">
        <f t="shared" ref="G31:BX31" si="36">IF(G14="","",G14+(G$19*(G23/G$28)))</f>
        <v>120352.88</v>
      </c>
      <c r="H31" s="118">
        <f t="shared" si="36"/>
        <v>256080.65000000002</v>
      </c>
      <c r="I31" s="118">
        <f t="shared" si="36"/>
        <v>373393.34435846674</v>
      </c>
      <c r="J31" s="118">
        <f t="shared" si="36"/>
        <v>671736.21363575384</v>
      </c>
      <c r="K31" s="118">
        <f t="shared" si="36"/>
        <v>120839.84990541483</v>
      </c>
      <c r="L31" s="118">
        <f t="shared" si="36"/>
        <v>185093.49881649271</v>
      </c>
      <c r="M31" s="118">
        <f t="shared" si="36"/>
        <v>303285.19452852954</v>
      </c>
      <c r="N31" s="118">
        <f t="shared" si="36"/>
        <v>329743.7910035231</v>
      </c>
      <c r="O31" s="118">
        <f t="shared" si="36"/>
        <v>319589.12614734296</v>
      </c>
      <c r="P31" s="118">
        <f t="shared" si="36"/>
        <v>307416.51622437377</v>
      </c>
      <c r="Q31" s="118">
        <f>IF(Q14="","",Q14+(Q$19*(Q23/Q$28)))</f>
        <v>202009.99758789604</v>
      </c>
      <c r="R31" s="118">
        <f t="shared" si="36"/>
        <v>201518.00847600689</v>
      </c>
      <c r="S31" s="118">
        <f t="shared" si="36"/>
        <v>884196.51701427973</v>
      </c>
      <c r="T31" s="118">
        <f t="shared" si="36"/>
        <v>1282604.3399999999</v>
      </c>
      <c r="U31" s="118">
        <f t="shared" si="36"/>
        <v>1412760.5841518985</v>
      </c>
      <c r="V31" s="118">
        <f t="shared" si="36"/>
        <v>912043.87330211163</v>
      </c>
      <c r="W31" s="118">
        <f t="shared" si="36"/>
        <v>279976.46619588812</v>
      </c>
      <c r="X31" s="118">
        <f t="shared" si="36"/>
        <v>377438.47759872582</v>
      </c>
      <c r="Y31" s="118">
        <f t="shared" si="36"/>
        <v>565267.94576951256</v>
      </c>
      <c r="Z31" s="118">
        <f t="shared" si="36"/>
        <v>607215.02747681318</v>
      </c>
      <c r="AA31" s="118">
        <f t="shared" si="36"/>
        <v>515316.53827609093</v>
      </c>
      <c r="AB31" s="118">
        <f t="shared" si="36"/>
        <v>473150.50916160172</v>
      </c>
      <c r="AC31" s="118">
        <f t="shared" si="36"/>
        <v>270731.77958850004</v>
      </c>
      <c r="AD31" s="118">
        <f t="shared" si="36"/>
        <v>491596.14834248205</v>
      </c>
      <c r="AE31" s="118">
        <f t="shared" si="36"/>
        <v>2024956.6659391024</v>
      </c>
      <c r="AF31" s="118">
        <f t="shared" si="36"/>
        <v>2753783.435947692</v>
      </c>
      <c r="AG31" s="118">
        <f t="shared" si="36"/>
        <v>2655187.2707727067</v>
      </c>
      <c r="AH31" s="118">
        <f t="shared" si="36"/>
        <v>1585670.784126644</v>
      </c>
      <c r="AI31" s="118">
        <f t="shared" si="36"/>
        <v>556118.7299202627</v>
      </c>
      <c r="AJ31" s="118">
        <f t="shared" si="36"/>
        <v>513458.06050710165</v>
      </c>
      <c r="AK31" s="118">
        <f t="shared" si="36"/>
        <v>702799.89768350183</v>
      </c>
      <c r="AL31" s="118">
        <f t="shared" si="36"/>
        <v>705267.00941836974</v>
      </c>
      <c r="AM31" s="118">
        <f t="shared" si="36"/>
        <v>626813.61963691877</v>
      </c>
      <c r="AN31" s="118">
        <f t="shared" si="36"/>
        <v>733376.44916449382</v>
      </c>
      <c r="AO31" s="118">
        <f t="shared" si="36"/>
        <v>579952.0325992658</v>
      </c>
      <c r="AP31" s="118">
        <f>IF(AP14="","",AP14+(AP$19*(AP23/AP$28)))</f>
        <v>371011.49182013981</v>
      </c>
      <c r="AQ31" s="118">
        <f t="shared" si="36"/>
        <v>2723256.6958003566</v>
      </c>
      <c r="AR31" s="118">
        <f t="shared" si="36"/>
        <v>3090240.1159956334</v>
      </c>
      <c r="AS31" s="118">
        <f t="shared" si="36"/>
        <v>3319235.3330920129</v>
      </c>
      <c r="AT31" s="118">
        <f t="shared" si="36"/>
        <v>1872423.9163418177</v>
      </c>
      <c r="AU31" s="118">
        <f t="shared" si="36"/>
        <v>468639.40013933519</v>
      </c>
      <c r="AV31" s="118">
        <f t="shared" ref="AV31:BF31" si="37">IF(AV14="","",AV14+(AV$19*(AV23/AV$28)))</f>
        <v>573430.06293424976</v>
      </c>
      <c r="AW31" s="118">
        <f t="shared" si="37"/>
        <v>729001.68500178226</v>
      </c>
      <c r="AX31" s="118">
        <f t="shared" si="37"/>
        <v>731448.99925192562</v>
      </c>
      <c r="AY31" s="118">
        <f t="shared" si="37"/>
        <v>-1101511.7645830091</v>
      </c>
      <c r="AZ31" s="118">
        <f t="shared" si="37"/>
        <v>502297.9307248104</v>
      </c>
      <c r="BA31" s="118">
        <f t="shared" si="37"/>
        <v>0</v>
      </c>
      <c r="BB31" s="118">
        <f t="shared" si="37"/>
        <v>-1201.9391278357582</v>
      </c>
      <c r="BC31" s="118">
        <f t="shared" si="37"/>
        <v>0</v>
      </c>
      <c r="BD31" s="118">
        <f t="shared" si="37"/>
        <v>0</v>
      </c>
      <c r="BE31" s="118">
        <f t="shared" si="37"/>
        <v>0</v>
      </c>
      <c r="BF31" s="118">
        <f t="shared" si="37"/>
        <v>0</v>
      </c>
      <c r="BG31" s="118">
        <f>IF(BG14="","",BG14+(BG$19*(BG23/BG$28)))</f>
        <v>0</v>
      </c>
      <c r="BH31" s="118">
        <f t="shared" ref="BH31:BR35" si="38">IF(BH14="","",BH14+(BH$19*(BH23/BH$28)))</f>
        <v>0</v>
      </c>
      <c r="BI31" s="118">
        <f t="shared" si="38"/>
        <v>0</v>
      </c>
      <c r="BJ31" s="118">
        <f t="shared" si="38"/>
        <v>0</v>
      </c>
      <c r="BK31" s="118">
        <f t="shared" si="38"/>
        <v>0</v>
      </c>
      <c r="BL31" s="118">
        <f t="shared" si="38"/>
        <v>0</v>
      </c>
      <c r="BM31" s="118">
        <f t="shared" si="38"/>
        <v>0</v>
      </c>
      <c r="BN31" s="118">
        <f t="shared" si="38"/>
        <v>0</v>
      </c>
      <c r="BO31" s="118">
        <f t="shared" si="38"/>
        <v>0</v>
      </c>
      <c r="BP31" s="118">
        <f t="shared" si="38"/>
        <v>0</v>
      </c>
      <c r="BQ31" s="118">
        <f t="shared" si="38"/>
        <v>0</v>
      </c>
      <c r="BR31" s="118">
        <f t="shared" si="38"/>
        <v>0</v>
      </c>
      <c r="BS31" s="118">
        <f t="shared" ref="BS31" si="39">IF(BS14="","",BS14+(BS$19*(BS23/BS$28)))</f>
        <v>0</v>
      </c>
      <c r="BT31" s="122">
        <f>IF(BT14="","",BT14+(BT$19*(BT23/BT$28)))</f>
        <v>0</v>
      </c>
      <c r="BU31" s="122">
        <f t="shared" ref="BU31:BV31" si="40">IF(BU14="","",BU14+(BU$19*(BU23/BU$28)))</f>
        <v>0</v>
      </c>
      <c r="BV31" s="122">
        <f t="shared" si="40"/>
        <v>0</v>
      </c>
      <c r="BW31" s="121">
        <f>IF(BW14="","",BW14+(BW$19*(BW23/BW$28)))</f>
        <v>0</v>
      </c>
      <c r="BX31" s="121">
        <f t="shared" si="36"/>
        <v>0</v>
      </c>
      <c r="BY31" s="121">
        <f t="shared" ref="BY31:CH31" si="41">IF(BY14="","",BY14+(BY$19*(BY23/BY$28)))</f>
        <v>0</v>
      </c>
      <c r="BZ31" s="121">
        <f t="shared" si="41"/>
        <v>0</v>
      </c>
      <c r="CA31" s="121">
        <f t="shared" si="41"/>
        <v>0</v>
      </c>
      <c r="CB31" s="121">
        <f t="shared" si="41"/>
        <v>0</v>
      </c>
      <c r="CC31" s="121">
        <f t="shared" si="41"/>
        <v>0</v>
      </c>
      <c r="CD31" s="121">
        <f t="shared" si="41"/>
        <v>0</v>
      </c>
      <c r="CE31" s="121">
        <f t="shared" si="41"/>
        <v>0</v>
      </c>
      <c r="CF31" s="121">
        <f t="shared" si="41"/>
        <v>0</v>
      </c>
      <c r="CG31" s="121">
        <f t="shared" si="41"/>
        <v>0</v>
      </c>
      <c r="CH31" s="121">
        <f t="shared" si="41"/>
        <v>0</v>
      </c>
      <c r="CI31" s="132"/>
      <c r="CJ31" s="132"/>
      <c r="CK31" s="132"/>
    </row>
    <row r="32" spans="1:89" x14ac:dyDescent="0.3">
      <c r="A32" s="40" t="s">
        <v>34</v>
      </c>
      <c r="B32" s="41"/>
      <c r="C32" s="41"/>
      <c r="D32" s="118">
        <f>D15+(D$19*(D24/D$28))</f>
        <v>0</v>
      </c>
      <c r="E32" s="118">
        <f t="shared" si="35"/>
        <v>0</v>
      </c>
      <c r="F32" s="118">
        <f t="shared" si="35"/>
        <v>0</v>
      </c>
      <c r="G32" s="118">
        <f t="shared" ref="G32:BX32" si="42">IF(G15="","",G15+(G$19*(G24/G$28)))</f>
        <v>4167.9399999999996</v>
      </c>
      <c r="H32" s="118">
        <f t="shared" si="42"/>
        <v>13357.940000000002</v>
      </c>
      <c r="I32" s="118">
        <f t="shared" si="42"/>
        <v>14670.985238775314</v>
      </c>
      <c r="J32" s="118">
        <f t="shared" si="42"/>
        <v>22602.465674921033</v>
      </c>
      <c r="K32" s="118">
        <f t="shared" si="42"/>
        <v>23670.862866768453</v>
      </c>
      <c r="L32" s="118">
        <f t="shared" si="42"/>
        <v>27753.308601536653</v>
      </c>
      <c r="M32" s="118">
        <f t="shared" si="42"/>
        <v>37258.575758638253</v>
      </c>
      <c r="N32" s="118">
        <f t="shared" si="42"/>
        <v>47579.322188278435</v>
      </c>
      <c r="O32" s="118">
        <f t="shared" si="42"/>
        <v>42911.041729266297</v>
      </c>
      <c r="P32" s="118">
        <f t="shared" si="42"/>
        <v>52823.001162257649</v>
      </c>
      <c r="Q32" s="118">
        <f t="shared" si="42"/>
        <v>25950.307634173645</v>
      </c>
      <c r="R32" s="118">
        <f t="shared" si="42"/>
        <v>48983.559131334005</v>
      </c>
      <c r="S32" s="118">
        <f t="shared" si="42"/>
        <v>90621.489340586311</v>
      </c>
      <c r="T32" s="118">
        <f t="shared" si="42"/>
        <v>138931.90000000002</v>
      </c>
      <c r="U32" s="118">
        <f t="shared" si="42"/>
        <v>133700.2685394297</v>
      </c>
      <c r="V32" s="118">
        <f t="shared" si="42"/>
        <v>151757.81340251025</v>
      </c>
      <c r="W32" s="118">
        <f t="shared" si="42"/>
        <v>116837.79257470783</v>
      </c>
      <c r="X32" s="118">
        <f t="shared" si="42"/>
        <v>88133.517269885691</v>
      </c>
      <c r="Y32" s="118">
        <f t="shared" si="42"/>
        <v>126989.00719390194</v>
      </c>
      <c r="Z32" s="118">
        <f t="shared" si="42"/>
        <v>151376.91870679389</v>
      </c>
      <c r="AA32" s="118">
        <f t="shared" si="42"/>
        <v>131012.65264951537</v>
      </c>
      <c r="AB32" s="118">
        <f t="shared" si="42"/>
        <v>161984.73662810036</v>
      </c>
      <c r="AC32" s="118">
        <f t="shared" si="42"/>
        <v>186884.98622710272</v>
      </c>
      <c r="AD32" s="118">
        <f t="shared" si="42"/>
        <v>260709.07600105793</v>
      </c>
      <c r="AE32" s="118">
        <f t="shared" si="42"/>
        <v>394275.90039880731</v>
      </c>
      <c r="AF32" s="118">
        <f t="shared" si="42"/>
        <v>517564.58433629415</v>
      </c>
      <c r="AG32" s="118">
        <f t="shared" si="42"/>
        <v>456642.37398614379</v>
      </c>
      <c r="AH32" s="118">
        <f t="shared" si="42"/>
        <v>495377.09665466635</v>
      </c>
      <c r="AI32" s="118">
        <f t="shared" si="42"/>
        <v>348239.88671273278</v>
      </c>
      <c r="AJ32" s="118">
        <f t="shared" si="42"/>
        <v>315404.35918017995</v>
      </c>
      <c r="AK32" s="118">
        <f t="shared" si="42"/>
        <v>349367.88347835495</v>
      </c>
      <c r="AL32" s="118">
        <f t="shared" si="42"/>
        <v>376670.80776353204</v>
      </c>
      <c r="AM32" s="118">
        <f t="shared" si="42"/>
        <v>315666.15712072933</v>
      </c>
      <c r="AN32" s="118">
        <f t="shared" si="42"/>
        <v>426235.9958025862</v>
      </c>
      <c r="AO32" s="118">
        <f t="shared" si="42"/>
        <v>429805.50677490461</v>
      </c>
      <c r="AP32" s="118">
        <f t="shared" si="42"/>
        <v>425502.70439957909</v>
      </c>
      <c r="AQ32" s="118">
        <f t="shared" si="42"/>
        <v>711026.13316380861</v>
      </c>
      <c r="AR32" s="118">
        <f t="shared" si="42"/>
        <v>906630.75933951</v>
      </c>
      <c r="AS32" s="118">
        <f t="shared" si="42"/>
        <v>735303.71734464087</v>
      </c>
      <c r="AT32" s="118">
        <f t="shared" si="42"/>
        <v>765682.15647802898</v>
      </c>
      <c r="AU32" s="118">
        <f t="shared" si="42"/>
        <v>522721.08210263157</v>
      </c>
      <c r="AV32" s="118">
        <f t="shared" ref="AV32:BG32" si="43">IF(AV15="","",AV15+(AV$19*(AV24/AV$28)))</f>
        <v>445892.99890309712</v>
      </c>
      <c r="AW32" s="118">
        <f t="shared" si="43"/>
        <v>380966.65670412086</v>
      </c>
      <c r="AX32" s="118">
        <f t="shared" si="43"/>
        <v>451558.90985025105</v>
      </c>
      <c r="AY32" s="118">
        <f t="shared" si="43"/>
        <v>349160.22599545511</v>
      </c>
      <c r="AZ32" s="118">
        <f t="shared" si="43"/>
        <v>388715.00802980497</v>
      </c>
      <c r="BA32" s="118">
        <f t="shared" si="43"/>
        <v>0</v>
      </c>
      <c r="BB32" s="118">
        <f t="shared" si="43"/>
        <v>-280.76739666505853</v>
      </c>
      <c r="BC32" s="118">
        <f t="shared" si="43"/>
        <v>0</v>
      </c>
      <c r="BD32" s="118">
        <f t="shared" si="43"/>
        <v>0</v>
      </c>
      <c r="BE32" s="118">
        <f t="shared" si="43"/>
        <v>0</v>
      </c>
      <c r="BF32" s="118">
        <f t="shared" si="43"/>
        <v>0</v>
      </c>
      <c r="BG32" s="118">
        <f t="shared" si="43"/>
        <v>0</v>
      </c>
      <c r="BH32" s="118">
        <f t="shared" si="38"/>
        <v>0</v>
      </c>
      <c r="BI32" s="118">
        <f t="shared" si="38"/>
        <v>0</v>
      </c>
      <c r="BJ32" s="118">
        <f t="shared" si="38"/>
        <v>0</v>
      </c>
      <c r="BK32" s="118">
        <f t="shared" si="38"/>
        <v>255.64000000059605</v>
      </c>
      <c r="BL32" s="118">
        <f t="shared" si="38"/>
        <v>592.33999999985099</v>
      </c>
      <c r="BM32" s="118">
        <f t="shared" si="38"/>
        <v>632.41000000014901</v>
      </c>
      <c r="BN32" s="118">
        <f t="shared" si="38"/>
        <v>892.52999999932945</v>
      </c>
      <c r="BO32" s="118">
        <f t="shared" si="38"/>
        <v>1958.390000000596</v>
      </c>
      <c r="BP32" s="118">
        <f t="shared" si="38"/>
        <v>2575.9900000002235</v>
      </c>
      <c r="BQ32" s="118">
        <f t="shared" si="38"/>
        <v>2901.589999999851</v>
      </c>
      <c r="BR32" s="118">
        <f t="shared" si="38"/>
        <v>2255.2100000008941</v>
      </c>
      <c r="BS32" s="118">
        <f t="shared" ref="BS32" si="44">IF(BS15="","",BS15+(BS$19*(BS24/BS$28)))</f>
        <v>1201.0499999988824</v>
      </c>
      <c r="BT32" s="122">
        <f>IF(BT15="","",BT15+(BT$19*(BT24/BT$28)))</f>
        <v>993.04</v>
      </c>
      <c r="BU32" s="122">
        <f t="shared" ref="BU32:BV32" si="45">IF(BU15="","",BU15+(BU$19*(BU24/BU$28)))</f>
        <v>1022.71</v>
      </c>
      <c r="BV32" s="122">
        <f t="shared" si="45"/>
        <v>1061.0999999999999</v>
      </c>
      <c r="BW32" s="121">
        <f>IF(BW15="","",BW15+(BW$19*(BW24/BW$28)))</f>
        <v>818.65</v>
      </c>
      <c r="BX32" s="121">
        <f t="shared" si="42"/>
        <v>0</v>
      </c>
      <c r="BY32" s="121">
        <f t="shared" ref="BY32:CH32" si="46">IF(BY15="","",BY15+(BY$19*(BY24/BY$28)))</f>
        <v>0</v>
      </c>
      <c r="BZ32" s="121">
        <f t="shared" si="46"/>
        <v>0</v>
      </c>
      <c r="CA32" s="121">
        <f t="shared" si="46"/>
        <v>0</v>
      </c>
      <c r="CB32" s="121">
        <f t="shared" si="46"/>
        <v>0</v>
      </c>
      <c r="CC32" s="121">
        <f t="shared" si="46"/>
        <v>0</v>
      </c>
      <c r="CD32" s="121">
        <f t="shared" si="46"/>
        <v>0</v>
      </c>
      <c r="CE32" s="121">
        <f t="shared" si="46"/>
        <v>0</v>
      </c>
      <c r="CF32" s="121">
        <f t="shared" si="46"/>
        <v>0</v>
      </c>
      <c r="CG32" s="121">
        <f t="shared" si="46"/>
        <v>0</v>
      </c>
      <c r="CH32" s="121">
        <f t="shared" si="46"/>
        <v>0</v>
      </c>
      <c r="CI32" s="132"/>
      <c r="CJ32" s="132"/>
      <c r="CK32" s="132"/>
    </row>
    <row r="33" spans="1:89" x14ac:dyDescent="0.3">
      <c r="A33" s="40" t="s">
        <v>35</v>
      </c>
      <c r="B33" s="41"/>
      <c r="C33" s="41"/>
      <c r="D33" s="118">
        <f>D16+(D$19*(D25/D$28))</f>
        <v>0</v>
      </c>
      <c r="E33" s="118">
        <f t="shared" si="35"/>
        <v>0</v>
      </c>
      <c r="F33" s="118">
        <f t="shared" si="35"/>
        <v>0</v>
      </c>
      <c r="G33" s="118">
        <f t="shared" ref="G33:BX33" si="47">IF(G16="","",G16+(G$19*(G25/G$28)))</f>
        <v>6853.38</v>
      </c>
      <c r="H33" s="118">
        <f t="shared" si="47"/>
        <v>24493.5</v>
      </c>
      <c r="I33" s="118">
        <f t="shared" si="47"/>
        <v>33902.946879751129</v>
      </c>
      <c r="J33" s="118">
        <f t="shared" si="47"/>
        <v>57130.941306139037</v>
      </c>
      <c r="K33" s="118">
        <f t="shared" si="47"/>
        <v>48568.434840680449</v>
      </c>
      <c r="L33" s="118">
        <f t="shared" si="47"/>
        <v>56402.832716238408</v>
      </c>
      <c r="M33" s="118">
        <f t="shared" si="47"/>
        <v>76416.403445979842</v>
      </c>
      <c r="N33" s="118">
        <f t="shared" si="47"/>
        <v>98464.472713338357</v>
      </c>
      <c r="O33" s="118">
        <f t="shared" si="47"/>
        <v>92820.247439449406</v>
      </c>
      <c r="P33" s="118">
        <f t="shared" si="47"/>
        <v>115878.51859125202</v>
      </c>
      <c r="Q33" s="118">
        <f t="shared" si="47"/>
        <v>64178.344243350926</v>
      </c>
      <c r="R33" s="118">
        <f t="shared" si="47"/>
        <v>102867.21859456625</v>
      </c>
      <c r="S33" s="118">
        <f t="shared" si="47"/>
        <v>225026.10782354834</v>
      </c>
      <c r="T33" s="118">
        <f t="shared" si="47"/>
        <v>332206.05000000005</v>
      </c>
      <c r="U33" s="118">
        <f t="shared" si="47"/>
        <v>326565.43828407576</v>
      </c>
      <c r="V33" s="118">
        <f t="shared" si="47"/>
        <v>357152.1332604558</v>
      </c>
      <c r="W33" s="118">
        <f t="shared" si="47"/>
        <v>233165.34998028661</v>
      </c>
      <c r="X33" s="118">
        <f t="shared" si="47"/>
        <v>242735.19909115109</v>
      </c>
      <c r="Y33" s="118">
        <f t="shared" si="47"/>
        <v>270260.8911173091</v>
      </c>
      <c r="Z33" s="118">
        <f t="shared" si="47"/>
        <v>318931.98735694966</v>
      </c>
      <c r="AA33" s="118">
        <f t="shared" si="47"/>
        <v>278425.9450890508</v>
      </c>
      <c r="AB33" s="118">
        <f t="shared" si="47"/>
        <v>325174.04680208978</v>
      </c>
      <c r="AC33" s="118">
        <f t="shared" si="47"/>
        <v>343158.29248776339</v>
      </c>
      <c r="AD33" s="118">
        <f t="shared" si="47"/>
        <v>457118.03014316031</v>
      </c>
      <c r="AE33" s="118">
        <f t="shared" si="47"/>
        <v>886825.58305134752</v>
      </c>
      <c r="AF33" s="118">
        <f t="shared" si="47"/>
        <v>1197518.2821251666</v>
      </c>
      <c r="AG33" s="118">
        <f t="shared" si="47"/>
        <v>1030275.3853313371</v>
      </c>
      <c r="AH33" s="118">
        <f t="shared" si="47"/>
        <v>1033786.813176945</v>
      </c>
      <c r="AI33" s="118">
        <f t="shared" si="47"/>
        <v>565137.42472021224</v>
      </c>
      <c r="AJ33" s="118">
        <f t="shared" si="47"/>
        <v>515386.54786655982</v>
      </c>
      <c r="AK33" s="118">
        <f t="shared" si="47"/>
        <v>600621.60749234632</v>
      </c>
      <c r="AL33" s="118">
        <f t="shared" si="47"/>
        <v>677840.83886779845</v>
      </c>
      <c r="AM33" s="118">
        <f t="shared" si="47"/>
        <v>590569.34077565547</v>
      </c>
      <c r="AN33" s="118">
        <f t="shared" si="47"/>
        <v>785533.21729427099</v>
      </c>
      <c r="AO33" s="118">
        <f t="shared" si="47"/>
        <v>759722.89069128735</v>
      </c>
      <c r="AP33" s="118">
        <f t="shared" si="47"/>
        <v>730573.86433008127</v>
      </c>
      <c r="AQ33" s="118">
        <f t="shared" si="47"/>
        <v>1701261.2984572235</v>
      </c>
      <c r="AR33" s="118">
        <f t="shared" si="47"/>
        <v>2138329.3142225798</v>
      </c>
      <c r="AS33" s="118">
        <f t="shared" si="47"/>
        <v>1807748.5219926799</v>
      </c>
      <c r="AT33" s="118">
        <f t="shared" si="47"/>
        <v>1650674.4488178033</v>
      </c>
      <c r="AU33" s="118">
        <f t="shared" si="47"/>
        <v>846164.39074269368</v>
      </c>
      <c r="AV33" s="118">
        <f>IF(AV16="","",AV16+(AV$19*(AV25/AV$28)))</f>
        <v>722912.52035272913</v>
      </c>
      <c r="AW33" s="118">
        <f t="shared" ref="AW33:BG33" si="48">IF(AW16="","",AW16+(AW$19*(AW25/AW$28)))</f>
        <v>787449.04813982907</v>
      </c>
      <c r="AX33" s="118">
        <f t="shared" si="48"/>
        <v>821876.98404895363</v>
      </c>
      <c r="AY33" s="118">
        <f t="shared" si="48"/>
        <v>663143.00246334542</v>
      </c>
      <c r="AZ33" s="118">
        <f t="shared" si="48"/>
        <v>717865.1381538827</v>
      </c>
      <c r="BA33" s="118">
        <f t="shared" si="48"/>
        <v>2286.3100000023842</v>
      </c>
      <c r="BB33" s="118">
        <f t="shared" si="48"/>
        <v>1973.3555017490889</v>
      </c>
      <c r="BC33" s="118">
        <f t="shared" si="48"/>
        <v>12223.310000002384</v>
      </c>
      <c r="BD33" s="118">
        <f t="shared" si="48"/>
        <v>22853.179999999702</v>
      </c>
      <c r="BE33" s="118">
        <f t="shared" si="48"/>
        <v>20540.269999999553</v>
      </c>
      <c r="BF33" s="118">
        <f t="shared" si="48"/>
        <v>15022.210000000894</v>
      </c>
      <c r="BG33" s="118">
        <f t="shared" si="48"/>
        <v>6711.089999999851</v>
      </c>
      <c r="BH33" s="118">
        <f t="shared" si="38"/>
        <v>6702.839999999851</v>
      </c>
      <c r="BI33" s="118">
        <f t="shared" si="38"/>
        <v>8127.0399999991059</v>
      </c>
      <c r="BJ33" s="118">
        <f t="shared" si="38"/>
        <v>8329.3000000007451</v>
      </c>
      <c r="BK33" s="118">
        <f t="shared" si="38"/>
        <v>8800.269999999553</v>
      </c>
      <c r="BL33" s="118">
        <f t="shared" si="38"/>
        <v>10333.070000000298</v>
      </c>
      <c r="BM33" s="118">
        <f t="shared" si="38"/>
        <v>8760.0100000016391</v>
      </c>
      <c r="BN33" s="118">
        <f t="shared" si="38"/>
        <v>11044.909999996424</v>
      </c>
      <c r="BO33" s="118">
        <f t="shared" si="38"/>
        <v>31907.310000002384</v>
      </c>
      <c r="BP33" s="118">
        <f t="shared" si="38"/>
        <v>40946.179999999702</v>
      </c>
      <c r="BQ33" s="118">
        <f t="shared" si="38"/>
        <v>36410.359999999404</v>
      </c>
      <c r="BR33" s="118">
        <f t="shared" si="38"/>
        <v>22318.39999999851</v>
      </c>
      <c r="BS33" s="118">
        <f t="shared" ref="BS33" si="49">IF(BS16="","",BS16+(BS$19*(BS25/BS$28)))</f>
        <v>8944.2900000028312</v>
      </c>
      <c r="BT33" s="122">
        <f t="shared" ref="BT33:BV33" si="50">IF(BT16="","",BT16+(BT$19*(BT25/BT$28)))</f>
        <v>9312.65</v>
      </c>
      <c r="BU33" s="122">
        <f t="shared" si="50"/>
        <v>11751.72</v>
      </c>
      <c r="BV33" s="122">
        <f t="shared" si="50"/>
        <v>12005.31</v>
      </c>
      <c r="BW33" s="121">
        <f t="shared" si="47"/>
        <v>10126.530000000001</v>
      </c>
      <c r="BX33" s="121">
        <f t="shared" si="47"/>
        <v>0</v>
      </c>
      <c r="BY33" s="121">
        <f t="shared" ref="BY33:CH33" si="51">IF(BY16="","",BY16+(BY$19*(BY25/BY$28)))</f>
        <v>0</v>
      </c>
      <c r="BZ33" s="121">
        <f t="shared" si="51"/>
        <v>0</v>
      </c>
      <c r="CA33" s="121">
        <f t="shared" si="51"/>
        <v>0</v>
      </c>
      <c r="CB33" s="121">
        <f t="shared" si="51"/>
        <v>0</v>
      </c>
      <c r="CC33" s="121">
        <f t="shared" si="51"/>
        <v>0</v>
      </c>
      <c r="CD33" s="121">
        <f t="shared" si="51"/>
        <v>0</v>
      </c>
      <c r="CE33" s="121">
        <f t="shared" si="51"/>
        <v>0</v>
      </c>
      <c r="CF33" s="121">
        <f t="shared" si="51"/>
        <v>0</v>
      </c>
      <c r="CG33" s="121">
        <f t="shared" si="51"/>
        <v>0</v>
      </c>
      <c r="CH33" s="121">
        <f t="shared" si="51"/>
        <v>0</v>
      </c>
      <c r="CI33" s="132"/>
      <c r="CJ33" s="132"/>
      <c r="CK33" s="132"/>
    </row>
    <row r="34" spans="1:89" x14ac:dyDescent="0.3">
      <c r="A34" s="40" t="s">
        <v>36</v>
      </c>
      <c r="B34" s="41"/>
      <c r="C34" s="41"/>
      <c r="D34" s="118">
        <f>D17+(D$19*(D26/D$28))</f>
        <v>0</v>
      </c>
      <c r="E34" s="118">
        <f t="shared" si="35"/>
        <v>0</v>
      </c>
      <c r="F34" s="118">
        <f t="shared" si="35"/>
        <v>0</v>
      </c>
      <c r="G34" s="118">
        <f t="shared" ref="G34:BX34" si="52">IF(G17="","",G17+(G$19*(G26/G$28)))</f>
        <v>526.23</v>
      </c>
      <c r="H34" s="118">
        <f t="shared" si="52"/>
        <v>1707.2399999999998</v>
      </c>
      <c r="I34" s="118">
        <f t="shared" si="52"/>
        <v>2230.0207254609436</v>
      </c>
      <c r="J34" s="118">
        <f t="shared" si="52"/>
        <v>4794.6581417484167</v>
      </c>
      <c r="K34" s="118">
        <f t="shared" si="52"/>
        <v>4373.862445788076</v>
      </c>
      <c r="L34" s="118">
        <f t="shared" si="52"/>
        <v>7453.242982336099</v>
      </c>
      <c r="M34" s="118">
        <f t="shared" si="52"/>
        <v>18084.577784318448</v>
      </c>
      <c r="N34" s="118">
        <f t="shared" si="52"/>
        <v>27963.810761260709</v>
      </c>
      <c r="O34" s="118">
        <f t="shared" si="52"/>
        <v>24456.059952649921</v>
      </c>
      <c r="P34" s="118">
        <f t="shared" si="52"/>
        <v>29615.310672687767</v>
      </c>
      <c r="Q34" s="118">
        <f t="shared" si="52"/>
        <v>12166.436689655247</v>
      </c>
      <c r="R34" s="118">
        <f t="shared" si="52"/>
        <v>28108.084360485296</v>
      </c>
      <c r="S34" s="118">
        <f t="shared" si="52"/>
        <v>128148.15141495112</v>
      </c>
      <c r="T34" s="118">
        <f t="shared" si="52"/>
        <v>175689.74</v>
      </c>
      <c r="U34" s="118">
        <f t="shared" si="52"/>
        <v>218402.52810095585</v>
      </c>
      <c r="V34" s="118">
        <f t="shared" si="52"/>
        <v>205067.89849978662</v>
      </c>
      <c r="W34" s="118">
        <f t="shared" si="52"/>
        <v>101187.08297273742</v>
      </c>
      <c r="X34" s="118">
        <f t="shared" si="52"/>
        <v>97773.438006020719</v>
      </c>
      <c r="Y34" s="118">
        <f t="shared" si="52"/>
        <v>113746.10309897989</v>
      </c>
      <c r="Z34" s="118">
        <f t="shared" si="52"/>
        <v>131796.02801249109</v>
      </c>
      <c r="AA34" s="118">
        <f t="shared" si="52"/>
        <v>116090.38160247794</v>
      </c>
      <c r="AB34" s="118">
        <f t="shared" si="52"/>
        <v>132068.16497570253</v>
      </c>
      <c r="AC34" s="118">
        <f t="shared" si="52"/>
        <v>133321.08677453059</v>
      </c>
      <c r="AD34" s="118">
        <f t="shared" si="52"/>
        <v>180104.81791441111</v>
      </c>
      <c r="AE34" s="118">
        <f t="shared" si="52"/>
        <v>422991.61425343697</v>
      </c>
      <c r="AF34" s="118">
        <f t="shared" si="52"/>
        <v>543609.86073367961</v>
      </c>
      <c r="AG34" s="118">
        <f t="shared" si="52"/>
        <v>486263.01132460969</v>
      </c>
      <c r="AH34" s="118">
        <f t="shared" si="52"/>
        <v>414107.44556621916</v>
      </c>
      <c r="AI34" s="118">
        <f t="shared" si="52"/>
        <v>207208.35422995902</v>
      </c>
      <c r="AJ34" s="118">
        <f t="shared" si="52"/>
        <v>191307.18426831797</v>
      </c>
      <c r="AK34" s="118">
        <f t="shared" si="52"/>
        <v>223825.29632810416</v>
      </c>
      <c r="AL34" s="118">
        <f t="shared" si="52"/>
        <v>251714.86075436554</v>
      </c>
      <c r="AM34" s="118">
        <f t="shared" si="52"/>
        <v>220841.99668727524</v>
      </c>
      <c r="AN34" s="118">
        <f t="shared" si="52"/>
        <v>305651.11265488941</v>
      </c>
      <c r="AO34" s="118">
        <f t="shared" si="52"/>
        <v>284274.24631552736</v>
      </c>
      <c r="AP34" s="118">
        <f t="shared" si="52"/>
        <v>294781.80288519792</v>
      </c>
      <c r="AQ34" s="118">
        <f t="shared" si="52"/>
        <v>791914.33120203775</v>
      </c>
      <c r="AR34" s="118">
        <f t="shared" si="52"/>
        <v>978344.05317777325</v>
      </c>
      <c r="AS34" s="118">
        <f t="shared" si="52"/>
        <v>874777.66117086785</v>
      </c>
      <c r="AT34" s="118">
        <f t="shared" si="52"/>
        <v>686805.48036969628</v>
      </c>
      <c r="AU34" s="118">
        <f t="shared" si="52"/>
        <v>321802.45107933023</v>
      </c>
      <c r="AV34" s="118">
        <f>IF(AV17="","",AV17+(AV$19*(AV26/AV$28)))</f>
        <v>280028.89151037188</v>
      </c>
      <c r="AW34" s="118">
        <f t="shared" ref="AW34:BG34" si="53">IF(AW17="","",AW17+(AW$19*(AW26/AW$28)))</f>
        <v>274144.21732121875</v>
      </c>
      <c r="AX34" s="118">
        <f t="shared" si="53"/>
        <v>303711.11912158254</v>
      </c>
      <c r="AY34" s="118">
        <f t="shared" si="53"/>
        <v>251998.46611210689</v>
      </c>
      <c r="AZ34" s="118">
        <f t="shared" si="53"/>
        <v>276069.3565741299</v>
      </c>
      <c r="BA34" s="118">
        <f t="shared" si="53"/>
        <v>0</v>
      </c>
      <c r="BB34" s="118">
        <f t="shared" si="53"/>
        <v>-315.01218360235936</v>
      </c>
      <c r="BC34" s="118">
        <f t="shared" si="53"/>
        <v>0</v>
      </c>
      <c r="BD34" s="118">
        <f t="shared" si="53"/>
        <v>0</v>
      </c>
      <c r="BE34" s="118">
        <f t="shared" si="53"/>
        <v>16813.580000000075</v>
      </c>
      <c r="BF34" s="118">
        <f t="shared" si="53"/>
        <v>19387.400000000373</v>
      </c>
      <c r="BG34" s="118">
        <f t="shared" si="53"/>
        <v>6785.070000000298</v>
      </c>
      <c r="BH34" s="118">
        <f t="shared" si="38"/>
        <v>6167.2299999985844</v>
      </c>
      <c r="BI34" s="118">
        <f t="shared" si="38"/>
        <v>9586.9900000002235</v>
      </c>
      <c r="BJ34" s="118">
        <f t="shared" si="38"/>
        <v>12497.580000000075</v>
      </c>
      <c r="BK34" s="118">
        <f t="shared" si="38"/>
        <v>10043.310000000522</v>
      </c>
      <c r="BL34" s="118">
        <f t="shared" si="38"/>
        <v>10496.050000000745</v>
      </c>
      <c r="BM34" s="118">
        <f t="shared" si="38"/>
        <v>9775.9599999990314</v>
      </c>
      <c r="BN34" s="118">
        <f t="shared" si="38"/>
        <v>13527.650000000373</v>
      </c>
      <c r="BO34" s="118">
        <f t="shared" si="38"/>
        <v>36494.849999999627</v>
      </c>
      <c r="BP34" s="118">
        <f t="shared" si="38"/>
        <v>47679.970000000671</v>
      </c>
      <c r="BQ34" s="118">
        <f t="shared" si="38"/>
        <v>45288.439999999478</v>
      </c>
      <c r="BR34" s="118">
        <f t="shared" si="38"/>
        <v>29486.400000000373</v>
      </c>
      <c r="BS34" s="118">
        <f t="shared" ref="BS34" si="54">IF(BS17="","",BS17+(BS$19*(BS26/BS$28)))</f>
        <v>11833.289999999106</v>
      </c>
      <c r="BT34" s="122">
        <f t="shared" ref="BT34:BV34" si="55">IF(BT17="","",BT17+(BT$19*(BT26/BT$28)))</f>
        <v>10374.58</v>
      </c>
      <c r="BU34" s="122">
        <f t="shared" si="55"/>
        <v>12057.45</v>
      </c>
      <c r="BV34" s="122">
        <f t="shared" si="55"/>
        <v>12824.79</v>
      </c>
      <c r="BW34" s="121">
        <f>IF(BW17="","",BW17+(BW$19*(BW26/BW$28)))</f>
        <v>10330.18</v>
      </c>
      <c r="BX34" s="121">
        <f t="shared" si="52"/>
        <v>0</v>
      </c>
      <c r="BY34" s="121">
        <f t="shared" ref="BY34:CH34" si="56">IF(BY17="","",BY17+(BY$19*(BY26/BY$28)))</f>
        <v>0</v>
      </c>
      <c r="BZ34" s="121">
        <f t="shared" si="56"/>
        <v>0</v>
      </c>
      <c r="CA34" s="121">
        <f t="shared" si="56"/>
        <v>0</v>
      </c>
      <c r="CB34" s="121">
        <f t="shared" si="56"/>
        <v>0</v>
      </c>
      <c r="CC34" s="121">
        <f t="shared" si="56"/>
        <v>0</v>
      </c>
      <c r="CD34" s="121">
        <f t="shared" si="56"/>
        <v>0</v>
      </c>
      <c r="CE34" s="121">
        <f t="shared" si="56"/>
        <v>0</v>
      </c>
      <c r="CF34" s="121">
        <f t="shared" si="56"/>
        <v>0</v>
      </c>
      <c r="CG34" s="121">
        <f t="shared" si="56"/>
        <v>0</v>
      </c>
      <c r="CH34" s="121">
        <f t="shared" si="56"/>
        <v>0</v>
      </c>
      <c r="CI34" s="132"/>
      <c r="CJ34" s="132"/>
      <c r="CK34" s="132"/>
    </row>
    <row r="35" spans="1:89" x14ac:dyDescent="0.3">
      <c r="A35" s="40" t="s">
        <v>37</v>
      </c>
      <c r="B35" s="41"/>
      <c r="C35" s="41"/>
      <c r="D35" s="118">
        <f>D18+(D$19*(D27/D$28))</f>
        <v>0</v>
      </c>
      <c r="E35" s="118">
        <f t="shared" si="35"/>
        <v>0</v>
      </c>
      <c r="F35" s="118">
        <f t="shared" si="35"/>
        <v>0</v>
      </c>
      <c r="G35" s="118">
        <f t="shared" ref="G35:BX35" si="57">IF(G18="","",G18+(G$19*(G27/G$28)))</f>
        <v>0</v>
      </c>
      <c r="H35" s="118">
        <f t="shared" si="57"/>
        <v>360.22</v>
      </c>
      <c r="I35" s="118">
        <f t="shared" si="57"/>
        <v>1356.5027975457876</v>
      </c>
      <c r="J35" s="118">
        <f t="shared" si="57"/>
        <v>2255.3712414377201</v>
      </c>
      <c r="K35" s="118">
        <f t="shared" si="57"/>
        <v>1897.7199413483188</v>
      </c>
      <c r="L35" s="118">
        <f t="shared" si="57"/>
        <v>2405.4668833960245</v>
      </c>
      <c r="M35" s="118">
        <f t="shared" si="57"/>
        <v>3262.8984825339485</v>
      </c>
      <c r="N35" s="118">
        <f t="shared" si="57"/>
        <v>5909.4833335993335</v>
      </c>
      <c r="O35" s="118">
        <f t="shared" si="57"/>
        <v>6425.014731291647</v>
      </c>
      <c r="P35" s="118">
        <f t="shared" si="57"/>
        <v>9106.0133494287093</v>
      </c>
      <c r="Q35" s="118">
        <f t="shared" si="57"/>
        <v>8390.7638449238184</v>
      </c>
      <c r="R35" s="118">
        <f t="shared" si="57"/>
        <v>10997.379437607351</v>
      </c>
      <c r="S35" s="118">
        <f t="shared" si="57"/>
        <v>20856.094406634937</v>
      </c>
      <c r="T35" s="118">
        <f t="shared" si="57"/>
        <v>29338.039999999994</v>
      </c>
      <c r="U35" s="118">
        <f t="shared" si="57"/>
        <v>27923.370923640025</v>
      </c>
      <c r="V35" s="118">
        <f t="shared" si="57"/>
        <v>26983.721535135461</v>
      </c>
      <c r="W35" s="118">
        <f t="shared" si="57"/>
        <v>19471.188276380515</v>
      </c>
      <c r="X35" s="118">
        <f t="shared" si="57"/>
        <v>18971.478034215677</v>
      </c>
      <c r="Y35" s="118">
        <f t="shared" si="57"/>
        <v>20838.032820297231</v>
      </c>
      <c r="Z35" s="118">
        <f t="shared" si="57"/>
        <v>24107.448446951264</v>
      </c>
      <c r="AA35" s="118">
        <f t="shared" si="57"/>
        <v>21893.062382864882</v>
      </c>
      <c r="AB35" s="118">
        <f t="shared" si="57"/>
        <v>24080.232432507251</v>
      </c>
      <c r="AC35" s="118">
        <f t="shared" si="57"/>
        <v>25697.334922102909</v>
      </c>
      <c r="AD35" s="118">
        <f t="shared" si="57"/>
        <v>34703.027598888038</v>
      </c>
      <c r="AE35" s="118">
        <f t="shared" si="57"/>
        <v>75519.476357307751</v>
      </c>
      <c r="AF35" s="118">
        <f t="shared" si="57"/>
        <v>100273.42685716876</v>
      </c>
      <c r="AG35" s="118">
        <f t="shared" si="57"/>
        <v>85499.508585205374</v>
      </c>
      <c r="AH35" s="118">
        <f t="shared" si="57"/>
        <v>69397.820475524379</v>
      </c>
      <c r="AI35" s="118">
        <f t="shared" si="57"/>
        <v>37821.144416831085</v>
      </c>
      <c r="AJ35" s="118">
        <f t="shared" si="57"/>
        <v>35865.098177838852</v>
      </c>
      <c r="AK35" s="118">
        <f t="shared" si="57"/>
        <v>42905.24501769265</v>
      </c>
      <c r="AL35" s="118">
        <f t="shared" si="57"/>
        <v>48941.253195931422</v>
      </c>
      <c r="AM35" s="118">
        <f t="shared" si="57"/>
        <v>45736.205779424003</v>
      </c>
      <c r="AN35" s="118">
        <f t="shared" si="57"/>
        <v>61794.995083764363</v>
      </c>
      <c r="AO35" s="118">
        <f t="shared" si="57"/>
        <v>56159.323619014431</v>
      </c>
      <c r="AP35" s="118">
        <f t="shared" si="57"/>
        <v>66116.096564999927</v>
      </c>
      <c r="AQ35" s="118">
        <f t="shared" si="57"/>
        <v>196336.18137657503</v>
      </c>
      <c r="AR35" s="118">
        <f t="shared" si="57"/>
        <v>261767.5472645007</v>
      </c>
      <c r="AS35" s="118">
        <f t="shared" si="57"/>
        <v>232206.9863998002</v>
      </c>
      <c r="AT35" s="118">
        <f t="shared" si="57"/>
        <v>149701.48799265211</v>
      </c>
      <c r="AU35" s="118">
        <f>IF(AU18="","",AU18+(AU$19*(AU27/AU$28)))</f>
        <v>63981.67593600769</v>
      </c>
      <c r="AV35" s="118">
        <f>IF(AV18="","",AV18+(AV$19*(AV27/AV$28)))</f>
        <v>56131.256299554763</v>
      </c>
      <c r="AW35" s="118">
        <f t="shared" ref="AW35:BB35" si="58">IF(AW18="","",AW18+(AW$19*(AW27/AW$28)))</f>
        <v>57173.072833048078</v>
      </c>
      <c r="AX35" s="118">
        <f t="shared" si="58"/>
        <v>61251.937727286851</v>
      </c>
      <c r="AY35" s="118">
        <f t="shared" si="58"/>
        <v>54765.460012100484</v>
      </c>
      <c r="AZ35" s="118">
        <f t="shared" si="58"/>
        <v>55225.416517369085</v>
      </c>
      <c r="BA35" s="118">
        <f t="shared" si="58"/>
        <v>0</v>
      </c>
      <c r="BB35" s="118">
        <f t="shared" si="58"/>
        <v>-142.24679364857641</v>
      </c>
      <c r="BC35" s="118">
        <f>IF(BC18="","",BC18+(BC$19*(BC27/BC$28)))</f>
        <v>0</v>
      </c>
      <c r="BD35" s="118">
        <f t="shared" ref="BD35:BG35" si="59">IF(BD18="","",BD18+(BD$19*(BD27/BD$28)))</f>
        <v>0</v>
      </c>
      <c r="BE35" s="118">
        <f t="shared" si="59"/>
        <v>0</v>
      </c>
      <c r="BF35" s="118">
        <f t="shared" si="59"/>
        <v>0</v>
      </c>
      <c r="BG35" s="118">
        <f t="shared" si="59"/>
        <v>0</v>
      </c>
      <c r="BH35" s="118">
        <f t="shared" si="38"/>
        <v>0</v>
      </c>
      <c r="BI35" s="118">
        <f t="shared" si="38"/>
        <v>0</v>
      </c>
      <c r="BJ35" s="118">
        <f t="shared" si="38"/>
        <v>0</v>
      </c>
      <c r="BK35" s="118">
        <f t="shared" si="38"/>
        <v>0</v>
      </c>
      <c r="BL35" s="118">
        <f t="shared" si="38"/>
        <v>0</v>
      </c>
      <c r="BM35" s="118">
        <f t="shared" si="38"/>
        <v>0</v>
      </c>
      <c r="BN35" s="118">
        <f t="shared" ref="BN35:BS35" si="60">IF(BN18="","",BN18+(BN$19*(BN27/BN$28)))</f>
        <v>0</v>
      </c>
      <c r="BO35" s="118">
        <f t="shared" si="60"/>
        <v>0</v>
      </c>
      <c r="BP35" s="118">
        <f t="shared" si="60"/>
        <v>0</v>
      </c>
      <c r="BQ35" s="118">
        <f t="shared" si="60"/>
        <v>-101.14999999990687</v>
      </c>
      <c r="BR35" s="118">
        <f t="shared" si="60"/>
        <v>-108.16000000014901</v>
      </c>
      <c r="BS35" s="118">
        <f t="shared" si="60"/>
        <v>-67.520000000018626</v>
      </c>
      <c r="BT35" s="122">
        <f t="shared" ref="BT35:BV35" si="61">IF(BT18="","",BT18+(BT$19*(BT27/BT$28)))</f>
        <v>-54.19</v>
      </c>
      <c r="BU35" s="122">
        <f t="shared" si="61"/>
        <v>-56.58</v>
      </c>
      <c r="BV35" s="122">
        <f t="shared" si="61"/>
        <v>-61.18</v>
      </c>
      <c r="BW35" s="121">
        <f t="shared" si="57"/>
        <v>-51.47</v>
      </c>
      <c r="BX35" s="121">
        <f t="shared" si="57"/>
        <v>0</v>
      </c>
      <c r="BY35" s="121">
        <f t="shared" ref="BY35:CH35" si="62">IF(BY18="","",BY18+(BY$19*(BY27/BY$28)))</f>
        <v>0</v>
      </c>
      <c r="BZ35" s="121">
        <f t="shared" si="62"/>
        <v>0</v>
      </c>
      <c r="CA35" s="121">
        <f t="shared" si="62"/>
        <v>0</v>
      </c>
      <c r="CB35" s="121">
        <f t="shared" si="62"/>
        <v>0</v>
      </c>
      <c r="CC35" s="121">
        <f t="shared" si="62"/>
        <v>0</v>
      </c>
      <c r="CD35" s="121">
        <f>IF(CD18="","",CD18+(CD$19*(CD27/CD$28)))</f>
        <v>0</v>
      </c>
      <c r="CE35" s="121">
        <f t="shared" si="62"/>
        <v>0</v>
      </c>
      <c r="CF35" s="121">
        <f t="shared" si="62"/>
        <v>0</v>
      </c>
      <c r="CG35" s="121">
        <f t="shared" si="62"/>
        <v>0</v>
      </c>
      <c r="CH35" s="121">
        <f t="shared" si="62"/>
        <v>0</v>
      </c>
      <c r="CI35" s="132"/>
      <c r="CJ35" s="132"/>
      <c r="CK35" s="132"/>
    </row>
    <row r="36" spans="1:89" x14ac:dyDescent="0.3">
      <c r="A36" s="35" t="s">
        <v>31</v>
      </c>
      <c r="B36" s="33"/>
      <c r="C36" s="33"/>
      <c r="D36" s="48">
        <f>SUM(D31:D35)</f>
        <v>0</v>
      </c>
      <c r="E36" s="48">
        <f t="shared" ref="E36:BX36" si="63">SUM(E31:E35)</f>
        <v>1328.78</v>
      </c>
      <c r="F36" s="48">
        <f t="shared" si="63"/>
        <v>9526.5299999999988</v>
      </c>
      <c r="G36" s="48">
        <f t="shared" si="63"/>
        <v>131900.43000000002</v>
      </c>
      <c r="H36" s="48">
        <f t="shared" si="63"/>
        <v>295999.55</v>
      </c>
      <c r="I36" s="48">
        <f t="shared" si="63"/>
        <v>425553.79999999993</v>
      </c>
      <c r="J36" s="48">
        <f t="shared" si="63"/>
        <v>758519.65</v>
      </c>
      <c r="K36" s="48">
        <f t="shared" si="63"/>
        <v>199350.73000000016</v>
      </c>
      <c r="L36" s="48">
        <f t="shared" si="63"/>
        <v>279108.34999999986</v>
      </c>
      <c r="M36" s="48">
        <f t="shared" si="63"/>
        <v>438307.65000000008</v>
      </c>
      <c r="N36" s="48">
        <f t="shared" si="63"/>
        <v>509660.87999999995</v>
      </c>
      <c r="O36" s="48">
        <f t="shared" si="63"/>
        <v>486201.49000000022</v>
      </c>
      <c r="P36" s="48">
        <f t="shared" si="63"/>
        <v>514839.35999999993</v>
      </c>
      <c r="Q36" s="48">
        <f t="shared" si="63"/>
        <v>312695.84999999963</v>
      </c>
      <c r="R36" s="48">
        <f t="shared" si="63"/>
        <v>392474.24999999983</v>
      </c>
      <c r="S36" s="48">
        <f t="shared" si="63"/>
        <v>1348848.3600000006</v>
      </c>
      <c r="T36" s="48">
        <f t="shared" si="63"/>
        <v>1958770.0699999998</v>
      </c>
      <c r="U36" s="48">
        <f t="shared" si="63"/>
        <v>2119352.19</v>
      </c>
      <c r="V36" s="48">
        <f t="shared" si="63"/>
        <v>1653005.4399999997</v>
      </c>
      <c r="W36" s="48">
        <f t="shared" si="63"/>
        <v>750637.88000000047</v>
      </c>
      <c r="X36" s="48">
        <f t="shared" si="63"/>
        <v>825052.10999999894</v>
      </c>
      <c r="Y36" s="48">
        <f t="shared" si="63"/>
        <v>1097101.9800000007</v>
      </c>
      <c r="Z36" s="48">
        <f t="shared" si="63"/>
        <v>1233427.4099999992</v>
      </c>
      <c r="AA36" s="48">
        <f t="shared" si="63"/>
        <v>1062738.58</v>
      </c>
      <c r="AB36" s="48">
        <f t="shared" si="63"/>
        <v>1116457.6900000016</v>
      </c>
      <c r="AC36" s="48">
        <f t="shared" si="63"/>
        <v>959793.47999999963</v>
      </c>
      <c r="AD36" s="48">
        <f t="shared" si="63"/>
        <v>1424231.0999999996</v>
      </c>
      <c r="AE36" s="48">
        <f t="shared" si="63"/>
        <v>3804569.2400000021</v>
      </c>
      <c r="AF36" s="48">
        <f t="shared" si="63"/>
        <v>5112749.5900000017</v>
      </c>
      <c r="AG36" s="48">
        <f t="shared" si="63"/>
        <v>4713867.5500000026</v>
      </c>
      <c r="AH36" s="48">
        <f t="shared" si="63"/>
        <v>3598339.959999999</v>
      </c>
      <c r="AI36" s="48">
        <f t="shared" si="63"/>
        <v>1714525.5399999977</v>
      </c>
      <c r="AJ36" s="48">
        <f t="shared" si="63"/>
        <v>1571421.2499999981</v>
      </c>
      <c r="AK36" s="48">
        <f t="shared" si="63"/>
        <v>1919519.93</v>
      </c>
      <c r="AL36" s="48">
        <f t="shared" si="63"/>
        <v>2060434.7699999972</v>
      </c>
      <c r="AM36" s="48">
        <f t="shared" si="63"/>
        <v>1799627.3200000026</v>
      </c>
      <c r="AN36" s="48">
        <f t="shared" si="63"/>
        <v>2312591.7700000047</v>
      </c>
      <c r="AO36" s="48">
        <f t="shared" si="63"/>
        <v>2109913.9999999995</v>
      </c>
      <c r="AP36" s="48">
        <f t="shared" si="63"/>
        <v>1887985.9599999983</v>
      </c>
      <c r="AQ36" s="48">
        <f t="shared" si="63"/>
        <v>6123794.6400000006</v>
      </c>
      <c r="AR36" s="48">
        <f t="shared" si="63"/>
        <v>7375311.7899999972</v>
      </c>
      <c r="AS36" s="48">
        <f t="shared" si="63"/>
        <v>6969272.2200000025</v>
      </c>
      <c r="AT36" s="48">
        <f t="shared" si="63"/>
        <v>5125287.4899999984</v>
      </c>
      <c r="AU36" s="48">
        <f t="shared" si="63"/>
        <v>2223308.9999999986</v>
      </c>
      <c r="AV36" s="48">
        <f t="shared" ref="AV36:BV36" si="64">SUM(AV31:AV35)</f>
        <v>2078395.7300000025</v>
      </c>
      <c r="AW36" s="48">
        <f t="shared" si="64"/>
        <v>2228734.6799999992</v>
      </c>
      <c r="AX36" s="48">
        <f t="shared" si="64"/>
        <v>2369847.9500000002</v>
      </c>
      <c r="AY36" s="48">
        <f t="shared" si="64"/>
        <v>217555.38999999891</v>
      </c>
      <c r="AZ36" s="48">
        <f t="shared" si="64"/>
        <v>1940172.8499999968</v>
      </c>
      <c r="BA36" s="48">
        <f t="shared" si="64"/>
        <v>2286.3100000023842</v>
      </c>
      <c r="BB36" s="48">
        <f t="shared" si="64"/>
        <v>33.38999999733656</v>
      </c>
      <c r="BC36" s="48">
        <f t="shared" si="64"/>
        <v>12223.310000002384</v>
      </c>
      <c r="BD36" s="48">
        <f t="shared" si="64"/>
        <v>22853.179999999702</v>
      </c>
      <c r="BE36" s="48">
        <f t="shared" si="64"/>
        <v>37353.849999999627</v>
      </c>
      <c r="BF36" s="48">
        <f t="shared" si="64"/>
        <v>34409.610000001267</v>
      </c>
      <c r="BG36" s="48">
        <f t="shared" si="64"/>
        <v>13496.160000000149</v>
      </c>
      <c r="BH36" s="48">
        <f t="shared" si="64"/>
        <v>12870.069999998435</v>
      </c>
      <c r="BI36" s="48">
        <f t="shared" si="64"/>
        <v>17714.029999999329</v>
      </c>
      <c r="BJ36" s="48">
        <f t="shared" si="64"/>
        <v>20826.88000000082</v>
      </c>
      <c r="BK36" s="48">
        <f t="shared" si="64"/>
        <v>19099.220000000671</v>
      </c>
      <c r="BL36" s="48">
        <f t="shared" si="64"/>
        <v>21421.460000000894</v>
      </c>
      <c r="BM36" s="48">
        <f t="shared" si="64"/>
        <v>19168.38000000082</v>
      </c>
      <c r="BN36" s="48">
        <f t="shared" si="64"/>
        <v>25465.089999996126</v>
      </c>
      <c r="BO36" s="48">
        <f t="shared" si="64"/>
        <v>70360.550000002608</v>
      </c>
      <c r="BP36" s="48">
        <f t="shared" si="64"/>
        <v>91202.140000000596</v>
      </c>
      <c r="BQ36" s="48">
        <f t="shared" si="64"/>
        <v>84499.239999998827</v>
      </c>
      <c r="BR36" s="48">
        <f t="shared" si="64"/>
        <v>53951.849999999627</v>
      </c>
      <c r="BS36" s="48">
        <f t="shared" si="64"/>
        <v>21911.110000000801</v>
      </c>
      <c r="BT36" s="48">
        <f t="shared" si="64"/>
        <v>20626.079999999998</v>
      </c>
      <c r="BU36" s="48">
        <f t="shared" si="64"/>
        <v>24775.3</v>
      </c>
      <c r="BV36" s="48">
        <f t="shared" si="64"/>
        <v>25830.02</v>
      </c>
      <c r="BW36" s="48">
        <f t="shared" si="63"/>
        <v>21223.89</v>
      </c>
      <c r="BX36" s="48">
        <f t="shared" si="63"/>
        <v>0</v>
      </c>
      <c r="BY36" s="48">
        <f t="shared" ref="BY36:CH36" si="65">SUM(BY31:BY35)</f>
        <v>0</v>
      </c>
      <c r="BZ36" s="48">
        <f t="shared" si="65"/>
        <v>0</v>
      </c>
      <c r="CA36" s="48">
        <f t="shared" si="65"/>
        <v>0</v>
      </c>
      <c r="CB36" s="48">
        <f t="shared" si="65"/>
        <v>0</v>
      </c>
      <c r="CC36" s="48">
        <f t="shared" si="65"/>
        <v>0</v>
      </c>
      <c r="CD36" s="48">
        <f t="shared" si="65"/>
        <v>0</v>
      </c>
      <c r="CE36" s="48">
        <f t="shared" si="65"/>
        <v>0</v>
      </c>
      <c r="CF36" s="48">
        <f t="shared" si="65"/>
        <v>0</v>
      </c>
      <c r="CG36" s="48">
        <f t="shared" si="65"/>
        <v>0</v>
      </c>
      <c r="CH36" s="48">
        <f t="shared" si="65"/>
        <v>0</v>
      </c>
      <c r="CI36" s="126"/>
      <c r="CJ36" s="126"/>
      <c r="CK36" s="126"/>
    </row>
    <row r="37" spans="1:89" x14ac:dyDescent="0.3">
      <c r="A37" s="35"/>
      <c r="B37" s="33"/>
      <c r="C37" s="33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79"/>
      <c r="BA37" s="79"/>
      <c r="BB37" s="79"/>
      <c r="BC37" s="79"/>
      <c r="BD37" s="79"/>
      <c r="BE37" s="79"/>
      <c r="BF37" s="79"/>
      <c r="BG37" s="79"/>
      <c r="BH37" s="79"/>
      <c r="BI37" s="79"/>
      <c r="BJ37" s="79"/>
      <c r="BK37" s="79"/>
      <c r="BL37" s="79"/>
      <c r="BM37" s="79"/>
      <c r="BN37" s="79"/>
      <c r="BO37" s="79"/>
      <c r="BP37" s="79"/>
      <c r="BQ37" s="79"/>
      <c r="BR37" s="79"/>
      <c r="BS37" s="79"/>
      <c r="BT37" s="79"/>
      <c r="BU37" s="79"/>
      <c r="BV37" s="79"/>
      <c r="BW37" s="79"/>
      <c r="BX37" s="79"/>
      <c r="BY37" s="79"/>
      <c r="BZ37" s="79"/>
      <c r="CA37" s="79"/>
      <c r="CB37" s="79"/>
      <c r="CC37" s="79"/>
      <c r="CD37" s="79"/>
      <c r="CE37" s="79"/>
      <c r="CF37" s="79"/>
      <c r="CG37" s="79"/>
      <c r="CH37" s="79"/>
      <c r="CI37" s="126"/>
      <c r="CJ37" s="126"/>
      <c r="CK37" s="126"/>
    </row>
    <row r="38" spans="1:89" x14ac:dyDescent="0.3">
      <c r="A38" s="35"/>
      <c r="B38" s="33"/>
      <c r="C38" s="33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2"/>
      <c r="AU38" s="120"/>
      <c r="AV38" s="126"/>
      <c r="AW38" s="2"/>
      <c r="AX38" s="120"/>
      <c r="AY38" s="79"/>
      <c r="AZ38" s="79"/>
      <c r="BA38" s="79"/>
      <c r="BB38" s="79"/>
      <c r="BC38" s="79"/>
      <c r="BD38" s="79"/>
      <c r="BE38" s="79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S38" s="120" t="s">
        <v>84</v>
      </c>
      <c r="BT38" s="79"/>
      <c r="BV38" s="38" t="s">
        <v>85</v>
      </c>
      <c r="BW38" s="79"/>
      <c r="BX38" s="2"/>
      <c r="BY38" s="120"/>
      <c r="BZ38" s="79"/>
      <c r="CA38" s="79"/>
      <c r="CB38" s="79"/>
      <c r="CC38" s="79"/>
      <c r="CD38" s="79"/>
      <c r="CE38" s="79"/>
      <c r="CF38" s="79"/>
      <c r="CH38" s="38" t="s">
        <v>86</v>
      </c>
      <c r="CI38" s="126"/>
      <c r="CK38" s="135"/>
    </row>
    <row r="39" spans="1:89" x14ac:dyDescent="0.3">
      <c r="A39" s="35"/>
      <c r="B39" s="33"/>
      <c r="C39" s="33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2"/>
      <c r="AU39" s="125"/>
      <c r="AV39" s="126"/>
      <c r="AW39" s="2"/>
      <c r="AX39" s="125"/>
      <c r="AY39" s="79"/>
      <c r="AZ39" s="79"/>
      <c r="BA39" s="79"/>
      <c r="BB39" s="79"/>
      <c r="BC39" s="79"/>
      <c r="BD39" s="79"/>
      <c r="BE39" s="79"/>
      <c r="BF39" s="2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R39" s="40" t="s">
        <v>33</v>
      </c>
      <c r="BS39" s="162">
        <f>SUM(D31:BS31)</f>
        <v>38189868.470668986</v>
      </c>
      <c r="BT39" s="79"/>
      <c r="BU39" s="40" t="s">
        <v>33</v>
      </c>
      <c r="BV39" s="163">
        <f>SUM(BT31:BV31)</f>
        <v>0</v>
      </c>
      <c r="BW39" s="79"/>
      <c r="BX39" s="2"/>
      <c r="BY39" s="125"/>
      <c r="BZ39" s="79"/>
      <c r="CA39" s="79"/>
      <c r="CB39" s="79"/>
      <c r="CC39" s="79"/>
      <c r="CD39" s="79"/>
      <c r="CE39" s="79"/>
      <c r="CF39" s="79"/>
      <c r="CG39" s="40" t="s">
        <v>33</v>
      </c>
      <c r="CH39" s="164">
        <f>SUM(BW31:CH31)</f>
        <v>0</v>
      </c>
      <c r="CI39" s="126"/>
      <c r="CK39" s="136"/>
    </row>
    <row r="40" spans="1:89" x14ac:dyDescent="0.3">
      <c r="A40" s="35"/>
      <c r="B40" s="33"/>
      <c r="C40" s="33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2"/>
      <c r="AU40" s="125"/>
      <c r="AV40" s="126"/>
      <c r="AW40" s="2"/>
      <c r="AX40" s="125"/>
      <c r="AY40" s="79"/>
      <c r="AZ40" s="79"/>
      <c r="BA40" s="79"/>
      <c r="BB40" s="79"/>
      <c r="BC40" s="126"/>
      <c r="BD40" s="79"/>
      <c r="BE40" s="79"/>
      <c r="BF40" s="2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R40" s="40" t="s">
        <v>34</v>
      </c>
      <c r="BS40" s="162">
        <f t="shared" ref="BS40:BS44" si="66">SUM(D32:BS32)</f>
        <v>12622064.755642738</v>
      </c>
      <c r="BT40" s="79"/>
      <c r="BU40" s="40" t="s">
        <v>34</v>
      </c>
      <c r="BV40" s="163">
        <f t="shared" ref="BV40:BV44" si="67">SUM(BT32:BV32)</f>
        <v>3076.85</v>
      </c>
      <c r="BW40" s="79"/>
      <c r="BX40" s="2"/>
      <c r="BY40" s="125"/>
      <c r="BZ40" s="79"/>
      <c r="CA40" s="79"/>
      <c r="CB40" s="79"/>
      <c r="CC40" s="79"/>
      <c r="CD40" s="79"/>
      <c r="CE40" s="79"/>
      <c r="CF40" s="79"/>
      <c r="CG40" s="40" t="s">
        <v>34</v>
      </c>
      <c r="CH40" s="164">
        <f t="shared" ref="CH40:CH43" si="68">SUM(BW32:CH32)</f>
        <v>818.65</v>
      </c>
      <c r="CI40" s="126"/>
      <c r="CK40" s="136"/>
    </row>
    <row r="41" spans="1:89" x14ac:dyDescent="0.3">
      <c r="A41" s="35"/>
      <c r="B41" s="33"/>
      <c r="C41" s="33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R41" s="79"/>
      <c r="AS41" s="79"/>
      <c r="AT41" s="2"/>
      <c r="AU41" s="125"/>
      <c r="AV41" s="126"/>
      <c r="AW41" s="2"/>
      <c r="AX41" s="125"/>
      <c r="AY41" s="79"/>
      <c r="AZ41" s="79"/>
      <c r="BA41" s="79"/>
      <c r="BB41" s="79"/>
      <c r="BC41" s="79"/>
      <c r="BD41" s="79"/>
      <c r="BE41" s="79"/>
      <c r="BF41" s="2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R41" s="40" t="s">
        <v>35</v>
      </c>
      <c r="BS41" s="162">
        <f t="shared" si="66"/>
        <v>26003346.880823072</v>
      </c>
      <c r="BT41" s="79"/>
      <c r="BU41" s="40" t="s">
        <v>35</v>
      </c>
      <c r="BV41" s="163">
        <f t="shared" si="67"/>
        <v>33069.68</v>
      </c>
      <c r="BW41" s="79"/>
      <c r="BX41" s="2"/>
      <c r="BY41" s="125"/>
      <c r="BZ41" s="79"/>
      <c r="CA41" s="79"/>
      <c r="CB41" s="79"/>
      <c r="CC41" s="79"/>
      <c r="CD41" s="79"/>
      <c r="CE41" s="79"/>
      <c r="CF41" s="79"/>
      <c r="CG41" s="40" t="s">
        <v>35</v>
      </c>
      <c r="CH41" s="164">
        <f t="shared" si="68"/>
        <v>10126.530000000001</v>
      </c>
      <c r="CI41" s="126"/>
      <c r="CK41" s="136"/>
    </row>
    <row r="42" spans="1:89" x14ac:dyDescent="0.3">
      <c r="A42" s="35"/>
      <c r="B42" s="33"/>
      <c r="C42" s="33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2"/>
      <c r="AU42" s="125"/>
      <c r="AV42" s="126"/>
      <c r="AW42" s="2"/>
      <c r="AX42" s="125"/>
      <c r="AY42" s="79"/>
      <c r="AZ42" s="79"/>
      <c r="BA42" s="79"/>
      <c r="BB42" s="79"/>
      <c r="BC42" s="79"/>
      <c r="BD42" s="79"/>
      <c r="BE42" s="79"/>
      <c r="BF42" s="2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R42" s="40" t="s">
        <v>36</v>
      </c>
      <c r="BS42" s="162">
        <f t="shared" si="66"/>
        <v>11066596.527346529</v>
      </c>
      <c r="BT42" s="79"/>
      <c r="BU42" s="40" t="s">
        <v>36</v>
      </c>
      <c r="BV42" s="163">
        <f t="shared" si="67"/>
        <v>35256.82</v>
      </c>
      <c r="BW42" s="79"/>
      <c r="BX42" s="2"/>
      <c r="BY42" s="125"/>
      <c r="BZ42" s="79"/>
      <c r="CA42" s="79"/>
      <c r="CB42" s="79"/>
      <c r="CC42" s="79"/>
      <c r="CD42" s="79"/>
      <c r="CE42" s="79"/>
      <c r="CF42" s="79"/>
      <c r="CG42" s="40" t="s">
        <v>36</v>
      </c>
      <c r="CH42" s="164">
        <f>SUM(BW34:CH34)</f>
        <v>10330.18</v>
      </c>
      <c r="CI42" s="126"/>
      <c r="CK42" s="136"/>
    </row>
    <row r="43" spans="1:89" x14ac:dyDescent="0.3">
      <c r="A43" s="35"/>
      <c r="B43" s="33"/>
      <c r="C43" s="33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2"/>
      <c r="AU43" s="125"/>
      <c r="AV43" s="126"/>
      <c r="AW43" s="2"/>
      <c r="AX43" s="125"/>
      <c r="AY43" s="79"/>
      <c r="AZ43" s="79"/>
      <c r="BA43" s="79"/>
      <c r="BB43" s="79"/>
      <c r="BC43" s="79"/>
      <c r="BD43" s="79"/>
      <c r="BE43" s="79"/>
      <c r="BF43" s="2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R43" s="40" t="s">
        <v>37</v>
      </c>
      <c r="BS43" s="162">
        <f t="shared" si="66"/>
        <v>2261381.4055186803</v>
      </c>
      <c r="BT43" s="79"/>
      <c r="BU43" s="40" t="s">
        <v>37</v>
      </c>
      <c r="BV43" s="163">
        <f t="shared" si="67"/>
        <v>-171.95</v>
      </c>
      <c r="BW43" s="79"/>
      <c r="BX43" s="2"/>
      <c r="BY43" s="125"/>
      <c r="BZ43" s="79"/>
      <c r="CA43" s="79"/>
      <c r="CB43" s="79"/>
      <c r="CC43" s="79"/>
      <c r="CD43" s="79"/>
      <c r="CE43" s="79"/>
      <c r="CF43" s="79"/>
      <c r="CG43" s="40" t="s">
        <v>37</v>
      </c>
      <c r="CH43" s="164">
        <f t="shared" si="68"/>
        <v>-51.47</v>
      </c>
      <c r="CI43" s="126"/>
      <c r="CK43" s="136"/>
    </row>
    <row r="44" spans="1:89" x14ac:dyDescent="0.3">
      <c r="A44" s="35"/>
      <c r="B44" s="33"/>
      <c r="C44" s="33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79"/>
      <c r="AP44" s="79"/>
      <c r="AQ44" s="79"/>
      <c r="AR44" s="79"/>
      <c r="AS44" s="79"/>
      <c r="AT44" s="36"/>
      <c r="AU44" s="125"/>
      <c r="AV44" s="126"/>
      <c r="AW44" s="36"/>
      <c r="AX44" s="125"/>
      <c r="AY44" s="79"/>
      <c r="AZ44" s="79"/>
      <c r="BA44" s="79"/>
      <c r="BB44" s="79"/>
      <c r="BC44" s="79"/>
      <c r="BD44" s="79"/>
      <c r="BE44" s="79"/>
      <c r="BF44" s="36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R44" s="35" t="s">
        <v>31</v>
      </c>
      <c r="BS44" s="162">
        <f t="shared" si="66"/>
        <v>90143258.039999962</v>
      </c>
      <c r="BT44" s="79"/>
      <c r="BU44" s="35" t="s">
        <v>31</v>
      </c>
      <c r="BV44" s="163">
        <f t="shared" si="67"/>
        <v>71231.399999999994</v>
      </c>
      <c r="BW44" s="79"/>
      <c r="BX44" s="36"/>
      <c r="BY44" s="125"/>
      <c r="BZ44" s="79"/>
      <c r="CA44" s="79"/>
      <c r="CB44" s="79"/>
      <c r="CC44" s="79"/>
      <c r="CD44" s="79"/>
      <c r="CE44" s="79"/>
      <c r="CF44" s="79"/>
      <c r="CG44" s="35" t="s">
        <v>31</v>
      </c>
      <c r="CH44" s="164">
        <f>SUM(BW36:CH36)</f>
        <v>21223.89</v>
      </c>
      <c r="CI44" s="126"/>
      <c r="CJ44" s="137"/>
      <c r="CK44" s="136"/>
    </row>
    <row r="45" spans="1:89" s="82" customFormat="1" ht="15" thickBot="1" x14ac:dyDescent="0.35">
      <c r="CI45" s="129"/>
      <c r="CJ45" s="129"/>
      <c r="CK45" s="129"/>
    </row>
    <row r="46" spans="1:89" ht="15.6" x14ac:dyDescent="0.3">
      <c r="A46" s="78" t="s">
        <v>55</v>
      </c>
    </row>
    <row r="48" spans="1:89" x14ac:dyDescent="0.3">
      <c r="B48" s="12">
        <v>42370</v>
      </c>
      <c r="C48" s="12">
        <v>42401</v>
      </c>
      <c r="D48" s="12">
        <v>42430</v>
      </c>
      <c r="E48" s="12">
        <v>42461</v>
      </c>
      <c r="F48" s="12">
        <v>42491</v>
      </c>
      <c r="G48" s="12">
        <v>42522</v>
      </c>
      <c r="H48" s="12">
        <v>42552</v>
      </c>
      <c r="I48" s="12">
        <v>42583</v>
      </c>
      <c r="J48" s="12">
        <v>42614</v>
      </c>
      <c r="K48" s="12">
        <v>42644</v>
      </c>
      <c r="L48" s="12">
        <v>42675</v>
      </c>
      <c r="M48" s="12">
        <v>42705</v>
      </c>
      <c r="N48" s="12">
        <v>42736</v>
      </c>
      <c r="O48" s="12">
        <v>42767</v>
      </c>
      <c r="P48" s="12">
        <v>42795</v>
      </c>
      <c r="Q48" s="12">
        <v>42826</v>
      </c>
      <c r="R48" s="12">
        <v>42856</v>
      </c>
      <c r="S48" s="12">
        <v>42887</v>
      </c>
      <c r="T48" s="12">
        <v>42917</v>
      </c>
      <c r="U48" s="12">
        <v>42948</v>
      </c>
      <c r="V48" s="12">
        <v>42979</v>
      </c>
      <c r="W48" s="12">
        <v>43009</v>
      </c>
      <c r="X48" s="12">
        <v>43040</v>
      </c>
      <c r="Y48" s="12">
        <v>43070</v>
      </c>
      <c r="Z48" s="12">
        <v>43101</v>
      </c>
      <c r="AA48" s="12">
        <v>43132</v>
      </c>
      <c r="AB48" s="12">
        <v>43160</v>
      </c>
      <c r="AC48" s="12">
        <v>43191</v>
      </c>
      <c r="AD48" s="12">
        <v>43221</v>
      </c>
      <c r="AE48" s="12">
        <v>43252</v>
      </c>
      <c r="AF48" s="12">
        <v>43282</v>
      </c>
      <c r="AG48" s="12">
        <v>43313</v>
      </c>
      <c r="AH48" s="12">
        <v>43344</v>
      </c>
      <c r="AI48" s="12">
        <v>43374</v>
      </c>
      <c r="AJ48" s="12">
        <v>43405</v>
      </c>
      <c r="AK48" s="12">
        <v>43435</v>
      </c>
      <c r="AL48" s="12">
        <v>43466</v>
      </c>
      <c r="AM48" s="12">
        <v>43497</v>
      </c>
      <c r="AN48" s="12">
        <v>43525</v>
      </c>
      <c r="AO48" s="12">
        <v>43556</v>
      </c>
      <c r="AP48" s="12">
        <v>43586</v>
      </c>
      <c r="AQ48" s="12">
        <v>43617</v>
      </c>
      <c r="AR48" s="12">
        <v>43647</v>
      </c>
      <c r="AS48" s="12">
        <v>43678</v>
      </c>
      <c r="AT48" s="12">
        <v>43709</v>
      </c>
      <c r="AU48" s="12">
        <v>43739</v>
      </c>
      <c r="AV48" s="12">
        <v>43770</v>
      </c>
      <c r="AW48" s="12">
        <v>43800</v>
      </c>
      <c r="AX48" s="12">
        <v>43831</v>
      </c>
      <c r="AY48" s="12">
        <v>43862</v>
      </c>
      <c r="AZ48" s="12">
        <v>43891</v>
      </c>
      <c r="BA48" s="12">
        <v>43922</v>
      </c>
      <c r="BB48" s="12">
        <v>43952</v>
      </c>
      <c r="BC48" s="12">
        <v>43983</v>
      </c>
      <c r="BD48" s="12">
        <v>44013</v>
      </c>
      <c r="BE48" s="12">
        <v>44044</v>
      </c>
      <c r="BF48" s="12">
        <v>44075</v>
      </c>
      <c r="BG48" s="12">
        <v>44105</v>
      </c>
      <c r="BH48" s="12">
        <v>44136</v>
      </c>
      <c r="BI48" s="12">
        <v>44166</v>
      </c>
      <c r="BJ48" s="12">
        <v>44197</v>
      </c>
      <c r="BK48" s="12">
        <v>44228</v>
      </c>
      <c r="BL48" s="12">
        <v>44256</v>
      </c>
      <c r="BM48" s="12">
        <v>44287</v>
      </c>
      <c r="BN48" s="12">
        <v>44317</v>
      </c>
      <c r="BO48" s="12">
        <v>44348</v>
      </c>
      <c r="BP48" s="12">
        <v>44378</v>
      </c>
      <c r="BQ48" s="12">
        <v>44409</v>
      </c>
      <c r="BR48" s="12">
        <v>44440</v>
      </c>
      <c r="BS48" s="12">
        <v>44470</v>
      </c>
      <c r="BT48" s="12">
        <v>44501</v>
      </c>
      <c r="BU48" s="12">
        <v>44531</v>
      </c>
      <c r="BV48" s="12">
        <v>44562</v>
      </c>
      <c r="BW48" s="12">
        <v>44593</v>
      </c>
      <c r="BX48" s="12">
        <v>44621</v>
      </c>
      <c r="BY48" s="12">
        <v>44652</v>
      </c>
      <c r="BZ48" s="12">
        <v>44682</v>
      </c>
      <c r="CA48" s="12">
        <v>44713</v>
      </c>
      <c r="CB48" s="12">
        <v>44743</v>
      </c>
      <c r="CC48" s="12">
        <v>44774</v>
      </c>
      <c r="CD48" s="12">
        <v>44805</v>
      </c>
      <c r="CE48" s="12">
        <v>44835</v>
      </c>
      <c r="CF48" s="12">
        <v>44866</v>
      </c>
      <c r="CG48" s="12">
        <v>44896</v>
      </c>
      <c r="CH48" s="12">
        <v>44927</v>
      </c>
      <c r="CI48" s="31"/>
      <c r="CJ48" s="31"/>
      <c r="CK48" s="31"/>
    </row>
    <row r="49" spans="1:89" s="2" customFormat="1" x14ac:dyDescent="0.3">
      <c r="A49" s="39" t="s">
        <v>56</v>
      </c>
      <c r="B49" s="34"/>
      <c r="C49" s="34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117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152" t="s">
        <v>87</v>
      </c>
      <c r="BU49" s="154"/>
      <c r="BV49" s="31"/>
      <c r="BW49" s="117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</row>
    <row r="50" spans="1:89" x14ac:dyDescent="0.3">
      <c r="A50" s="40" t="s">
        <v>33</v>
      </c>
      <c r="B50" s="41"/>
      <c r="C50" s="41"/>
      <c r="D50" s="45"/>
      <c r="E50" s="45"/>
      <c r="F50" s="45"/>
      <c r="G50" s="45"/>
      <c r="H50" s="54"/>
      <c r="I50" s="54"/>
      <c r="J50" s="54"/>
      <c r="K50" s="54"/>
      <c r="L50" s="54"/>
      <c r="M50" s="54"/>
      <c r="N50" s="54"/>
      <c r="O50" s="45"/>
      <c r="P50" s="46"/>
      <c r="Q50" s="45">
        <f>964303.03-72.29</f>
        <v>964230.74</v>
      </c>
      <c r="R50" s="46">
        <v>918986.9</v>
      </c>
      <c r="S50" s="46">
        <v>1235335.3500000001</v>
      </c>
      <c r="T50" s="46">
        <v>1643710.03</v>
      </c>
      <c r="U50" s="46">
        <v>1663991.32</v>
      </c>
      <c r="V50" s="46">
        <v>1315722.52</v>
      </c>
      <c r="W50" s="46">
        <v>1155142.76</v>
      </c>
      <c r="X50" s="46">
        <v>1008647.72</v>
      </c>
      <c r="Y50" s="46">
        <v>1300717.95</v>
      </c>
      <c r="Z50" s="46">
        <v>1995202.44</v>
      </c>
      <c r="AA50" s="46">
        <v>1361606.16</v>
      </c>
      <c r="AB50" s="46">
        <v>1097480.82</v>
      </c>
      <c r="AC50" s="46">
        <v>1059578.1200000001</v>
      </c>
      <c r="AD50" s="46">
        <v>862980.65</v>
      </c>
      <c r="AE50" s="46">
        <v>1281774.72</v>
      </c>
      <c r="AF50" s="46">
        <v>1502957.34</v>
      </c>
      <c r="AG50" s="46">
        <v>1346919.46</v>
      </c>
      <c r="AH50" s="46">
        <v>1295482.8999999999</v>
      </c>
      <c r="AI50" s="46">
        <v>1002485.52</v>
      </c>
      <c r="AJ50" s="46">
        <v>930228.6</v>
      </c>
      <c r="AK50" s="46">
        <v>1294357.3</v>
      </c>
      <c r="AL50" s="46">
        <v>1435395.83</v>
      </c>
      <c r="AM50" s="46">
        <v>1500360.52</v>
      </c>
      <c r="AN50" s="46">
        <v>1351205.92</v>
      </c>
      <c r="AO50" s="46">
        <v>930965.27</v>
      </c>
      <c r="AP50" s="46">
        <v>791487</v>
      </c>
      <c r="AQ50" s="46">
        <v>1054075.57</v>
      </c>
      <c r="AR50" s="46">
        <v>1341002.6200000001</v>
      </c>
      <c r="AS50" s="46">
        <v>1411567.5</v>
      </c>
      <c r="AT50" s="46">
        <v>1302183.99</v>
      </c>
      <c r="AU50" s="46">
        <v>1070055.19</v>
      </c>
      <c r="AV50" s="46">
        <v>960017.17</v>
      </c>
      <c r="AW50" s="46">
        <v>1291710.24</v>
      </c>
      <c r="AX50" s="46">
        <v>1426440.21</v>
      </c>
      <c r="AY50" s="46">
        <v>836821.82</v>
      </c>
      <c r="AZ50" s="46">
        <v>123502.6</v>
      </c>
      <c r="BA50" s="46">
        <v>92675.74</v>
      </c>
      <c r="BB50" s="46">
        <v>82719.98</v>
      </c>
      <c r="BC50" s="46">
        <v>109517.12</v>
      </c>
      <c r="BD50" s="46">
        <v>147043.66</v>
      </c>
      <c r="BE50" s="46">
        <v>137831</v>
      </c>
      <c r="BF50" s="46">
        <v>124319.87</v>
      </c>
      <c r="BG50" s="46">
        <v>84008.53</v>
      </c>
      <c r="BH50" s="46">
        <v>89633.18</v>
      </c>
      <c r="BI50" s="46">
        <v>118817.27</v>
      </c>
      <c r="BJ50" s="46">
        <v>154664.07999999999</v>
      </c>
      <c r="BK50" s="46">
        <v>-113458.01</v>
      </c>
      <c r="BL50" s="46">
        <v>-325175.89</v>
      </c>
      <c r="BM50" s="46">
        <v>-219552.89</v>
      </c>
      <c r="BN50" s="46">
        <v>-206267.22</v>
      </c>
      <c r="BO50" s="46">
        <v>-270595.87</v>
      </c>
      <c r="BP50" s="46">
        <v>-357386.66</v>
      </c>
      <c r="BQ50" s="46">
        <v>-364675.44</v>
      </c>
      <c r="BR50" s="46">
        <v>-358208.47</v>
      </c>
      <c r="BS50" s="46">
        <v>-248050.58</v>
      </c>
      <c r="BT50" s="151">
        <f>'[116]TDR (M2)'!BT22</f>
        <v>-218489.17812282767</v>
      </c>
      <c r="BU50" s="151">
        <f>'[116]TDR (M2)'!BU22</f>
        <v>-317355.16592932073</v>
      </c>
      <c r="BV50" s="151">
        <f>'[116]TDR (M2)'!BV22</f>
        <v>-405447.3769269496</v>
      </c>
      <c r="BW50" s="123"/>
      <c r="BX50" s="123"/>
      <c r="BY50" s="123"/>
      <c r="BZ50" s="123"/>
      <c r="CA50" s="123"/>
      <c r="CB50" s="123"/>
      <c r="CC50" s="123"/>
      <c r="CD50" s="123"/>
      <c r="CE50" s="123"/>
      <c r="CF50" s="123"/>
      <c r="CG50" s="123"/>
      <c r="CH50" s="123"/>
      <c r="CI50" s="131"/>
      <c r="CJ50" s="131"/>
      <c r="CK50" s="131"/>
    </row>
    <row r="51" spans="1:89" x14ac:dyDescent="0.3">
      <c r="A51" s="40" t="s">
        <v>34</v>
      </c>
      <c r="B51" s="41"/>
      <c r="C51" s="41"/>
      <c r="D51" s="45"/>
      <c r="E51" s="45"/>
      <c r="F51" s="45"/>
      <c r="G51" s="45"/>
      <c r="H51" s="54"/>
      <c r="I51" s="54"/>
      <c r="J51" s="54"/>
      <c r="K51" s="54"/>
      <c r="L51" s="54"/>
      <c r="M51" s="54"/>
      <c r="N51" s="45"/>
      <c r="O51" s="45"/>
      <c r="P51" s="46"/>
      <c r="Q51" s="45">
        <f>121723.86-126.24</f>
        <v>121597.62</v>
      </c>
      <c r="R51" s="46">
        <v>120360.92</v>
      </c>
      <c r="S51" s="46">
        <v>143026.74</v>
      </c>
      <c r="T51" s="46">
        <v>165801.25</v>
      </c>
      <c r="U51" s="46">
        <v>167384.09</v>
      </c>
      <c r="V51" s="46">
        <v>149701.24</v>
      </c>
      <c r="W51" s="46">
        <v>141748.14000000001</v>
      </c>
      <c r="X51" s="46">
        <v>126699.78</v>
      </c>
      <c r="Y51" s="46">
        <v>139926.94</v>
      </c>
      <c r="Z51" s="46">
        <v>202221.15</v>
      </c>
      <c r="AA51" s="46">
        <v>343067.75</v>
      </c>
      <c r="AB51" s="46">
        <v>300632.48</v>
      </c>
      <c r="AC51" s="46">
        <v>296300.02</v>
      </c>
      <c r="AD51" s="46">
        <v>268199.42</v>
      </c>
      <c r="AE51" s="46">
        <v>337634.86</v>
      </c>
      <c r="AF51" s="46">
        <v>372521.79</v>
      </c>
      <c r="AG51" s="46">
        <v>348089.17</v>
      </c>
      <c r="AH51" s="46">
        <v>342034.51</v>
      </c>
      <c r="AI51" s="46">
        <v>301373.81</v>
      </c>
      <c r="AJ51" s="46">
        <v>271517.73</v>
      </c>
      <c r="AK51" s="46">
        <v>328156.33</v>
      </c>
      <c r="AL51" s="46">
        <v>377703.97</v>
      </c>
      <c r="AM51" s="46">
        <v>708077.88</v>
      </c>
      <c r="AN51" s="46">
        <v>666764.85</v>
      </c>
      <c r="AO51" s="46">
        <v>540522.54</v>
      </c>
      <c r="AP51" s="46">
        <v>509584.1</v>
      </c>
      <c r="AQ51" s="46">
        <v>594934.36</v>
      </c>
      <c r="AR51" s="46">
        <v>680484</v>
      </c>
      <c r="AS51" s="46">
        <v>699354.09</v>
      </c>
      <c r="AT51" s="46">
        <v>675136.56</v>
      </c>
      <c r="AU51" s="46">
        <v>608437.81999999995</v>
      </c>
      <c r="AV51" s="46">
        <v>545178.31000000006</v>
      </c>
      <c r="AW51" s="46">
        <v>640578.34</v>
      </c>
      <c r="AX51" s="46">
        <v>683111.72</v>
      </c>
      <c r="AY51" s="46">
        <v>419075.87</v>
      </c>
      <c r="AZ51" s="46">
        <v>88037.89</v>
      </c>
      <c r="BA51" s="46">
        <v>65160.17</v>
      </c>
      <c r="BB51" s="46">
        <v>59309.86</v>
      </c>
      <c r="BC51" s="46">
        <v>74165.440000000002</v>
      </c>
      <c r="BD51" s="46">
        <v>92442.4</v>
      </c>
      <c r="BE51" s="46">
        <v>90973.54</v>
      </c>
      <c r="BF51" s="46">
        <v>86398.8</v>
      </c>
      <c r="BG51" s="46">
        <v>70150.48</v>
      </c>
      <c r="BH51" s="46">
        <v>70037.789999999994</v>
      </c>
      <c r="BI51" s="46">
        <v>80808.38</v>
      </c>
      <c r="BJ51" s="46">
        <v>96369.71</v>
      </c>
      <c r="BK51" s="46">
        <v>-2328.37</v>
      </c>
      <c r="BL51" s="46">
        <v>-103760.54</v>
      </c>
      <c r="BM51" s="46">
        <v>-82575.289999999994</v>
      </c>
      <c r="BN51" s="46">
        <v>-81377.440000000002</v>
      </c>
      <c r="BO51" s="46">
        <v>-96431.96</v>
      </c>
      <c r="BP51" s="46">
        <v>-113596.04</v>
      </c>
      <c r="BQ51" s="46">
        <v>-114121.57</v>
      </c>
      <c r="BR51" s="46">
        <v>-115328.91</v>
      </c>
      <c r="BS51" s="46">
        <v>-96228.19</v>
      </c>
      <c r="BT51" s="151">
        <f>'[116]TDR (M2)'!BT23</f>
        <v>-85432.893467345784</v>
      </c>
      <c r="BU51" s="151">
        <f>'[116]TDR (M2)'!BU23</f>
        <v>-102126.33164507528</v>
      </c>
      <c r="BV51" s="151">
        <f>'[116]TDR (M2)'!BV23</f>
        <v>-120059.66379518446</v>
      </c>
      <c r="BW51" s="123"/>
      <c r="BX51" s="123"/>
      <c r="BY51" s="123"/>
      <c r="BZ51" s="123"/>
      <c r="CA51" s="123"/>
      <c r="CB51" s="123"/>
      <c r="CC51" s="123"/>
      <c r="CD51" s="123"/>
      <c r="CE51" s="123"/>
      <c r="CF51" s="123"/>
      <c r="CG51" s="123"/>
      <c r="CH51" s="123"/>
      <c r="CI51" s="131"/>
      <c r="CJ51" s="131"/>
      <c r="CK51" s="131"/>
    </row>
    <row r="52" spans="1:89" x14ac:dyDescent="0.3">
      <c r="A52" s="40" t="s">
        <v>35</v>
      </c>
      <c r="B52" s="41"/>
      <c r="C52" s="41"/>
      <c r="D52" s="45"/>
      <c r="E52" s="45"/>
      <c r="F52" s="45"/>
      <c r="G52" s="45"/>
      <c r="H52" s="54"/>
      <c r="I52" s="54"/>
      <c r="J52" s="54"/>
      <c r="K52" s="54"/>
      <c r="L52" s="54"/>
      <c r="M52" s="54"/>
      <c r="N52" s="45"/>
      <c r="O52" s="45"/>
      <c r="P52" s="46"/>
      <c r="Q52" s="45">
        <f>306699.41-268.37</f>
        <v>306431.03999999998</v>
      </c>
      <c r="R52" s="46">
        <v>315079.21999999997</v>
      </c>
      <c r="S52" s="46">
        <v>357143.49</v>
      </c>
      <c r="T52" s="46">
        <v>388918.74</v>
      </c>
      <c r="U52" s="46">
        <v>396209.91</v>
      </c>
      <c r="V52" s="46">
        <v>373506.75</v>
      </c>
      <c r="W52" s="46">
        <v>358646.38</v>
      </c>
      <c r="X52" s="46">
        <v>321927.84000000003</v>
      </c>
      <c r="Y52" s="46">
        <v>337190.07</v>
      </c>
      <c r="Z52" s="46">
        <v>406112.33</v>
      </c>
      <c r="AA52" s="46">
        <v>569283.56999999995</v>
      </c>
      <c r="AB52" s="46">
        <v>530638.37</v>
      </c>
      <c r="AC52" s="46">
        <v>535419.43000000005</v>
      </c>
      <c r="AD52" s="46">
        <v>530865.09</v>
      </c>
      <c r="AE52" s="46">
        <v>632987.31999999995</v>
      </c>
      <c r="AF52" s="46">
        <v>672168.03</v>
      </c>
      <c r="AG52" s="46">
        <v>636130.80000000005</v>
      </c>
      <c r="AH52" s="46">
        <v>647286.31999999995</v>
      </c>
      <c r="AI52" s="46">
        <v>588134.43000000005</v>
      </c>
      <c r="AJ52" s="46">
        <v>523066.9</v>
      </c>
      <c r="AK52" s="46">
        <v>569652.57999999996</v>
      </c>
      <c r="AL52" s="46">
        <v>622149.86</v>
      </c>
      <c r="AM52" s="46">
        <v>1121084.3899999999</v>
      </c>
      <c r="AN52" s="46">
        <v>1064143.96</v>
      </c>
      <c r="AO52" s="46">
        <v>956310.33</v>
      </c>
      <c r="AP52" s="46">
        <v>988397.62</v>
      </c>
      <c r="AQ52" s="46">
        <v>1099738.51</v>
      </c>
      <c r="AR52" s="46">
        <v>1183208.1399999999</v>
      </c>
      <c r="AS52" s="46">
        <v>1210589.8</v>
      </c>
      <c r="AT52" s="46">
        <v>1222150.02</v>
      </c>
      <c r="AU52" s="46">
        <v>1122226.3600000001</v>
      </c>
      <c r="AV52" s="46">
        <v>990572.78</v>
      </c>
      <c r="AW52" s="46">
        <v>1074771.6100000001</v>
      </c>
      <c r="AX52" s="46">
        <v>1111703.5</v>
      </c>
      <c r="AY52" s="46">
        <v>772025.26</v>
      </c>
      <c r="AZ52" s="46">
        <v>319798.53000000003</v>
      </c>
      <c r="BA52" s="46">
        <v>269033.2</v>
      </c>
      <c r="BB52" s="46">
        <v>249777.14</v>
      </c>
      <c r="BC52" s="46">
        <v>297315.93</v>
      </c>
      <c r="BD52" s="46">
        <v>347144.51</v>
      </c>
      <c r="BE52" s="46">
        <v>345440.09</v>
      </c>
      <c r="BF52" s="46">
        <v>344230.11</v>
      </c>
      <c r="BG52" s="46">
        <v>293731.96999999997</v>
      </c>
      <c r="BH52" s="46">
        <v>286094.82</v>
      </c>
      <c r="BI52" s="46">
        <v>307534.57</v>
      </c>
      <c r="BJ52" s="46">
        <v>329595.59000000003</v>
      </c>
      <c r="BK52" s="46">
        <v>128230.92</v>
      </c>
      <c r="BL52" s="46">
        <v>-119113.36</v>
      </c>
      <c r="BM52" s="46">
        <v>-106709.26</v>
      </c>
      <c r="BN52" s="46">
        <v>-108656.28</v>
      </c>
      <c r="BO52" s="46">
        <v>-121205.96</v>
      </c>
      <c r="BP52" s="46">
        <v>-141073.82999999999</v>
      </c>
      <c r="BQ52" s="46">
        <v>-140301.07</v>
      </c>
      <c r="BR52" s="46">
        <v>-142985.78</v>
      </c>
      <c r="BS52" s="46">
        <v>-125672.79</v>
      </c>
      <c r="BT52" s="151">
        <f>'[116]TDR (M2)'!BT24</f>
        <v>-114196.73608519165</v>
      </c>
      <c r="BU52" s="151">
        <f>'[116]TDR (M2)'!BU24</f>
        <v>-123439.98998249101</v>
      </c>
      <c r="BV52" s="151">
        <f>'[116]TDR (M2)'!BV24</f>
        <v>-135005.30398801446</v>
      </c>
      <c r="BW52" s="123"/>
      <c r="BX52" s="123"/>
      <c r="BY52" s="123"/>
      <c r="BZ52" s="123"/>
      <c r="CA52" s="123"/>
      <c r="CB52" s="123"/>
      <c r="CC52" s="123"/>
      <c r="CD52" s="123"/>
      <c r="CE52" s="123"/>
      <c r="CF52" s="123"/>
      <c r="CG52" s="123"/>
      <c r="CH52" s="123"/>
      <c r="CI52" s="131"/>
      <c r="CJ52" s="131"/>
      <c r="CK52" s="131"/>
    </row>
    <row r="53" spans="1:89" x14ac:dyDescent="0.3">
      <c r="A53" s="40" t="s">
        <v>36</v>
      </c>
      <c r="B53" s="41"/>
      <c r="C53" s="41"/>
      <c r="D53" s="45"/>
      <c r="E53" s="45"/>
      <c r="F53" s="45"/>
      <c r="G53" s="45"/>
      <c r="H53" s="54"/>
      <c r="I53" s="54"/>
      <c r="J53" s="54"/>
      <c r="K53" s="54"/>
      <c r="L53" s="54"/>
      <c r="M53" s="54"/>
      <c r="N53" s="45"/>
      <c r="O53" s="45"/>
      <c r="P53" s="46"/>
      <c r="Q53" s="45">
        <v>287500.39</v>
      </c>
      <c r="R53" s="46">
        <v>291239.59000000003</v>
      </c>
      <c r="S53" s="46">
        <v>334700.84000000003</v>
      </c>
      <c r="T53" s="46">
        <v>327858.78000000003</v>
      </c>
      <c r="U53" s="46">
        <v>345877.98</v>
      </c>
      <c r="V53" s="46">
        <v>332796.82</v>
      </c>
      <c r="W53" s="46">
        <v>325738.77</v>
      </c>
      <c r="X53" s="46">
        <v>293261.37</v>
      </c>
      <c r="Y53" s="46">
        <v>307322.53000000003</v>
      </c>
      <c r="Z53" s="46">
        <v>339565.96</v>
      </c>
      <c r="AA53" s="46">
        <v>307869.25</v>
      </c>
      <c r="AB53" s="46">
        <v>306963.45</v>
      </c>
      <c r="AC53" s="46">
        <v>283370.14</v>
      </c>
      <c r="AD53" s="46">
        <v>326351.34000000003</v>
      </c>
      <c r="AE53" s="46">
        <v>353914.84</v>
      </c>
      <c r="AF53" s="46">
        <v>366503.78</v>
      </c>
      <c r="AG53" s="46">
        <v>360257.72</v>
      </c>
      <c r="AH53" s="46">
        <v>350605.05</v>
      </c>
      <c r="AI53" s="46">
        <v>328773.59000000003</v>
      </c>
      <c r="AJ53" s="46">
        <v>305971.46999999997</v>
      </c>
      <c r="AK53" s="46">
        <v>329009.21000000002</v>
      </c>
      <c r="AL53" s="46">
        <v>301972.13</v>
      </c>
      <c r="AM53" s="46">
        <v>361271.84</v>
      </c>
      <c r="AN53" s="46">
        <v>357649</v>
      </c>
      <c r="AO53" s="46">
        <v>342832.09</v>
      </c>
      <c r="AP53" s="46">
        <v>342002.7</v>
      </c>
      <c r="AQ53" s="46">
        <v>397393.17</v>
      </c>
      <c r="AR53" s="46">
        <v>399370.7</v>
      </c>
      <c r="AS53" s="46">
        <v>419257.53</v>
      </c>
      <c r="AT53" s="46">
        <v>416719</v>
      </c>
      <c r="AU53" s="46">
        <v>386141.21</v>
      </c>
      <c r="AV53" s="46">
        <v>357086.62</v>
      </c>
      <c r="AW53" s="46">
        <v>359534.39</v>
      </c>
      <c r="AX53" s="46">
        <v>369865.83</v>
      </c>
      <c r="AY53" s="46">
        <v>293791.12</v>
      </c>
      <c r="AZ53" s="46">
        <v>123483.39</v>
      </c>
      <c r="BA53" s="46">
        <v>118999.09</v>
      </c>
      <c r="BB53" s="46">
        <v>112027.34</v>
      </c>
      <c r="BC53" s="46">
        <v>130470.39999999999</v>
      </c>
      <c r="BD53" s="46">
        <v>137323.88</v>
      </c>
      <c r="BE53" s="46">
        <v>143937.82999999999</v>
      </c>
      <c r="BF53" s="46">
        <v>143974.57</v>
      </c>
      <c r="BG53" s="46">
        <v>127974.65</v>
      </c>
      <c r="BH53" s="46">
        <v>127068.08</v>
      </c>
      <c r="BI53" s="46">
        <v>132955.76999999999</v>
      </c>
      <c r="BJ53" s="46">
        <v>130544.63</v>
      </c>
      <c r="BK53" s="46">
        <v>73117.320000000007</v>
      </c>
      <c r="BL53" s="46">
        <v>-23752.07</v>
      </c>
      <c r="BM53" s="46">
        <v>-25347.52</v>
      </c>
      <c r="BN53" s="46">
        <v>-27081.25</v>
      </c>
      <c r="BO53" s="46">
        <v>-24437.95</v>
      </c>
      <c r="BP53" s="46">
        <v>-33816.269999999997</v>
      </c>
      <c r="BQ53" s="46">
        <v>-31047.43</v>
      </c>
      <c r="BR53" s="46">
        <v>-31441.61</v>
      </c>
      <c r="BS53" s="46">
        <v>-27149.439999999999</v>
      </c>
      <c r="BT53" s="151">
        <f>'[116]TDR (M2)'!BT25</f>
        <v>-27331.837091396625</v>
      </c>
      <c r="BU53" s="151">
        <f>'[116]TDR (M2)'!BU25</f>
        <v>-28368.795626591374</v>
      </c>
      <c r="BV53" s="151">
        <f>'[116]TDR (M2)'!BV25</f>
        <v>-28867.511934611623</v>
      </c>
      <c r="BW53" s="123"/>
      <c r="BX53" s="123"/>
      <c r="BY53" s="123"/>
      <c r="BZ53" s="123"/>
      <c r="CA53" s="123"/>
      <c r="CB53" s="123"/>
      <c r="CC53" s="123"/>
      <c r="CD53" s="123"/>
      <c r="CE53" s="123"/>
      <c r="CF53" s="123"/>
      <c r="CG53" s="123"/>
      <c r="CH53" s="123"/>
      <c r="CI53" s="131"/>
      <c r="CJ53" s="131"/>
      <c r="CK53" s="131"/>
    </row>
    <row r="54" spans="1:89" x14ac:dyDescent="0.3">
      <c r="A54" s="40" t="s">
        <v>37</v>
      </c>
      <c r="B54" s="41"/>
      <c r="C54" s="41"/>
      <c r="D54" s="45"/>
      <c r="E54" s="45"/>
      <c r="F54" s="45"/>
      <c r="G54" s="45"/>
      <c r="H54" s="54"/>
      <c r="I54" s="54"/>
      <c r="J54" s="54"/>
      <c r="K54" s="54"/>
      <c r="L54" s="54"/>
      <c r="M54" s="54"/>
      <c r="N54" s="45"/>
      <c r="O54" s="45"/>
      <c r="P54" s="46"/>
      <c r="Q54" s="45">
        <v>185826.61</v>
      </c>
      <c r="R54" s="46">
        <v>189002.31</v>
      </c>
      <c r="S54" s="46">
        <v>225674.13</v>
      </c>
      <c r="T54" s="46">
        <v>213450.91</v>
      </c>
      <c r="U54" s="46">
        <v>236566.37</v>
      </c>
      <c r="V54" s="46">
        <v>225419.26</v>
      </c>
      <c r="W54" s="46">
        <v>214922.7</v>
      </c>
      <c r="X54" s="46">
        <v>204773.48</v>
      </c>
      <c r="Y54" s="46">
        <v>187770.83</v>
      </c>
      <c r="Z54" s="46">
        <v>190411.74</v>
      </c>
      <c r="AA54" s="46">
        <v>104692.59</v>
      </c>
      <c r="AB54" s="46">
        <v>18094.560000000001</v>
      </c>
      <c r="AC54" s="46">
        <v>17212.91</v>
      </c>
      <c r="AD54" s="46">
        <v>19682.41</v>
      </c>
      <c r="AE54" s="46">
        <v>21781.17</v>
      </c>
      <c r="AF54" s="46">
        <v>13233.54</v>
      </c>
      <c r="AG54" s="46">
        <v>22431.52</v>
      </c>
      <c r="AH54" s="46">
        <v>21067.32</v>
      </c>
      <c r="AI54" s="46">
        <v>20801.22</v>
      </c>
      <c r="AJ54" s="46">
        <v>19547.939999999999</v>
      </c>
      <c r="AK54" s="46">
        <v>19036.14</v>
      </c>
      <c r="AL54" s="46">
        <v>21300.85</v>
      </c>
      <c r="AM54" s="46">
        <v>41051.660000000003</v>
      </c>
      <c r="AN54" s="46">
        <v>64352.88</v>
      </c>
      <c r="AO54" s="46">
        <v>64072.1</v>
      </c>
      <c r="AP54" s="46">
        <v>62519.33</v>
      </c>
      <c r="AQ54" s="46">
        <v>78748.960000000006</v>
      </c>
      <c r="AR54" s="46">
        <v>73304.259999999995</v>
      </c>
      <c r="AS54" s="46">
        <v>81170.33</v>
      </c>
      <c r="AT54" s="46">
        <v>82260.42</v>
      </c>
      <c r="AU54" s="46">
        <v>77599.5</v>
      </c>
      <c r="AV54" s="46">
        <v>68913.850000000006</v>
      </c>
      <c r="AW54" s="46">
        <v>64843.48</v>
      </c>
      <c r="AX54" s="46">
        <v>68622.929999999993</v>
      </c>
      <c r="AY54" s="46">
        <v>67842.5</v>
      </c>
      <c r="AZ54" s="46">
        <v>38688.33</v>
      </c>
      <c r="BA54" s="46">
        <v>44298.87</v>
      </c>
      <c r="BB54" s="46">
        <v>44976.56</v>
      </c>
      <c r="BC54" s="46">
        <v>11431.37</v>
      </c>
      <c r="BD54" s="46">
        <v>50558.239999999998</v>
      </c>
      <c r="BE54" s="46">
        <v>52075.91</v>
      </c>
      <c r="BF54" s="46">
        <v>52816.959999999999</v>
      </c>
      <c r="BG54" s="46">
        <v>46523.24</v>
      </c>
      <c r="BH54" s="46">
        <v>45630.69</v>
      </c>
      <c r="BI54" s="46">
        <v>46596.58</v>
      </c>
      <c r="BJ54" s="46">
        <v>42614.78</v>
      </c>
      <c r="BK54" s="46">
        <v>37690.370000000003</v>
      </c>
      <c r="BL54" s="46">
        <v>-999.06</v>
      </c>
      <c r="BM54" s="46">
        <v>1068.3499999999999</v>
      </c>
      <c r="BN54" s="46">
        <v>1085.3800000000001</v>
      </c>
      <c r="BO54" s="46">
        <v>1047.53</v>
      </c>
      <c r="BP54" s="46">
        <v>1336.85</v>
      </c>
      <c r="BQ54" s="46">
        <v>1272.6199999999999</v>
      </c>
      <c r="BR54" s="46">
        <v>1376.1</v>
      </c>
      <c r="BS54" s="46">
        <v>1261.3</v>
      </c>
      <c r="BT54" s="249">
        <f>'[116]TDR (M2)'!BT26</f>
        <v>1153.9659687724061</v>
      </c>
      <c r="BU54" s="249">
        <f>'[116]TDR (M2)'!BU26</f>
        <v>1129.308810696346</v>
      </c>
      <c r="BV54" s="249">
        <f>'[116]TDR (M2)'!BV26</f>
        <v>1123.8469469866175</v>
      </c>
      <c r="BW54" s="123"/>
      <c r="BX54" s="123"/>
      <c r="BY54" s="123"/>
      <c r="BZ54" s="123"/>
      <c r="CA54" s="123"/>
      <c r="CB54" s="123"/>
      <c r="CC54" s="123"/>
      <c r="CD54" s="123"/>
      <c r="CE54" s="123"/>
      <c r="CF54" s="123"/>
      <c r="CG54" s="123"/>
      <c r="CH54" s="123"/>
      <c r="CI54" s="131"/>
      <c r="CJ54" s="131"/>
      <c r="CK54" s="131"/>
    </row>
    <row r="55" spans="1:89" x14ac:dyDescent="0.3">
      <c r="A55" s="35" t="s">
        <v>31</v>
      </c>
      <c r="B55" s="33"/>
      <c r="C55" s="33"/>
      <c r="D55" s="48">
        <f>SUM(D50:D54)</f>
        <v>0</v>
      </c>
      <c r="E55" s="48">
        <f t="shared" ref="E55:BX55" si="69">SUM(E50:E54)</f>
        <v>0</v>
      </c>
      <c r="F55" s="48">
        <f t="shared" si="69"/>
        <v>0</v>
      </c>
      <c r="G55" s="48">
        <f t="shared" si="69"/>
        <v>0</v>
      </c>
      <c r="H55" s="48">
        <f t="shared" si="69"/>
        <v>0</v>
      </c>
      <c r="I55" s="48">
        <f t="shared" si="69"/>
        <v>0</v>
      </c>
      <c r="J55" s="48">
        <f t="shared" si="69"/>
        <v>0</v>
      </c>
      <c r="K55" s="48">
        <f t="shared" si="69"/>
        <v>0</v>
      </c>
      <c r="L55" s="48">
        <f t="shared" si="69"/>
        <v>0</v>
      </c>
      <c r="M55" s="48">
        <f t="shared" si="69"/>
        <v>0</v>
      </c>
      <c r="N55" s="48">
        <f t="shared" si="69"/>
        <v>0</v>
      </c>
      <c r="O55" s="48">
        <f t="shared" si="69"/>
        <v>0</v>
      </c>
      <c r="P55" s="48">
        <f t="shared" si="69"/>
        <v>0</v>
      </c>
      <c r="Q55" s="48">
        <f t="shared" si="69"/>
        <v>1865586.4</v>
      </c>
      <c r="R55" s="48">
        <f t="shared" si="69"/>
        <v>1834668.9400000002</v>
      </c>
      <c r="S55" s="48">
        <f t="shared" si="69"/>
        <v>2295880.5500000003</v>
      </c>
      <c r="T55" s="48">
        <f t="shared" si="69"/>
        <v>2739739.71</v>
      </c>
      <c r="U55" s="48">
        <f t="shared" si="69"/>
        <v>2810029.6700000004</v>
      </c>
      <c r="V55" s="48">
        <f t="shared" si="69"/>
        <v>2397146.59</v>
      </c>
      <c r="W55" s="48">
        <f t="shared" si="69"/>
        <v>2196198.75</v>
      </c>
      <c r="X55" s="48">
        <f t="shared" si="69"/>
        <v>1955310.19</v>
      </c>
      <c r="Y55" s="48">
        <f t="shared" si="69"/>
        <v>2272928.3199999998</v>
      </c>
      <c r="Z55" s="48">
        <f t="shared" si="69"/>
        <v>3133513.62</v>
      </c>
      <c r="AA55" s="48">
        <f t="shared" si="69"/>
        <v>2686519.32</v>
      </c>
      <c r="AB55" s="48">
        <f t="shared" si="69"/>
        <v>2253809.6800000002</v>
      </c>
      <c r="AC55" s="48">
        <f t="shared" si="69"/>
        <v>2191880.6200000006</v>
      </c>
      <c r="AD55" s="48">
        <f t="shared" si="69"/>
        <v>2008078.9100000001</v>
      </c>
      <c r="AE55" s="48">
        <f t="shared" si="69"/>
        <v>2628092.9099999997</v>
      </c>
      <c r="AF55" s="48">
        <f t="shared" si="69"/>
        <v>2927384.4800000004</v>
      </c>
      <c r="AG55" s="48">
        <f t="shared" si="69"/>
        <v>2713828.6699999995</v>
      </c>
      <c r="AH55" s="48">
        <f t="shared" si="69"/>
        <v>2656476.0999999996</v>
      </c>
      <c r="AI55" s="48">
        <f t="shared" si="69"/>
        <v>2241568.5700000003</v>
      </c>
      <c r="AJ55" s="48">
        <f t="shared" si="69"/>
        <v>2050332.64</v>
      </c>
      <c r="AK55" s="48">
        <f t="shared" si="69"/>
        <v>2540211.56</v>
      </c>
      <c r="AL55" s="48">
        <f t="shared" si="69"/>
        <v>2758522.64</v>
      </c>
      <c r="AM55" s="48">
        <f t="shared" si="69"/>
        <v>3731846.29</v>
      </c>
      <c r="AN55" s="48">
        <f t="shared" si="69"/>
        <v>3504116.61</v>
      </c>
      <c r="AO55" s="48">
        <f t="shared" si="69"/>
        <v>2834702.33</v>
      </c>
      <c r="AP55" s="48">
        <f t="shared" si="69"/>
        <v>2693990.7500000005</v>
      </c>
      <c r="AQ55" s="48">
        <f t="shared" si="69"/>
        <v>3224890.5700000003</v>
      </c>
      <c r="AR55" s="48">
        <f t="shared" si="69"/>
        <v>3677369.7199999997</v>
      </c>
      <c r="AS55" s="48">
        <f t="shared" si="69"/>
        <v>3821939.25</v>
      </c>
      <c r="AT55" s="48">
        <f t="shared" si="69"/>
        <v>3698449.99</v>
      </c>
      <c r="AU55" s="48">
        <f t="shared" si="69"/>
        <v>3264460.08</v>
      </c>
      <c r="AV55" s="48">
        <f t="shared" ref="AV55:BV55" si="70">SUM(AV50:AV54)</f>
        <v>2921768.73</v>
      </c>
      <c r="AW55" s="48">
        <f t="shared" si="70"/>
        <v>3431438.0600000005</v>
      </c>
      <c r="AX55" s="48">
        <f t="shared" si="70"/>
        <v>3659744.19</v>
      </c>
      <c r="AY55" s="48">
        <f t="shared" si="70"/>
        <v>2389556.5699999998</v>
      </c>
      <c r="AZ55" s="48">
        <f t="shared" si="70"/>
        <v>693510.74</v>
      </c>
      <c r="BA55" s="48">
        <f t="shared" si="70"/>
        <v>590167.06999999995</v>
      </c>
      <c r="BB55" s="48">
        <f t="shared" si="70"/>
        <v>548810.87999999989</v>
      </c>
      <c r="BC55" s="48">
        <f t="shared" si="70"/>
        <v>622900.26</v>
      </c>
      <c r="BD55" s="48">
        <f t="shared" si="70"/>
        <v>774512.69000000006</v>
      </c>
      <c r="BE55" s="48">
        <f t="shared" si="70"/>
        <v>770258.37</v>
      </c>
      <c r="BF55" s="48">
        <f t="shared" si="70"/>
        <v>751740.31</v>
      </c>
      <c r="BG55" s="48">
        <f t="shared" si="70"/>
        <v>622388.87</v>
      </c>
      <c r="BH55" s="48">
        <f t="shared" si="70"/>
        <v>618464.56000000006</v>
      </c>
      <c r="BI55" s="48">
        <f t="shared" si="70"/>
        <v>686712.57</v>
      </c>
      <c r="BJ55" s="48">
        <f t="shared" si="70"/>
        <v>753788.79</v>
      </c>
      <c r="BK55" s="48">
        <f t="shared" si="70"/>
        <v>123252.23000000001</v>
      </c>
      <c r="BL55" s="48">
        <f t="shared" si="70"/>
        <v>-572800.92000000004</v>
      </c>
      <c r="BM55" s="48">
        <f t="shared" si="70"/>
        <v>-433116.61000000004</v>
      </c>
      <c r="BN55" s="48">
        <f t="shared" si="70"/>
        <v>-422296.81000000006</v>
      </c>
      <c r="BO55" s="48">
        <f t="shared" si="70"/>
        <v>-511624.21</v>
      </c>
      <c r="BP55" s="48">
        <f t="shared" si="70"/>
        <v>-644535.94999999995</v>
      </c>
      <c r="BQ55" s="48">
        <f t="shared" si="70"/>
        <v>-648872.89000000013</v>
      </c>
      <c r="BR55" s="48">
        <f t="shared" si="70"/>
        <v>-646588.67000000004</v>
      </c>
      <c r="BS55" s="48">
        <f t="shared" si="70"/>
        <v>-495839.7</v>
      </c>
      <c r="BT55" s="48">
        <f t="shared" si="70"/>
        <v>-444296.67879798933</v>
      </c>
      <c r="BU55" s="48">
        <f t="shared" si="70"/>
        <v>-570160.97437278216</v>
      </c>
      <c r="BV55" s="127">
        <f t="shared" si="70"/>
        <v>-688256.00969777349</v>
      </c>
      <c r="BW55" s="48">
        <f t="shared" si="69"/>
        <v>0</v>
      </c>
      <c r="BX55" s="48">
        <f t="shared" si="69"/>
        <v>0</v>
      </c>
      <c r="BY55" s="48">
        <f t="shared" ref="BY55:CH55" si="71">SUM(BY50:BY54)</f>
        <v>0</v>
      </c>
      <c r="BZ55" s="48">
        <f t="shared" si="71"/>
        <v>0</v>
      </c>
      <c r="CA55" s="48">
        <f t="shared" si="71"/>
        <v>0</v>
      </c>
      <c r="CB55" s="48">
        <f t="shared" si="71"/>
        <v>0</v>
      </c>
      <c r="CC55" s="48">
        <f t="shared" si="71"/>
        <v>0</v>
      </c>
      <c r="CD55" s="48">
        <f t="shared" si="71"/>
        <v>0</v>
      </c>
      <c r="CE55" s="48">
        <f t="shared" si="71"/>
        <v>0</v>
      </c>
      <c r="CF55" s="48">
        <f t="shared" si="71"/>
        <v>0</v>
      </c>
      <c r="CG55" s="48">
        <f t="shared" si="71"/>
        <v>0</v>
      </c>
      <c r="CH55" s="48">
        <f t="shared" si="71"/>
        <v>0</v>
      </c>
      <c r="CI55" s="126"/>
      <c r="CJ55" s="126"/>
      <c r="CK55" s="126"/>
    </row>
    <row r="56" spans="1:89" x14ac:dyDescent="0.3">
      <c r="A56" s="35"/>
      <c r="B56" s="33"/>
      <c r="C56" s="33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79"/>
      <c r="AT56" s="79"/>
      <c r="AU56" s="79"/>
      <c r="AV56" s="117"/>
      <c r="AW56" s="79"/>
      <c r="AX56" s="79"/>
      <c r="AY56" s="79"/>
      <c r="AZ56" s="79"/>
      <c r="BA56" s="79"/>
      <c r="BB56" s="79"/>
      <c r="BC56" s="79"/>
      <c r="BD56" s="79"/>
      <c r="BE56" s="79"/>
      <c r="BF56" s="79"/>
      <c r="BG56" s="79"/>
      <c r="BH56" s="79"/>
      <c r="BI56" s="79"/>
      <c r="BJ56" s="79"/>
      <c r="BK56" s="79"/>
      <c r="BL56" s="79"/>
      <c r="BM56" s="79"/>
      <c r="BN56" s="79"/>
      <c r="BO56" s="79"/>
      <c r="BP56" s="79"/>
      <c r="BQ56" s="79"/>
      <c r="BR56" s="79"/>
      <c r="BS56" s="79"/>
      <c r="BT56" s="152" t="s">
        <v>88</v>
      </c>
      <c r="BU56" s="153"/>
      <c r="BV56" s="126"/>
      <c r="BW56" s="117"/>
      <c r="BX56" s="79"/>
      <c r="BY56" s="79"/>
      <c r="BZ56" s="79"/>
      <c r="CA56" s="79"/>
      <c r="CB56" s="79"/>
      <c r="CC56" s="79"/>
      <c r="CD56" s="79"/>
      <c r="CE56" s="79"/>
      <c r="CF56" s="79"/>
      <c r="CG56" s="79"/>
      <c r="CH56" s="79"/>
      <c r="CI56" s="126"/>
      <c r="CJ56" s="126"/>
      <c r="CK56" s="126"/>
    </row>
    <row r="57" spans="1:89" x14ac:dyDescent="0.3">
      <c r="A57" s="39" t="s">
        <v>57</v>
      </c>
      <c r="B57" s="41"/>
      <c r="C57" s="41"/>
      <c r="D57" s="45"/>
      <c r="E57" s="45"/>
      <c r="F57" s="45"/>
      <c r="G57" s="45"/>
      <c r="H57" s="45"/>
      <c r="I57" s="54"/>
      <c r="J57" s="54"/>
      <c r="K57" s="45"/>
      <c r="L57" s="54"/>
      <c r="M57" s="54"/>
      <c r="N57" s="45"/>
      <c r="O57" s="68"/>
      <c r="P57" s="46"/>
      <c r="Q57" s="46">
        <v>-32811.980000000003</v>
      </c>
      <c r="R57" s="46">
        <v>-27741.82</v>
      </c>
      <c r="S57" s="46">
        <v>-33591.72</v>
      </c>
      <c r="T57" s="46">
        <v>-43701.210000000006</v>
      </c>
      <c r="U57" s="46">
        <v>-44913.150000000016</v>
      </c>
      <c r="V57" s="46">
        <v>-37075.26</v>
      </c>
      <c r="W57" s="46">
        <v>-33337.619999999995</v>
      </c>
      <c r="X57" s="46">
        <v>-34636.379999999997</v>
      </c>
      <c r="Y57" s="46">
        <v>-46816.780000000006</v>
      </c>
      <c r="Z57" s="46">
        <v>-74379.199999999997</v>
      </c>
      <c r="AA57" s="46">
        <v>-53026.439999999981</v>
      </c>
      <c r="AB57" s="46">
        <v>-42925.730000000018</v>
      </c>
      <c r="AC57" s="46">
        <v>-42106.7</v>
      </c>
      <c r="AD57" s="46">
        <v>-28791.75</v>
      </c>
      <c r="AE57" s="46">
        <v>-35930.130000000005</v>
      </c>
      <c r="AF57" s="46">
        <v>-41963.429999999993</v>
      </c>
      <c r="AG57" s="46">
        <v>-36995.590000000011</v>
      </c>
      <c r="AH57" s="46">
        <v>-35204.390000000014</v>
      </c>
      <c r="AI57" s="46">
        <v>-30748.660000000003</v>
      </c>
      <c r="AJ57" s="46">
        <v>-34618.68</v>
      </c>
      <c r="AK57" s="46">
        <v>-50285.730000000018</v>
      </c>
      <c r="AL57" s="46">
        <v>-55873.150000000009</v>
      </c>
      <c r="AM57" s="46">
        <v>-60492.490000000013</v>
      </c>
      <c r="AN57" s="46">
        <v>-55114.330000000009</v>
      </c>
      <c r="AO57" s="46">
        <v>-36035.890000000007</v>
      </c>
      <c r="AP57" s="46">
        <v>-27170.160000000003</v>
      </c>
      <c r="AQ57" s="46">
        <v>-31591.290000000005</v>
      </c>
      <c r="AR57" s="46">
        <v>-38703.740000000013</v>
      </c>
      <c r="AS57" s="46">
        <v>-41224.720000000001</v>
      </c>
      <c r="AT57" s="46">
        <v>-37524.06</v>
      </c>
      <c r="AU57" s="46">
        <v>-31789.249999999996</v>
      </c>
      <c r="AV57" s="46">
        <v>-34917.82</v>
      </c>
      <c r="AW57" s="46">
        <v>-48130.950000000004</v>
      </c>
      <c r="AX57" s="46">
        <v>-53162.189999999995</v>
      </c>
      <c r="AY57" s="46">
        <v>-32508.630000000005</v>
      </c>
      <c r="AZ57" s="46">
        <v>-4700.05</v>
      </c>
      <c r="BA57" s="46">
        <v>-3259.1800000000003</v>
      </c>
      <c r="BB57" s="46">
        <v>-2682.7599999999998</v>
      </c>
      <c r="BC57" s="46">
        <v>-3058.82</v>
      </c>
      <c r="BD57" s="46">
        <v>-3921.83</v>
      </c>
      <c r="BE57" s="46">
        <v>-3613.12</v>
      </c>
      <c r="BF57" s="46">
        <v>-3328.0600000000004</v>
      </c>
      <c r="BG57" s="155">
        <v>-2482.1</v>
      </c>
      <c r="BH57" s="46">
        <v>-2937.02</v>
      </c>
      <c r="BI57" s="46">
        <v>-4062.2200000000003</v>
      </c>
      <c r="BJ57" s="46">
        <v>-5469.2800000000007</v>
      </c>
      <c r="BK57" s="46">
        <v>3825.8900000000003</v>
      </c>
      <c r="BL57" s="46">
        <v>11958.71</v>
      </c>
      <c r="BM57" s="46">
        <v>7797.5</v>
      </c>
      <c r="BN57" s="46">
        <v>6812.78</v>
      </c>
      <c r="BO57" s="46">
        <v>7728.46</v>
      </c>
      <c r="BP57" s="46">
        <v>10162.719999999999</v>
      </c>
      <c r="BQ57" s="46">
        <v>10354.620000000001</v>
      </c>
      <c r="BR57" s="46">
        <v>10275.1</v>
      </c>
      <c r="BS57" s="46">
        <v>7262</v>
      </c>
      <c r="BT57" s="156">
        <f>'[116]TDR (M2)'!BT36</f>
        <v>7008.8047803944419</v>
      </c>
      <c r="BU57" s="156">
        <f>'[116]TDR (M2)'!BU36</f>
        <v>10180.277225437108</v>
      </c>
      <c r="BV57" s="156">
        <f>'[116]TDR (M2)'!BV36</f>
        <v>13006.143086896858</v>
      </c>
      <c r="BW57" s="123"/>
      <c r="BX57" s="123"/>
      <c r="BY57" s="123"/>
      <c r="BZ57" s="123"/>
      <c r="CA57" s="123"/>
      <c r="CB57" s="123"/>
      <c r="CC57" s="123"/>
      <c r="CD57" s="123"/>
      <c r="CE57" s="123"/>
      <c r="CF57" s="123"/>
      <c r="CG57" s="123"/>
      <c r="CH57" s="123"/>
      <c r="CI57" s="131"/>
      <c r="CJ57" s="131"/>
      <c r="CK57" s="131"/>
    </row>
    <row r="58" spans="1:89" x14ac:dyDescent="0.3">
      <c r="B58" s="41"/>
      <c r="C58" s="41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132"/>
      <c r="CJ58" s="132"/>
      <c r="CK58" s="132"/>
    </row>
    <row r="59" spans="1:89" x14ac:dyDescent="0.3">
      <c r="A59" s="29" t="s">
        <v>32</v>
      </c>
      <c r="B59" s="41"/>
      <c r="C59" s="41"/>
      <c r="S59" s="83"/>
    </row>
    <row r="60" spans="1:89" x14ac:dyDescent="0.3">
      <c r="A60" s="40" t="s">
        <v>33</v>
      </c>
      <c r="B60" s="41"/>
      <c r="C60" s="41"/>
      <c r="D60" s="80">
        <f t="shared" ref="D60:AI60" si="72">+D23</f>
        <v>993615280</v>
      </c>
      <c r="E60" s="80">
        <f t="shared" si="72"/>
        <v>799965556</v>
      </c>
      <c r="F60" s="80">
        <f t="shared" si="72"/>
        <v>694347365</v>
      </c>
      <c r="G60" s="80">
        <f t="shared" si="72"/>
        <v>1033880199</v>
      </c>
      <c r="H60" s="80">
        <f t="shared" si="72"/>
        <v>1389519683</v>
      </c>
      <c r="I60" s="80">
        <f t="shared" si="72"/>
        <v>1393717014</v>
      </c>
      <c r="J60" s="80">
        <f t="shared" si="72"/>
        <v>1260356462</v>
      </c>
      <c r="K60" s="80">
        <f t="shared" si="72"/>
        <v>898752689</v>
      </c>
      <c r="L60" s="80">
        <f t="shared" si="72"/>
        <v>737254549</v>
      </c>
      <c r="M60" s="80">
        <f t="shared" si="72"/>
        <v>1139687162</v>
      </c>
      <c r="N60" s="80">
        <f t="shared" si="72"/>
        <v>1486587515</v>
      </c>
      <c r="O60" s="80">
        <f t="shared" si="72"/>
        <v>1118519560</v>
      </c>
      <c r="P60" s="80">
        <f t="shared" si="72"/>
        <v>900425374</v>
      </c>
      <c r="Q60" s="80">
        <f t="shared" si="72"/>
        <v>785388980</v>
      </c>
      <c r="R60" s="80">
        <f t="shared" si="72"/>
        <v>745552820</v>
      </c>
      <c r="S60" s="80">
        <f t="shared" si="72"/>
        <v>999249366</v>
      </c>
      <c r="T60" s="80">
        <f t="shared" si="72"/>
        <v>1328710328</v>
      </c>
      <c r="U60" s="80">
        <f t="shared" si="72"/>
        <v>1345571317</v>
      </c>
      <c r="V60" s="80">
        <f t="shared" si="72"/>
        <v>1065182267</v>
      </c>
      <c r="W60" s="80">
        <f t="shared" si="72"/>
        <v>935823271</v>
      </c>
      <c r="X60" s="80">
        <f t="shared" si="72"/>
        <v>821487370</v>
      </c>
      <c r="Y60" s="80">
        <f t="shared" si="72"/>
        <v>1061048123</v>
      </c>
      <c r="Z60" s="80">
        <f t="shared" si="72"/>
        <v>1655009463</v>
      </c>
      <c r="AA60" s="80">
        <f t="shared" si="72"/>
        <v>1329247401</v>
      </c>
      <c r="AB60" s="80">
        <f t="shared" si="72"/>
        <v>1071720684</v>
      </c>
      <c r="AC60" s="80">
        <f t="shared" si="72"/>
        <v>1035354332</v>
      </c>
      <c r="AD60" s="80">
        <f t="shared" si="72"/>
        <v>838111932</v>
      </c>
      <c r="AE60" s="80">
        <f t="shared" si="72"/>
        <v>1238437606</v>
      </c>
      <c r="AF60" s="80">
        <f t="shared" si="72"/>
        <v>1451979984</v>
      </c>
      <c r="AG60" s="80">
        <f t="shared" si="72"/>
        <v>1300666274</v>
      </c>
      <c r="AH60" s="80">
        <f t="shared" si="72"/>
        <v>1250635703</v>
      </c>
      <c r="AI60" s="80">
        <f t="shared" si="72"/>
        <v>971081766</v>
      </c>
      <c r="AJ60" s="80">
        <f t="shared" ref="AJ60:CG60" si="73">+AJ23</f>
        <v>906818656</v>
      </c>
      <c r="AK60" s="80">
        <f t="shared" si="73"/>
        <v>1263779046</v>
      </c>
      <c r="AL60" s="80">
        <f t="shared" si="73"/>
        <v>1395672993</v>
      </c>
      <c r="AM60" s="80">
        <f t="shared" si="73"/>
        <v>1407530571</v>
      </c>
      <c r="AN60" s="80">
        <f t="shared" si="73"/>
        <v>1268128455</v>
      </c>
      <c r="AO60" s="80">
        <f t="shared" si="73"/>
        <v>872933544</v>
      </c>
      <c r="AP60" s="80">
        <f t="shared" si="73"/>
        <v>738196558</v>
      </c>
      <c r="AQ60" s="80">
        <f t="shared" si="73"/>
        <v>978975302</v>
      </c>
      <c r="AR60" s="80">
        <f t="shared" si="73"/>
        <v>1243909773</v>
      </c>
      <c r="AS60" s="80">
        <f t="shared" si="73"/>
        <v>1310015315</v>
      </c>
      <c r="AT60" s="80">
        <f t="shared" si="73"/>
        <v>1208033233</v>
      </c>
      <c r="AU60" s="80">
        <f t="shared" si="73"/>
        <v>993546162</v>
      </c>
      <c r="AV60" s="80">
        <f t="shared" ref="AV60:BV60" si="74">+AV23</f>
        <v>897156231</v>
      </c>
      <c r="AW60" s="80">
        <f t="shared" si="74"/>
        <v>1208147189</v>
      </c>
      <c r="AX60" s="80">
        <f t="shared" si="74"/>
        <v>1334184680</v>
      </c>
      <c r="AY60" s="80">
        <f t="shared" si="74"/>
        <v>1302694951</v>
      </c>
      <c r="AZ60" s="80">
        <f t="shared" si="74"/>
        <v>1123586700</v>
      </c>
      <c r="BA60" s="80">
        <f t="shared" si="74"/>
        <v>886578697</v>
      </c>
      <c r="BB60" s="80">
        <f t="shared" si="74"/>
        <v>790098101</v>
      </c>
      <c r="BC60" s="80">
        <f t="shared" si="74"/>
        <v>1041013964</v>
      </c>
      <c r="BD60" s="80">
        <f t="shared" si="74"/>
        <v>1397050553</v>
      </c>
      <c r="BE60" s="80">
        <f t="shared" si="74"/>
        <v>1310723723</v>
      </c>
      <c r="BF60" s="80">
        <f t="shared" si="74"/>
        <v>1275164339</v>
      </c>
      <c r="BG60" s="80">
        <f t="shared" si="74"/>
        <v>800796996</v>
      </c>
      <c r="BH60" s="80">
        <f t="shared" ref="BH60:BR60" si="75">+BH23</f>
        <v>856955103</v>
      </c>
      <c r="BI60" s="80">
        <f t="shared" si="75"/>
        <v>1137867523</v>
      </c>
      <c r="BJ60" s="80">
        <f t="shared" si="75"/>
        <v>1482496943</v>
      </c>
      <c r="BK60" s="80">
        <f t="shared" si="75"/>
        <v>1507047480</v>
      </c>
      <c r="BL60" s="80">
        <f t="shared" si="75"/>
        <v>1193201650</v>
      </c>
      <c r="BM60" s="80">
        <f t="shared" si="75"/>
        <v>803567941</v>
      </c>
      <c r="BN60" s="80">
        <f t="shared" si="75"/>
        <v>753161249</v>
      </c>
      <c r="BO60" s="80">
        <f t="shared" si="75"/>
        <v>1061485022</v>
      </c>
      <c r="BP60" s="80">
        <f t="shared" si="75"/>
        <v>1299384453</v>
      </c>
      <c r="BQ60" s="80">
        <f t="shared" si="75"/>
        <v>1325635096</v>
      </c>
      <c r="BR60" s="80">
        <f t="shared" si="75"/>
        <v>1302322503</v>
      </c>
      <c r="BS60" s="80">
        <f>+BS23</f>
        <v>902367562</v>
      </c>
      <c r="BT60" s="80">
        <f>+BT23</f>
        <v>796812660.43541384</v>
      </c>
      <c r="BU60" s="80">
        <f t="shared" si="74"/>
        <v>1157369057.08395</v>
      </c>
      <c r="BV60" s="80">
        <f t="shared" si="74"/>
        <v>1478634346.33868</v>
      </c>
      <c r="BW60" s="80">
        <f t="shared" si="73"/>
        <v>1323518453.1260486</v>
      </c>
      <c r="BX60" s="80">
        <f t="shared" si="73"/>
        <v>1110791598.7821016</v>
      </c>
      <c r="BY60" s="80">
        <f t="shared" si="73"/>
        <v>839065097.60276854</v>
      </c>
      <c r="BZ60" s="80">
        <f t="shared" si="73"/>
        <v>711851889.28208947</v>
      </c>
      <c r="CA60" s="80">
        <f t="shared" si="73"/>
        <v>923148067.42551374</v>
      </c>
      <c r="CB60" s="80">
        <f t="shared" si="73"/>
        <v>1201635038.5335217</v>
      </c>
      <c r="CC60" s="80">
        <f t="shared" si="73"/>
        <v>1264992699.0363278</v>
      </c>
      <c r="CD60" s="80">
        <f t="shared" si="73"/>
        <v>1112196280.8657734</v>
      </c>
      <c r="CE60" s="80">
        <f t="shared" si="73"/>
        <v>794430199.64865971</v>
      </c>
      <c r="CF60" s="80">
        <f t="shared" si="73"/>
        <v>776592236.84661663</v>
      </c>
      <c r="CG60" s="80">
        <f t="shared" si="73"/>
        <v>1131796844.74505</v>
      </c>
      <c r="CH60" s="80">
        <f>+CH23</f>
        <v>1449074036.6106224</v>
      </c>
      <c r="CI60" s="138"/>
      <c r="CJ60" s="138"/>
      <c r="CK60" s="138"/>
    </row>
    <row r="61" spans="1:89" x14ac:dyDescent="0.3">
      <c r="A61" s="40" t="s">
        <v>34</v>
      </c>
      <c r="B61" s="41"/>
      <c r="C61" s="41"/>
      <c r="D61" s="80">
        <f t="shared" ref="D61:AI61" si="76">+D24</f>
        <v>260227273</v>
      </c>
      <c r="E61" s="80">
        <f t="shared" si="76"/>
        <v>236480663</v>
      </c>
      <c r="F61" s="80">
        <f t="shared" si="76"/>
        <v>226604577</v>
      </c>
      <c r="G61" s="80">
        <f t="shared" si="76"/>
        <v>276800633</v>
      </c>
      <c r="H61" s="80">
        <f t="shared" si="76"/>
        <v>328433342</v>
      </c>
      <c r="I61" s="80">
        <f t="shared" si="76"/>
        <v>327996744</v>
      </c>
      <c r="J61" s="80">
        <f t="shared" si="76"/>
        <v>315410170</v>
      </c>
      <c r="K61" s="80">
        <f t="shared" si="76"/>
        <v>268275261</v>
      </c>
      <c r="L61" s="80">
        <f t="shared" si="76"/>
        <v>238400191</v>
      </c>
      <c r="M61" s="80">
        <f t="shared" si="76"/>
        <v>276639061</v>
      </c>
      <c r="N61" s="80">
        <f t="shared" si="76"/>
        <v>331623730</v>
      </c>
      <c r="O61" s="80">
        <f t="shared" si="76"/>
        <v>274620464</v>
      </c>
      <c r="P61" s="80">
        <f t="shared" si="76"/>
        <v>244043467</v>
      </c>
      <c r="Q61" s="80">
        <f t="shared" si="76"/>
        <v>230986921</v>
      </c>
      <c r="R61" s="80">
        <f t="shared" si="76"/>
        <v>228484392</v>
      </c>
      <c r="S61" s="80">
        <f t="shared" si="76"/>
        <v>271547337</v>
      </c>
      <c r="T61" s="80">
        <f t="shared" si="76"/>
        <v>314773105</v>
      </c>
      <c r="U61" s="80">
        <f t="shared" si="76"/>
        <v>317794583</v>
      </c>
      <c r="V61" s="80">
        <f t="shared" si="76"/>
        <v>284270101</v>
      </c>
      <c r="W61" s="80">
        <f t="shared" si="76"/>
        <v>269129889</v>
      </c>
      <c r="X61" s="80">
        <f t="shared" si="76"/>
        <v>240618906</v>
      </c>
      <c r="Y61" s="80">
        <f t="shared" si="76"/>
        <v>265688240</v>
      </c>
      <c r="Z61" s="80">
        <f t="shared" si="76"/>
        <v>350848362</v>
      </c>
      <c r="AA61" s="80">
        <f t="shared" si="76"/>
        <v>304988610</v>
      </c>
      <c r="AB61" s="80">
        <f t="shared" si="76"/>
        <v>267166722</v>
      </c>
      <c r="AC61" s="80">
        <f t="shared" si="76"/>
        <v>263421812</v>
      </c>
      <c r="AD61" s="80">
        <f t="shared" si="76"/>
        <v>238338730</v>
      </c>
      <c r="AE61" s="80">
        <f t="shared" si="76"/>
        <v>299991891</v>
      </c>
      <c r="AF61" s="80">
        <f t="shared" si="76"/>
        <v>330814291</v>
      </c>
      <c r="AG61" s="80">
        <f t="shared" si="76"/>
        <v>309298324</v>
      </c>
      <c r="AH61" s="80">
        <f t="shared" si="76"/>
        <v>303923884</v>
      </c>
      <c r="AI61" s="80">
        <f t="shared" si="76"/>
        <v>267631865</v>
      </c>
      <c r="AJ61" s="80">
        <f t="shared" ref="AJ61:CH61" si="77">+AJ24</f>
        <v>241319654</v>
      </c>
      <c r="AK61" s="80">
        <f t="shared" si="77"/>
        <v>291652347</v>
      </c>
      <c r="AL61" s="80">
        <f t="shared" si="77"/>
        <v>307968093</v>
      </c>
      <c r="AM61" s="80">
        <f t="shared" si="77"/>
        <v>308068267</v>
      </c>
      <c r="AN61" s="80">
        <f t="shared" si="77"/>
        <v>290178959</v>
      </c>
      <c r="AO61" s="80">
        <f t="shared" si="77"/>
        <v>235096003</v>
      </c>
      <c r="AP61" s="80">
        <f t="shared" si="77"/>
        <v>221772499</v>
      </c>
      <c r="AQ61" s="80">
        <f t="shared" si="77"/>
        <v>258735845</v>
      </c>
      <c r="AR61" s="80">
        <f t="shared" si="77"/>
        <v>295975497</v>
      </c>
      <c r="AS61" s="80">
        <f t="shared" si="77"/>
        <v>304175879</v>
      </c>
      <c r="AT61" s="80">
        <f t="shared" si="77"/>
        <v>293549572</v>
      </c>
      <c r="AU61" s="80">
        <f t="shared" si="77"/>
        <v>264736629</v>
      </c>
      <c r="AV61" s="80">
        <f t="shared" ref="AV61:BV61" si="78">+AV24</f>
        <v>237145043</v>
      </c>
      <c r="AW61" s="80">
        <f t="shared" si="78"/>
        <v>278572550</v>
      </c>
      <c r="AX61" s="80">
        <f t="shared" si="78"/>
        <v>297050898</v>
      </c>
      <c r="AY61" s="80">
        <f t="shared" si="78"/>
        <v>290934660</v>
      </c>
      <c r="AZ61" s="80">
        <f t="shared" si="78"/>
        <v>265078600</v>
      </c>
      <c r="BA61" s="80">
        <f t="shared" si="78"/>
        <v>203506574</v>
      </c>
      <c r="BB61" s="80">
        <f t="shared" si="78"/>
        <v>184563246</v>
      </c>
      <c r="BC61" s="80">
        <f t="shared" si="78"/>
        <v>231230759</v>
      </c>
      <c r="BD61" s="80">
        <f t="shared" si="78"/>
        <v>288425422</v>
      </c>
      <c r="BE61" s="80">
        <f t="shared" si="78"/>
        <v>281389691</v>
      </c>
      <c r="BF61" s="80">
        <f t="shared" si="78"/>
        <v>269111017</v>
      </c>
      <c r="BG61" s="80">
        <f t="shared" si="78"/>
        <v>218212399</v>
      </c>
      <c r="BH61" s="80">
        <f t="shared" ref="BH61:BS61" si="79">+BH24</f>
        <v>218068919</v>
      </c>
      <c r="BI61" s="80">
        <f t="shared" si="79"/>
        <v>251883126</v>
      </c>
      <c r="BJ61" s="80">
        <f t="shared" si="79"/>
        <v>300425840</v>
      </c>
      <c r="BK61" s="80">
        <f t="shared" si="79"/>
        <v>303577891</v>
      </c>
      <c r="BL61" s="80">
        <f t="shared" si="79"/>
        <v>265359424</v>
      </c>
      <c r="BM61" s="80">
        <f t="shared" si="79"/>
        <v>211100441</v>
      </c>
      <c r="BN61" s="80">
        <f t="shared" si="79"/>
        <v>205986967</v>
      </c>
      <c r="BO61" s="80">
        <f t="shared" si="79"/>
        <v>264522271</v>
      </c>
      <c r="BP61" s="80">
        <f t="shared" si="79"/>
        <v>291815734</v>
      </c>
      <c r="BQ61" s="80">
        <f t="shared" si="79"/>
        <v>291413887</v>
      </c>
      <c r="BR61" s="80">
        <f t="shared" si="79"/>
        <v>294374400</v>
      </c>
      <c r="BS61" s="80">
        <f t="shared" si="79"/>
        <v>245524134</v>
      </c>
      <c r="BT61" s="80">
        <f t="shared" si="78"/>
        <v>217941054.76363721</v>
      </c>
      <c r="BU61" s="80">
        <f t="shared" si="78"/>
        <v>260526356.23743695</v>
      </c>
      <c r="BV61" s="80">
        <f t="shared" si="78"/>
        <v>306274652.53873587</v>
      </c>
      <c r="BW61" s="80">
        <f t="shared" si="77"/>
        <v>285517827.64903766</v>
      </c>
      <c r="BX61" s="80">
        <f t="shared" si="77"/>
        <v>257181425.95938891</v>
      </c>
      <c r="BY61" s="80">
        <f t="shared" si="77"/>
        <v>219502566.31664321</v>
      </c>
      <c r="BZ61" s="80">
        <f t="shared" si="77"/>
        <v>205415342.75190684</v>
      </c>
      <c r="CA61" s="80">
        <f t="shared" si="77"/>
        <v>242281417.54910415</v>
      </c>
      <c r="CB61" s="80">
        <f t="shared" si="77"/>
        <v>283647576.54717648</v>
      </c>
      <c r="CC61" s="80">
        <f t="shared" si="77"/>
        <v>289331881.39896315</v>
      </c>
      <c r="CD61" s="80">
        <f t="shared" si="77"/>
        <v>273365539.59096646</v>
      </c>
      <c r="CE61" s="80">
        <f t="shared" si="77"/>
        <v>225709833.69615775</v>
      </c>
      <c r="CF61" s="80">
        <f t="shared" si="77"/>
        <v>217445379.57126927</v>
      </c>
      <c r="CG61" s="80">
        <f t="shared" si="77"/>
        <v>260293096.73863193</v>
      </c>
      <c r="CH61" s="80">
        <f t="shared" si="77"/>
        <v>306051532.59623951</v>
      </c>
      <c r="CI61" s="138"/>
      <c r="CJ61" s="138"/>
      <c r="CK61" s="138"/>
    </row>
    <row r="62" spans="1:89" x14ac:dyDescent="0.3">
      <c r="A62" s="40" t="s">
        <v>35</v>
      </c>
      <c r="B62" s="41"/>
      <c r="C62" s="41"/>
      <c r="D62" s="80">
        <f t="shared" ref="D62:AI62" si="80">+D25</f>
        <v>596370095</v>
      </c>
      <c r="E62" s="80">
        <f t="shared" si="80"/>
        <v>585567373</v>
      </c>
      <c r="F62" s="80">
        <f t="shared" si="80"/>
        <v>584363020</v>
      </c>
      <c r="G62" s="80">
        <f t="shared" si="80"/>
        <v>661650596</v>
      </c>
      <c r="H62" s="80">
        <f t="shared" si="80"/>
        <v>744450846</v>
      </c>
      <c r="I62" s="80">
        <f t="shared" si="80"/>
        <v>746230356</v>
      </c>
      <c r="J62" s="80">
        <f t="shared" si="80"/>
        <v>749176357</v>
      </c>
      <c r="K62" s="80">
        <f t="shared" si="80"/>
        <v>659221190</v>
      </c>
      <c r="L62" s="80">
        <f t="shared" si="80"/>
        <v>600231827</v>
      </c>
      <c r="M62" s="80">
        <f t="shared" si="80"/>
        <v>624953134</v>
      </c>
      <c r="N62" s="80">
        <f t="shared" si="80"/>
        <v>693030252</v>
      </c>
      <c r="O62" s="80">
        <f t="shared" si="80"/>
        <v>607344097</v>
      </c>
      <c r="P62" s="80">
        <f t="shared" si="80"/>
        <v>572358448</v>
      </c>
      <c r="Q62" s="80">
        <f t="shared" si="80"/>
        <v>562854773</v>
      </c>
      <c r="R62" s="80">
        <f t="shared" si="80"/>
        <v>578075204</v>
      </c>
      <c r="S62" s="80">
        <f t="shared" si="80"/>
        <v>655641906</v>
      </c>
      <c r="T62" s="80">
        <f t="shared" si="80"/>
        <v>714056556</v>
      </c>
      <c r="U62" s="80">
        <f t="shared" si="80"/>
        <v>727381902</v>
      </c>
      <c r="V62" s="80">
        <f t="shared" si="80"/>
        <v>685704779</v>
      </c>
      <c r="W62" s="80">
        <f t="shared" si="80"/>
        <v>658415575</v>
      </c>
      <c r="X62" s="80">
        <f t="shared" si="80"/>
        <v>591258230</v>
      </c>
      <c r="Y62" s="80">
        <f t="shared" si="80"/>
        <v>617045102</v>
      </c>
      <c r="Z62" s="80">
        <f t="shared" si="80"/>
        <v>713223360</v>
      </c>
      <c r="AA62" s="80">
        <f t="shared" si="80"/>
        <v>637748229</v>
      </c>
      <c r="AB62" s="80">
        <f t="shared" si="80"/>
        <v>591995322</v>
      </c>
      <c r="AC62" s="80">
        <f t="shared" si="80"/>
        <v>597309651</v>
      </c>
      <c r="AD62" s="80">
        <f t="shared" si="80"/>
        <v>591787732</v>
      </c>
      <c r="AE62" s="80">
        <f t="shared" si="80"/>
        <v>706111391</v>
      </c>
      <c r="AF62" s="80">
        <f t="shared" si="80"/>
        <v>750019857</v>
      </c>
      <c r="AG62" s="80">
        <f t="shared" si="80"/>
        <v>709167976</v>
      </c>
      <c r="AH62" s="80">
        <f t="shared" si="80"/>
        <v>721543630</v>
      </c>
      <c r="AI62" s="80">
        <f t="shared" si="80"/>
        <v>655717182</v>
      </c>
      <c r="AJ62" s="80">
        <f t="shared" ref="AJ62:CH62" si="81">+AJ25</f>
        <v>583325592</v>
      </c>
      <c r="AK62" s="80">
        <f t="shared" si="81"/>
        <v>635010680</v>
      </c>
      <c r="AL62" s="80">
        <f t="shared" si="81"/>
        <v>645753087</v>
      </c>
      <c r="AM62" s="80">
        <f t="shared" si="81"/>
        <v>624256369</v>
      </c>
      <c r="AN62" s="80">
        <f t="shared" si="81"/>
        <v>599641261</v>
      </c>
      <c r="AO62" s="80">
        <f t="shared" si="81"/>
        <v>546450417</v>
      </c>
      <c r="AP62" s="80">
        <f t="shared" si="81"/>
        <v>548775486</v>
      </c>
      <c r="AQ62" s="80">
        <f t="shared" si="81"/>
        <v>609609142</v>
      </c>
      <c r="AR62" s="80">
        <f t="shared" si="81"/>
        <v>656813642</v>
      </c>
      <c r="AS62" s="80">
        <f t="shared" si="81"/>
        <v>671886437</v>
      </c>
      <c r="AT62" s="80">
        <f t="shared" si="81"/>
        <v>678219627</v>
      </c>
      <c r="AU62" s="80">
        <f t="shared" si="81"/>
        <v>622550219</v>
      </c>
      <c r="AV62" s="80">
        <f t="shared" ref="AV62:BV62" si="82">+AV25</f>
        <v>549600433</v>
      </c>
      <c r="AW62" s="80">
        <f t="shared" si="82"/>
        <v>596432225</v>
      </c>
      <c r="AX62" s="80">
        <f t="shared" si="82"/>
        <v>616923082</v>
      </c>
      <c r="AY62" s="80">
        <f t="shared" si="82"/>
        <v>599527620</v>
      </c>
      <c r="AZ62" s="80">
        <f t="shared" si="82"/>
        <v>566693954</v>
      </c>
      <c r="BA62" s="80">
        <f t="shared" si="82"/>
        <v>483801855</v>
      </c>
      <c r="BB62" s="80">
        <f t="shared" si="82"/>
        <v>451939609</v>
      </c>
      <c r="BC62" s="80">
        <f t="shared" si="82"/>
        <v>534583835</v>
      </c>
      <c r="BD62" s="80">
        <f t="shared" si="82"/>
        <v>624356693</v>
      </c>
      <c r="BE62" s="80">
        <f t="shared" si="82"/>
        <v>621885740</v>
      </c>
      <c r="BF62" s="80">
        <f t="shared" si="82"/>
        <v>619148163</v>
      </c>
      <c r="BG62" s="80">
        <f t="shared" si="82"/>
        <v>528448107.69999999</v>
      </c>
      <c r="BH62" s="80">
        <f t="shared" ref="BH62:BS62" si="83">+BH25</f>
        <v>514648084</v>
      </c>
      <c r="BI62" s="80">
        <f t="shared" si="83"/>
        <v>553120787</v>
      </c>
      <c r="BJ62" s="80">
        <f t="shared" si="83"/>
        <v>592823385</v>
      </c>
      <c r="BK62" s="80">
        <f t="shared" si="83"/>
        <v>585712392</v>
      </c>
      <c r="BL62" s="80">
        <f t="shared" si="83"/>
        <v>543642088</v>
      </c>
      <c r="BM62" s="80">
        <f t="shared" si="83"/>
        <v>483262229</v>
      </c>
      <c r="BN62" s="80">
        <f t="shared" si="83"/>
        <v>492375125.19999999</v>
      </c>
      <c r="BO62" s="80">
        <f t="shared" si="83"/>
        <v>586671915</v>
      </c>
      <c r="BP62" s="80">
        <f t="shared" si="83"/>
        <v>641235470</v>
      </c>
      <c r="BQ62" s="80">
        <f t="shared" si="83"/>
        <v>634777638</v>
      </c>
      <c r="BR62" s="80">
        <f t="shared" si="83"/>
        <v>647017474</v>
      </c>
      <c r="BS62" s="80">
        <f t="shared" si="83"/>
        <v>568724491</v>
      </c>
      <c r="BT62" s="80">
        <f t="shared" si="82"/>
        <v>516727312.60267711</v>
      </c>
      <c r="BU62" s="80">
        <f t="shared" si="82"/>
        <v>558551990.87100005</v>
      </c>
      <c r="BV62" s="80">
        <f t="shared" si="82"/>
        <v>610883728.45255411</v>
      </c>
      <c r="BW62" s="80">
        <f t="shared" si="81"/>
        <v>575430083.70531464</v>
      </c>
      <c r="BX62" s="80">
        <f t="shared" si="81"/>
        <v>530185014.36311901</v>
      </c>
      <c r="BY62" s="80">
        <f t="shared" si="81"/>
        <v>500519096.71525455</v>
      </c>
      <c r="BZ62" s="80">
        <f t="shared" si="81"/>
        <v>493830553.80443114</v>
      </c>
      <c r="CA62" s="80">
        <f t="shared" si="81"/>
        <v>570196217.27078354</v>
      </c>
      <c r="CB62" s="80">
        <f>+CB25</f>
        <v>625222755.73775768</v>
      </c>
      <c r="CC62" s="80">
        <f t="shared" si="81"/>
        <v>640394294.02634192</v>
      </c>
      <c r="CD62" s="80">
        <f t="shared" si="81"/>
        <v>641507465.15801418</v>
      </c>
      <c r="CE62" s="80">
        <f t="shared" si="81"/>
        <v>556286312.81562757</v>
      </c>
      <c r="CF62" s="80">
        <f t="shared" si="81"/>
        <v>517714035.24129713</v>
      </c>
      <c r="CG62" s="80">
        <f t="shared" si="81"/>
        <v>558980459.35089493</v>
      </c>
      <c r="CH62" s="80">
        <f t="shared" si="81"/>
        <v>621625054.46826029</v>
      </c>
      <c r="CI62" s="138"/>
      <c r="CJ62" s="138"/>
      <c r="CK62" s="138"/>
    </row>
    <row r="63" spans="1:89" x14ac:dyDescent="0.3">
      <c r="A63" s="40" t="s">
        <v>36</v>
      </c>
      <c r="B63" s="41"/>
      <c r="C63" s="41"/>
      <c r="D63" s="80">
        <f t="shared" ref="D63:AI63" si="84">+D26</f>
        <v>247441789</v>
      </c>
      <c r="E63" s="80">
        <f t="shared" si="84"/>
        <v>263524459</v>
      </c>
      <c r="F63" s="80">
        <f t="shared" si="84"/>
        <v>273810149</v>
      </c>
      <c r="G63" s="80">
        <f t="shared" si="84"/>
        <v>281099842</v>
      </c>
      <c r="H63" s="80">
        <f t="shared" si="84"/>
        <v>312186695</v>
      </c>
      <c r="I63" s="80">
        <f t="shared" si="84"/>
        <v>304162315</v>
      </c>
      <c r="J63" s="80">
        <f t="shared" si="84"/>
        <v>330143172</v>
      </c>
      <c r="K63" s="80">
        <f t="shared" si="84"/>
        <v>280092260</v>
      </c>
      <c r="L63" s="80">
        <f t="shared" si="84"/>
        <v>268855946</v>
      </c>
      <c r="M63" s="80">
        <f t="shared" si="84"/>
        <v>269553572</v>
      </c>
      <c r="N63" s="80">
        <f t="shared" si="84"/>
        <v>287482958</v>
      </c>
      <c r="O63" s="80">
        <f t="shared" si="84"/>
        <v>284042474</v>
      </c>
      <c r="P63" s="80">
        <f t="shared" si="84"/>
        <v>243773343</v>
      </c>
      <c r="Q63" s="80">
        <f t="shared" si="84"/>
        <v>262317859</v>
      </c>
      <c r="R63" s="80">
        <f t="shared" si="84"/>
        <v>265729533</v>
      </c>
      <c r="S63" s="80">
        <f t="shared" si="84"/>
        <v>305383990</v>
      </c>
      <c r="T63" s="80">
        <f t="shared" si="84"/>
        <v>299141306</v>
      </c>
      <c r="U63" s="80">
        <f t="shared" si="84"/>
        <v>315582091</v>
      </c>
      <c r="V63" s="80">
        <f t="shared" si="84"/>
        <v>303646750</v>
      </c>
      <c r="W63" s="80">
        <f t="shared" si="84"/>
        <v>297206861</v>
      </c>
      <c r="X63" s="80">
        <f t="shared" si="84"/>
        <v>267769856</v>
      </c>
      <c r="Y63" s="80">
        <f t="shared" si="84"/>
        <v>280403761</v>
      </c>
      <c r="Z63" s="80">
        <f t="shared" si="84"/>
        <v>308993823</v>
      </c>
      <c r="AA63" s="80">
        <f t="shared" si="84"/>
        <v>274104685</v>
      </c>
      <c r="AB63" s="80">
        <f t="shared" si="84"/>
        <v>272372147</v>
      </c>
      <c r="AC63" s="80">
        <f t="shared" si="84"/>
        <v>251417733</v>
      </c>
      <c r="AD63" s="80">
        <f t="shared" si="84"/>
        <v>289575324</v>
      </c>
      <c r="AE63" s="80">
        <f t="shared" si="84"/>
        <v>314032531</v>
      </c>
      <c r="AF63" s="80">
        <f t="shared" si="84"/>
        <v>325203026</v>
      </c>
      <c r="AG63" s="80">
        <f t="shared" si="84"/>
        <v>319660753</v>
      </c>
      <c r="AH63" s="80">
        <f t="shared" si="84"/>
        <v>311095874</v>
      </c>
      <c r="AI63" s="80">
        <f t="shared" si="84"/>
        <v>289535965</v>
      </c>
      <c r="AJ63" s="80">
        <f t="shared" ref="AJ63:CH63" si="85">+AJ26</f>
        <v>271491896</v>
      </c>
      <c r="AK63" s="80">
        <f t="shared" si="85"/>
        <v>291933586</v>
      </c>
      <c r="AL63" s="80">
        <f t="shared" si="85"/>
        <v>252980562</v>
      </c>
      <c r="AM63" s="80">
        <f t="shared" si="85"/>
        <v>248710812</v>
      </c>
      <c r="AN63" s="80">
        <f t="shared" si="85"/>
        <v>242499726</v>
      </c>
      <c r="AO63" s="80">
        <f t="shared" si="85"/>
        <v>232539680</v>
      </c>
      <c r="AP63" s="80">
        <f t="shared" si="85"/>
        <v>229224298</v>
      </c>
      <c r="AQ63" s="80">
        <f t="shared" si="85"/>
        <v>266349220</v>
      </c>
      <c r="AR63" s="80">
        <f t="shared" si="85"/>
        <v>267674678</v>
      </c>
      <c r="AS63" s="80">
        <f t="shared" si="85"/>
        <v>281003685</v>
      </c>
      <c r="AT63" s="80">
        <f t="shared" si="85"/>
        <v>279302255</v>
      </c>
      <c r="AU63" s="80">
        <f t="shared" si="85"/>
        <v>258807768</v>
      </c>
      <c r="AV63" s="80">
        <f t="shared" ref="AV63:BV63" si="86">+AV26</f>
        <v>239334214</v>
      </c>
      <c r="AW63" s="80">
        <f t="shared" si="86"/>
        <v>241025466</v>
      </c>
      <c r="AX63" s="80">
        <f t="shared" si="86"/>
        <v>247898204</v>
      </c>
      <c r="AY63" s="80">
        <f t="shared" si="86"/>
        <v>255420215</v>
      </c>
      <c r="AZ63" s="80">
        <f t="shared" si="86"/>
        <v>225135566</v>
      </c>
      <c r="BA63" s="80">
        <f t="shared" si="86"/>
        <v>219961316</v>
      </c>
      <c r="BB63" s="80">
        <f t="shared" si="86"/>
        <v>207074154</v>
      </c>
      <c r="BC63" s="80">
        <f t="shared" si="86"/>
        <v>241165089</v>
      </c>
      <c r="BD63" s="80">
        <f t="shared" si="86"/>
        <v>253833450</v>
      </c>
      <c r="BE63" s="80">
        <f t="shared" si="86"/>
        <v>266058831</v>
      </c>
      <c r="BF63" s="80">
        <f t="shared" si="86"/>
        <v>266126792</v>
      </c>
      <c r="BG63" s="80">
        <f t="shared" si="86"/>
        <v>236673642.40000001</v>
      </c>
      <c r="BH63" s="80">
        <f t="shared" ref="BH63:BS63" si="87">+BH26</f>
        <v>234876378</v>
      </c>
      <c r="BI63" s="80">
        <f t="shared" si="87"/>
        <v>245759481</v>
      </c>
      <c r="BJ63" s="80">
        <f t="shared" si="87"/>
        <v>241302585</v>
      </c>
      <c r="BK63" s="80">
        <f t="shared" si="87"/>
        <v>254211213</v>
      </c>
      <c r="BL63" s="80">
        <f t="shared" si="87"/>
        <v>216207694</v>
      </c>
      <c r="BM63" s="80">
        <f t="shared" si="87"/>
        <v>214809052</v>
      </c>
      <c r="BN63" s="80">
        <f t="shared" si="87"/>
        <v>221576502.5</v>
      </c>
      <c r="BO63" s="80">
        <f t="shared" si="87"/>
        <v>232417188</v>
      </c>
      <c r="BP63" s="80">
        <f t="shared" si="87"/>
        <v>286577542</v>
      </c>
      <c r="BQ63" s="80">
        <f t="shared" si="87"/>
        <v>263115351</v>
      </c>
      <c r="BR63" s="80">
        <f t="shared" si="87"/>
        <v>266455046</v>
      </c>
      <c r="BS63" s="80">
        <f t="shared" si="87"/>
        <v>230080105</v>
      </c>
      <c r="BT63" s="80">
        <f t="shared" si="86"/>
        <v>231625738.06268328</v>
      </c>
      <c r="BU63" s="80">
        <f t="shared" si="86"/>
        <v>240413522.25924894</v>
      </c>
      <c r="BV63" s="80">
        <f t="shared" si="86"/>
        <v>244639931.64925104</v>
      </c>
      <c r="BW63" s="80">
        <f t="shared" si="85"/>
        <v>233049922.16264266</v>
      </c>
      <c r="BX63" s="80">
        <f t="shared" si="85"/>
        <v>229849559.52004918</v>
      </c>
      <c r="BY63" s="80">
        <f t="shared" si="85"/>
        <v>224598437.26976842</v>
      </c>
      <c r="BZ63" s="80">
        <f t="shared" si="85"/>
        <v>227370334.59913951</v>
      </c>
      <c r="CA63" s="80">
        <f t="shared" si="85"/>
        <v>246060745.08831936</v>
      </c>
      <c r="CB63" s="80">
        <f t="shared" si="85"/>
        <v>262654356.89546087</v>
      </c>
      <c r="CC63" s="80">
        <f t="shared" si="85"/>
        <v>267226354.874975</v>
      </c>
      <c r="CD63" s="80">
        <f t="shared" si="85"/>
        <v>261622583.21947673</v>
      </c>
      <c r="CE63" s="80">
        <f t="shared" si="85"/>
        <v>244373082.33714232</v>
      </c>
      <c r="CF63" s="80">
        <f t="shared" si="85"/>
        <v>230263072.51766002</v>
      </c>
      <c r="CG63" s="80">
        <f t="shared" si="85"/>
        <v>238613621.292808</v>
      </c>
      <c r="CH63" s="80">
        <f t="shared" si="85"/>
        <v>243467013.54529017</v>
      </c>
      <c r="CI63" s="138"/>
      <c r="CJ63" s="138"/>
      <c r="CK63" s="138"/>
    </row>
    <row r="64" spans="1:89" x14ac:dyDescent="0.3">
      <c r="A64" s="40" t="s">
        <v>37</v>
      </c>
      <c r="B64" s="41"/>
      <c r="C64" s="41"/>
      <c r="D64" s="80">
        <f t="shared" ref="D64:AI64" si="88">+D27</f>
        <v>127273740</v>
      </c>
      <c r="E64" s="80">
        <f t="shared" si="88"/>
        <v>133415922</v>
      </c>
      <c r="F64" s="80">
        <f t="shared" si="88"/>
        <v>133920097</v>
      </c>
      <c r="G64" s="80">
        <f t="shared" si="88"/>
        <v>151320401</v>
      </c>
      <c r="H64" s="80">
        <f t="shared" si="88"/>
        <v>158812387</v>
      </c>
      <c r="I64" s="80">
        <f t="shared" si="88"/>
        <v>160367769</v>
      </c>
      <c r="J64" s="80">
        <f t="shared" si="88"/>
        <v>176194341</v>
      </c>
      <c r="K64" s="80">
        <f t="shared" si="88"/>
        <v>154604539</v>
      </c>
      <c r="L64" s="80">
        <f t="shared" si="88"/>
        <v>142536252</v>
      </c>
      <c r="M64" s="80">
        <f t="shared" si="88"/>
        <v>134004611</v>
      </c>
      <c r="N64" s="80">
        <f t="shared" si="88"/>
        <v>132646039</v>
      </c>
      <c r="O64" s="80">
        <f t="shared" si="88"/>
        <v>136324918</v>
      </c>
      <c r="P64" s="80">
        <f t="shared" si="88"/>
        <v>118000396</v>
      </c>
      <c r="Q64" s="80">
        <f t="shared" si="88"/>
        <v>130771713</v>
      </c>
      <c r="R64" s="80">
        <f t="shared" si="88"/>
        <v>133006544</v>
      </c>
      <c r="S64" s="80">
        <f t="shared" si="88"/>
        <v>158813593</v>
      </c>
      <c r="T64" s="80">
        <f t="shared" si="88"/>
        <v>150211763</v>
      </c>
      <c r="U64" s="80">
        <f t="shared" si="88"/>
        <v>166478792</v>
      </c>
      <c r="V64" s="80">
        <f t="shared" si="88"/>
        <v>158634223</v>
      </c>
      <c r="W64" s="80">
        <f t="shared" si="88"/>
        <v>151247524</v>
      </c>
      <c r="X64" s="80">
        <f t="shared" si="88"/>
        <v>147830606</v>
      </c>
      <c r="Y64" s="80">
        <f t="shared" si="88"/>
        <v>132139915</v>
      </c>
      <c r="Z64" s="80">
        <f t="shared" si="88"/>
        <v>134787267</v>
      </c>
      <c r="AA64" s="80">
        <f t="shared" si="88"/>
        <v>125603697</v>
      </c>
      <c r="AB64" s="80">
        <f t="shared" si="88"/>
        <v>125857767</v>
      </c>
      <c r="AC64" s="80">
        <f t="shared" si="88"/>
        <v>119174583</v>
      </c>
      <c r="AD64" s="80">
        <f t="shared" si="88"/>
        <v>136766539</v>
      </c>
      <c r="AE64" s="80">
        <f t="shared" si="88"/>
        <v>151258088</v>
      </c>
      <c r="AF64" s="80">
        <f t="shared" si="88"/>
        <v>155948179</v>
      </c>
      <c r="AG64" s="80">
        <f t="shared" si="88"/>
        <v>160224923</v>
      </c>
      <c r="AH64" s="80">
        <f t="shared" si="88"/>
        <v>150480926</v>
      </c>
      <c r="AI64" s="80">
        <f t="shared" si="88"/>
        <v>148580162</v>
      </c>
      <c r="AJ64" s="80">
        <f t="shared" ref="AJ64:CH64" si="89">+AJ27</f>
        <v>139627995</v>
      </c>
      <c r="AK64" s="80">
        <f t="shared" si="89"/>
        <v>135972391</v>
      </c>
      <c r="AL64" s="80">
        <f t="shared" si="89"/>
        <v>101960146</v>
      </c>
      <c r="AM64" s="80">
        <f t="shared" si="89"/>
        <v>96075286</v>
      </c>
      <c r="AN64" s="80">
        <f t="shared" si="89"/>
        <v>99309923</v>
      </c>
      <c r="AO64" s="80">
        <f t="shared" si="89"/>
        <v>98876748</v>
      </c>
      <c r="AP64" s="80">
        <f t="shared" si="89"/>
        <v>96480454</v>
      </c>
      <c r="AQ64" s="80">
        <f t="shared" si="89"/>
        <v>121526151</v>
      </c>
      <c r="AR64" s="80">
        <f t="shared" si="89"/>
        <v>113123855</v>
      </c>
      <c r="AS64" s="80">
        <f t="shared" si="89"/>
        <v>125262874</v>
      </c>
      <c r="AT64" s="80">
        <f t="shared" si="89"/>
        <v>126945040</v>
      </c>
      <c r="AU64" s="80">
        <f t="shared" si="89"/>
        <v>119752379</v>
      </c>
      <c r="AV64" s="80">
        <f t="shared" ref="AV64:BV64" si="90">+AV27</f>
        <v>106348532</v>
      </c>
      <c r="AW64" s="80">
        <f t="shared" si="90"/>
        <v>100067076</v>
      </c>
      <c r="AX64" s="80">
        <f t="shared" si="90"/>
        <v>105899561</v>
      </c>
      <c r="AY64" s="80">
        <f t="shared" si="90"/>
        <v>111203176</v>
      </c>
      <c r="AZ64" s="80">
        <f t="shared" si="90"/>
        <v>86704807</v>
      </c>
      <c r="BA64" s="80">
        <f t="shared" si="90"/>
        <v>92097434</v>
      </c>
      <c r="BB64" s="80">
        <f t="shared" si="90"/>
        <v>93506334</v>
      </c>
      <c r="BC64" s="80">
        <f t="shared" si="90"/>
        <v>92139707</v>
      </c>
      <c r="BD64" s="80">
        <f t="shared" si="90"/>
        <v>105110654</v>
      </c>
      <c r="BE64" s="80">
        <f t="shared" si="90"/>
        <v>108265948</v>
      </c>
      <c r="BF64" s="80">
        <f t="shared" si="90"/>
        <v>109806573</v>
      </c>
      <c r="BG64" s="80">
        <f t="shared" si="90"/>
        <v>96724322.099999994</v>
      </c>
      <c r="BH64" s="80">
        <f t="shared" ref="BH64:BS64" si="91">+BH27</f>
        <v>94866307</v>
      </c>
      <c r="BI64" s="80">
        <f t="shared" si="91"/>
        <v>96874394</v>
      </c>
      <c r="BJ64" s="80">
        <f t="shared" si="91"/>
        <v>84244327</v>
      </c>
      <c r="BK64" s="80">
        <f t="shared" si="91"/>
        <v>112346620</v>
      </c>
      <c r="BL64" s="80">
        <f t="shared" si="91"/>
        <v>50801494</v>
      </c>
      <c r="BM64" s="80">
        <f t="shared" si="91"/>
        <v>85186767</v>
      </c>
      <c r="BN64" s="80">
        <f t="shared" si="91"/>
        <v>94290468.700000003</v>
      </c>
      <c r="BO64" s="80">
        <f t="shared" si="91"/>
        <v>96665030</v>
      </c>
      <c r="BP64" s="80">
        <f t="shared" si="91"/>
        <v>111403127</v>
      </c>
      <c r="BQ64" s="80">
        <f t="shared" si="91"/>
        <v>106051211</v>
      </c>
      <c r="BR64" s="80">
        <f t="shared" si="91"/>
        <v>114673513</v>
      </c>
      <c r="BS64" s="80">
        <f t="shared" si="91"/>
        <v>105106440</v>
      </c>
      <c r="BT64" s="80">
        <f t="shared" si="90"/>
        <v>96163830.731033847</v>
      </c>
      <c r="BU64" s="80">
        <f t="shared" si="90"/>
        <v>94109067.558028832</v>
      </c>
      <c r="BV64" s="80">
        <f t="shared" si="90"/>
        <v>93653912.248884782</v>
      </c>
      <c r="BW64" s="80">
        <f t="shared" si="89"/>
        <v>85920997.61912322</v>
      </c>
      <c r="BX64" s="80">
        <f t="shared" si="89"/>
        <v>92937115.673861131</v>
      </c>
      <c r="BY64" s="80">
        <f t="shared" si="89"/>
        <v>95430162.554982468</v>
      </c>
      <c r="BZ64" s="80">
        <f t="shared" si="89"/>
        <v>103376400.7354092</v>
      </c>
      <c r="CA64" s="80">
        <f t="shared" si="89"/>
        <v>107783855.10587853</v>
      </c>
      <c r="CB64" s="80">
        <f t="shared" si="89"/>
        <v>116470133.49866222</v>
      </c>
      <c r="CC64" s="80">
        <f t="shared" si="89"/>
        <v>115573128.90151967</v>
      </c>
      <c r="CD64" s="80">
        <f t="shared" si="89"/>
        <v>109282029.6161512</v>
      </c>
      <c r="CE64" s="80">
        <f t="shared" si="89"/>
        <v>106525675.34103945</v>
      </c>
      <c r="CF64" s="80">
        <f t="shared" si="89"/>
        <v>99214570.454463914</v>
      </c>
      <c r="CG64" s="80">
        <f t="shared" si="89"/>
        <v>97087562.389173344</v>
      </c>
      <c r="CH64" s="80">
        <f t="shared" si="89"/>
        <v>96464302.312017411</v>
      </c>
      <c r="CI64" s="138"/>
      <c r="CJ64" s="138"/>
      <c r="CK64" s="138"/>
    </row>
    <row r="65" spans="1:89" x14ac:dyDescent="0.3">
      <c r="A65" s="35" t="s">
        <v>31</v>
      </c>
      <c r="B65" s="33"/>
      <c r="C65" s="33"/>
      <c r="D65" s="37">
        <f>SUM(D60:D64)</f>
        <v>2224928177</v>
      </c>
      <c r="E65" s="37">
        <f t="shared" ref="E65:BX65" si="92">SUM(E60:E64)</f>
        <v>2018953973</v>
      </c>
      <c r="F65" s="37">
        <f t="shared" si="92"/>
        <v>1913045208</v>
      </c>
      <c r="G65" s="37">
        <f t="shared" si="92"/>
        <v>2404751671</v>
      </c>
      <c r="H65" s="37">
        <f t="shared" si="92"/>
        <v>2933402953</v>
      </c>
      <c r="I65" s="37">
        <f t="shared" si="92"/>
        <v>2932474198</v>
      </c>
      <c r="J65" s="37">
        <f t="shared" si="92"/>
        <v>2831280502</v>
      </c>
      <c r="K65" s="37">
        <f t="shared" si="92"/>
        <v>2260945939</v>
      </c>
      <c r="L65" s="37">
        <f t="shared" si="92"/>
        <v>1987278765</v>
      </c>
      <c r="M65" s="37">
        <f t="shared" si="92"/>
        <v>2444837540</v>
      </c>
      <c r="N65" s="37">
        <f t="shared" si="92"/>
        <v>2931370494</v>
      </c>
      <c r="O65" s="37">
        <f t="shared" si="92"/>
        <v>2420851513</v>
      </c>
      <c r="P65" s="37">
        <f t="shared" si="92"/>
        <v>2078601028</v>
      </c>
      <c r="Q65" s="37">
        <f t="shared" si="92"/>
        <v>1972320246</v>
      </c>
      <c r="R65" s="37">
        <f t="shared" si="92"/>
        <v>1950848493</v>
      </c>
      <c r="S65" s="37">
        <f t="shared" si="92"/>
        <v>2390636192</v>
      </c>
      <c r="T65" s="37">
        <f t="shared" si="92"/>
        <v>2806893058</v>
      </c>
      <c r="U65" s="37">
        <f t="shared" si="92"/>
        <v>2872808685</v>
      </c>
      <c r="V65" s="37">
        <f t="shared" si="92"/>
        <v>2497438120</v>
      </c>
      <c r="W65" s="37">
        <f t="shared" si="92"/>
        <v>2311823120</v>
      </c>
      <c r="X65" s="37">
        <f t="shared" si="92"/>
        <v>2068964968</v>
      </c>
      <c r="Y65" s="37">
        <f t="shared" si="92"/>
        <v>2356325141</v>
      </c>
      <c r="Z65" s="37">
        <f t="shared" si="92"/>
        <v>3162862275</v>
      </c>
      <c r="AA65" s="37">
        <f t="shared" si="92"/>
        <v>2671692622</v>
      </c>
      <c r="AB65" s="37">
        <f t="shared" si="92"/>
        <v>2329112642</v>
      </c>
      <c r="AC65" s="37">
        <f t="shared" si="92"/>
        <v>2266678111</v>
      </c>
      <c r="AD65" s="37">
        <f t="shared" si="92"/>
        <v>2094580257</v>
      </c>
      <c r="AE65" s="37">
        <f t="shared" si="92"/>
        <v>2709831507</v>
      </c>
      <c r="AF65" s="37">
        <f t="shared" si="92"/>
        <v>3013965337</v>
      </c>
      <c r="AG65" s="37">
        <f t="shared" si="92"/>
        <v>2799018250</v>
      </c>
      <c r="AH65" s="37">
        <f t="shared" si="92"/>
        <v>2737680017</v>
      </c>
      <c r="AI65" s="37">
        <f t="shared" si="92"/>
        <v>2332546940</v>
      </c>
      <c r="AJ65" s="37">
        <f t="shared" si="92"/>
        <v>2142583793</v>
      </c>
      <c r="AK65" s="37">
        <f t="shared" si="92"/>
        <v>2618348050</v>
      </c>
      <c r="AL65" s="37">
        <f t="shared" si="92"/>
        <v>2704334881</v>
      </c>
      <c r="AM65" s="37">
        <f t="shared" si="92"/>
        <v>2684641305</v>
      </c>
      <c r="AN65" s="37">
        <f t="shared" si="92"/>
        <v>2499758324</v>
      </c>
      <c r="AO65" s="37">
        <f t="shared" si="92"/>
        <v>1985896392</v>
      </c>
      <c r="AP65" s="37">
        <f t="shared" si="92"/>
        <v>1834449295</v>
      </c>
      <c r="AQ65" s="37">
        <f t="shared" si="92"/>
        <v>2235195660</v>
      </c>
      <c r="AR65" s="37">
        <f t="shared" si="92"/>
        <v>2577497445</v>
      </c>
      <c r="AS65" s="37">
        <f t="shared" si="92"/>
        <v>2692344190</v>
      </c>
      <c r="AT65" s="37">
        <f t="shared" si="92"/>
        <v>2586049727</v>
      </c>
      <c r="AU65" s="37">
        <f t="shared" si="92"/>
        <v>2259393157</v>
      </c>
      <c r="AV65" s="37">
        <f t="shared" ref="AV65:BV65" si="93">SUM(AV60:AV64)</f>
        <v>2029584453</v>
      </c>
      <c r="AW65" s="37">
        <f t="shared" si="93"/>
        <v>2424244506</v>
      </c>
      <c r="AX65" s="37">
        <f t="shared" si="93"/>
        <v>2601956425</v>
      </c>
      <c r="AY65" s="37">
        <f t="shared" si="93"/>
        <v>2559780622</v>
      </c>
      <c r="AZ65" s="37">
        <f t="shared" si="93"/>
        <v>2267199627</v>
      </c>
      <c r="BA65" s="37">
        <f t="shared" si="93"/>
        <v>1885945876</v>
      </c>
      <c r="BB65" s="37">
        <f t="shared" si="93"/>
        <v>1727181444</v>
      </c>
      <c r="BC65" s="37">
        <f t="shared" si="93"/>
        <v>2140133354</v>
      </c>
      <c r="BD65" s="37">
        <f t="shared" si="93"/>
        <v>2668776772</v>
      </c>
      <c r="BE65" s="37">
        <f t="shared" si="93"/>
        <v>2588323933</v>
      </c>
      <c r="BF65" s="37">
        <f t="shared" si="93"/>
        <v>2539356884</v>
      </c>
      <c r="BG65" s="37">
        <f t="shared" si="93"/>
        <v>1880855467.2</v>
      </c>
      <c r="BH65" s="37">
        <f t="shared" ref="BH65:BS65" si="94">SUM(BH60:BH64)</f>
        <v>1919414791</v>
      </c>
      <c r="BI65" s="37">
        <f t="shared" si="94"/>
        <v>2285505311</v>
      </c>
      <c r="BJ65" s="37">
        <f t="shared" si="94"/>
        <v>2701293080</v>
      </c>
      <c r="BK65" s="37">
        <f t="shared" si="94"/>
        <v>2762895596</v>
      </c>
      <c r="BL65" s="37">
        <f t="shared" si="94"/>
        <v>2269212350</v>
      </c>
      <c r="BM65" s="37">
        <f t="shared" si="94"/>
        <v>1797926430</v>
      </c>
      <c r="BN65" s="37">
        <f t="shared" si="94"/>
        <v>1767390312.4000001</v>
      </c>
      <c r="BO65" s="37">
        <f t="shared" si="94"/>
        <v>2241761426</v>
      </c>
      <c r="BP65" s="37">
        <f t="shared" si="94"/>
        <v>2630416326</v>
      </c>
      <c r="BQ65" s="37">
        <f t="shared" si="94"/>
        <v>2620993183</v>
      </c>
      <c r="BR65" s="37">
        <f t="shared" si="94"/>
        <v>2624842936</v>
      </c>
      <c r="BS65" s="37">
        <f t="shared" si="94"/>
        <v>2051802732</v>
      </c>
      <c r="BT65" s="37">
        <f t="shared" si="93"/>
        <v>1859270596.5954454</v>
      </c>
      <c r="BU65" s="37">
        <f t="shared" si="93"/>
        <v>2310969994.0096645</v>
      </c>
      <c r="BV65" s="37">
        <f t="shared" si="93"/>
        <v>2734086571.2281055</v>
      </c>
      <c r="BW65" s="37">
        <f t="shared" si="92"/>
        <v>2503437284.262167</v>
      </c>
      <c r="BX65" s="37">
        <f t="shared" si="92"/>
        <v>2220944714.2985196</v>
      </c>
      <c r="BY65" s="37">
        <f t="shared" ref="BY65:CH65" si="95">SUM(BY60:BY64)</f>
        <v>1879115360.4594173</v>
      </c>
      <c r="BZ65" s="37">
        <f t="shared" si="95"/>
        <v>1741844521.1729763</v>
      </c>
      <c r="CA65" s="37">
        <f t="shared" si="95"/>
        <v>2089470302.4395993</v>
      </c>
      <c r="CB65" s="37">
        <f t="shared" si="95"/>
        <v>2489629861.2125788</v>
      </c>
      <c r="CC65" s="37">
        <f t="shared" si="95"/>
        <v>2577518358.2381277</v>
      </c>
      <c r="CD65" s="37">
        <f t="shared" si="95"/>
        <v>2397973898.4503822</v>
      </c>
      <c r="CE65" s="37">
        <f t="shared" si="95"/>
        <v>1927325103.8386266</v>
      </c>
      <c r="CF65" s="37">
        <f t="shared" si="95"/>
        <v>1841229294.6313071</v>
      </c>
      <c r="CG65" s="37">
        <f t="shared" si="95"/>
        <v>2286771584.5165582</v>
      </c>
      <c r="CH65" s="37">
        <f t="shared" si="95"/>
        <v>2716681939.5324297</v>
      </c>
      <c r="CI65" s="134"/>
      <c r="CJ65" s="134"/>
      <c r="CK65" s="134"/>
    </row>
    <row r="66" spans="1:89" x14ac:dyDescent="0.3">
      <c r="B66" s="41"/>
      <c r="C66" s="41"/>
      <c r="O66" s="81"/>
    </row>
    <row r="67" spans="1:89" x14ac:dyDescent="0.3">
      <c r="A67" s="29" t="s">
        <v>58</v>
      </c>
      <c r="B67" s="41"/>
      <c r="C67" s="41"/>
      <c r="D67" s="81"/>
    </row>
    <row r="68" spans="1:89" x14ac:dyDescent="0.3">
      <c r="A68" s="40" t="s">
        <v>33</v>
      </c>
      <c r="B68" s="41"/>
      <c r="C68" s="41"/>
      <c r="D68" s="49">
        <f>+(D50-D57)+(D57*D60/D65)</f>
        <v>0</v>
      </c>
      <c r="E68" s="49">
        <f t="shared" ref="E68:P68" si="96">+(E50-E57)+(E57*E60/E65)</f>
        <v>0</v>
      </c>
      <c r="F68" s="49">
        <f t="shared" si="96"/>
        <v>0</v>
      </c>
      <c r="G68" s="49">
        <f t="shared" si="96"/>
        <v>0</v>
      </c>
      <c r="H68" s="49">
        <f t="shared" si="96"/>
        <v>0</v>
      </c>
      <c r="I68" s="49">
        <f t="shared" si="96"/>
        <v>0</v>
      </c>
      <c r="J68" s="49">
        <f t="shared" si="96"/>
        <v>0</v>
      </c>
      <c r="K68" s="49">
        <f t="shared" si="96"/>
        <v>0</v>
      </c>
      <c r="L68" s="49">
        <f t="shared" si="96"/>
        <v>0</v>
      </c>
      <c r="M68" s="49">
        <f t="shared" si="96"/>
        <v>0</v>
      </c>
      <c r="N68" s="49">
        <f t="shared" si="96"/>
        <v>0</v>
      </c>
      <c r="O68" s="49">
        <f>+(O50-O57)+(O57*O60/O65)</f>
        <v>0</v>
      </c>
      <c r="P68" s="49">
        <f t="shared" si="96"/>
        <v>0</v>
      </c>
      <c r="Q68" s="49">
        <f>IF(Q50="","",+(Q50-Q57)+(Q57*Q60/Q65))</f>
        <v>983976.8055998187</v>
      </c>
      <c r="R68" s="49">
        <f>IF(R50="","",+(R50-R57)+(R57*R60/R65))</f>
        <v>936126.67058040295</v>
      </c>
      <c r="S68" s="49">
        <f>IF(S50="","",+(S50-S57)+(S57*S60/S65))</f>
        <v>1254886.244789884</v>
      </c>
      <c r="T68" s="49">
        <f t="shared" ref="T68:BX68" si="97">IF(T50="","",+(T50-T57)+(T57*T60/T65))</f>
        <v>1666724.2213379955</v>
      </c>
      <c r="U68" s="49">
        <f t="shared" si="97"/>
        <v>1687867.967739454</v>
      </c>
      <c r="V68" s="49">
        <f t="shared" si="97"/>
        <v>1336984.8118306769</v>
      </c>
      <c r="W68" s="49">
        <f t="shared" si="97"/>
        <v>1174985.3507627479</v>
      </c>
      <c r="X68" s="49">
        <f t="shared" si="97"/>
        <v>1029531.6444714632</v>
      </c>
      <c r="Y68" s="49">
        <f t="shared" si="97"/>
        <v>1326453.2350570641</v>
      </c>
      <c r="Z68" s="49">
        <f t="shared" si="97"/>
        <v>2030661.7411402338</v>
      </c>
      <c r="AA68" s="90">
        <f>ROUND(IF(AA50="","",+(AA50-AA57)+(AA57*AA60/AA65)),2)</f>
        <v>1388250.35</v>
      </c>
      <c r="AB68" s="49">
        <f t="shared" si="97"/>
        <v>1120654.6531242458</v>
      </c>
      <c r="AC68" s="49">
        <f>IF(AC50="","",+(AC50-AC57)+(AC57*AC60/AC65))</f>
        <v>1082451.6725849968</v>
      </c>
      <c r="AD68" s="49">
        <f t="shared" si="97"/>
        <v>880251.85351460415</v>
      </c>
      <c r="AE68" s="49">
        <f t="shared" si="97"/>
        <v>1301284.1891339927</v>
      </c>
      <c r="AF68" s="49">
        <f t="shared" si="97"/>
        <v>1524704.8572049867</v>
      </c>
      <c r="AG68" s="49">
        <f t="shared" si="97"/>
        <v>1366723.6950669868</v>
      </c>
      <c r="AH68" s="49">
        <f t="shared" si="97"/>
        <v>1314605.108458352</v>
      </c>
      <c r="AI68" s="49">
        <f t="shared" si="97"/>
        <v>1020432.9529194708</v>
      </c>
      <c r="AJ68" s="49">
        <f t="shared" si="97"/>
        <v>950195.40735321853</v>
      </c>
      <c r="AK68" s="49">
        <f t="shared" si="97"/>
        <v>1320371.9817385538</v>
      </c>
      <c r="AL68" s="49">
        <f t="shared" si="97"/>
        <v>1462433.5546846255</v>
      </c>
      <c r="AM68" s="49">
        <f t="shared" si="97"/>
        <v>1529137.4028414818</v>
      </c>
      <c r="AN68" s="49">
        <f t="shared" si="97"/>
        <v>1378360.7270812315</v>
      </c>
      <c r="AO68" s="49">
        <f t="shared" si="97"/>
        <v>951160.98963883938</v>
      </c>
      <c r="AP68" s="49">
        <f t="shared" si="97"/>
        <v>807723.67786616471</v>
      </c>
      <c r="AQ68" s="49">
        <f t="shared" si="97"/>
        <v>1071830.4459348798</v>
      </c>
      <c r="AR68" s="49">
        <f t="shared" si="97"/>
        <v>1361027.792333117</v>
      </c>
      <c r="AS68" s="49">
        <f t="shared" si="97"/>
        <v>1432733.48651519</v>
      </c>
      <c r="AT68" s="49">
        <f t="shared" si="97"/>
        <v>1322179.2642833882</v>
      </c>
      <c r="AU68" s="49">
        <f t="shared" si="97"/>
        <v>1087865.4265500808</v>
      </c>
      <c r="AV68" s="49">
        <f t="shared" ref="AV68:BU68" si="98">IF(AV50="","",+(AV50-AV57)+(AV57*AV60/AV65))</f>
        <v>979499.93887924904</v>
      </c>
      <c r="AW68" s="49">
        <f t="shared" si="98"/>
        <v>1315854.6359199637</v>
      </c>
      <c r="AX68" s="49">
        <f t="shared" si="98"/>
        <v>1452342.8430098211</v>
      </c>
      <c r="AY68" s="49">
        <f t="shared" si="98"/>
        <v>852786.52127385803</v>
      </c>
      <c r="AZ68" s="49">
        <f t="shared" si="98"/>
        <v>125873.38282544476</v>
      </c>
      <c r="BA68" s="49">
        <f t="shared" si="98"/>
        <v>94402.787188311384</v>
      </c>
      <c r="BB68" s="49">
        <f t="shared" si="98"/>
        <v>84175.513069788271</v>
      </c>
      <c r="BC68" s="49">
        <f t="shared" si="98"/>
        <v>111088.05405709325</v>
      </c>
      <c r="BD68" s="49">
        <f t="shared" si="98"/>
        <v>148912.4914773225</v>
      </c>
      <c r="BE68" s="49">
        <f t="shared" si="98"/>
        <v>139614.44094102815</v>
      </c>
      <c r="BF68" s="49">
        <f t="shared" si="98"/>
        <v>125976.71022904465</v>
      </c>
      <c r="BG68" s="49">
        <f t="shared" si="98"/>
        <v>85433.845861912778</v>
      </c>
      <c r="BH68" s="49">
        <f t="shared" si="98"/>
        <v>91258.917890257697</v>
      </c>
      <c r="BI68" s="49">
        <f t="shared" si="98"/>
        <v>120857.06275512144</v>
      </c>
      <c r="BJ68" s="49">
        <f t="shared" si="98"/>
        <v>157131.76386056477</v>
      </c>
      <c r="BK68" s="49">
        <f t="shared" si="98"/>
        <v>-115197.03218943029</v>
      </c>
      <c r="BL68" s="49">
        <f t="shared" si="98"/>
        <v>-330846.44785598782</v>
      </c>
      <c r="BM68" s="49">
        <f t="shared" si="98"/>
        <v>-223865.36362995688</v>
      </c>
      <c r="BN68" s="49">
        <f t="shared" si="98"/>
        <v>-210176.78057078717</v>
      </c>
      <c r="BO68" s="49">
        <f t="shared" si="98"/>
        <v>-274664.86631310626</v>
      </c>
      <c r="BP68" s="49">
        <f t="shared" si="98"/>
        <v>-362529.15554440091</v>
      </c>
      <c r="BQ68" s="49">
        <f t="shared" si="98"/>
        <v>-369792.94310600177</v>
      </c>
      <c r="BR68" s="49">
        <f t="shared" si="98"/>
        <v>-363385.55298456381</v>
      </c>
      <c r="BS68" s="49">
        <f t="shared" ref="BS68" si="99">IF(BS50="","",+(BS50-BS57)+(BS57*BS60/BS65))</f>
        <v>-252118.8064792598</v>
      </c>
      <c r="BT68" s="49">
        <f t="shared" si="98"/>
        <v>-222494.27575388903</v>
      </c>
      <c r="BU68" s="49">
        <f t="shared" si="98"/>
        <v>-322437.00488693145</v>
      </c>
      <c r="BV68" s="128">
        <f>IF(BV50="","",+(BV50-BV57)+(BV57*BV60/BV65))</f>
        <v>-411419.60598783859</v>
      </c>
      <c r="BW68" s="49" t="str">
        <f t="shared" si="97"/>
        <v/>
      </c>
      <c r="BX68" s="49" t="str">
        <f t="shared" si="97"/>
        <v/>
      </c>
      <c r="BY68" s="49" t="str">
        <f t="shared" ref="BY68:CH68" si="100">IF(BY50="","",+(BY50-BY57)+(BY57*BY60/BY65))</f>
        <v/>
      </c>
      <c r="BZ68" s="49" t="str">
        <f t="shared" si="100"/>
        <v/>
      </c>
      <c r="CA68" s="49" t="str">
        <f t="shared" si="100"/>
        <v/>
      </c>
      <c r="CB68" s="49" t="str">
        <f t="shared" si="100"/>
        <v/>
      </c>
      <c r="CC68" s="49" t="str">
        <f t="shared" si="100"/>
        <v/>
      </c>
      <c r="CD68" s="49" t="str">
        <f t="shared" si="100"/>
        <v/>
      </c>
      <c r="CE68" s="49" t="str">
        <f t="shared" si="100"/>
        <v/>
      </c>
      <c r="CF68" s="49" t="str">
        <f t="shared" si="100"/>
        <v/>
      </c>
      <c r="CG68" s="49" t="str">
        <f t="shared" si="100"/>
        <v/>
      </c>
      <c r="CH68" s="49" t="str">
        <f t="shared" si="100"/>
        <v/>
      </c>
      <c r="CI68" s="132"/>
      <c r="CJ68" s="132"/>
      <c r="CK68" s="132"/>
    </row>
    <row r="69" spans="1:89" x14ac:dyDescent="0.3">
      <c r="A69" s="40" t="s">
        <v>34</v>
      </c>
      <c r="B69" s="41"/>
      <c r="C69" s="41"/>
      <c r="D69" s="49">
        <f>+D51+(D57*D61/D65)</f>
        <v>0</v>
      </c>
      <c r="E69" s="49">
        <f t="shared" ref="E69:P69" si="101">+E51+(E57*E61/E65)</f>
        <v>0</v>
      </c>
      <c r="F69" s="49">
        <f t="shared" si="101"/>
        <v>0</v>
      </c>
      <c r="G69" s="49">
        <f t="shared" si="101"/>
        <v>0</v>
      </c>
      <c r="H69" s="49">
        <f t="shared" si="101"/>
        <v>0</v>
      </c>
      <c r="I69" s="49">
        <f t="shared" si="101"/>
        <v>0</v>
      </c>
      <c r="J69" s="49">
        <f t="shared" si="101"/>
        <v>0</v>
      </c>
      <c r="K69" s="49">
        <f t="shared" si="101"/>
        <v>0</v>
      </c>
      <c r="L69" s="49">
        <f t="shared" si="101"/>
        <v>0</v>
      </c>
      <c r="M69" s="49">
        <f t="shared" si="101"/>
        <v>0</v>
      </c>
      <c r="N69" s="49">
        <f t="shared" si="101"/>
        <v>0</v>
      </c>
      <c r="O69" s="49">
        <f t="shared" si="101"/>
        <v>0</v>
      </c>
      <c r="P69" s="49">
        <f t="shared" si="101"/>
        <v>0</v>
      </c>
      <c r="Q69" s="49">
        <f>IF(Q51="","",+Q51+(Q57*Q61/Q65))</f>
        <v>117754.86766427531</v>
      </c>
      <c r="R69" s="49">
        <f t="shared" ref="R69:BX69" si="102">IF(R51="","",+R51+(R57*R61/R65))</f>
        <v>117111.78358657917</v>
      </c>
      <c r="S69" s="49">
        <f t="shared" si="102"/>
        <v>139211.1271761941</v>
      </c>
      <c r="T69" s="49">
        <f t="shared" si="102"/>
        <v>160900.46992761682</v>
      </c>
      <c r="U69" s="49">
        <f t="shared" si="102"/>
        <v>162415.72720926077</v>
      </c>
      <c r="V69" s="49">
        <f t="shared" si="102"/>
        <v>145481.1603029698</v>
      </c>
      <c r="W69" s="49">
        <f t="shared" si="102"/>
        <v>137867.15538119225</v>
      </c>
      <c r="X69" s="49">
        <f t="shared" si="102"/>
        <v>122671.59779667509</v>
      </c>
      <c r="Y69" s="49">
        <f t="shared" si="102"/>
        <v>134648.09810155624</v>
      </c>
      <c r="Z69" s="49">
        <f t="shared" si="102"/>
        <v>193970.45230344273</v>
      </c>
      <c r="AA69" s="51">
        <f>ROUND(IF(AA51="","",+AA51+(AA57*AA61/AA65)),2)</f>
        <v>337014.49</v>
      </c>
      <c r="AB69" s="49">
        <f t="shared" si="102"/>
        <v>295708.57620644657</v>
      </c>
      <c r="AC69" s="49">
        <f t="shared" si="102"/>
        <v>291406.59328999976</v>
      </c>
      <c r="AD69" s="49">
        <f t="shared" si="102"/>
        <v>264923.25566753082</v>
      </c>
      <c r="AE69" s="49">
        <f t="shared" si="102"/>
        <v>333657.21503767214</v>
      </c>
      <c r="AF69" s="49">
        <f t="shared" si="102"/>
        <v>367915.86365673423</v>
      </c>
      <c r="AG69" s="49">
        <f t="shared" si="102"/>
        <v>344001.06732957577</v>
      </c>
      <c r="AH69" s="49">
        <f>IF(AH51="","",+AH51+(AH57*AH61/AH65))</f>
        <v>338126.29031171976</v>
      </c>
      <c r="AI69" s="49">
        <f t="shared" si="102"/>
        <v>297845.76900715684</v>
      </c>
      <c r="AJ69" s="49">
        <f t="shared" si="102"/>
        <v>267618.62093979405</v>
      </c>
      <c r="AK69" s="49">
        <f t="shared" si="102"/>
        <v>322555.10705520917</v>
      </c>
      <c r="AL69" s="49">
        <f t="shared" si="102"/>
        <v>371341.16797562933</v>
      </c>
      <c r="AM69" s="49">
        <f t="shared" si="102"/>
        <v>701136.2388481237</v>
      </c>
      <c r="AN69" s="49">
        <f t="shared" si="102"/>
        <v>660367.02395744435</v>
      </c>
      <c r="AO69" s="49">
        <f t="shared" si="102"/>
        <v>536256.50994038768</v>
      </c>
      <c r="AP69" s="49">
        <f t="shared" si="102"/>
        <v>506299.41162084811</v>
      </c>
      <c r="AQ69" s="49">
        <f t="shared" si="102"/>
        <v>591277.49932374491</v>
      </c>
      <c r="AR69" s="49">
        <f t="shared" si="102"/>
        <v>676039.62753147213</v>
      </c>
      <c r="AS69" s="49">
        <f t="shared" si="102"/>
        <v>694696.60025960801</v>
      </c>
      <c r="AT69" s="49">
        <f t="shared" si="102"/>
        <v>670877.10139883822</v>
      </c>
      <c r="AU69" s="49">
        <f t="shared" si="102"/>
        <v>604713.02387172775</v>
      </c>
      <c r="AV69" s="49">
        <f t="shared" ref="AV69:BV69" si="103">IF(AV51="","",+AV51+(AV57*AV61/AV65))</f>
        <v>541098.36747130833</v>
      </c>
      <c r="AW69" s="49">
        <f t="shared" si="103"/>
        <v>635047.56064080668</v>
      </c>
      <c r="AX69" s="49">
        <f t="shared" si="103"/>
        <v>677042.48835283797</v>
      </c>
      <c r="AY69" s="49">
        <f t="shared" si="103"/>
        <v>415381.06618172349</v>
      </c>
      <c r="AZ69" s="49">
        <f t="shared" si="103"/>
        <v>87488.365088698483</v>
      </c>
      <c r="BA69" s="49">
        <f t="shared" si="103"/>
        <v>64808.481988010986</v>
      </c>
      <c r="BB69" s="49">
        <f t="shared" si="103"/>
        <v>59023.185490174175</v>
      </c>
      <c r="BC69" s="49">
        <f t="shared" si="103"/>
        <v>73834.949720540346</v>
      </c>
      <c r="BD69" s="49">
        <f t="shared" si="103"/>
        <v>92018.552084119583</v>
      </c>
      <c r="BE69" s="49">
        <f t="shared" si="103"/>
        <v>90580.739582948823</v>
      </c>
      <c r="BF69" s="49">
        <f t="shared" si="103"/>
        <v>86046.105340623792</v>
      </c>
      <c r="BG69" s="49">
        <f t="shared" si="103"/>
        <v>69862.512633552527</v>
      </c>
      <c r="BH69" s="49">
        <f t="shared" si="103"/>
        <v>69704.10872407959</v>
      </c>
      <c r="BI69" s="49">
        <f t="shared" si="103"/>
        <v>80360.687024982573</v>
      </c>
      <c r="BJ69" s="49">
        <f t="shared" si="103"/>
        <v>95761.440926806667</v>
      </c>
      <c r="BK69" s="49">
        <f t="shared" si="103"/>
        <v>-1907.9937762007746</v>
      </c>
      <c r="BL69" s="49">
        <f t="shared" si="103"/>
        <v>-102362.10040602235</v>
      </c>
      <c r="BM69" s="49">
        <f t="shared" si="103"/>
        <v>-81659.759942022312</v>
      </c>
      <c r="BN69" s="49">
        <f t="shared" si="103"/>
        <v>-80583.41964173934</v>
      </c>
      <c r="BO69" s="49">
        <f t="shared" si="103"/>
        <v>-95520.020947600293</v>
      </c>
      <c r="BP69" s="49">
        <f t="shared" si="103"/>
        <v>-112468.59809397052</v>
      </c>
      <c r="BQ69" s="49">
        <f t="shared" si="103"/>
        <v>-112970.29647430769</v>
      </c>
      <c r="BR69" s="49">
        <f t="shared" si="103"/>
        <v>-114176.56432782451</v>
      </c>
      <c r="BS69" s="49">
        <f t="shared" ref="BS69" si="104">IF(BS51="","",+BS51+(BS57*BS61/BS65))</f>
        <v>-95359.199900074542</v>
      </c>
      <c r="BT69" s="49">
        <f t="shared" si="103"/>
        <v>-84611.331340096178</v>
      </c>
      <c r="BU69" s="49">
        <f t="shared" si="103"/>
        <v>-100978.66181902603</v>
      </c>
      <c r="BV69" s="128">
        <f t="shared" si="103"/>
        <v>-118602.70482514749</v>
      </c>
      <c r="BW69" s="49" t="str">
        <f t="shared" si="102"/>
        <v/>
      </c>
      <c r="BX69" s="49" t="str">
        <f t="shared" si="102"/>
        <v/>
      </c>
      <c r="BY69" s="49" t="str">
        <f t="shared" ref="BY69:CH69" si="105">IF(BY51="","",+BY51+(BY57*BY61/BY65))</f>
        <v/>
      </c>
      <c r="BZ69" s="49" t="str">
        <f t="shared" si="105"/>
        <v/>
      </c>
      <c r="CA69" s="49" t="str">
        <f t="shared" si="105"/>
        <v/>
      </c>
      <c r="CB69" s="49" t="str">
        <f t="shared" si="105"/>
        <v/>
      </c>
      <c r="CC69" s="49" t="str">
        <f t="shared" si="105"/>
        <v/>
      </c>
      <c r="CD69" s="49" t="str">
        <f t="shared" si="105"/>
        <v/>
      </c>
      <c r="CE69" s="49" t="str">
        <f t="shared" si="105"/>
        <v/>
      </c>
      <c r="CF69" s="49" t="str">
        <f t="shared" si="105"/>
        <v/>
      </c>
      <c r="CG69" s="49" t="str">
        <f t="shared" si="105"/>
        <v/>
      </c>
      <c r="CH69" s="49" t="str">
        <f t="shared" si="105"/>
        <v/>
      </c>
      <c r="CI69" s="132"/>
      <c r="CJ69" s="132"/>
      <c r="CK69" s="132"/>
    </row>
    <row r="70" spans="1:89" x14ac:dyDescent="0.3">
      <c r="A70" s="40" t="s">
        <v>35</v>
      </c>
      <c r="B70" s="41"/>
      <c r="C70" s="41"/>
      <c r="D70" s="49">
        <f>+D52+(D57*D62/D65)</f>
        <v>0</v>
      </c>
      <c r="E70" s="49">
        <f t="shared" ref="E70:P70" si="106">+E52+(E57*E62/E65)</f>
        <v>0</v>
      </c>
      <c r="F70" s="49">
        <f t="shared" si="106"/>
        <v>0</v>
      </c>
      <c r="G70" s="49">
        <f t="shared" si="106"/>
        <v>0</v>
      </c>
      <c r="H70" s="49">
        <f t="shared" si="106"/>
        <v>0</v>
      </c>
      <c r="I70" s="49">
        <f t="shared" si="106"/>
        <v>0</v>
      </c>
      <c r="J70" s="49">
        <f t="shared" si="106"/>
        <v>0</v>
      </c>
      <c r="K70" s="49">
        <f t="shared" si="106"/>
        <v>0</v>
      </c>
      <c r="L70" s="49">
        <f t="shared" si="106"/>
        <v>0</v>
      </c>
      <c r="M70" s="49">
        <f t="shared" si="106"/>
        <v>0</v>
      </c>
      <c r="N70" s="49">
        <f t="shared" si="106"/>
        <v>0</v>
      </c>
      <c r="O70" s="49">
        <f t="shared" si="106"/>
        <v>0</v>
      </c>
      <c r="P70" s="49">
        <f t="shared" si="106"/>
        <v>0</v>
      </c>
      <c r="Q70" s="49">
        <f>IF(Q52="","",+Q52+(Q57*Q62/Q65))</f>
        <v>297067.25661237026</v>
      </c>
      <c r="R70" s="49">
        <f t="shared" ref="R70:BX70" si="107">IF(R52="","",+R52+(R57*R62/R65))</f>
        <v>306858.76704664429</v>
      </c>
      <c r="S70" s="49">
        <f t="shared" si="107"/>
        <v>347930.82125503593</v>
      </c>
      <c r="T70" s="49">
        <f t="shared" si="107"/>
        <v>377801.41744412482</v>
      </c>
      <c r="U70" s="49">
        <f t="shared" si="107"/>
        <v>384838.10767902108</v>
      </c>
      <c r="V70" s="49">
        <f t="shared" si="107"/>
        <v>363327.24534638016</v>
      </c>
      <c r="W70" s="49">
        <f t="shared" si="107"/>
        <v>349151.70540680212</v>
      </c>
      <c r="X70" s="49">
        <f t="shared" si="107"/>
        <v>312029.63241835893</v>
      </c>
      <c r="Y70" s="49">
        <f t="shared" si="107"/>
        <v>324930.27431740938</v>
      </c>
      <c r="Z70" s="49">
        <f t="shared" si="107"/>
        <v>389339.8693849984</v>
      </c>
      <c r="AA70" s="51">
        <f>ROUND(IF(AA52="","",+AA52+(AA57*AA62/AA65)),2)</f>
        <v>556625.86</v>
      </c>
      <c r="AB70" s="49">
        <f t="shared" si="107"/>
        <v>519727.84944586566</v>
      </c>
      <c r="AC70" s="49">
        <f t="shared" si="107"/>
        <v>524323.57207482436</v>
      </c>
      <c r="AD70" s="49">
        <f t="shared" si="107"/>
        <v>522730.47478252684</v>
      </c>
      <c r="AE70" s="49">
        <f t="shared" si="107"/>
        <v>623624.8655420111</v>
      </c>
      <c r="AF70" s="49">
        <f t="shared" si="107"/>
        <v>661725.50586693978</v>
      </c>
      <c r="AG70" s="49">
        <f t="shared" si="107"/>
        <v>626757.48216571088</v>
      </c>
      <c r="AH70" s="49">
        <f t="shared" si="107"/>
        <v>638007.84216665139</v>
      </c>
      <c r="AI70" s="49">
        <f t="shared" si="107"/>
        <v>579490.47761485481</v>
      </c>
      <c r="AJ70" s="49">
        <f t="shared" si="107"/>
        <v>513641.84877388977</v>
      </c>
      <c r="AK70" s="49">
        <f t="shared" si="107"/>
        <v>557457.11362508603</v>
      </c>
      <c r="AL70" s="49">
        <f t="shared" si="107"/>
        <v>608808.22123092401</v>
      </c>
      <c r="AM70" s="49">
        <f t="shared" si="107"/>
        <v>1107018.1450648431</v>
      </c>
      <c r="AN70" s="49">
        <f t="shared" si="107"/>
        <v>1050923.1514029966</v>
      </c>
      <c r="AO70" s="49">
        <f t="shared" si="107"/>
        <v>946394.49189445085</v>
      </c>
      <c r="AP70" s="49">
        <f t="shared" si="107"/>
        <v>980269.66694109701</v>
      </c>
      <c r="AQ70" s="49">
        <f t="shared" si="107"/>
        <v>1091122.5576982794</v>
      </c>
      <c r="AR70" s="49">
        <f t="shared" si="107"/>
        <v>1173345.4165751</v>
      </c>
      <c r="AS70" s="49">
        <f t="shared" si="107"/>
        <v>1200301.9882335844</v>
      </c>
      <c r="AT70" s="49">
        <f t="shared" si="107"/>
        <v>1212308.9277305761</v>
      </c>
      <c r="AU70" s="49">
        <f t="shared" si="107"/>
        <v>1113467.1918631792</v>
      </c>
      <c r="AV70" s="49">
        <f t="shared" ref="AV70:BV70" si="108">IF(AV52="","",+AV52+(AV57*AV62/AV65))</f>
        <v>981117.22422696999</v>
      </c>
      <c r="AW70" s="49">
        <f t="shared" si="108"/>
        <v>1062930.0447087046</v>
      </c>
      <c r="AX70" s="49">
        <f t="shared" si="108"/>
        <v>1099098.7608177634</v>
      </c>
      <c r="AY70" s="49">
        <f t="shared" si="108"/>
        <v>764411.39598139795</v>
      </c>
      <c r="AZ70" s="49">
        <f t="shared" si="108"/>
        <v>318623.73714683513</v>
      </c>
      <c r="BA70" s="49">
        <f t="shared" si="108"/>
        <v>268197.12227908301</v>
      </c>
      <c r="BB70" s="49">
        <f t="shared" si="108"/>
        <v>249075.16076692482</v>
      </c>
      <c r="BC70" s="49">
        <f t="shared" si="108"/>
        <v>296551.86746010336</v>
      </c>
      <c r="BD70" s="49">
        <f t="shared" si="108"/>
        <v>346227.00320999854</v>
      </c>
      <c r="BE70" s="49">
        <f t="shared" si="108"/>
        <v>344571.98080537363</v>
      </c>
      <c r="BF70" s="49">
        <f t="shared" si="108"/>
        <v>343418.65957003599</v>
      </c>
      <c r="BG70" s="49">
        <f t="shared" si="108"/>
        <v>293034.59528354992</v>
      </c>
      <c r="BH70" s="49">
        <f t="shared" si="108"/>
        <v>285307.32387214003</v>
      </c>
      <c r="BI70" s="49">
        <f t="shared" si="108"/>
        <v>306551.46210147406</v>
      </c>
      <c r="BJ70" s="49">
        <f t="shared" si="108"/>
        <v>328395.30665898882</v>
      </c>
      <c r="BK70" s="49">
        <f t="shared" si="108"/>
        <v>129041.97894362173</v>
      </c>
      <c r="BL70" s="49">
        <f t="shared" si="108"/>
        <v>-116248.37555983226</v>
      </c>
      <c r="BM70" s="49">
        <f t="shared" si="108"/>
        <v>-104613.38045356744</v>
      </c>
      <c r="BN70" s="49">
        <f t="shared" si="108"/>
        <v>-106758.31587632833</v>
      </c>
      <c r="BO70" s="49">
        <f t="shared" si="108"/>
        <v>-119183.41184852651</v>
      </c>
      <c r="BP70" s="49">
        <f t="shared" si="108"/>
        <v>-138596.39079341319</v>
      </c>
      <c r="BQ70" s="49">
        <f t="shared" si="108"/>
        <v>-137793.28735156739</v>
      </c>
      <c r="BR70" s="49">
        <f t="shared" si="108"/>
        <v>-140452.99254978076</v>
      </c>
      <c r="BS70" s="49">
        <f t="shared" ref="BS70" si="109">IF(BS52="","",+BS52+(BS57*BS62/BS65))</f>
        <v>-123659.88827741763</v>
      </c>
      <c r="BT70" s="49">
        <f t="shared" si="108"/>
        <v>-112248.85347716155</v>
      </c>
      <c r="BU70" s="49">
        <f t="shared" si="108"/>
        <v>-120979.45863564272</v>
      </c>
      <c r="BV70" s="128">
        <f t="shared" si="108"/>
        <v>-132099.30925276288</v>
      </c>
      <c r="BW70" s="49" t="str">
        <f t="shared" si="107"/>
        <v/>
      </c>
      <c r="BX70" s="49" t="str">
        <f t="shared" si="107"/>
        <v/>
      </c>
      <c r="BY70" s="49" t="str">
        <f t="shared" ref="BY70:CH70" si="110">IF(BY52="","",+BY52+(BY57*BY62/BY65))</f>
        <v/>
      </c>
      <c r="BZ70" s="49" t="str">
        <f t="shared" si="110"/>
        <v/>
      </c>
      <c r="CA70" s="49" t="str">
        <f t="shared" si="110"/>
        <v/>
      </c>
      <c r="CB70" s="49" t="str">
        <f t="shared" si="110"/>
        <v/>
      </c>
      <c r="CC70" s="49" t="str">
        <f t="shared" si="110"/>
        <v/>
      </c>
      <c r="CD70" s="49" t="str">
        <f t="shared" si="110"/>
        <v/>
      </c>
      <c r="CE70" s="49" t="str">
        <f t="shared" si="110"/>
        <v/>
      </c>
      <c r="CF70" s="49" t="str">
        <f t="shared" si="110"/>
        <v/>
      </c>
      <c r="CG70" s="49" t="str">
        <f t="shared" si="110"/>
        <v/>
      </c>
      <c r="CH70" s="49" t="str">
        <f t="shared" si="110"/>
        <v/>
      </c>
      <c r="CI70" s="132"/>
      <c r="CJ70" s="132"/>
      <c r="CK70" s="132"/>
    </row>
    <row r="71" spans="1:89" x14ac:dyDescent="0.3">
      <c r="A71" s="40" t="s">
        <v>36</v>
      </c>
      <c r="B71" s="41"/>
      <c r="C71" s="41"/>
      <c r="D71" s="49">
        <f>+D53+(D57*D63/D65)</f>
        <v>0</v>
      </c>
      <c r="E71" s="49">
        <f t="shared" ref="E71:P71" si="111">+E53+(E57*E63/E65)</f>
        <v>0</v>
      </c>
      <c r="F71" s="49">
        <f t="shared" si="111"/>
        <v>0</v>
      </c>
      <c r="G71" s="49">
        <f t="shared" si="111"/>
        <v>0</v>
      </c>
      <c r="H71" s="49">
        <f t="shared" si="111"/>
        <v>0</v>
      </c>
      <c r="I71" s="49">
        <f t="shared" si="111"/>
        <v>0</v>
      </c>
      <c r="J71" s="49">
        <f t="shared" si="111"/>
        <v>0</v>
      </c>
      <c r="K71" s="49">
        <f t="shared" si="111"/>
        <v>0</v>
      </c>
      <c r="L71" s="49">
        <f t="shared" si="111"/>
        <v>0</v>
      </c>
      <c r="M71" s="49">
        <f t="shared" si="111"/>
        <v>0</v>
      </c>
      <c r="N71" s="49">
        <f t="shared" si="111"/>
        <v>0</v>
      </c>
      <c r="O71" s="49">
        <f t="shared" si="111"/>
        <v>0</v>
      </c>
      <c r="P71" s="49">
        <f t="shared" si="111"/>
        <v>0</v>
      </c>
      <c r="Q71" s="49">
        <f>IF(Q53="","",+Q53+(Q57*Q63/Q65))</f>
        <v>283136.40886630391</v>
      </c>
      <c r="R71" s="49">
        <f t="shared" ref="R71:BX71" si="112">IF(R53="","",+R53+(R57*R63/R65))</f>
        <v>287460.81327816768</v>
      </c>
      <c r="S71" s="49">
        <f t="shared" si="112"/>
        <v>330409.77575572423</v>
      </c>
      <c r="T71" s="49">
        <f t="shared" si="112"/>
        <v>323201.37525993661</v>
      </c>
      <c r="U71" s="49">
        <f t="shared" si="112"/>
        <v>340944.20704658219</v>
      </c>
      <c r="V71" s="49">
        <f t="shared" si="112"/>
        <v>328289.08781066153</v>
      </c>
      <c r="W71" s="49">
        <f t="shared" si="112"/>
        <v>321452.90171375725</v>
      </c>
      <c r="X71" s="49">
        <f t="shared" si="112"/>
        <v>288778.65587559086</v>
      </c>
      <c r="Y71" s="49">
        <f t="shared" si="112"/>
        <v>301751.31193612184</v>
      </c>
      <c r="Z71" s="49">
        <f t="shared" si="112"/>
        <v>332299.53125242464</v>
      </c>
      <c r="AA71" s="91">
        <f>ROUND(IF(AA53="","",+AA53+(AA57*AA63/AA65)),2)-0.01</f>
        <v>302428.95</v>
      </c>
      <c r="AB71" s="49">
        <f t="shared" si="112"/>
        <v>301943.60981245001</v>
      </c>
      <c r="AC71" s="49">
        <f t="shared" si="112"/>
        <v>278699.7057611302</v>
      </c>
      <c r="AD71" s="49">
        <f t="shared" si="112"/>
        <v>322370.88601313852</v>
      </c>
      <c r="AE71" s="49">
        <f t="shared" si="112"/>
        <v>349751.02773569047</v>
      </c>
      <c r="AF71" s="49">
        <f t="shared" si="112"/>
        <v>361975.97928185289</v>
      </c>
      <c r="AG71" s="49">
        <f t="shared" si="112"/>
        <v>356032.65352996916</v>
      </c>
      <c r="AH71" s="49">
        <f t="shared" si="112"/>
        <v>346604.60421828728</v>
      </c>
      <c r="AI71" s="49">
        <f t="shared" si="112"/>
        <v>324956.79952393915</v>
      </c>
      <c r="AJ71" s="49">
        <f t="shared" si="112"/>
        <v>301584.85459624138</v>
      </c>
      <c r="AK71" s="49">
        <f t="shared" si="112"/>
        <v>323402.5858220082</v>
      </c>
      <c r="AL71" s="49">
        <f t="shared" si="112"/>
        <v>296745.40272335312</v>
      </c>
      <c r="AM71" s="49">
        <f t="shared" si="112"/>
        <v>355667.68860749144</v>
      </c>
      <c r="AN71" s="49">
        <f t="shared" si="112"/>
        <v>352302.39917248994</v>
      </c>
      <c r="AO71" s="49">
        <f t="shared" si="112"/>
        <v>338612.44673821039</v>
      </c>
      <c r="AP71" s="49">
        <f t="shared" si="112"/>
        <v>338607.64249172056</v>
      </c>
      <c r="AQ71" s="49">
        <f t="shared" si="112"/>
        <v>393628.70516997529</v>
      </c>
      <c r="AR71" s="49">
        <f t="shared" si="112"/>
        <v>395351.293050832</v>
      </c>
      <c r="AS71" s="49">
        <f t="shared" si="112"/>
        <v>414954.8489846529</v>
      </c>
      <c r="AT71" s="49">
        <f t="shared" si="112"/>
        <v>412666.27260449337</v>
      </c>
      <c r="AU71" s="49">
        <f t="shared" si="112"/>
        <v>382499.83186560834</v>
      </c>
      <c r="AV71" s="49">
        <f t="shared" ref="AV71:BV71" si="113">IF(AV53="","",+AV53+(AV57*AV63/AV65))</f>
        <v>352969.01405759109</v>
      </c>
      <c r="AW71" s="49">
        <f t="shared" si="113"/>
        <v>354749.07044000481</v>
      </c>
      <c r="AX71" s="49">
        <f t="shared" si="113"/>
        <v>364800.86761435715</v>
      </c>
      <c r="AY71" s="49">
        <f t="shared" si="113"/>
        <v>290547.34153219213</v>
      </c>
      <c r="AZ71" s="49">
        <f t="shared" si="113"/>
        <v>123016.66955581112</v>
      </c>
      <c r="BA71" s="49">
        <f t="shared" si="113"/>
        <v>118618.96587713738</v>
      </c>
      <c r="BB71" s="49">
        <f t="shared" si="113"/>
        <v>111705.70022132192</v>
      </c>
      <c r="BC71" s="49">
        <f t="shared" si="113"/>
        <v>130125.71091968814</v>
      </c>
      <c r="BD71" s="49">
        <f t="shared" si="113"/>
        <v>136950.86579751672</v>
      </c>
      <c r="BE71" s="49">
        <f t="shared" si="113"/>
        <v>143566.43039610708</v>
      </c>
      <c r="BF71" s="49">
        <f t="shared" si="113"/>
        <v>143625.78644107448</v>
      </c>
      <c r="BG71" s="49">
        <f t="shared" si="113"/>
        <v>127662.31996824293</v>
      </c>
      <c r="BH71" s="49">
        <f t="shared" si="113"/>
        <v>126708.68055025722</v>
      </c>
      <c r="BI71" s="49">
        <f t="shared" si="113"/>
        <v>132518.9610920955</v>
      </c>
      <c r="BJ71" s="49">
        <f t="shared" si="113"/>
        <v>130056.06716620013</v>
      </c>
      <c r="BK71" s="49">
        <f t="shared" si="113"/>
        <v>73469.336246691571</v>
      </c>
      <c r="BL71" s="49">
        <f t="shared" si="113"/>
        <v>-22612.659176541922</v>
      </c>
      <c r="BM71" s="49">
        <f t="shared" si="113"/>
        <v>-24415.905916675132</v>
      </c>
      <c r="BN71" s="49">
        <f t="shared" si="113"/>
        <v>-26227.136477870259</v>
      </c>
      <c r="BO71" s="49">
        <f t="shared" si="113"/>
        <v>-23636.693041994658</v>
      </c>
      <c r="BP71" s="49">
        <f t="shared" si="113"/>
        <v>-32709.066060894642</v>
      </c>
      <c r="BQ71" s="49">
        <f t="shared" si="113"/>
        <v>-30007.954013018152</v>
      </c>
      <c r="BR71" s="49">
        <f t="shared" si="113"/>
        <v>-30398.556259296256</v>
      </c>
      <c r="BS71" s="49">
        <f t="shared" ref="BS71" si="114">IF(BS53="","",+BS53+(BS57*BS63/BS65))</f>
        <v>-26335.111362820855</v>
      </c>
      <c r="BT71" s="49">
        <f t="shared" si="113"/>
        <v>-26458.688458180564</v>
      </c>
      <c r="BU71" s="49">
        <f t="shared" si="113"/>
        <v>-27309.726788965992</v>
      </c>
      <c r="BV71" s="128">
        <f t="shared" si="113"/>
        <v>-27703.751434383714</v>
      </c>
      <c r="BW71" s="49" t="str">
        <f t="shared" si="112"/>
        <v/>
      </c>
      <c r="BX71" s="49" t="str">
        <f t="shared" si="112"/>
        <v/>
      </c>
      <c r="BY71" s="49" t="str">
        <f t="shared" ref="BY71:CH71" si="115">IF(BY53="","",+BY53+(BY57*BY63/BY65))</f>
        <v/>
      </c>
      <c r="BZ71" s="49" t="str">
        <f t="shared" si="115"/>
        <v/>
      </c>
      <c r="CA71" s="49" t="str">
        <f t="shared" si="115"/>
        <v/>
      </c>
      <c r="CB71" s="49" t="str">
        <f t="shared" si="115"/>
        <v/>
      </c>
      <c r="CC71" s="49" t="str">
        <f t="shared" si="115"/>
        <v/>
      </c>
      <c r="CD71" s="49" t="str">
        <f t="shared" si="115"/>
        <v/>
      </c>
      <c r="CE71" s="49" t="str">
        <f t="shared" si="115"/>
        <v/>
      </c>
      <c r="CF71" s="49" t="str">
        <f t="shared" si="115"/>
        <v/>
      </c>
      <c r="CG71" s="49" t="str">
        <f t="shared" si="115"/>
        <v/>
      </c>
      <c r="CH71" s="49" t="str">
        <f t="shared" si="115"/>
        <v/>
      </c>
      <c r="CI71" s="132"/>
      <c r="CJ71" s="132"/>
      <c r="CK71" s="132"/>
    </row>
    <row r="72" spans="1:89" x14ac:dyDescent="0.3">
      <c r="A72" s="40" t="s">
        <v>37</v>
      </c>
      <c r="B72" s="41"/>
      <c r="C72" s="41"/>
      <c r="D72" s="49">
        <f>+D54+(D57*D64/D65)</f>
        <v>0</v>
      </c>
      <c r="E72" s="49">
        <f t="shared" ref="E72:P72" si="116">+E54+(E57*E64/E65)</f>
        <v>0</v>
      </c>
      <c r="F72" s="49">
        <f t="shared" si="116"/>
        <v>0</v>
      </c>
      <c r="G72" s="49">
        <f t="shared" si="116"/>
        <v>0</v>
      </c>
      <c r="H72" s="49">
        <f t="shared" si="116"/>
        <v>0</v>
      </c>
      <c r="I72" s="49">
        <f t="shared" si="116"/>
        <v>0</v>
      </c>
      <c r="J72" s="49">
        <f t="shared" si="116"/>
        <v>0</v>
      </c>
      <c r="K72" s="49">
        <f t="shared" si="116"/>
        <v>0</v>
      </c>
      <c r="L72" s="49">
        <f t="shared" si="116"/>
        <v>0</v>
      </c>
      <c r="M72" s="49">
        <f t="shared" si="116"/>
        <v>0</v>
      </c>
      <c r="N72" s="49">
        <f t="shared" si="116"/>
        <v>0</v>
      </c>
      <c r="O72" s="49">
        <f t="shared" si="116"/>
        <v>0</v>
      </c>
      <c r="P72" s="49">
        <f t="shared" si="116"/>
        <v>0</v>
      </c>
      <c r="Q72" s="49">
        <f>IF(Q54="","",+Q54+(Q57*Q64/Q65))</f>
        <v>183651.06125723169</v>
      </c>
      <c r="R72" s="49">
        <f t="shared" ref="R72:BX72" si="117">IF(R54="","",+R54+(R57*R64/R65))</f>
        <v>187110.90550820582</v>
      </c>
      <c r="S72" s="49">
        <f t="shared" si="117"/>
        <v>223442.58102316182</v>
      </c>
      <c r="T72" s="49">
        <f t="shared" si="117"/>
        <v>211112.22603032622</v>
      </c>
      <c r="U72" s="49">
        <f t="shared" si="117"/>
        <v>233963.66032568182</v>
      </c>
      <c r="V72" s="49">
        <f t="shared" si="117"/>
        <v>223064.28470931173</v>
      </c>
      <c r="W72" s="49">
        <f t="shared" si="117"/>
        <v>212741.63673550039</v>
      </c>
      <c r="X72" s="49">
        <f t="shared" si="117"/>
        <v>202298.65943791193</v>
      </c>
      <c r="Y72" s="49">
        <f t="shared" si="117"/>
        <v>185145.40058784836</v>
      </c>
      <c r="Z72" s="49">
        <f t="shared" si="117"/>
        <v>187242.02591890033</v>
      </c>
      <c r="AA72" s="51">
        <f>ROUND(IF(AA54="","",+AA54+(AA57*AA64/AA65)),2)</f>
        <v>102199.67</v>
      </c>
      <c r="AB72" s="49">
        <f t="shared" si="117"/>
        <v>15774.991410991883</v>
      </c>
      <c r="AC72" s="49">
        <f t="shared" si="117"/>
        <v>14999.076289049191</v>
      </c>
      <c r="AD72" s="49">
        <f t="shared" si="117"/>
        <v>17802.440022199695</v>
      </c>
      <c r="AE72" s="49">
        <f t="shared" si="117"/>
        <v>19775.612550633668</v>
      </c>
      <c r="AF72" s="49">
        <f t="shared" si="117"/>
        <v>11062.273989486501</v>
      </c>
      <c r="AG72" s="49">
        <f t="shared" si="117"/>
        <v>20313.771907757455</v>
      </c>
      <c r="AH72" s="49">
        <f t="shared" si="117"/>
        <v>19132.25484498954</v>
      </c>
      <c r="AI72" s="49">
        <f t="shared" si="117"/>
        <v>18842.570934578442</v>
      </c>
      <c r="AJ72" s="49">
        <f t="shared" si="117"/>
        <v>17291.908336856264</v>
      </c>
      <c r="AK72" s="49">
        <f t="shared" si="117"/>
        <v>16424.771759142779</v>
      </c>
      <c r="AL72" s="49">
        <f t="shared" si="117"/>
        <v>19194.293385468092</v>
      </c>
      <c r="AM72" s="49">
        <f t="shared" si="117"/>
        <v>38886.814638059877</v>
      </c>
      <c r="AN72" s="49">
        <f t="shared" si="117"/>
        <v>62163.30838583759</v>
      </c>
      <c r="AO72" s="49">
        <f t="shared" si="117"/>
        <v>62277.891788111709</v>
      </c>
      <c r="AP72" s="49">
        <f t="shared" si="117"/>
        <v>61090.351080169654</v>
      </c>
      <c r="AQ72" s="49">
        <f t="shared" si="117"/>
        <v>77031.361873120681</v>
      </c>
      <c r="AR72" s="49">
        <f t="shared" si="117"/>
        <v>71605.590509478847</v>
      </c>
      <c r="AS72" s="49">
        <f t="shared" si="117"/>
        <v>79252.326006964737</v>
      </c>
      <c r="AT72" s="49">
        <f t="shared" si="117"/>
        <v>80418.423982704393</v>
      </c>
      <c r="AU72" s="49">
        <f t="shared" si="117"/>
        <v>75914.605849404077</v>
      </c>
      <c r="AV72" s="49">
        <f t="shared" ref="AV72:BV72" si="118">IF(AV54="","",+AV54+(AV57*AV64/AV65))</f>
        <v>67084.185364881603</v>
      </c>
      <c r="AW72" s="49">
        <f t="shared" si="118"/>
        <v>62856.748290520285</v>
      </c>
      <c r="AX72" s="49">
        <f t="shared" si="118"/>
        <v>66459.230205220156</v>
      </c>
      <c r="AY72" s="49">
        <f t="shared" si="118"/>
        <v>66430.245030828315</v>
      </c>
      <c r="AZ72" s="49">
        <f t="shared" si="118"/>
        <v>38508.585383210528</v>
      </c>
      <c r="BA72" s="49">
        <f t="shared" si="118"/>
        <v>44139.712667457272</v>
      </c>
      <c r="BB72" s="49">
        <f t="shared" si="118"/>
        <v>44831.320451790816</v>
      </c>
      <c r="BC72" s="49">
        <f t="shared" si="118"/>
        <v>11299.677842574871</v>
      </c>
      <c r="BD72" s="49">
        <f t="shared" si="118"/>
        <v>50403.777431042647</v>
      </c>
      <c r="BE72" s="49">
        <f t="shared" si="118"/>
        <v>51924.778274542303</v>
      </c>
      <c r="BF72" s="49">
        <f t="shared" si="118"/>
        <v>52673.048419221035</v>
      </c>
      <c r="BG72" s="49">
        <f t="shared" si="118"/>
        <v>46395.596252741838</v>
      </c>
      <c r="BH72" s="49">
        <f t="shared" si="118"/>
        <v>45485.528963265475</v>
      </c>
      <c r="BI72" s="49">
        <f t="shared" si="118"/>
        <v>46424.397026326449</v>
      </c>
      <c r="BJ72" s="49">
        <f t="shared" si="118"/>
        <v>42444.211387439616</v>
      </c>
      <c r="BK72" s="49">
        <f t="shared" si="118"/>
        <v>37845.94077531778</v>
      </c>
      <c r="BL72" s="49">
        <f t="shared" si="118"/>
        <v>-731.33700161567504</v>
      </c>
      <c r="BM72" s="49">
        <f t="shared" si="118"/>
        <v>1437.7999422217736</v>
      </c>
      <c r="BN72" s="49">
        <f t="shared" si="118"/>
        <v>1448.8425667251033</v>
      </c>
      <c r="BO72" s="49">
        <f t="shared" si="118"/>
        <v>1380.7821512277105</v>
      </c>
      <c r="BP72" s="49">
        <f t="shared" si="118"/>
        <v>1767.2604926793401</v>
      </c>
      <c r="BQ72" s="49">
        <f t="shared" si="118"/>
        <v>1691.5909448949833</v>
      </c>
      <c r="BR72" s="49">
        <f t="shared" si="118"/>
        <v>1824.9961214654177</v>
      </c>
      <c r="BS72" s="49">
        <f t="shared" ref="BS72" si="119">IF(BS54="","",+BS54+(BS57*BS64/BS65))</f>
        <v>1633.3060195728406</v>
      </c>
      <c r="BT72" s="49">
        <f t="shared" si="118"/>
        <v>1516.4702313379935</v>
      </c>
      <c r="BU72" s="49">
        <f t="shared" si="118"/>
        <v>1543.877757784162</v>
      </c>
      <c r="BV72" s="128">
        <f t="shared" si="118"/>
        <v>1569.3618023591519</v>
      </c>
      <c r="BW72" s="49" t="str">
        <f t="shared" si="117"/>
        <v/>
      </c>
      <c r="BX72" s="49" t="str">
        <f t="shared" si="117"/>
        <v/>
      </c>
      <c r="BY72" s="49" t="str">
        <f t="shared" ref="BY72:CH72" si="120">IF(BY54="","",+BY54+(BY57*BY64/BY65))</f>
        <v/>
      </c>
      <c r="BZ72" s="49" t="str">
        <f t="shared" si="120"/>
        <v/>
      </c>
      <c r="CA72" s="49" t="str">
        <f t="shared" si="120"/>
        <v/>
      </c>
      <c r="CB72" s="49" t="str">
        <f t="shared" si="120"/>
        <v/>
      </c>
      <c r="CC72" s="49" t="str">
        <f t="shared" si="120"/>
        <v/>
      </c>
      <c r="CD72" s="49" t="str">
        <f t="shared" si="120"/>
        <v/>
      </c>
      <c r="CE72" s="49" t="str">
        <f t="shared" si="120"/>
        <v/>
      </c>
      <c r="CF72" s="49" t="str">
        <f t="shared" si="120"/>
        <v/>
      </c>
      <c r="CG72" s="49" t="str">
        <f t="shared" si="120"/>
        <v/>
      </c>
      <c r="CH72" s="49" t="str">
        <f t="shared" si="120"/>
        <v/>
      </c>
      <c r="CI72" s="132"/>
      <c r="CJ72" s="132"/>
      <c r="CK72" s="132"/>
    </row>
    <row r="73" spans="1:89" x14ac:dyDescent="0.3">
      <c r="A73" s="35" t="s">
        <v>31</v>
      </c>
      <c r="B73" s="33"/>
      <c r="C73" s="33"/>
      <c r="D73" s="48">
        <f>SUM(D68:D72)</f>
        <v>0</v>
      </c>
      <c r="E73" s="48">
        <f t="shared" ref="E73:BX73" si="121">SUM(E68:E72)</f>
        <v>0</v>
      </c>
      <c r="F73" s="48">
        <f t="shared" si="121"/>
        <v>0</v>
      </c>
      <c r="G73" s="48">
        <f t="shared" si="121"/>
        <v>0</v>
      </c>
      <c r="H73" s="48">
        <f t="shared" si="121"/>
        <v>0</v>
      </c>
      <c r="I73" s="48">
        <f t="shared" si="121"/>
        <v>0</v>
      </c>
      <c r="J73" s="48">
        <f t="shared" si="121"/>
        <v>0</v>
      </c>
      <c r="K73" s="48">
        <f t="shared" si="121"/>
        <v>0</v>
      </c>
      <c r="L73" s="48">
        <f t="shared" si="121"/>
        <v>0</v>
      </c>
      <c r="M73" s="48">
        <f t="shared" si="121"/>
        <v>0</v>
      </c>
      <c r="N73" s="48">
        <f t="shared" si="121"/>
        <v>0</v>
      </c>
      <c r="O73" s="48">
        <f t="shared" si="121"/>
        <v>0</v>
      </c>
      <c r="P73" s="48">
        <f t="shared" si="121"/>
        <v>0</v>
      </c>
      <c r="Q73" s="48">
        <f t="shared" si="121"/>
        <v>1865586.4</v>
      </c>
      <c r="R73" s="48">
        <f t="shared" si="121"/>
        <v>1834668.94</v>
      </c>
      <c r="S73" s="48">
        <f t="shared" si="121"/>
        <v>2295880.5499999998</v>
      </c>
      <c r="T73" s="48">
        <f t="shared" si="121"/>
        <v>2739739.71</v>
      </c>
      <c r="U73" s="48">
        <f t="shared" si="121"/>
        <v>2810029.67</v>
      </c>
      <c r="V73" s="48">
        <f t="shared" si="121"/>
        <v>2397146.59</v>
      </c>
      <c r="W73" s="48">
        <f t="shared" si="121"/>
        <v>2196198.75</v>
      </c>
      <c r="X73" s="48">
        <f t="shared" si="121"/>
        <v>1955310.19</v>
      </c>
      <c r="Y73" s="48">
        <f t="shared" si="121"/>
        <v>2272928.3199999998</v>
      </c>
      <c r="Z73" s="48">
        <f t="shared" si="121"/>
        <v>3133513.62</v>
      </c>
      <c r="AA73" s="48">
        <f t="shared" si="121"/>
        <v>2686519.3200000003</v>
      </c>
      <c r="AB73" s="48">
        <f t="shared" si="121"/>
        <v>2253809.6800000002</v>
      </c>
      <c r="AC73" s="48">
        <f t="shared" si="121"/>
        <v>2191880.62</v>
      </c>
      <c r="AD73" s="48">
        <f t="shared" si="121"/>
        <v>2008078.91</v>
      </c>
      <c r="AE73" s="48">
        <f t="shared" si="121"/>
        <v>2628092.9099999997</v>
      </c>
      <c r="AF73" s="48">
        <f t="shared" si="121"/>
        <v>2927384.48</v>
      </c>
      <c r="AG73" s="48">
        <f t="shared" si="121"/>
        <v>2713828.67</v>
      </c>
      <c r="AH73" s="48">
        <f t="shared" si="121"/>
        <v>2656476.1</v>
      </c>
      <c r="AI73" s="48">
        <f t="shared" si="121"/>
        <v>2241568.5699999998</v>
      </c>
      <c r="AJ73" s="48">
        <f t="shared" si="121"/>
        <v>2050332.64</v>
      </c>
      <c r="AK73" s="48">
        <f t="shared" si="121"/>
        <v>2540211.5599999996</v>
      </c>
      <c r="AL73" s="48">
        <f t="shared" si="121"/>
        <v>2758522.64</v>
      </c>
      <c r="AM73" s="48">
        <f t="shared" si="121"/>
        <v>3731846.2900000005</v>
      </c>
      <c r="AN73" s="48">
        <f t="shared" si="121"/>
        <v>3504116.6100000003</v>
      </c>
      <c r="AO73" s="48">
        <f t="shared" si="121"/>
        <v>2834702.33</v>
      </c>
      <c r="AP73" s="48">
        <f t="shared" si="121"/>
        <v>2693990.75</v>
      </c>
      <c r="AQ73" s="48">
        <f t="shared" si="121"/>
        <v>3224890.5700000003</v>
      </c>
      <c r="AR73" s="48">
        <f t="shared" si="121"/>
        <v>3677369.72</v>
      </c>
      <c r="AS73" s="48">
        <f t="shared" si="121"/>
        <v>3821939.25</v>
      </c>
      <c r="AT73" s="48">
        <f t="shared" si="121"/>
        <v>3698449.9900000007</v>
      </c>
      <c r="AU73" s="48">
        <f t="shared" si="121"/>
        <v>3264460.0799999996</v>
      </c>
      <c r="AV73" s="48">
        <f t="shared" ref="AV73:BV73" si="122">SUM(AV68:AV72)</f>
        <v>2921768.73</v>
      </c>
      <c r="AW73" s="48">
        <f t="shared" si="122"/>
        <v>3431438.0599999996</v>
      </c>
      <c r="AX73" s="48">
        <f t="shared" si="122"/>
        <v>3659744.19</v>
      </c>
      <c r="AY73" s="48">
        <f t="shared" si="122"/>
        <v>2389556.5699999998</v>
      </c>
      <c r="AZ73" s="48">
        <f t="shared" si="122"/>
        <v>693510.74000000011</v>
      </c>
      <c r="BA73" s="48">
        <f t="shared" si="122"/>
        <v>590167.07000000007</v>
      </c>
      <c r="BB73" s="48">
        <f t="shared" si="122"/>
        <v>548810.88</v>
      </c>
      <c r="BC73" s="48">
        <f t="shared" si="122"/>
        <v>622900.26</v>
      </c>
      <c r="BD73" s="48">
        <f t="shared" si="122"/>
        <v>774512.69</v>
      </c>
      <c r="BE73" s="48">
        <f t="shared" si="122"/>
        <v>770258.37</v>
      </c>
      <c r="BF73" s="48">
        <f t="shared" si="122"/>
        <v>751740.30999999994</v>
      </c>
      <c r="BG73" s="48">
        <f t="shared" si="122"/>
        <v>622388.87</v>
      </c>
      <c r="BH73" s="48">
        <f t="shared" si="122"/>
        <v>618464.56000000006</v>
      </c>
      <c r="BI73" s="48">
        <f t="shared" si="122"/>
        <v>686712.57000000007</v>
      </c>
      <c r="BJ73" s="48">
        <f t="shared" si="122"/>
        <v>753788.79</v>
      </c>
      <c r="BK73" s="48">
        <f t="shared" si="122"/>
        <v>123252.23000000001</v>
      </c>
      <c r="BL73" s="48">
        <f t="shared" si="122"/>
        <v>-572800.92000000004</v>
      </c>
      <c r="BM73" s="48">
        <f t="shared" si="122"/>
        <v>-433116.60999999993</v>
      </c>
      <c r="BN73" s="48">
        <f t="shared" si="122"/>
        <v>-422296.81</v>
      </c>
      <c r="BO73" s="48">
        <f t="shared" si="122"/>
        <v>-511624.21</v>
      </c>
      <c r="BP73" s="48">
        <f t="shared" si="122"/>
        <v>-644535.94999999995</v>
      </c>
      <c r="BQ73" s="48">
        <f t="shared" si="122"/>
        <v>-648872.89000000013</v>
      </c>
      <c r="BR73" s="48">
        <f t="shared" si="122"/>
        <v>-646588.66999999981</v>
      </c>
      <c r="BS73" s="48">
        <f t="shared" ref="BS73" si="123">SUM(BS68:BS72)</f>
        <v>-495839.7</v>
      </c>
      <c r="BT73" s="48">
        <f t="shared" si="122"/>
        <v>-444296.67879798933</v>
      </c>
      <c r="BU73" s="48">
        <f t="shared" si="122"/>
        <v>-570160.97437278205</v>
      </c>
      <c r="BV73" s="127">
        <f t="shared" si="122"/>
        <v>-688256.00969777349</v>
      </c>
      <c r="BW73" s="48">
        <f t="shared" si="121"/>
        <v>0</v>
      </c>
      <c r="BX73" s="48">
        <f t="shared" si="121"/>
        <v>0</v>
      </c>
      <c r="BY73" s="48">
        <f t="shared" ref="BY73:CH73" si="124">SUM(BY68:BY72)</f>
        <v>0</v>
      </c>
      <c r="BZ73" s="48">
        <f t="shared" si="124"/>
        <v>0</v>
      </c>
      <c r="CA73" s="48">
        <f t="shared" si="124"/>
        <v>0</v>
      </c>
      <c r="CB73" s="48">
        <f t="shared" si="124"/>
        <v>0</v>
      </c>
      <c r="CC73" s="48">
        <f t="shared" si="124"/>
        <v>0</v>
      </c>
      <c r="CD73" s="48">
        <f t="shared" si="124"/>
        <v>0</v>
      </c>
      <c r="CE73" s="48">
        <f t="shared" si="124"/>
        <v>0</v>
      </c>
      <c r="CF73" s="48">
        <f t="shared" si="124"/>
        <v>0</v>
      </c>
      <c r="CG73" s="48">
        <f t="shared" si="124"/>
        <v>0</v>
      </c>
      <c r="CH73" s="48">
        <f t="shared" si="124"/>
        <v>0</v>
      </c>
      <c r="CI73" s="126"/>
      <c r="CJ73" s="126"/>
      <c r="CK73" s="126"/>
    </row>
  </sheetData>
  <mergeCells count="1">
    <mergeCell ref="BT1:BV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W38"/>
  <sheetViews>
    <sheetView workbookViewId="0">
      <pane xSplit="2" ySplit="2" topLeftCell="AU3" activePane="bottomRight" state="frozen"/>
      <selection pane="topRight" activeCell="C1" sqref="C1"/>
      <selection pane="bottomLeft" activeCell="A3" sqref="A3"/>
      <selection pane="bottomRight" activeCell="BH40" sqref="BH40"/>
    </sheetView>
  </sheetViews>
  <sheetFormatPr defaultRowHeight="14.4" x14ac:dyDescent="0.3"/>
  <cols>
    <col min="1" max="1" width="9.109375" style="58"/>
    <col min="2" max="2" width="29.109375" customWidth="1"/>
    <col min="3" max="3" width="11.5546875" bestFit="1" customWidth="1"/>
    <col min="4" max="5" width="13.33203125" bestFit="1" customWidth="1"/>
    <col min="6" max="6" width="12.109375" bestFit="1" customWidth="1"/>
    <col min="7" max="7" width="11.5546875" bestFit="1" customWidth="1"/>
    <col min="8" max="14" width="13.33203125" bestFit="1" customWidth="1"/>
    <col min="15" max="15" width="13.88671875" bestFit="1" customWidth="1"/>
    <col min="16" max="18" width="13.33203125" bestFit="1" customWidth="1"/>
    <col min="19" max="19" width="11.5546875" bestFit="1" customWidth="1"/>
    <col min="20" max="24" width="13.33203125" bestFit="1" customWidth="1"/>
    <col min="25" max="25" width="11.5546875" bestFit="1" customWidth="1"/>
    <col min="26" max="29" width="13.33203125" bestFit="1" customWidth="1"/>
    <col min="30" max="31" width="12.88671875" bestFit="1" customWidth="1"/>
    <col min="32" max="36" width="13.33203125" bestFit="1" customWidth="1"/>
    <col min="37" max="51" width="13.33203125" style="58" bestFit="1" customWidth="1"/>
    <col min="52" max="59" width="12.33203125" bestFit="1" customWidth="1"/>
    <col min="60" max="63" width="12.88671875" bestFit="1" customWidth="1"/>
  </cols>
  <sheetData>
    <row r="1" spans="1:75" x14ac:dyDescent="0.3">
      <c r="BI1" s="250"/>
      <c r="BJ1" s="250"/>
      <c r="BK1" s="250"/>
    </row>
    <row r="2" spans="1:75" x14ac:dyDescent="0.3">
      <c r="C2" s="12">
        <v>42736</v>
      </c>
      <c r="D2" s="12">
        <v>42767</v>
      </c>
      <c r="E2" s="12">
        <v>42795</v>
      </c>
      <c r="F2" s="12">
        <v>42826</v>
      </c>
      <c r="G2" s="12">
        <v>42856</v>
      </c>
      <c r="H2" s="12">
        <v>42887</v>
      </c>
      <c r="I2" s="12">
        <v>42917</v>
      </c>
      <c r="J2" s="12">
        <v>42948</v>
      </c>
      <c r="K2" s="12">
        <v>42979</v>
      </c>
      <c r="L2" s="12">
        <v>43009</v>
      </c>
      <c r="M2" s="12">
        <v>43040</v>
      </c>
      <c r="N2" s="12">
        <v>43070</v>
      </c>
      <c r="O2" s="12">
        <v>43101</v>
      </c>
      <c r="P2" s="12">
        <v>43132</v>
      </c>
      <c r="Q2" s="12">
        <v>43160</v>
      </c>
      <c r="R2" s="12">
        <v>43191</v>
      </c>
      <c r="S2" s="12">
        <v>43221</v>
      </c>
      <c r="T2" s="12">
        <v>43252</v>
      </c>
      <c r="U2" s="12">
        <v>43282</v>
      </c>
      <c r="V2" s="12">
        <v>43313</v>
      </c>
      <c r="W2" s="12">
        <v>43344</v>
      </c>
      <c r="X2" s="12">
        <v>43374</v>
      </c>
      <c r="Y2" s="12">
        <v>43405</v>
      </c>
      <c r="Z2" s="12">
        <v>43435</v>
      </c>
      <c r="AA2" s="12">
        <v>43466</v>
      </c>
      <c r="AB2" s="12">
        <v>43497</v>
      </c>
      <c r="AC2" s="12">
        <v>43525</v>
      </c>
      <c r="AD2" s="12">
        <v>43556</v>
      </c>
      <c r="AE2" s="12">
        <v>43586</v>
      </c>
      <c r="AF2" s="12">
        <v>43617</v>
      </c>
      <c r="AG2" s="12">
        <v>43647</v>
      </c>
      <c r="AH2" s="12">
        <v>43678</v>
      </c>
      <c r="AI2" s="12">
        <v>43709</v>
      </c>
      <c r="AJ2" s="12">
        <v>43739</v>
      </c>
      <c r="AK2" s="12">
        <v>43770</v>
      </c>
      <c r="AL2" s="12">
        <v>43800</v>
      </c>
      <c r="AM2" s="12">
        <v>43831</v>
      </c>
      <c r="AN2" s="12">
        <v>43862</v>
      </c>
      <c r="AO2" s="12">
        <v>43891</v>
      </c>
      <c r="AP2" s="12">
        <v>43922</v>
      </c>
      <c r="AQ2" s="12">
        <v>43952</v>
      </c>
      <c r="AR2" s="12">
        <v>43983</v>
      </c>
      <c r="AS2" s="12">
        <v>44013</v>
      </c>
      <c r="AT2" s="12">
        <v>44044</v>
      </c>
      <c r="AU2" s="12">
        <v>44075</v>
      </c>
      <c r="AV2" s="12">
        <v>44105</v>
      </c>
      <c r="AW2" s="12">
        <v>44136</v>
      </c>
      <c r="AX2" s="12">
        <v>44166</v>
      </c>
      <c r="AY2" s="12">
        <v>44197</v>
      </c>
      <c r="AZ2" s="12">
        <v>44228</v>
      </c>
      <c r="BA2" s="12">
        <v>44256</v>
      </c>
      <c r="BB2" s="12">
        <v>44287</v>
      </c>
      <c r="BC2" s="12">
        <v>44317</v>
      </c>
      <c r="BD2" s="12">
        <v>44348</v>
      </c>
      <c r="BE2" s="12">
        <v>44378</v>
      </c>
      <c r="BF2" s="12">
        <v>44409</v>
      </c>
      <c r="BG2" s="12">
        <v>44440</v>
      </c>
      <c r="BH2" s="12">
        <v>44470</v>
      </c>
      <c r="BI2" s="12">
        <v>44501</v>
      </c>
      <c r="BJ2" s="12">
        <v>44531</v>
      </c>
      <c r="BK2" s="12">
        <v>44562</v>
      </c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</row>
    <row r="3" spans="1:75" x14ac:dyDescent="0.3">
      <c r="A3" s="259" t="s">
        <v>33</v>
      </c>
      <c r="B3" s="71" t="s">
        <v>49</v>
      </c>
      <c r="C3" s="62">
        <f>+'MEEIA 2 calcs'!O28</f>
        <v>406285.42</v>
      </c>
      <c r="D3" s="62">
        <f>+'MEEIA 2 calcs'!P28</f>
        <v>1369889.78</v>
      </c>
      <c r="E3" s="62">
        <f>+'MEEIA 2 calcs'!Q28</f>
        <v>1103029.06</v>
      </c>
      <c r="F3" s="62">
        <f>+'M2 Allocations - TD'!Q50</f>
        <v>964230.74</v>
      </c>
      <c r="G3" s="62">
        <f>IF(+'M2 Allocations - TD'!R50="","",'M2 Allocations - TD'!R50)</f>
        <v>918986.9</v>
      </c>
      <c r="H3" s="62">
        <f>IF(+'M2 Allocations - TD'!S50="","",'M2 Allocations - TD'!S50)</f>
        <v>1235335.3500000001</v>
      </c>
      <c r="I3" s="62">
        <f>IF(+'M2 Allocations - TD'!T50="","",'M2 Allocations - TD'!T50)</f>
        <v>1643710.03</v>
      </c>
      <c r="J3" s="62">
        <f>IF(+'M2 Allocations - TD'!U50="","",'M2 Allocations - TD'!U50)</f>
        <v>1663991.32</v>
      </c>
      <c r="K3" s="62">
        <f>IF(+'M2 Allocations - TD'!V50="","",'M2 Allocations - TD'!V50)</f>
        <v>1315722.52</v>
      </c>
      <c r="L3" s="62">
        <f>IF(+'M2 Allocations - TD'!W50="","",'M2 Allocations - TD'!W50)</f>
        <v>1155142.76</v>
      </c>
      <c r="M3" s="62">
        <f>IF(+'M2 Allocations - TD'!X50="","",'M2 Allocations - TD'!X50)</f>
        <v>1008647.72</v>
      </c>
      <c r="N3" s="62">
        <f>IF(+'M2 Allocations - TD'!Y50="","",'M2 Allocations - TD'!Y50)</f>
        <v>1300717.95</v>
      </c>
      <c r="O3" s="62">
        <f>IF(+'M2 Allocations - TD'!Z50="","",'M2 Allocations - TD'!Z50)</f>
        <v>1995202.44</v>
      </c>
      <c r="P3" s="62">
        <f>IF(+'M2 Allocations - TD'!AA50="","",'M2 Allocations - TD'!AA50)</f>
        <v>1361606.16</v>
      </c>
      <c r="Q3" s="62">
        <f>IF(+'M2 Allocations - TD'!AB50="","",'M2 Allocations - TD'!AB50)</f>
        <v>1097480.82</v>
      </c>
      <c r="R3" s="62">
        <f>IF(+'M2 Allocations - TD'!AC50="","",'M2 Allocations - TD'!AC50)</f>
        <v>1059578.1200000001</v>
      </c>
      <c r="S3" s="62">
        <f>IF(+'M2 Allocations - TD'!AD50="","",'M2 Allocations - TD'!AD50)</f>
        <v>862980.65</v>
      </c>
      <c r="T3" s="62">
        <f>IF(+'M2 Allocations - TD'!AE50="","",'M2 Allocations - TD'!AE50)</f>
        <v>1281774.72</v>
      </c>
      <c r="U3" s="62">
        <f>IF(+'M2 Allocations - TD'!AF50="","",'M2 Allocations - TD'!AF50)</f>
        <v>1502957.34</v>
      </c>
      <c r="V3" s="62">
        <f>IF(+'M2 Allocations - TD'!AG50="","",'M2 Allocations - TD'!AG50)</f>
        <v>1346919.46</v>
      </c>
      <c r="W3" s="62">
        <f>IF(+'M2 Allocations - TD'!AH50="","",'M2 Allocations - TD'!AH50)</f>
        <v>1295482.8999999999</v>
      </c>
      <c r="X3" s="62">
        <f>IF(+'M2 Allocations - TD'!AI50="","",'M2 Allocations - TD'!AI50)</f>
        <v>1002485.52</v>
      </c>
      <c r="Y3" s="62">
        <f>IF(+'M2 Allocations - TD'!AJ50="","",'M2 Allocations - TD'!AJ50)</f>
        <v>930228.6</v>
      </c>
      <c r="Z3" s="62">
        <f>IF(+'M2 Allocations - TD'!AK50="","",'M2 Allocations - TD'!AK50)</f>
        <v>1294357.3</v>
      </c>
      <c r="AA3" s="62">
        <f>IF(+'M2 Allocations - TD'!AL50="","",'M2 Allocations - TD'!AL50)</f>
        <v>1435395.83</v>
      </c>
      <c r="AB3" s="62">
        <f>IF(+'M2 Allocations - TD'!AM50="","",'M2 Allocations - TD'!AM50)</f>
        <v>1500360.52</v>
      </c>
      <c r="AC3" s="62">
        <f>IF(+'M2 Allocations - TD'!AN50="","",'M2 Allocations - TD'!AN50)</f>
        <v>1351205.92</v>
      </c>
      <c r="AD3" s="62">
        <f>IF(+'M2 Allocations - TD'!AO50="","",'M2 Allocations - TD'!AO50)</f>
        <v>930965.27</v>
      </c>
      <c r="AE3" s="62">
        <f>IF(+'M2 Allocations - TD'!AP50="","",'M2 Allocations - TD'!AP50)</f>
        <v>791487</v>
      </c>
      <c r="AF3" s="62">
        <f>IF(+'M2 Allocations - TD'!AQ50="","",'M2 Allocations - TD'!AQ50)</f>
        <v>1054075.57</v>
      </c>
      <c r="AG3" s="62">
        <f>IF(+'M2 Allocations - TD'!AR50="","",'M2 Allocations - TD'!AR50)</f>
        <v>1341002.6200000001</v>
      </c>
      <c r="AH3" s="62">
        <f>IF(+'M2 Allocations - TD'!AS50="","",'M2 Allocations - TD'!AS50)</f>
        <v>1411567.5</v>
      </c>
      <c r="AI3" s="62">
        <f>IF(+'M2 Allocations - TD'!AT50="","",'M2 Allocations - TD'!AT50)</f>
        <v>1302183.99</v>
      </c>
      <c r="AJ3" s="62">
        <f>IF(+'M2 Allocations - TD'!AU50="","",'M2 Allocations - TD'!AU50)</f>
        <v>1070055.19</v>
      </c>
      <c r="AK3" s="62">
        <f>IF(+'M2 Allocations - TD'!AV50="","",'M2 Allocations - TD'!AV50)</f>
        <v>960017.17</v>
      </c>
      <c r="AL3" s="62">
        <f>IF(+'M2 Allocations - TD'!AW50="","",'M2 Allocations - TD'!AW50)</f>
        <v>1291710.24</v>
      </c>
      <c r="AM3" s="62">
        <f>IF(+'M2 Allocations - TD'!AX50="","",'M2 Allocations - TD'!AX50)</f>
        <v>1426440.21</v>
      </c>
      <c r="AN3" s="62">
        <f>IF(+'M2 Allocations - TD'!AY50="","",'M2 Allocations - TD'!AY50)</f>
        <v>836821.82</v>
      </c>
      <c r="AO3" s="62">
        <f>IF(+'M2 Allocations - TD'!AZ50="","",'M2 Allocations - TD'!AZ50)</f>
        <v>123502.6</v>
      </c>
      <c r="AP3" s="62">
        <f>IF(+'M2 Allocations - TD'!BA50="","",'M2 Allocations - TD'!BA50)</f>
        <v>92675.74</v>
      </c>
      <c r="AQ3" s="62">
        <f>IF(+'M2 Allocations - TD'!BB50="","",'M2 Allocations - TD'!BB50)</f>
        <v>82719.98</v>
      </c>
      <c r="AR3" s="62">
        <f>IF(+'M2 Allocations - TD'!BC50="","",'M2 Allocations - TD'!BC50)</f>
        <v>109517.12</v>
      </c>
      <c r="AS3" s="62">
        <f>IF(+'M2 Allocations - TD'!BD50="","",'M2 Allocations - TD'!BD50)</f>
        <v>147043.66</v>
      </c>
      <c r="AT3" s="62">
        <f>IF(+'M2 Allocations - TD'!BE50="","",'M2 Allocations - TD'!BE50)</f>
        <v>137831</v>
      </c>
      <c r="AU3" s="62">
        <f>IF(+'M2 Allocations - TD'!BF50="","",'M2 Allocations - TD'!BF50)</f>
        <v>124319.87</v>
      </c>
      <c r="AV3" s="62">
        <f>IF(+'M2 Allocations - TD'!BG50="","",'M2 Allocations - TD'!BG50)</f>
        <v>84008.53</v>
      </c>
      <c r="AW3" s="62">
        <f>IF(+'M2 Allocations - TD'!BH50="","",'M2 Allocations - TD'!BH50)</f>
        <v>89633.18</v>
      </c>
      <c r="AX3" s="62">
        <f>IF(+'M2 Allocations - TD'!BI50="","",'M2 Allocations - TD'!BI50)</f>
        <v>118817.27</v>
      </c>
      <c r="AY3" s="62">
        <f>IF(+'M2 Allocations - TD'!BJ50="","",'M2 Allocations - TD'!BJ50)</f>
        <v>154664.07999999999</v>
      </c>
      <c r="AZ3" s="62">
        <f>IF(+'M2 Allocations - TD'!BK50="","",'M2 Allocations - TD'!BK50)</f>
        <v>-113458.01</v>
      </c>
      <c r="BA3" s="62">
        <f>IF(+'M2 Allocations - TD'!BL50="","",'M2 Allocations - TD'!BL50)</f>
        <v>-325175.89</v>
      </c>
      <c r="BB3" s="62">
        <f>IF(+'M2 Allocations - TD'!BM50="","",'M2 Allocations - TD'!BM50)</f>
        <v>-219552.89</v>
      </c>
      <c r="BC3" s="62">
        <f>IF(+'M2 Allocations - TD'!BN50="","",'M2 Allocations - TD'!BN50)</f>
        <v>-206267.22</v>
      </c>
      <c r="BD3" s="62">
        <f>IF(+'M2 Allocations - TD'!BO50="","",'M2 Allocations - TD'!BO50)</f>
        <v>-270595.87</v>
      </c>
      <c r="BE3" s="62">
        <f>IF(+'M2 Allocations - TD'!BP50="","",'M2 Allocations - TD'!BP50)</f>
        <v>-357386.66</v>
      </c>
      <c r="BF3" s="62">
        <f>IF(+'M2 Allocations - TD'!BQ50="","",'M2 Allocations - TD'!BQ50)</f>
        <v>-364675.44</v>
      </c>
      <c r="BG3" s="62">
        <f>IF(+'M2 Allocations - TD'!BR50="","",'M2 Allocations - TD'!BR50)</f>
        <v>-358208.47</v>
      </c>
      <c r="BH3" s="62">
        <f>IF(+'M2 Allocations - TD'!BS50="","",'M2 Allocations - TD'!BS50)</f>
        <v>-248050.58</v>
      </c>
      <c r="BI3" s="62">
        <f>IF(+'M2 Allocations - TD'!BT50="","",'M2 Allocations - TD'!BT50)</f>
        <v>-218489.17812282767</v>
      </c>
      <c r="BJ3" s="62">
        <f>IF(+'M2 Allocations - TD'!BU50="","",'M2 Allocations - TD'!BU50)</f>
        <v>-317355.16592932073</v>
      </c>
      <c r="BK3" s="62">
        <f>IF(+'M2 Allocations - TD'!BV50="","",'M2 Allocations - TD'!BV50)</f>
        <v>-405447.3769269496</v>
      </c>
    </row>
    <row r="4" spans="1:75" x14ac:dyDescent="0.3">
      <c r="A4" s="260"/>
      <c r="B4" s="72" t="s">
        <v>51</v>
      </c>
      <c r="C4" s="88">
        <v>1.9100000000000001E-4</v>
      </c>
      <c r="D4" s="88">
        <v>6.0999999999999997E-4</v>
      </c>
      <c r="E4" s="70">
        <f>+D4</f>
        <v>6.0999999999999997E-4</v>
      </c>
      <c r="F4" s="70">
        <f>IF(F3="","",E4)</f>
        <v>6.0999999999999997E-4</v>
      </c>
      <c r="G4" s="70">
        <f t="shared" ref="G4:Z4" si="0">IF(G3="","",F4)</f>
        <v>6.0999999999999997E-4</v>
      </c>
      <c r="H4" s="70">
        <f t="shared" si="0"/>
        <v>6.0999999999999997E-4</v>
      </c>
      <c r="I4" s="70">
        <f t="shared" si="0"/>
        <v>6.0999999999999997E-4</v>
      </c>
      <c r="J4" s="70">
        <f t="shared" si="0"/>
        <v>6.0999999999999997E-4</v>
      </c>
      <c r="K4" s="70">
        <f t="shared" si="0"/>
        <v>6.0999999999999997E-4</v>
      </c>
      <c r="L4" s="70">
        <f t="shared" si="0"/>
        <v>6.0999999999999997E-4</v>
      </c>
      <c r="M4" s="70">
        <f>IF(M3="","",L4)</f>
        <v>6.0999999999999997E-4</v>
      </c>
      <c r="N4" s="70">
        <f t="shared" si="0"/>
        <v>6.0999999999999997E-4</v>
      </c>
      <c r="O4" s="70">
        <f>IF(O3="","",N4)</f>
        <v>6.0999999999999997E-4</v>
      </c>
      <c r="P4" s="88">
        <v>1.1003580051866457E-3</v>
      </c>
      <c r="Q4" s="70">
        <f>IF(Q3="","",P4)</f>
        <v>1.1003580051866457E-3</v>
      </c>
      <c r="R4" s="92">
        <f t="shared" si="0"/>
        <v>1.1003580051866457E-3</v>
      </c>
      <c r="S4" s="92">
        <f t="shared" si="0"/>
        <v>1.1003580051866457E-3</v>
      </c>
      <c r="T4" s="92">
        <f t="shared" si="0"/>
        <v>1.1003580051866457E-3</v>
      </c>
      <c r="U4" s="92">
        <f t="shared" si="0"/>
        <v>1.1003580051866457E-3</v>
      </c>
      <c r="V4" s="92">
        <f t="shared" si="0"/>
        <v>1.1003580051866457E-3</v>
      </c>
      <c r="W4" s="92">
        <f t="shared" si="0"/>
        <v>1.1003580051866457E-3</v>
      </c>
      <c r="X4" s="92">
        <f t="shared" si="0"/>
        <v>1.1003580051866457E-3</v>
      </c>
      <c r="Y4" s="92">
        <f t="shared" si="0"/>
        <v>1.1003580051866457E-3</v>
      </c>
      <c r="Z4" s="92">
        <f t="shared" si="0"/>
        <v>1.1003580051866457E-3</v>
      </c>
      <c r="AA4" s="92">
        <f t="shared" ref="AA4" si="1">IF(AA3="","",Z4)</f>
        <v>1.1003580051866457E-3</v>
      </c>
      <c r="AB4" s="88">
        <v>1.2689610054905937E-3</v>
      </c>
      <c r="AC4" s="70">
        <f>IF(AC3="","",AB4)</f>
        <v>1.2689610054905937E-3</v>
      </c>
      <c r="AD4" s="70">
        <f t="shared" ref="AD4:AJ4" si="2">IF(AD3="","",AC4)</f>
        <v>1.2689610054905937E-3</v>
      </c>
      <c r="AE4" s="70">
        <f t="shared" si="2"/>
        <v>1.2689610054905937E-3</v>
      </c>
      <c r="AF4" s="70">
        <f t="shared" si="2"/>
        <v>1.2689610054905937E-3</v>
      </c>
      <c r="AG4" s="70">
        <f t="shared" si="2"/>
        <v>1.2689610054905937E-3</v>
      </c>
      <c r="AH4" s="70">
        <f t="shared" si="2"/>
        <v>1.2689610054905937E-3</v>
      </c>
      <c r="AI4" s="70">
        <f t="shared" si="2"/>
        <v>1.2689610054905937E-3</v>
      </c>
      <c r="AJ4" s="70">
        <f t="shared" si="2"/>
        <v>1.2689610054905937E-3</v>
      </c>
      <c r="AK4" s="70">
        <f t="shared" ref="AK4" si="3">IF(AK3="","",AJ4)</f>
        <v>1.2689610054905937E-3</v>
      </c>
      <c r="AL4" s="70">
        <f t="shared" ref="AL4" si="4">IF(AL3="","",AK4)</f>
        <v>1.2689610054905937E-3</v>
      </c>
      <c r="AM4" s="70">
        <f t="shared" ref="AM4" si="5">IF(AM3="","",AL4)</f>
        <v>1.2689610054905937E-3</v>
      </c>
      <c r="AN4" s="139">
        <v>1.8414899018216353E-4</v>
      </c>
      <c r="AO4" s="70">
        <f t="shared" ref="AO4" si="6">IF(AO3="","",AN4)</f>
        <v>1.8414899018216353E-4</v>
      </c>
      <c r="AP4" s="70">
        <f t="shared" ref="AP4" si="7">IF(AP3="","",AO4)</f>
        <v>1.8414899018216353E-4</v>
      </c>
      <c r="AQ4" s="70">
        <f t="shared" ref="AQ4" si="8">IF(AQ3="","",AP4)</f>
        <v>1.8414899018216353E-4</v>
      </c>
      <c r="AR4" s="70">
        <f t="shared" ref="AR4" si="9">IF(AR3="","",AQ4)</f>
        <v>1.8414899018216353E-4</v>
      </c>
      <c r="AS4" s="70">
        <f t="shared" ref="AS4" si="10">IF(AS3="","",AR4)</f>
        <v>1.8414899018216353E-4</v>
      </c>
      <c r="AT4" s="70">
        <f t="shared" ref="AT4" si="11">IF(AT3="","",AS4)</f>
        <v>1.8414899018216353E-4</v>
      </c>
      <c r="AU4" s="70">
        <f t="shared" ref="AU4" si="12">IF(AU3="","",AT4)</f>
        <v>1.8414899018216353E-4</v>
      </c>
      <c r="AV4" s="70">
        <f t="shared" ref="AV4" si="13">IF(AV3="","",AU4)</f>
        <v>1.8414899018216353E-4</v>
      </c>
      <c r="AW4" s="70">
        <f t="shared" ref="AW4" si="14">IF(AW3="","",AV4)</f>
        <v>1.8414899018216353E-4</v>
      </c>
      <c r="AX4" s="70">
        <f t="shared" ref="AX4" si="15">IF(AX3="","",AW4)</f>
        <v>1.8414899018216353E-4</v>
      </c>
      <c r="AY4" s="70">
        <f t="shared" ref="AY4" si="16">IF(AY3="","",AX4)</f>
        <v>1.8414899018216353E-4</v>
      </c>
      <c r="AZ4" s="139">
        <v>0</v>
      </c>
      <c r="BA4" s="70">
        <f t="shared" ref="BA4" si="17">IF(BA3="","",AZ4)</f>
        <v>0</v>
      </c>
      <c r="BB4" s="70">
        <f t="shared" ref="BB4" si="18">IF(BB3="","",BA4)</f>
        <v>0</v>
      </c>
      <c r="BC4" s="70">
        <f t="shared" ref="BC4" si="19">IF(BC3="","",BB4)</f>
        <v>0</v>
      </c>
      <c r="BD4" s="70">
        <f t="shared" ref="BD4" si="20">IF(BD3="","",BC4)</f>
        <v>0</v>
      </c>
      <c r="BE4" s="70">
        <f t="shared" ref="BE4" si="21">IF(BE3="","",BD4)</f>
        <v>0</v>
      </c>
      <c r="BF4" s="70">
        <f t="shared" ref="BF4" si="22">IF(BF3="","",BE4)</f>
        <v>0</v>
      </c>
      <c r="BG4" s="70">
        <f t="shared" ref="BG4" si="23">IF(BG3="","",BF4)</f>
        <v>0</v>
      </c>
      <c r="BH4" s="70">
        <f t="shared" ref="BH4" si="24">IF(BH3="","",BG4)</f>
        <v>0</v>
      </c>
      <c r="BI4" s="70">
        <f t="shared" ref="BI4" si="25">IF(BI3="","",BH4)</f>
        <v>0</v>
      </c>
      <c r="BJ4" s="70">
        <f t="shared" ref="BJ4" si="26">IF(BJ3="","",BI4)</f>
        <v>0</v>
      </c>
      <c r="BK4" s="70">
        <f t="shared" ref="BK4" si="27">IF(BK3="","",BJ4)</f>
        <v>0</v>
      </c>
    </row>
    <row r="5" spans="1:75" x14ac:dyDescent="0.3">
      <c r="A5" s="260"/>
      <c r="B5" s="72" t="s">
        <v>67</v>
      </c>
      <c r="C5" s="46">
        <v>0</v>
      </c>
      <c r="D5" s="88">
        <v>6.6E-4</v>
      </c>
      <c r="E5" s="70">
        <f>+D5</f>
        <v>6.6E-4</v>
      </c>
      <c r="F5" s="70">
        <f>IF(F3="","",E5)</f>
        <v>6.6E-4</v>
      </c>
      <c r="G5" s="70">
        <f t="shared" ref="G5:Z5" si="28">IF(G3="","",F5)</f>
        <v>6.6E-4</v>
      </c>
      <c r="H5" s="70">
        <f t="shared" si="28"/>
        <v>6.6E-4</v>
      </c>
      <c r="I5" s="70">
        <f t="shared" si="28"/>
        <v>6.6E-4</v>
      </c>
      <c r="J5" s="70">
        <f t="shared" si="28"/>
        <v>6.6E-4</v>
      </c>
      <c r="K5" s="70">
        <f t="shared" si="28"/>
        <v>6.6E-4</v>
      </c>
      <c r="L5" s="70">
        <f t="shared" si="28"/>
        <v>6.6E-4</v>
      </c>
      <c r="M5" s="70">
        <f t="shared" si="28"/>
        <v>6.6E-4</v>
      </c>
      <c r="N5" s="70">
        <f t="shared" si="28"/>
        <v>6.6E-4</v>
      </c>
      <c r="O5" s="70">
        <f t="shared" si="28"/>
        <v>6.6E-4</v>
      </c>
      <c r="P5" s="93">
        <v>-3.6489311277065175E-5</v>
      </c>
      <c r="Q5" s="92">
        <f t="shared" si="28"/>
        <v>-3.6489311277065175E-5</v>
      </c>
      <c r="R5" s="92">
        <f t="shared" si="28"/>
        <v>-3.6489311277065175E-5</v>
      </c>
      <c r="S5" s="92">
        <f t="shared" si="28"/>
        <v>-3.6489311277065175E-5</v>
      </c>
      <c r="T5" s="92">
        <f t="shared" si="28"/>
        <v>-3.6489311277065175E-5</v>
      </c>
      <c r="U5" s="92">
        <f t="shared" si="28"/>
        <v>-3.6489311277065175E-5</v>
      </c>
      <c r="V5" s="92">
        <f t="shared" si="28"/>
        <v>-3.6489311277065175E-5</v>
      </c>
      <c r="W5" s="92">
        <f t="shared" si="28"/>
        <v>-3.6489311277065175E-5</v>
      </c>
      <c r="X5" s="92">
        <f t="shared" si="28"/>
        <v>-3.6489311277065175E-5</v>
      </c>
      <c r="Y5" s="92">
        <f t="shared" si="28"/>
        <v>-3.6489311277065175E-5</v>
      </c>
      <c r="Z5" s="92">
        <f t="shared" si="28"/>
        <v>-3.6489311277065175E-5</v>
      </c>
      <c r="AA5" s="92">
        <f t="shared" ref="AA5" si="29">IF(AA3="","",Z5)</f>
        <v>-3.6489311277065175E-5</v>
      </c>
      <c r="AB5" s="93">
        <v>-1.5974223193033709E-4</v>
      </c>
      <c r="AC5" s="92">
        <f t="shared" ref="AC5" si="30">IF(AC3="","",AB5)</f>
        <v>-1.5974223193033709E-4</v>
      </c>
      <c r="AD5" s="92">
        <f t="shared" ref="AD5" si="31">IF(AD3="","",AC5)</f>
        <v>-1.5974223193033709E-4</v>
      </c>
      <c r="AE5" s="92">
        <f t="shared" ref="AE5" si="32">IF(AE3="","",AD5)</f>
        <v>-1.5974223193033709E-4</v>
      </c>
      <c r="AF5" s="92">
        <f t="shared" ref="AF5" si="33">IF(AF3="","",AE5)</f>
        <v>-1.5974223193033709E-4</v>
      </c>
      <c r="AG5" s="92">
        <f t="shared" ref="AG5" si="34">IF(AG3="","",AF5)</f>
        <v>-1.5974223193033709E-4</v>
      </c>
      <c r="AH5" s="92">
        <f t="shared" ref="AH5" si="35">IF(AH3="","",AG5)</f>
        <v>-1.5974223193033709E-4</v>
      </c>
      <c r="AI5" s="92">
        <f t="shared" ref="AI5" si="36">IF(AI3="","",AH5)</f>
        <v>-1.5974223193033709E-4</v>
      </c>
      <c r="AJ5" s="92">
        <f t="shared" ref="AJ5" si="37">IF(AJ3="","",AI5)</f>
        <v>-1.5974223193033709E-4</v>
      </c>
      <c r="AK5" s="92">
        <f t="shared" ref="AK5" si="38">IF(AK3="","",AJ5)</f>
        <v>-1.5974223193033709E-4</v>
      </c>
      <c r="AL5" s="92">
        <f t="shared" ref="AL5" si="39">IF(AL3="","",AK5)</f>
        <v>-1.5974223193033709E-4</v>
      </c>
      <c r="AM5" s="92">
        <f t="shared" ref="AM5" si="40">IF(AM3="","",AL5)</f>
        <v>-1.5974223193033709E-4</v>
      </c>
      <c r="AN5" s="141">
        <v>-7.6479563545008331E-5</v>
      </c>
      <c r="AO5" s="92">
        <f t="shared" ref="AO5" si="41">IF(AO3="","",AN5)</f>
        <v>-7.6479563545008331E-5</v>
      </c>
      <c r="AP5" s="92">
        <f t="shared" ref="AP5" si="42">IF(AP3="","",AO5)</f>
        <v>-7.6479563545008331E-5</v>
      </c>
      <c r="AQ5" s="92">
        <f t="shared" ref="AQ5" si="43">IF(AQ3="","",AP5)</f>
        <v>-7.6479563545008331E-5</v>
      </c>
      <c r="AR5" s="92">
        <f t="shared" ref="AR5" si="44">IF(AR3="","",AQ5)</f>
        <v>-7.6479563545008331E-5</v>
      </c>
      <c r="AS5" s="92">
        <f t="shared" ref="AS5" si="45">IF(AS3="","",AR5)</f>
        <v>-7.6479563545008331E-5</v>
      </c>
      <c r="AT5" s="92">
        <f t="shared" ref="AT5" si="46">IF(AT3="","",AS5)</f>
        <v>-7.6479563545008331E-5</v>
      </c>
      <c r="AU5" s="92">
        <f t="shared" ref="AU5" si="47">IF(AU3="","",AT5)</f>
        <v>-7.6479563545008331E-5</v>
      </c>
      <c r="AV5" s="92">
        <f t="shared" ref="AV5" si="48">IF(AV3="","",AU5)</f>
        <v>-7.6479563545008331E-5</v>
      </c>
      <c r="AW5" s="92">
        <f t="shared" ref="AW5" si="49">IF(AW3="","",AV5)</f>
        <v>-7.6479563545008331E-5</v>
      </c>
      <c r="AX5" s="92">
        <f t="shared" ref="AX5" si="50">IF(AX3="","",AW5)</f>
        <v>-7.6479563545008331E-5</v>
      </c>
      <c r="AY5" s="92">
        <f t="shared" ref="AY5" si="51">IF(AY3="","",AX5)</f>
        <v>-7.6479563545008331E-5</v>
      </c>
      <c r="AZ5" s="141">
        <v>-2.8339231336924818E-4</v>
      </c>
      <c r="BA5" s="92">
        <f t="shared" ref="BA5" si="52">IF(BA3="","",AZ5)</f>
        <v>-2.8339231336924818E-4</v>
      </c>
      <c r="BB5" s="92">
        <f t="shared" ref="BB5" si="53">IF(BB3="","",BA5)</f>
        <v>-2.8339231336924818E-4</v>
      </c>
      <c r="BC5" s="92">
        <f t="shared" ref="BC5" si="54">IF(BC3="","",BB5)</f>
        <v>-2.8339231336924818E-4</v>
      </c>
      <c r="BD5" s="92">
        <f t="shared" ref="BD5" si="55">IF(BD3="","",BC5)</f>
        <v>-2.8339231336924818E-4</v>
      </c>
      <c r="BE5" s="92">
        <f t="shared" ref="BE5" si="56">IF(BE3="","",BD5)</f>
        <v>-2.8339231336924818E-4</v>
      </c>
      <c r="BF5" s="92">
        <f t="shared" ref="BF5" si="57">IF(BF3="","",BE5)</f>
        <v>-2.8339231336924818E-4</v>
      </c>
      <c r="BG5" s="92">
        <f t="shared" ref="BG5" si="58">IF(BG3="","",BF5)</f>
        <v>-2.8339231336924818E-4</v>
      </c>
      <c r="BH5" s="92">
        <f t="shared" ref="BH5" si="59">IF(BH3="","",BG5)</f>
        <v>-2.8339231336924818E-4</v>
      </c>
      <c r="BI5" s="92">
        <f t="shared" ref="BI5" si="60">IF(BI3="","",BH5)</f>
        <v>-2.8339231336924818E-4</v>
      </c>
      <c r="BJ5" s="92">
        <f t="shared" ref="BJ5" si="61">IF(BJ3="","",BI5)</f>
        <v>-2.8339231336924818E-4</v>
      </c>
      <c r="BK5" s="92">
        <f t="shared" ref="BK5" si="62">IF(BK3="","",BJ5)</f>
        <v>-2.8339231336924818E-4</v>
      </c>
    </row>
    <row r="6" spans="1:75" x14ac:dyDescent="0.3">
      <c r="A6" s="260"/>
      <c r="B6" s="72" t="s">
        <v>59</v>
      </c>
      <c r="C6" s="61">
        <f>SUM(C4:C5)</f>
        <v>1.9100000000000001E-4</v>
      </c>
      <c r="D6" s="61">
        <f>SUM(D4:D5)</f>
        <v>1.2699999999999999E-3</v>
      </c>
      <c r="E6" s="61">
        <f>SUM(E4:E5)</f>
        <v>1.2699999999999999E-3</v>
      </c>
      <c r="F6" s="61">
        <f>IF(F3="","",SUM(F4:F5))</f>
        <v>1.2699999999999999E-3</v>
      </c>
      <c r="G6" s="61">
        <f t="shared" ref="G6:Z6" si="63">IF(G3="","",SUM(G4:G5))</f>
        <v>1.2699999999999999E-3</v>
      </c>
      <c r="H6" s="61">
        <f t="shared" si="63"/>
        <v>1.2699999999999999E-3</v>
      </c>
      <c r="I6" s="61">
        <f t="shared" si="63"/>
        <v>1.2699999999999999E-3</v>
      </c>
      <c r="J6" s="61">
        <f t="shared" si="63"/>
        <v>1.2699999999999999E-3</v>
      </c>
      <c r="K6" s="61">
        <f t="shared" si="63"/>
        <v>1.2699999999999999E-3</v>
      </c>
      <c r="L6" s="61">
        <f t="shared" si="63"/>
        <v>1.2699999999999999E-3</v>
      </c>
      <c r="M6" s="61">
        <f t="shared" si="63"/>
        <v>1.2699999999999999E-3</v>
      </c>
      <c r="N6" s="61">
        <f t="shared" si="63"/>
        <v>1.2699999999999999E-3</v>
      </c>
      <c r="O6" s="61">
        <f t="shared" si="63"/>
        <v>1.2699999999999999E-3</v>
      </c>
      <c r="P6" s="61">
        <f t="shared" si="63"/>
        <v>1.0638686939095806E-3</v>
      </c>
      <c r="Q6" s="61">
        <f t="shared" si="63"/>
        <v>1.0638686939095806E-3</v>
      </c>
      <c r="R6" s="61">
        <f t="shared" si="63"/>
        <v>1.0638686939095806E-3</v>
      </c>
      <c r="S6" s="61">
        <f t="shared" si="63"/>
        <v>1.0638686939095806E-3</v>
      </c>
      <c r="T6" s="61">
        <f t="shared" si="63"/>
        <v>1.0638686939095806E-3</v>
      </c>
      <c r="U6" s="61">
        <f t="shared" si="63"/>
        <v>1.0638686939095806E-3</v>
      </c>
      <c r="V6" s="61">
        <f t="shared" si="63"/>
        <v>1.0638686939095806E-3</v>
      </c>
      <c r="W6" s="61">
        <f t="shared" si="63"/>
        <v>1.0638686939095806E-3</v>
      </c>
      <c r="X6" s="61">
        <f t="shared" si="63"/>
        <v>1.0638686939095806E-3</v>
      </c>
      <c r="Y6" s="61">
        <f t="shared" si="63"/>
        <v>1.0638686939095806E-3</v>
      </c>
      <c r="Z6" s="61">
        <f t="shared" si="63"/>
        <v>1.0638686939095806E-3</v>
      </c>
      <c r="AA6" s="61">
        <f t="shared" ref="AA6:AC6" si="64">IF(AA3="","",SUM(AA4:AA5))</f>
        <v>1.0638686939095806E-3</v>
      </c>
      <c r="AB6" s="61">
        <f t="shared" si="64"/>
        <v>1.1092187735602566E-3</v>
      </c>
      <c r="AC6" s="61">
        <f t="shared" si="64"/>
        <v>1.1092187735602566E-3</v>
      </c>
      <c r="AD6" s="61">
        <f t="shared" ref="AD6:AJ6" si="65">IF(AD3="","",SUM(AD4:AD5))</f>
        <v>1.1092187735602566E-3</v>
      </c>
      <c r="AE6" s="61">
        <f t="shared" si="65"/>
        <v>1.1092187735602566E-3</v>
      </c>
      <c r="AF6" s="61">
        <f t="shared" si="65"/>
        <v>1.1092187735602566E-3</v>
      </c>
      <c r="AG6" s="61">
        <f t="shared" si="65"/>
        <v>1.1092187735602566E-3</v>
      </c>
      <c r="AH6" s="61">
        <f t="shared" si="65"/>
        <v>1.1092187735602566E-3</v>
      </c>
      <c r="AI6" s="61">
        <f t="shared" si="65"/>
        <v>1.1092187735602566E-3</v>
      </c>
      <c r="AJ6" s="61">
        <f t="shared" si="65"/>
        <v>1.1092187735602566E-3</v>
      </c>
      <c r="AK6" s="61">
        <f t="shared" ref="AK6:AV6" si="66">IF(AK3="","",SUM(AK4:AK5))</f>
        <v>1.1092187735602566E-3</v>
      </c>
      <c r="AL6" s="61">
        <f t="shared" si="66"/>
        <v>1.1092187735602566E-3</v>
      </c>
      <c r="AM6" s="61">
        <f t="shared" si="66"/>
        <v>1.1092187735602566E-3</v>
      </c>
      <c r="AN6" s="61">
        <f t="shared" si="66"/>
        <v>1.076694266371552E-4</v>
      </c>
      <c r="AO6" s="61">
        <f t="shared" si="66"/>
        <v>1.076694266371552E-4</v>
      </c>
      <c r="AP6" s="61">
        <f t="shared" si="66"/>
        <v>1.076694266371552E-4</v>
      </c>
      <c r="AQ6" s="61">
        <f t="shared" si="66"/>
        <v>1.076694266371552E-4</v>
      </c>
      <c r="AR6" s="61">
        <f t="shared" si="66"/>
        <v>1.076694266371552E-4</v>
      </c>
      <c r="AS6" s="61">
        <f t="shared" si="66"/>
        <v>1.076694266371552E-4</v>
      </c>
      <c r="AT6" s="61">
        <f t="shared" si="66"/>
        <v>1.076694266371552E-4</v>
      </c>
      <c r="AU6" s="61">
        <f t="shared" si="66"/>
        <v>1.076694266371552E-4</v>
      </c>
      <c r="AV6" s="61">
        <f t="shared" si="66"/>
        <v>1.076694266371552E-4</v>
      </c>
      <c r="AW6" s="61">
        <f t="shared" ref="AW6:BK6" si="67">IF(AW3="","",SUM(AW4:AW5))</f>
        <v>1.076694266371552E-4</v>
      </c>
      <c r="AX6" s="61">
        <f t="shared" si="67"/>
        <v>1.076694266371552E-4</v>
      </c>
      <c r="AY6" s="61">
        <f t="shared" si="67"/>
        <v>1.076694266371552E-4</v>
      </c>
      <c r="AZ6" s="61">
        <f t="shared" si="67"/>
        <v>-2.8339231336924818E-4</v>
      </c>
      <c r="BA6" s="61">
        <f t="shared" si="67"/>
        <v>-2.8339231336924818E-4</v>
      </c>
      <c r="BB6" s="61">
        <f t="shared" si="67"/>
        <v>-2.8339231336924818E-4</v>
      </c>
      <c r="BC6" s="61">
        <f t="shared" si="67"/>
        <v>-2.8339231336924818E-4</v>
      </c>
      <c r="BD6" s="61">
        <f t="shared" si="67"/>
        <v>-2.8339231336924818E-4</v>
      </c>
      <c r="BE6" s="61">
        <f t="shared" si="67"/>
        <v>-2.8339231336924818E-4</v>
      </c>
      <c r="BF6" s="61">
        <f t="shared" si="67"/>
        <v>-2.8339231336924818E-4</v>
      </c>
      <c r="BG6" s="61">
        <f t="shared" si="67"/>
        <v>-2.8339231336924818E-4</v>
      </c>
      <c r="BH6" s="61">
        <f t="shared" si="67"/>
        <v>-2.8339231336924818E-4</v>
      </c>
      <c r="BI6" s="61">
        <f t="shared" si="67"/>
        <v>-2.8339231336924818E-4</v>
      </c>
      <c r="BJ6" s="61">
        <f t="shared" si="67"/>
        <v>-2.8339231336924818E-4</v>
      </c>
      <c r="BK6" s="61">
        <f t="shared" si="67"/>
        <v>-2.8339231336924818E-4</v>
      </c>
    </row>
    <row r="7" spans="1:75" x14ac:dyDescent="0.3">
      <c r="A7" s="260"/>
      <c r="B7" s="72" t="s">
        <v>52</v>
      </c>
      <c r="C7" s="65">
        <f>+C5/C6</f>
        <v>0</v>
      </c>
      <c r="D7" s="65">
        <f>+IFERROR(D5/D6,"")</f>
        <v>0.51968503937007882</v>
      </c>
      <c r="E7" s="65">
        <f>+IFERROR(E5/E6,"")</f>
        <v>0.51968503937007882</v>
      </c>
      <c r="F7" s="65">
        <f>IF(F3="","",IFERROR(F5/F6,""))</f>
        <v>0.51968503937007882</v>
      </c>
      <c r="G7" s="65">
        <f t="shared" ref="G7:Z7" si="68">IF(G3="","",IFERROR(G5/G6,""))</f>
        <v>0.51968503937007882</v>
      </c>
      <c r="H7" s="65">
        <f t="shared" si="68"/>
        <v>0.51968503937007882</v>
      </c>
      <c r="I7" s="65">
        <f t="shared" si="68"/>
        <v>0.51968503937007882</v>
      </c>
      <c r="J7" s="65">
        <f t="shared" si="68"/>
        <v>0.51968503937007882</v>
      </c>
      <c r="K7" s="65">
        <f t="shared" si="68"/>
        <v>0.51968503937007882</v>
      </c>
      <c r="L7" s="65">
        <f t="shared" si="68"/>
        <v>0.51968503937007882</v>
      </c>
      <c r="M7" s="65">
        <f t="shared" si="68"/>
        <v>0.51968503937007882</v>
      </c>
      <c r="N7" s="65">
        <f t="shared" si="68"/>
        <v>0.51968503937007882</v>
      </c>
      <c r="O7" s="65">
        <f t="shared" si="68"/>
        <v>0.51968503937007882</v>
      </c>
      <c r="P7" s="65">
        <f t="shared" si="68"/>
        <v>-3.4298698219017661E-2</v>
      </c>
      <c r="Q7" s="65">
        <f t="shared" si="68"/>
        <v>-3.4298698219017661E-2</v>
      </c>
      <c r="R7" s="65">
        <f t="shared" si="68"/>
        <v>-3.4298698219017661E-2</v>
      </c>
      <c r="S7" s="65">
        <f t="shared" si="68"/>
        <v>-3.4298698219017661E-2</v>
      </c>
      <c r="T7" s="65">
        <f t="shared" si="68"/>
        <v>-3.4298698219017661E-2</v>
      </c>
      <c r="U7" s="65">
        <f t="shared" si="68"/>
        <v>-3.4298698219017661E-2</v>
      </c>
      <c r="V7" s="65">
        <f t="shared" si="68"/>
        <v>-3.4298698219017661E-2</v>
      </c>
      <c r="W7" s="65">
        <f t="shared" si="68"/>
        <v>-3.4298698219017661E-2</v>
      </c>
      <c r="X7" s="65">
        <f t="shared" si="68"/>
        <v>-3.4298698219017661E-2</v>
      </c>
      <c r="Y7" s="65">
        <f t="shared" si="68"/>
        <v>-3.4298698219017661E-2</v>
      </c>
      <c r="Z7" s="65">
        <f t="shared" si="68"/>
        <v>-3.4298698219017661E-2</v>
      </c>
      <c r="AA7" s="65">
        <f t="shared" ref="AA7:AC7" si="69">IF(AA3="","",IFERROR(AA5/AA6,""))</f>
        <v>-3.4298698219017661E-2</v>
      </c>
      <c r="AB7" s="65">
        <f t="shared" si="69"/>
        <v>-0.14401327829821423</v>
      </c>
      <c r="AC7" s="65">
        <f t="shared" si="69"/>
        <v>-0.14401327829821423</v>
      </c>
      <c r="AD7" s="65">
        <f t="shared" ref="AD7:AJ7" si="70">IF(AD3="","",IFERROR(AD5/AD6,""))</f>
        <v>-0.14401327829821423</v>
      </c>
      <c r="AE7" s="65">
        <f t="shared" si="70"/>
        <v>-0.14401327829821423</v>
      </c>
      <c r="AF7" s="65">
        <f t="shared" si="70"/>
        <v>-0.14401327829821423</v>
      </c>
      <c r="AG7" s="65">
        <f t="shared" si="70"/>
        <v>-0.14401327829821423</v>
      </c>
      <c r="AH7" s="65">
        <f t="shared" si="70"/>
        <v>-0.14401327829821423</v>
      </c>
      <c r="AI7" s="65">
        <f t="shared" si="70"/>
        <v>-0.14401327829821423</v>
      </c>
      <c r="AJ7" s="65">
        <f t="shared" si="70"/>
        <v>-0.14401327829821423</v>
      </c>
      <c r="AK7" s="65">
        <f t="shared" ref="AK7:AV7" si="71">IF(AK3="","",IFERROR(AK5/AK6,""))</f>
        <v>-0.14401327829821423</v>
      </c>
      <c r="AL7" s="65">
        <f t="shared" si="71"/>
        <v>-0.14401327829821423</v>
      </c>
      <c r="AM7" s="65">
        <f t="shared" si="71"/>
        <v>-0.14401327829821423</v>
      </c>
      <c r="AN7" s="65">
        <f t="shared" si="71"/>
        <v>-0.71031829493012566</v>
      </c>
      <c r="AO7" s="65">
        <f t="shared" si="71"/>
        <v>-0.71031829493012566</v>
      </c>
      <c r="AP7" s="65">
        <f t="shared" si="71"/>
        <v>-0.71031829493012566</v>
      </c>
      <c r="AQ7" s="65">
        <f t="shared" si="71"/>
        <v>-0.71031829493012566</v>
      </c>
      <c r="AR7" s="65">
        <f t="shared" si="71"/>
        <v>-0.71031829493012566</v>
      </c>
      <c r="AS7" s="65">
        <f t="shared" si="71"/>
        <v>-0.71031829493012566</v>
      </c>
      <c r="AT7" s="65">
        <f t="shared" si="71"/>
        <v>-0.71031829493012566</v>
      </c>
      <c r="AU7" s="65">
        <f t="shared" si="71"/>
        <v>-0.71031829493012566</v>
      </c>
      <c r="AV7" s="65">
        <f t="shared" si="71"/>
        <v>-0.71031829493012566</v>
      </c>
      <c r="AW7" s="65">
        <f t="shared" ref="AW7:BK7" si="72">IF(AW3="","",IFERROR(AW5/AW6,""))</f>
        <v>-0.71031829493012566</v>
      </c>
      <c r="AX7" s="65">
        <f t="shared" si="72"/>
        <v>-0.71031829493012566</v>
      </c>
      <c r="AY7" s="65">
        <f t="shared" si="72"/>
        <v>-0.71031829493012566</v>
      </c>
      <c r="AZ7" s="65">
        <f t="shared" si="72"/>
        <v>1</v>
      </c>
      <c r="BA7" s="65">
        <f t="shared" si="72"/>
        <v>1</v>
      </c>
      <c r="BB7" s="65">
        <f t="shared" si="72"/>
        <v>1</v>
      </c>
      <c r="BC7" s="65">
        <f t="shared" si="72"/>
        <v>1</v>
      </c>
      <c r="BD7" s="65">
        <f t="shared" si="72"/>
        <v>1</v>
      </c>
      <c r="BE7" s="65">
        <f t="shared" si="72"/>
        <v>1</v>
      </c>
      <c r="BF7" s="65">
        <f t="shared" si="72"/>
        <v>1</v>
      </c>
      <c r="BG7" s="65">
        <f t="shared" si="72"/>
        <v>1</v>
      </c>
      <c r="BH7" s="65">
        <f t="shared" si="72"/>
        <v>1</v>
      </c>
      <c r="BI7" s="65">
        <f t="shared" si="72"/>
        <v>1</v>
      </c>
      <c r="BJ7" s="65">
        <f t="shared" si="72"/>
        <v>1</v>
      </c>
      <c r="BK7" s="65">
        <f t="shared" si="72"/>
        <v>1</v>
      </c>
    </row>
    <row r="8" spans="1:75" s="52" customFormat="1" x14ac:dyDescent="0.3">
      <c r="A8" s="260"/>
      <c r="B8" s="73" t="s">
        <v>53</v>
      </c>
      <c r="C8" s="63">
        <f>+C7*C3</f>
        <v>0</v>
      </c>
      <c r="D8" s="63">
        <f>+ROUND(D7*D3,2)</f>
        <v>711911.22</v>
      </c>
      <c r="E8" s="63">
        <f>+ROUND(E7*E3,2)</f>
        <v>573227.69999999995</v>
      </c>
      <c r="F8" s="63">
        <f>IF(F3="","",ROUND(F7*F3,2))</f>
        <v>501096.29</v>
      </c>
      <c r="G8" s="63">
        <f t="shared" ref="G8:Z8" si="73">IF(G3="","",ROUND(G7*G3,2))</f>
        <v>477583.74</v>
      </c>
      <c r="H8" s="63">
        <f t="shared" si="73"/>
        <v>641985.30000000005</v>
      </c>
      <c r="I8" s="63">
        <f t="shared" si="73"/>
        <v>854211.51</v>
      </c>
      <c r="J8" s="63">
        <f t="shared" si="73"/>
        <v>864751.39</v>
      </c>
      <c r="K8" s="63">
        <f t="shared" si="73"/>
        <v>683761.31</v>
      </c>
      <c r="L8" s="63">
        <f t="shared" si="73"/>
        <v>600310.41</v>
      </c>
      <c r="M8" s="63">
        <f t="shared" si="73"/>
        <v>524179.13</v>
      </c>
      <c r="N8" s="63">
        <f t="shared" si="73"/>
        <v>675963.66</v>
      </c>
      <c r="O8" s="63">
        <f t="shared" si="73"/>
        <v>1036876.86</v>
      </c>
      <c r="P8" s="63">
        <f t="shared" si="73"/>
        <v>-46701.32</v>
      </c>
      <c r="Q8" s="63">
        <f t="shared" si="73"/>
        <v>-37642.160000000003</v>
      </c>
      <c r="R8" s="63">
        <f t="shared" si="73"/>
        <v>-36342.15</v>
      </c>
      <c r="S8" s="63">
        <f t="shared" si="73"/>
        <v>-29599.11</v>
      </c>
      <c r="T8" s="63">
        <f t="shared" si="73"/>
        <v>-43963.199999999997</v>
      </c>
      <c r="U8" s="63">
        <f t="shared" si="73"/>
        <v>-51549.48</v>
      </c>
      <c r="V8" s="63">
        <f t="shared" si="73"/>
        <v>-46197.58</v>
      </c>
      <c r="W8" s="63">
        <f t="shared" si="73"/>
        <v>-44433.38</v>
      </c>
      <c r="X8" s="63">
        <f t="shared" si="73"/>
        <v>-34383.949999999997</v>
      </c>
      <c r="Y8" s="63">
        <f t="shared" si="73"/>
        <v>-31905.63</v>
      </c>
      <c r="Z8" s="63">
        <f t="shared" si="73"/>
        <v>-44394.77</v>
      </c>
      <c r="AA8" s="63">
        <f t="shared" ref="AA8:AC8" si="74">IF(AA3="","",ROUND(AA7*AA3,2))</f>
        <v>-49232.21</v>
      </c>
      <c r="AB8" s="63">
        <f t="shared" si="74"/>
        <v>-216071.84</v>
      </c>
      <c r="AC8" s="63">
        <f t="shared" si="74"/>
        <v>-194591.59</v>
      </c>
      <c r="AD8" s="63">
        <f t="shared" ref="AD8:AJ8" si="75">IF(AD3="","",ROUND(AD7*AD3,2))</f>
        <v>-134071.35999999999</v>
      </c>
      <c r="AE8" s="63">
        <f t="shared" si="75"/>
        <v>-113984.64</v>
      </c>
      <c r="AF8" s="63">
        <f t="shared" si="75"/>
        <v>-151800.88</v>
      </c>
      <c r="AG8" s="63">
        <f t="shared" si="75"/>
        <v>-193122.18</v>
      </c>
      <c r="AH8" s="63">
        <f t="shared" si="75"/>
        <v>-203284.46</v>
      </c>
      <c r="AI8" s="63">
        <f t="shared" si="75"/>
        <v>-187531.79</v>
      </c>
      <c r="AJ8" s="63">
        <f t="shared" si="75"/>
        <v>-154102.16</v>
      </c>
      <c r="AK8" s="63">
        <f t="shared" ref="AK8:AV8" si="76">IF(AK3="","",ROUND(AK7*AK3,2))</f>
        <v>-138255.22</v>
      </c>
      <c r="AL8" s="63">
        <f t="shared" si="76"/>
        <v>-186023.43</v>
      </c>
      <c r="AM8" s="63">
        <f t="shared" si="76"/>
        <v>-205426.33</v>
      </c>
      <c r="AN8" s="63">
        <f t="shared" si="76"/>
        <v>-594409.85</v>
      </c>
      <c r="AO8" s="63">
        <f t="shared" si="76"/>
        <v>-87726.16</v>
      </c>
      <c r="AP8" s="63">
        <f t="shared" si="76"/>
        <v>-65829.27</v>
      </c>
      <c r="AQ8" s="63">
        <f t="shared" si="76"/>
        <v>-58757.52</v>
      </c>
      <c r="AR8" s="63">
        <f t="shared" si="76"/>
        <v>-77792.009999999995</v>
      </c>
      <c r="AS8" s="63">
        <f t="shared" si="76"/>
        <v>-104447.8</v>
      </c>
      <c r="AT8" s="63">
        <f t="shared" si="76"/>
        <v>-97903.88</v>
      </c>
      <c r="AU8" s="63">
        <f t="shared" si="76"/>
        <v>-88306.68</v>
      </c>
      <c r="AV8" s="63">
        <f t="shared" si="76"/>
        <v>-59672.800000000003</v>
      </c>
      <c r="AW8" s="63">
        <f t="shared" ref="AW8:BK8" si="77">IF(AW3="","",ROUND(AW7*AW3,2))</f>
        <v>-63668.09</v>
      </c>
      <c r="AX8" s="63">
        <f t="shared" si="77"/>
        <v>-84398.080000000002</v>
      </c>
      <c r="AY8" s="63">
        <f t="shared" si="77"/>
        <v>-109860.73</v>
      </c>
      <c r="AZ8" s="63">
        <f t="shared" si="77"/>
        <v>-113458.01</v>
      </c>
      <c r="BA8" s="63">
        <f t="shared" si="77"/>
        <v>-325175.89</v>
      </c>
      <c r="BB8" s="63">
        <f t="shared" si="77"/>
        <v>-219552.89</v>
      </c>
      <c r="BC8" s="63">
        <f t="shared" si="77"/>
        <v>-206267.22</v>
      </c>
      <c r="BD8" s="63">
        <f t="shared" si="77"/>
        <v>-270595.87</v>
      </c>
      <c r="BE8" s="63">
        <f t="shared" si="77"/>
        <v>-357386.66</v>
      </c>
      <c r="BF8" s="63">
        <f t="shared" si="77"/>
        <v>-364675.44</v>
      </c>
      <c r="BG8" s="63">
        <f t="shared" si="77"/>
        <v>-358208.47</v>
      </c>
      <c r="BH8" s="63">
        <f t="shared" si="77"/>
        <v>-248050.58</v>
      </c>
      <c r="BI8" s="63">
        <f t="shared" si="77"/>
        <v>-218489.18</v>
      </c>
      <c r="BJ8" s="63">
        <f t="shared" si="77"/>
        <v>-317355.17</v>
      </c>
      <c r="BK8" s="63">
        <f t="shared" si="77"/>
        <v>-405447.38</v>
      </c>
    </row>
    <row r="9" spans="1:75" s="52" customFormat="1" ht="8.25" customHeight="1" x14ac:dyDescent="0.3">
      <c r="A9" s="76"/>
      <c r="B9" s="7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</row>
    <row r="10" spans="1:75" x14ac:dyDescent="0.3">
      <c r="A10" s="260" t="s">
        <v>34</v>
      </c>
      <c r="B10" s="72" t="s">
        <v>49</v>
      </c>
      <c r="C10" s="62">
        <f>+'MEEIA 2 calcs'!O38</f>
        <v>27338.89</v>
      </c>
      <c r="D10" s="62">
        <f>+'MEEIA 2 calcs'!P38</f>
        <v>144726.28</v>
      </c>
      <c r="E10" s="62">
        <f>+'MEEIA 2 calcs'!Q38</f>
        <v>128485.97</v>
      </c>
      <c r="F10" s="62">
        <f>+'M2 Allocations - TD'!Q51</f>
        <v>121597.62</v>
      </c>
      <c r="G10" s="62">
        <f>IF(+'M2 Allocations - TD'!R51="","",'M2 Allocations - TD'!R51)</f>
        <v>120360.92</v>
      </c>
      <c r="H10" s="62">
        <f>IF(+'M2 Allocations - TD'!S51="","",'M2 Allocations - TD'!S51)</f>
        <v>143026.74</v>
      </c>
      <c r="I10" s="62">
        <f>IF(+'M2 Allocations - TD'!T51="","",'M2 Allocations - TD'!T51)</f>
        <v>165801.25</v>
      </c>
      <c r="J10" s="62">
        <f>IF(+'M2 Allocations - TD'!U51="","",'M2 Allocations - TD'!U51)</f>
        <v>167384.09</v>
      </c>
      <c r="K10" s="62">
        <f>IF(+'M2 Allocations - TD'!V51="","",'M2 Allocations - TD'!V51)</f>
        <v>149701.24</v>
      </c>
      <c r="L10" s="62">
        <f>IF(+'M2 Allocations - TD'!W51="","",'M2 Allocations - TD'!W51)</f>
        <v>141748.14000000001</v>
      </c>
      <c r="M10" s="62">
        <f>IF(+'M2 Allocations - TD'!X51="","",'M2 Allocations - TD'!X51)</f>
        <v>126699.78</v>
      </c>
      <c r="N10" s="62">
        <f>IF(+'M2 Allocations - TD'!Y51="","",'M2 Allocations - TD'!Y51)</f>
        <v>139926.94</v>
      </c>
      <c r="O10" s="62">
        <f>IF(+'M2 Allocations - TD'!Z51="","",'M2 Allocations - TD'!Z51)</f>
        <v>202221.15</v>
      </c>
      <c r="P10" s="62">
        <f>IF(+'M2 Allocations - TD'!AA51="","",'M2 Allocations - TD'!AA51)</f>
        <v>343067.75</v>
      </c>
      <c r="Q10" s="62">
        <f>IF(+'M2 Allocations - TD'!AB51="","",'M2 Allocations - TD'!AB51)</f>
        <v>300632.48</v>
      </c>
      <c r="R10" s="62">
        <f>IF(+'M2 Allocations - TD'!AC51="","",'M2 Allocations - TD'!AC51)</f>
        <v>296300.02</v>
      </c>
      <c r="S10" s="62">
        <f>IF(+'M2 Allocations - TD'!AD51="","",'M2 Allocations - TD'!AD51)</f>
        <v>268199.42</v>
      </c>
      <c r="T10" s="62">
        <f>IF(+'M2 Allocations - TD'!AE51="","",'M2 Allocations - TD'!AE51)</f>
        <v>337634.86</v>
      </c>
      <c r="U10" s="62">
        <f>IF(+'M2 Allocations - TD'!AF51="","",'M2 Allocations - TD'!AF51)</f>
        <v>372521.79</v>
      </c>
      <c r="V10" s="62">
        <f>IF(+'M2 Allocations - TD'!AG51="","",'M2 Allocations - TD'!AG51)</f>
        <v>348089.17</v>
      </c>
      <c r="W10" s="62">
        <f>IF(+'M2 Allocations - TD'!AH51="","",'M2 Allocations - TD'!AH51)</f>
        <v>342034.51</v>
      </c>
      <c r="X10" s="62">
        <f>IF(+'M2 Allocations - TD'!AI51="","",'M2 Allocations - TD'!AI51)</f>
        <v>301373.81</v>
      </c>
      <c r="Y10" s="62">
        <f>IF(+'M2 Allocations - TD'!AJ51="","",'M2 Allocations - TD'!AJ51)</f>
        <v>271517.73</v>
      </c>
      <c r="Z10" s="62">
        <f>IF(+'M2 Allocations - TD'!AK51="","",'M2 Allocations - TD'!AK51)</f>
        <v>328156.33</v>
      </c>
      <c r="AA10" s="62">
        <f>IF(+'M2 Allocations - TD'!AL51="","",'M2 Allocations - TD'!AL51)</f>
        <v>377703.97</v>
      </c>
      <c r="AB10" s="62">
        <f>IF(+'M2 Allocations - TD'!AM51="","",'M2 Allocations - TD'!AM51)</f>
        <v>708077.88</v>
      </c>
      <c r="AC10" s="62">
        <f>IF(+'M2 Allocations - TD'!AN51="","",'M2 Allocations - TD'!AN51)</f>
        <v>666764.85</v>
      </c>
      <c r="AD10" s="62">
        <f>IF(+'M2 Allocations - TD'!AO51="","",'M2 Allocations - TD'!AO51)</f>
        <v>540522.54</v>
      </c>
      <c r="AE10" s="62">
        <f>IF(+'M2 Allocations - TD'!AP51="","",'M2 Allocations - TD'!AP51)</f>
        <v>509584.1</v>
      </c>
      <c r="AF10" s="62">
        <f>IF(+'M2 Allocations - TD'!AQ51="","",'M2 Allocations - TD'!AQ51)</f>
        <v>594934.36</v>
      </c>
      <c r="AG10" s="62">
        <f>IF(+'M2 Allocations - TD'!AR51="","",'M2 Allocations - TD'!AR51)</f>
        <v>680484</v>
      </c>
      <c r="AH10" s="62">
        <f>IF(+'M2 Allocations - TD'!AS51="","",'M2 Allocations - TD'!AS51)</f>
        <v>699354.09</v>
      </c>
      <c r="AI10" s="62">
        <f>IF(+'M2 Allocations - TD'!AT51="","",'M2 Allocations - TD'!AT51)</f>
        <v>675136.56</v>
      </c>
      <c r="AJ10" s="62">
        <f>IF(+'M2 Allocations - TD'!AU51="","",'M2 Allocations - TD'!AU51)</f>
        <v>608437.81999999995</v>
      </c>
      <c r="AK10" s="62">
        <f>IF(+'M2 Allocations - TD'!AV51="","",'M2 Allocations - TD'!AV51)</f>
        <v>545178.31000000006</v>
      </c>
      <c r="AL10" s="62">
        <f>IF(+'M2 Allocations - TD'!AW51="","",'M2 Allocations - TD'!AW51)</f>
        <v>640578.34</v>
      </c>
      <c r="AM10" s="62">
        <f>IF(+'M2 Allocations - TD'!AX51="","",'M2 Allocations - TD'!AX51)</f>
        <v>683111.72</v>
      </c>
      <c r="AN10" s="62">
        <f>IF(+'M2 Allocations - TD'!AY51="","",'M2 Allocations - TD'!AY51)</f>
        <v>419075.87</v>
      </c>
      <c r="AO10" s="62">
        <f>IF(+'M2 Allocations - TD'!AZ51="","",'M2 Allocations - TD'!AZ51)</f>
        <v>88037.89</v>
      </c>
      <c r="AP10" s="62">
        <f>IF(+'M2 Allocations - TD'!BA51="","",'M2 Allocations - TD'!BA51)</f>
        <v>65160.17</v>
      </c>
      <c r="AQ10" s="62">
        <f>IF(+'M2 Allocations - TD'!BB51="","",'M2 Allocations - TD'!BB51)</f>
        <v>59309.86</v>
      </c>
      <c r="AR10" s="62">
        <f>IF(+'M2 Allocations - TD'!BC51="","",'M2 Allocations - TD'!BC51)</f>
        <v>74165.440000000002</v>
      </c>
      <c r="AS10" s="62">
        <f>IF(+'M2 Allocations - TD'!BD51="","",'M2 Allocations - TD'!BD51)</f>
        <v>92442.4</v>
      </c>
      <c r="AT10" s="62">
        <f>IF(+'M2 Allocations - TD'!BE51="","",'M2 Allocations - TD'!BE51)</f>
        <v>90973.54</v>
      </c>
      <c r="AU10" s="62">
        <f>IF(+'M2 Allocations - TD'!BF51="","",'M2 Allocations - TD'!BF51)</f>
        <v>86398.8</v>
      </c>
      <c r="AV10" s="62">
        <f>IF(+'M2 Allocations - TD'!BG51="","",'M2 Allocations - TD'!BG51)</f>
        <v>70150.48</v>
      </c>
      <c r="AW10" s="62">
        <f>IF(+'M2 Allocations - TD'!BH51="","",'M2 Allocations - TD'!BH51)</f>
        <v>70037.789999999994</v>
      </c>
      <c r="AX10" s="62">
        <f>IF(+'M2 Allocations - TD'!BI51="","",'M2 Allocations - TD'!BI51)</f>
        <v>80808.38</v>
      </c>
      <c r="AY10" s="62">
        <f>IF(+'M2 Allocations - TD'!BJ51="","",'M2 Allocations - TD'!BJ51)</f>
        <v>96369.71</v>
      </c>
      <c r="AZ10" s="62">
        <f>IF(+'M2 Allocations - TD'!BK51="","",'M2 Allocations - TD'!BK51)</f>
        <v>-2328.37</v>
      </c>
      <c r="BA10" s="62">
        <f>IF(+'M2 Allocations - TD'!BL51="","",'M2 Allocations - TD'!BL51)</f>
        <v>-103760.54</v>
      </c>
      <c r="BB10" s="62">
        <f>IF(+'M2 Allocations - TD'!BM51="","",'M2 Allocations - TD'!BM51)</f>
        <v>-82575.289999999994</v>
      </c>
      <c r="BC10" s="62">
        <f>IF(+'M2 Allocations - TD'!BN51="","",'M2 Allocations - TD'!BN51)</f>
        <v>-81377.440000000002</v>
      </c>
      <c r="BD10" s="62">
        <f>IF(+'M2 Allocations - TD'!BO51="","",'M2 Allocations - TD'!BO51)</f>
        <v>-96431.96</v>
      </c>
      <c r="BE10" s="62">
        <f>IF(+'M2 Allocations - TD'!BP51="","",'M2 Allocations - TD'!BP51)</f>
        <v>-113596.04</v>
      </c>
      <c r="BF10" s="62">
        <f>IF(+'M2 Allocations - TD'!BQ51="","",'M2 Allocations - TD'!BQ51)</f>
        <v>-114121.57</v>
      </c>
      <c r="BG10" s="62">
        <f>IF(+'M2 Allocations - TD'!BR51="","",'M2 Allocations - TD'!BR51)</f>
        <v>-115328.91</v>
      </c>
      <c r="BH10" s="62">
        <f>IF(+'M2 Allocations - TD'!BS51="","",'M2 Allocations - TD'!BS51)</f>
        <v>-96228.19</v>
      </c>
      <c r="BI10" s="62">
        <f>IF(+'M2 Allocations - TD'!BT51="","",'M2 Allocations - TD'!BT51)</f>
        <v>-85432.893467345784</v>
      </c>
      <c r="BJ10" s="62">
        <f>IF(+'M2 Allocations - TD'!BU51="","",'M2 Allocations - TD'!BU51)</f>
        <v>-102126.33164507528</v>
      </c>
      <c r="BK10" s="62">
        <f>IF(+'M2 Allocations - TD'!BV51="","",'M2 Allocations - TD'!BV51)</f>
        <v>-120059.66379518446</v>
      </c>
    </row>
    <row r="11" spans="1:75" x14ac:dyDescent="0.3">
      <c r="A11" s="260"/>
      <c r="B11" s="72" t="s">
        <v>51</v>
      </c>
      <c r="C11" s="88">
        <v>4.5000000000000003E-5</v>
      </c>
      <c r="D11" s="88">
        <v>3.1700000000000001E-4</v>
      </c>
      <c r="E11" s="70">
        <f>+D11</f>
        <v>3.1700000000000001E-4</v>
      </c>
      <c r="F11" s="70">
        <f>IF(F10="","",E11)</f>
        <v>3.1700000000000001E-4</v>
      </c>
      <c r="G11" s="70">
        <f t="shared" ref="G11:Z11" si="78">IF(G10="","",F11)</f>
        <v>3.1700000000000001E-4</v>
      </c>
      <c r="H11" s="70">
        <f t="shared" si="78"/>
        <v>3.1700000000000001E-4</v>
      </c>
      <c r="I11" s="70">
        <f t="shared" si="78"/>
        <v>3.1700000000000001E-4</v>
      </c>
      <c r="J11" s="70">
        <f t="shared" si="78"/>
        <v>3.1700000000000001E-4</v>
      </c>
      <c r="K11" s="70">
        <f t="shared" si="78"/>
        <v>3.1700000000000001E-4</v>
      </c>
      <c r="L11" s="70">
        <f t="shared" si="78"/>
        <v>3.1700000000000001E-4</v>
      </c>
      <c r="M11" s="70">
        <f t="shared" si="78"/>
        <v>3.1700000000000001E-4</v>
      </c>
      <c r="N11" s="70">
        <f t="shared" si="78"/>
        <v>3.1700000000000001E-4</v>
      </c>
      <c r="O11" s="70">
        <f t="shared" si="78"/>
        <v>3.1700000000000001E-4</v>
      </c>
      <c r="P11" s="88">
        <v>1.0508215292806483E-3</v>
      </c>
      <c r="Q11" s="70">
        <f t="shared" si="78"/>
        <v>1.0508215292806483E-3</v>
      </c>
      <c r="R11" s="92">
        <f t="shared" si="78"/>
        <v>1.0508215292806483E-3</v>
      </c>
      <c r="S11" s="92">
        <f t="shared" si="78"/>
        <v>1.0508215292806483E-3</v>
      </c>
      <c r="T11" s="92">
        <f t="shared" si="78"/>
        <v>1.0508215292806483E-3</v>
      </c>
      <c r="U11" s="92">
        <f t="shared" si="78"/>
        <v>1.0508215292806483E-3</v>
      </c>
      <c r="V11" s="92">
        <f t="shared" si="78"/>
        <v>1.0508215292806483E-3</v>
      </c>
      <c r="W11" s="92">
        <f t="shared" si="78"/>
        <v>1.0508215292806483E-3</v>
      </c>
      <c r="X11" s="92">
        <f t="shared" si="78"/>
        <v>1.0508215292806483E-3</v>
      </c>
      <c r="Y11" s="92">
        <f t="shared" si="78"/>
        <v>1.0508215292806483E-3</v>
      </c>
      <c r="Z11" s="92">
        <f t="shared" si="78"/>
        <v>1.0508215292806483E-3</v>
      </c>
      <c r="AA11" s="92">
        <f t="shared" ref="AA11" si="79">IF(AA10="","",Z11)</f>
        <v>1.0508215292806483E-3</v>
      </c>
      <c r="AB11" s="88">
        <v>2.1669417868992557E-3</v>
      </c>
      <c r="AC11" s="70">
        <f t="shared" ref="AC11" si="80">IF(AC10="","",AB11)</f>
        <v>2.1669417868992557E-3</v>
      </c>
      <c r="AD11" s="70">
        <f t="shared" ref="AD11" si="81">IF(AD10="","",AC11)</f>
        <v>2.1669417868992557E-3</v>
      </c>
      <c r="AE11" s="70">
        <f t="shared" ref="AE11" si="82">IF(AE10="","",AD11)</f>
        <v>2.1669417868992557E-3</v>
      </c>
      <c r="AF11" s="70">
        <f t="shared" ref="AF11" si="83">IF(AF10="","",AE11)</f>
        <v>2.1669417868992557E-3</v>
      </c>
      <c r="AG11" s="70">
        <f t="shared" ref="AG11" si="84">IF(AG10="","",AF11)</f>
        <v>2.1669417868992557E-3</v>
      </c>
      <c r="AH11" s="70">
        <f t="shared" ref="AH11" si="85">IF(AH10="","",AG11)</f>
        <v>2.1669417868992557E-3</v>
      </c>
      <c r="AI11" s="70">
        <f t="shared" ref="AI11" si="86">IF(AI10="","",AH11)</f>
        <v>2.1669417868992557E-3</v>
      </c>
      <c r="AJ11" s="70">
        <f t="shared" ref="AJ11" si="87">IF(AJ10="","",AI11)</f>
        <v>2.1669417868992557E-3</v>
      </c>
      <c r="AK11" s="70">
        <f t="shared" ref="AK11" si="88">IF(AK10="","",AJ11)</f>
        <v>2.1669417868992557E-3</v>
      </c>
      <c r="AL11" s="70">
        <f t="shared" ref="AL11" si="89">IF(AL10="","",AK11)</f>
        <v>2.1669417868992557E-3</v>
      </c>
      <c r="AM11" s="70">
        <f t="shared" ref="AM11" si="90">IF(AM10="","",AL11)</f>
        <v>2.1669417868992557E-3</v>
      </c>
      <c r="AN11" s="139">
        <v>5.1937633003567641E-4</v>
      </c>
      <c r="AO11" s="70">
        <f t="shared" ref="AO11" si="91">IF(AO10="","",AN11)</f>
        <v>5.1937633003567641E-4</v>
      </c>
      <c r="AP11" s="70">
        <f t="shared" ref="AP11" si="92">IF(AP10="","",AO11)</f>
        <v>5.1937633003567641E-4</v>
      </c>
      <c r="AQ11" s="70">
        <f t="shared" ref="AQ11" si="93">IF(AQ10="","",AP11)</f>
        <v>5.1937633003567641E-4</v>
      </c>
      <c r="AR11" s="70">
        <f t="shared" ref="AR11" si="94">IF(AR10="","",AQ11)</f>
        <v>5.1937633003567641E-4</v>
      </c>
      <c r="AS11" s="70">
        <f t="shared" ref="AS11" si="95">IF(AS10="","",AR11)</f>
        <v>5.1937633003567641E-4</v>
      </c>
      <c r="AT11" s="70">
        <f t="shared" ref="AT11" si="96">IF(AT10="","",AS11)</f>
        <v>5.1937633003567641E-4</v>
      </c>
      <c r="AU11" s="70">
        <f t="shared" ref="AU11" si="97">IF(AU10="","",AT11)</f>
        <v>5.1937633003567641E-4</v>
      </c>
      <c r="AV11" s="70">
        <f t="shared" ref="AV11" si="98">IF(AV10="","",AU11)</f>
        <v>5.1937633003567641E-4</v>
      </c>
      <c r="AW11" s="70">
        <f t="shared" ref="AW11" si="99">IF(AW10="","",AV11)</f>
        <v>5.1937633003567641E-4</v>
      </c>
      <c r="AX11" s="70">
        <f t="shared" ref="AX11" si="100">IF(AX10="","",AW11)</f>
        <v>5.1937633003567641E-4</v>
      </c>
      <c r="AY11" s="70">
        <f t="shared" ref="AY11" si="101">IF(AY10="","",AX11)</f>
        <v>5.1937633003567641E-4</v>
      </c>
      <c r="AZ11" s="139">
        <v>1.2203236433645677E-6</v>
      </c>
      <c r="BA11" s="70">
        <f t="shared" ref="BA11" si="102">IF(BA10="","",AZ11)</f>
        <v>1.2203236433645677E-6</v>
      </c>
      <c r="BB11" s="70">
        <f t="shared" ref="BB11" si="103">IF(BB10="","",BA11)</f>
        <v>1.2203236433645677E-6</v>
      </c>
      <c r="BC11" s="70">
        <f t="shared" ref="BC11" si="104">IF(BC10="","",BB11)</f>
        <v>1.2203236433645677E-6</v>
      </c>
      <c r="BD11" s="70">
        <f t="shared" ref="BD11" si="105">IF(BD10="","",BC11)</f>
        <v>1.2203236433645677E-6</v>
      </c>
      <c r="BE11" s="70">
        <f t="shared" ref="BE11" si="106">IF(BE10="","",BD11)</f>
        <v>1.2203236433645677E-6</v>
      </c>
      <c r="BF11" s="70">
        <f t="shared" ref="BF11" si="107">IF(BF10="","",BE11)</f>
        <v>1.2203236433645677E-6</v>
      </c>
      <c r="BG11" s="70">
        <f t="shared" ref="BG11" si="108">IF(BG10="","",BF11)</f>
        <v>1.2203236433645677E-6</v>
      </c>
      <c r="BH11" s="70">
        <f t="shared" ref="BH11" si="109">IF(BH10="","",BG11)</f>
        <v>1.2203236433645677E-6</v>
      </c>
      <c r="BI11" s="70">
        <f t="shared" ref="BI11" si="110">IF(BI10="","",BH11)</f>
        <v>1.2203236433645677E-6</v>
      </c>
      <c r="BJ11" s="70">
        <f t="shared" ref="BJ11" si="111">IF(BJ10="","",BI11)</f>
        <v>1.2203236433645677E-6</v>
      </c>
      <c r="BK11" s="70">
        <f t="shared" ref="BK11" si="112">IF(BK10="","",BJ11)</f>
        <v>1.2203236433645677E-6</v>
      </c>
    </row>
    <row r="12" spans="1:75" x14ac:dyDescent="0.3">
      <c r="A12" s="260"/>
      <c r="B12" s="72" t="s">
        <v>50</v>
      </c>
      <c r="C12" s="46">
        <v>0</v>
      </c>
      <c r="D12" s="88">
        <v>2.1000000000000001E-4</v>
      </c>
      <c r="E12" s="70">
        <f>+D12</f>
        <v>2.1000000000000001E-4</v>
      </c>
      <c r="F12" s="70">
        <f>IF(F10="","",E12)</f>
        <v>2.1000000000000001E-4</v>
      </c>
      <c r="G12" s="70">
        <f t="shared" ref="G12:Z12" si="113">IF(G10="","",F12)</f>
        <v>2.1000000000000001E-4</v>
      </c>
      <c r="H12" s="70">
        <f t="shared" si="113"/>
        <v>2.1000000000000001E-4</v>
      </c>
      <c r="I12" s="70">
        <f t="shared" si="113"/>
        <v>2.1000000000000001E-4</v>
      </c>
      <c r="J12" s="70">
        <f t="shared" si="113"/>
        <v>2.1000000000000001E-4</v>
      </c>
      <c r="K12" s="70">
        <f t="shared" si="113"/>
        <v>2.1000000000000001E-4</v>
      </c>
      <c r="L12" s="70">
        <f t="shared" si="113"/>
        <v>2.1000000000000001E-4</v>
      </c>
      <c r="M12" s="70">
        <f t="shared" si="113"/>
        <v>2.1000000000000001E-4</v>
      </c>
      <c r="N12" s="70">
        <f t="shared" si="113"/>
        <v>2.1000000000000001E-4</v>
      </c>
      <c r="O12" s="70">
        <f t="shared" si="113"/>
        <v>2.1000000000000001E-4</v>
      </c>
      <c r="P12" s="88">
        <v>7.5215423260867955E-5</v>
      </c>
      <c r="Q12" s="70">
        <f t="shared" si="113"/>
        <v>7.5215423260867955E-5</v>
      </c>
      <c r="R12" s="92">
        <f t="shared" si="113"/>
        <v>7.5215423260867955E-5</v>
      </c>
      <c r="S12" s="92">
        <f t="shared" si="113"/>
        <v>7.5215423260867955E-5</v>
      </c>
      <c r="T12" s="92">
        <f t="shared" si="113"/>
        <v>7.5215423260867955E-5</v>
      </c>
      <c r="U12" s="92">
        <f t="shared" si="113"/>
        <v>7.5215423260867955E-5</v>
      </c>
      <c r="V12" s="92">
        <f t="shared" si="113"/>
        <v>7.5215423260867955E-5</v>
      </c>
      <c r="W12" s="92">
        <f t="shared" si="113"/>
        <v>7.5215423260867955E-5</v>
      </c>
      <c r="X12" s="92">
        <f t="shared" si="113"/>
        <v>7.5215423260867955E-5</v>
      </c>
      <c r="Y12" s="92">
        <f t="shared" si="113"/>
        <v>7.5215423260867955E-5</v>
      </c>
      <c r="Z12" s="92">
        <f t="shared" si="113"/>
        <v>7.5215423260867955E-5</v>
      </c>
      <c r="AA12" s="92">
        <f t="shared" ref="AA12" si="114">IF(AA10="","",Z12)</f>
        <v>7.5215423260867955E-5</v>
      </c>
      <c r="AB12" s="88">
        <v>1.3384341861062831E-4</v>
      </c>
      <c r="AC12" s="70">
        <f t="shared" ref="AC12" si="115">IF(AC10="","",AB12)</f>
        <v>1.3384341861062831E-4</v>
      </c>
      <c r="AD12" s="70">
        <f t="shared" ref="AD12" si="116">IF(AD10="","",AC12)</f>
        <v>1.3384341861062831E-4</v>
      </c>
      <c r="AE12" s="70">
        <f t="shared" ref="AE12" si="117">IF(AE10="","",AD12)</f>
        <v>1.3384341861062831E-4</v>
      </c>
      <c r="AF12" s="70">
        <f t="shared" ref="AF12" si="118">IF(AF10="","",AE12)</f>
        <v>1.3384341861062831E-4</v>
      </c>
      <c r="AG12" s="70">
        <f t="shared" ref="AG12" si="119">IF(AG10="","",AF12)</f>
        <v>1.3384341861062831E-4</v>
      </c>
      <c r="AH12" s="70">
        <f t="shared" ref="AH12" si="120">IF(AH10="","",AG12)</f>
        <v>1.3384341861062831E-4</v>
      </c>
      <c r="AI12" s="70">
        <f t="shared" ref="AI12" si="121">IF(AI10="","",AH12)</f>
        <v>1.3384341861062831E-4</v>
      </c>
      <c r="AJ12" s="70">
        <f t="shared" ref="AJ12" si="122">IF(AJ10="","",AI12)</f>
        <v>1.3384341861062831E-4</v>
      </c>
      <c r="AK12" s="70">
        <f t="shared" ref="AK12" si="123">IF(AK10="","",AJ12)</f>
        <v>1.3384341861062831E-4</v>
      </c>
      <c r="AL12" s="70">
        <f t="shared" ref="AL12" si="124">IF(AL10="","",AK12)</f>
        <v>1.3384341861062831E-4</v>
      </c>
      <c r="AM12" s="70">
        <f t="shared" ref="AM12" si="125">IF(AM10="","",AL12)</f>
        <v>1.3384341861062831E-4</v>
      </c>
      <c r="AN12" s="141">
        <v>-1.9849823091581313E-4</v>
      </c>
      <c r="AO12" s="92">
        <f t="shared" ref="AO12" si="126">IF(AO10="","",AN12)</f>
        <v>-1.9849823091581313E-4</v>
      </c>
      <c r="AP12" s="92">
        <f t="shared" ref="AP12" si="127">IF(AP10="","",AO12)</f>
        <v>-1.9849823091581313E-4</v>
      </c>
      <c r="AQ12" s="92">
        <f t="shared" ref="AQ12" si="128">IF(AQ10="","",AP12)</f>
        <v>-1.9849823091581313E-4</v>
      </c>
      <c r="AR12" s="92">
        <f t="shared" ref="AR12" si="129">IF(AR10="","",AQ12)</f>
        <v>-1.9849823091581313E-4</v>
      </c>
      <c r="AS12" s="92">
        <f t="shared" ref="AS12" si="130">IF(AS10="","",AR12)</f>
        <v>-1.9849823091581313E-4</v>
      </c>
      <c r="AT12" s="92">
        <f t="shared" ref="AT12" si="131">IF(AT10="","",AS12)</f>
        <v>-1.9849823091581313E-4</v>
      </c>
      <c r="AU12" s="92">
        <f t="shared" ref="AU12" si="132">IF(AU10="","",AT12)</f>
        <v>-1.9849823091581313E-4</v>
      </c>
      <c r="AV12" s="92">
        <f t="shared" ref="AV12" si="133">IF(AV10="","",AU12)</f>
        <v>-1.9849823091581313E-4</v>
      </c>
      <c r="AW12" s="92">
        <f t="shared" ref="AW12" si="134">IF(AW10="","",AV12)</f>
        <v>-1.9849823091581313E-4</v>
      </c>
      <c r="AX12" s="92">
        <f t="shared" ref="AX12" si="135">IF(AX10="","",AW12)</f>
        <v>-1.9849823091581313E-4</v>
      </c>
      <c r="AY12" s="92">
        <f t="shared" ref="AY12" si="136">IF(AY10="","",AX12)</f>
        <v>-1.9849823091581313E-4</v>
      </c>
      <c r="AZ12" s="141">
        <v>-3.9303848795509551E-4</v>
      </c>
      <c r="BA12" s="92">
        <f t="shared" ref="BA12" si="137">IF(BA10="","",AZ12)</f>
        <v>-3.9303848795509551E-4</v>
      </c>
      <c r="BB12" s="92">
        <f t="shared" ref="BB12" si="138">IF(BB10="","",BA12)</f>
        <v>-3.9303848795509551E-4</v>
      </c>
      <c r="BC12" s="92">
        <f t="shared" ref="BC12" si="139">IF(BC10="","",BB12)</f>
        <v>-3.9303848795509551E-4</v>
      </c>
      <c r="BD12" s="92">
        <f t="shared" ref="BD12" si="140">IF(BD10="","",BC12)</f>
        <v>-3.9303848795509551E-4</v>
      </c>
      <c r="BE12" s="92">
        <f t="shared" ref="BE12" si="141">IF(BE10="","",BD12)</f>
        <v>-3.9303848795509551E-4</v>
      </c>
      <c r="BF12" s="92">
        <f t="shared" ref="BF12" si="142">IF(BF10="","",BE12)</f>
        <v>-3.9303848795509551E-4</v>
      </c>
      <c r="BG12" s="92">
        <f t="shared" ref="BG12" si="143">IF(BG10="","",BF12)</f>
        <v>-3.9303848795509551E-4</v>
      </c>
      <c r="BH12" s="92">
        <f t="shared" ref="BH12" si="144">IF(BH10="","",BG12)</f>
        <v>-3.9303848795509551E-4</v>
      </c>
      <c r="BI12" s="92">
        <f t="shared" ref="BI12" si="145">IF(BI10="","",BH12)</f>
        <v>-3.9303848795509551E-4</v>
      </c>
      <c r="BJ12" s="92">
        <f t="shared" ref="BJ12" si="146">IF(BJ10="","",BI12)</f>
        <v>-3.9303848795509551E-4</v>
      </c>
      <c r="BK12" s="92">
        <f t="shared" ref="BK12" si="147">IF(BK10="","",BJ12)</f>
        <v>-3.9303848795509551E-4</v>
      </c>
    </row>
    <row r="13" spans="1:75" x14ac:dyDescent="0.3">
      <c r="A13" s="260"/>
      <c r="B13" s="72" t="s">
        <v>59</v>
      </c>
      <c r="C13" s="61">
        <f>SUM(C11:C12)</f>
        <v>4.5000000000000003E-5</v>
      </c>
      <c r="D13" s="61">
        <f t="shared" ref="D13:E13" si="148">SUM(D11:D12)</f>
        <v>5.2700000000000002E-4</v>
      </c>
      <c r="E13" s="61">
        <f t="shared" si="148"/>
        <v>5.2700000000000002E-4</v>
      </c>
      <c r="F13" s="61">
        <f>IF(F10="","",SUM(F11:F12))</f>
        <v>5.2700000000000002E-4</v>
      </c>
      <c r="G13" s="61">
        <f t="shared" ref="G13:Z13" si="149">IF(G10="","",SUM(G11:G12))</f>
        <v>5.2700000000000002E-4</v>
      </c>
      <c r="H13" s="61">
        <f t="shared" si="149"/>
        <v>5.2700000000000002E-4</v>
      </c>
      <c r="I13" s="61">
        <f t="shared" si="149"/>
        <v>5.2700000000000002E-4</v>
      </c>
      <c r="J13" s="61">
        <f t="shared" si="149"/>
        <v>5.2700000000000002E-4</v>
      </c>
      <c r="K13" s="61">
        <f t="shared" si="149"/>
        <v>5.2700000000000002E-4</v>
      </c>
      <c r="L13" s="61">
        <f t="shared" si="149"/>
        <v>5.2700000000000002E-4</v>
      </c>
      <c r="M13" s="61">
        <f t="shared" si="149"/>
        <v>5.2700000000000002E-4</v>
      </c>
      <c r="N13" s="61">
        <f t="shared" si="149"/>
        <v>5.2700000000000002E-4</v>
      </c>
      <c r="O13" s="61">
        <f t="shared" si="149"/>
        <v>5.2700000000000002E-4</v>
      </c>
      <c r="P13" s="61">
        <f t="shared" si="149"/>
        <v>1.1260369525415163E-3</v>
      </c>
      <c r="Q13" s="61">
        <f t="shared" si="149"/>
        <v>1.1260369525415163E-3</v>
      </c>
      <c r="R13" s="61">
        <f t="shared" si="149"/>
        <v>1.1260369525415163E-3</v>
      </c>
      <c r="S13" s="61">
        <f t="shared" si="149"/>
        <v>1.1260369525415163E-3</v>
      </c>
      <c r="T13" s="61">
        <f t="shared" si="149"/>
        <v>1.1260369525415163E-3</v>
      </c>
      <c r="U13" s="61">
        <f t="shared" si="149"/>
        <v>1.1260369525415163E-3</v>
      </c>
      <c r="V13" s="61">
        <f t="shared" si="149"/>
        <v>1.1260369525415163E-3</v>
      </c>
      <c r="W13" s="61">
        <f t="shared" si="149"/>
        <v>1.1260369525415163E-3</v>
      </c>
      <c r="X13" s="61">
        <f t="shared" si="149"/>
        <v>1.1260369525415163E-3</v>
      </c>
      <c r="Y13" s="61">
        <f t="shared" si="149"/>
        <v>1.1260369525415163E-3</v>
      </c>
      <c r="Z13" s="61">
        <f t="shared" si="149"/>
        <v>1.1260369525415163E-3</v>
      </c>
      <c r="AA13" s="61">
        <f t="shared" ref="AA13:AC13" si="150">IF(AA10="","",SUM(AA11:AA12))</f>
        <v>1.1260369525415163E-3</v>
      </c>
      <c r="AB13" s="61">
        <f t="shared" si="150"/>
        <v>2.3007852055098839E-3</v>
      </c>
      <c r="AC13" s="61">
        <f t="shared" si="150"/>
        <v>2.3007852055098839E-3</v>
      </c>
      <c r="AD13" s="61">
        <f t="shared" ref="AD13:AJ13" si="151">IF(AD10="","",SUM(AD11:AD12))</f>
        <v>2.3007852055098839E-3</v>
      </c>
      <c r="AE13" s="61">
        <f t="shared" si="151"/>
        <v>2.3007852055098839E-3</v>
      </c>
      <c r="AF13" s="61">
        <f t="shared" si="151"/>
        <v>2.3007852055098839E-3</v>
      </c>
      <c r="AG13" s="61">
        <f t="shared" si="151"/>
        <v>2.3007852055098839E-3</v>
      </c>
      <c r="AH13" s="61">
        <f t="shared" si="151"/>
        <v>2.3007852055098839E-3</v>
      </c>
      <c r="AI13" s="61">
        <f t="shared" si="151"/>
        <v>2.3007852055098839E-3</v>
      </c>
      <c r="AJ13" s="61">
        <f t="shared" si="151"/>
        <v>2.3007852055098839E-3</v>
      </c>
      <c r="AK13" s="61">
        <f t="shared" ref="AK13:AV13" si="152">IF(AK10="","",SUM(AK11:AK12))</f>
        <v>2.3007852055098839E-3</v>
      </c>
      <c r="AL13" s="61">
        <f t="shared" si="152"/>
        <v>2.3007852055098839E-3</v>
      </c>
      <c r="AM13" s="61">
        <f t="shared" si="152"/>
        <v>2.3007852055098839E-3</v>
      </c>
      <c r="AN13" s="61">
        <f t="shared" si="152"/>
        <v>3.2087809911986328E-4</v>
      </c>
      <c r="AO13" s="61">
        <f t="shared" si="152"/>
        <v>3.2087809911986328E-4</v>
      </c>
      <c r="AP13" s="61">
        <f t="shared" si="152"/>
        <v>3.2087809911986328E-4</v>
      </c>
      <c r="AQ13" s="61">
        <f t="shared" si="152"/>
        <v>3.2087809911986328E-4</v>
      </c>
      <c r="AR13" s="61">
        <f t="shared" si="152"/>
        <v>3.2087809911986328E-4</v>
      </c>
      <c r="AS13" s="61">
        <f t="shared" si="152"/>
        <v>3.2087809911986328E-4</v>
      </c>
      <c r="AT13" s="61">
        <f t="shared" si="152"/>
        <v>3.2087809911986328E-4</v>
      </c>
      <c r="AU13" s="61">
        <f t="shared" si="152"/>
        <v>3.2087809911986328E-4</v>
      </c>
      <c r="AV13" s="61">
        <f t="shared" si="152"/>
        <v>3.2087809911986328E-4</v>
      </c>
      <c r="AW13" s="61">
        <f t="shared" ref="AW13:BK13" si="153">IF(AW10="","",SUM(AW11:AW12))</f>
        <v>3.2087809911986328E-4</v>
      </c>
      <c r="AX13" s="61">
        <f t="shared" si="153"/>
        <v>3.2087809911986328E-4</v>
      </c>
      <c r="AY13" s="61">
        <f t="shared" si="153"/>
        <v>3.2087809911986328E-4</v>
      </c>
      <c r="AZ13" s="61">
        <f t="shared" si="153"/>
        <v>-3.9181816431173094E-4</v>
      </c>
      <c r="BA13" s="61">
        <f t="shared" si="153"/>
        <v>-3.9181816431173094E-4</v>
      </c>
      <c r="BB13" s="61">
        <f t="shared" si="153"/>
        <v>-3.9181816431173094E-4</v>
      </c>
      <c r="BC13" s="61">
        <f t="shared" si="153"/>
        <v>-3.9181816431173094E-4</v>
      </c>
      <c r="BD13" s="61">
        <f t="shared" si="153"/>
        <v>-3.9181816431173094E-4</v>
      </c>
      <c r="BE13" s="61">
        <f t="shared" si="153"/>
        <v>-3.9181816431173094E-4</v>
      </c>
      <c r="BF13" s="61">
        <f t="shared" si="153"/>
        <v>-3.9181816431173094E-4</v>
      </c>
      <c r="BG13" s="61">
        <f t="shared" si="153"/>
        <v>-3.9181816431173094E-4</v>
      </c>
      <c r="BH13" s="61">
        <f t="shared" si="153"/>
        <v>-3.9181816431173094E-4</v>
      </c>
      <c r="BI13" s="61">
        <f t="shared" si="153"/>
        <v>-3.9181816431173094E-4</v>
      </c>
      <c r="BJ13" s="61">
        <f t="shared" si="153"/>
        <v>-3.9181816431173094E-4</v>
      </c>
      <c r="BK13" s="61">
        <f t="shared" si="153"/>
        <v>-3.9181816431173094E-4</v>
      </c>
    </row>
    <row r="14" spans="1:75" x14ac:dyDescent="0.3">
      <c r="A14" s="260"/>
      <c r="B14" s="72" t="s">
        <v>52</v>
      </c>
      <c r="C14" s="65">
        <f>+C12/C13</f>
        <v>0</v>
      </c>
      <c r="D14" s="65">
        <f>+IFERROR(D12/D13,"")</f>
        <v>0.39848197343453512</v>
      </c>
      <c r="E14" s="65">
        <f>+IFERROR(E12/E13,"")</f>
        <v>0.39848197343453512</v>
      </c>
      <c r="F14" s="65">
        <f>IF(F10="","",IFERROR(F12/F13,""))</f>
        <v>0.39848197343453512</v>
      </c>
      <c r="G14" s="65">
        <f t="shared" ref="G14:Z14" si="154">IF(G10="","",IFERROR(G12/G13,""))</f>
        <v>0.39848197343453512</v>
      </c>
      <c r="H14" s="65">
        <f t="shared" si="154"/>
        <v>0.39848197343453512</v>
      </c>
      <c r="I14" s="65">
        <f t="shared" si="154"/>
        <v>0.39848197343453512</v>
      </c>
      <c r="J14" s="65">
        <f t="shared" si="154"/>
        <v>0.39848197343453512</v>
      </c>
      <c r="K14" s="65">
        <f t="shared" si="154"/>
        <v>0.39848197343453512</v>
      </c>
      <c r="L14" s="65">
        <f t="shared" si="154"/>
        <v>0.39848197343453512</v>
      </c>
      <c r="M14" s="65">
        <f t="shared" si="154"/>
        <v>0.39848197343453512</v>
      </c>
      <c r="N14" s="65">
        <f t="shared" si="154"/>
        <v>0.39848197343453512</v>
      </c>
      <c r="O14" s="65">
        <f t="shared" si="154"/>
        <v>0.39848197343453512</v>
      </c>
      <c r="P14" s="65">
        <f t="shared" si="154"/>
        <v>6.6796585219608767E-2</v>
      </c>
      <c r="Q14" s="65">
        <f t="shared" si="154"/>
        <v>6.6796585219608767E-2</v>
      </c>
      <c r="R14" s="65">
        <f t="shared" si="154"/>
        <v>6.6796585219608767E-2</v>
      </c>
      <c r="S14" s="65">
        <f t="shared" si="154"/>
        <v>6.6796585219608767E-2</v>
      </c>
      <c r="T14" s="65">
        <f t="shared" si="154"/>
        <v>6.6796585219608767E-2</v>
      </c>
      <c r="U14" s="65">
        <f t="shared" si="154"/>
        <v>6.6796585219608767E-2</v>
      </c>
      <c r="V14" s="65">
        <f t="shared" si="154"/>
        <v>6.6796585219608767E-2</v>
      </c>
      <c r="W14" s="65">
        <f t="shared" si="154"/>
        <v>6.6796585219608767E-2</v>
      </c>
      <c r="X14" s="65">
        <f t="shared" si="154"/>
        <v>6.6796585219608767E-2</v>
      </c>
      <c r="Y14" s="65">
        <f t="shared" si="154"/>
        <v>6.6796585219608767E-2</v>
      </c>
      <c r="Z14" s="65">
        <f t="shared" si="154"/>
        <v>6.6796585219608767E-2</v>
      </c>
      <c r="AA14" s="65">
        <f t="shared" ref="AA14:AC14" si="155">IF(AA10="","",IFERROR(AA12/AA13,""))</f>
        <v>6.6796585219608767E-2</v>
      </c>
      <c r="AB14" s="65">
        <f t="shared" si="155"/>
        <v>5.8172930828180841E-2</v>
      </c>
      <c r="AC14" s="65">
        <f t="shared" si="155"/>
        <v>5.8172930828180841E-2</v>
      </c>
      <c r="AD14" s="65">
        <f t="shared" ref="AD14:AJ14" si="156">IF(AD10="","",IFERROR(AD12/AD13,""))</f>
        <v>5.8172930828180841E-2</v>
      </c>
      <c r="AE14" s="65">
        <f t="shared" si="156"/>
        <v>5.8172930828180841E-2</v>
      </c>
      <c r="AF14" s="65">
        <f t="shared" si="156"/>
        <v>5.8172930828180841E-2</v>
      </c>
      <c r="AG14" s="65">
        <f t="shared" si="156"/>
        <v>5.8172930828180841E-2</v>
      </c>
      <c r="AH14" s="65">
        <f t="shared" si="156"/>
        <v>5.8172930828180841E-2</v>
      </c>
      <c r="AI14" s="65">
        <f t="shared" si="156"/>
        <v>5.8172930828180841E-2</v>
      </c>
      <c r="AJ14" s="65">
        <f t="shared" si="156"/>
        <v>5.8172930828180841E-2</v>
      </c>
      <c r="AK14" s="65">
        <f t="shared" ref="AK14:AV14" si="157">IF(AK10="","",IFERROR(AK12/AK13,""))</f>
        <v>5.8172930828180841E-2</v>
      </c>
      <c r="AL14" s="65">
        <f t="shared" si="157"/>
        <v>5.8172930828180841E-2</v>
      </c>
      <c r="AM14" s="65">
        <f t="shared" si="157"/>
        <v>5.8172930828180841E-2</v>
      </c>
      <c r="AN14" s="65">
        <f t="shared" si="157"/>
        <v>-0.61860947026386048</v>
      </c>
      <c r="AO14" s="65">
        <f t="shared" si="157"/>
        <v>-0.61860947026386048</v>
      </c>
      <c r="AP14" s="65">
        <f t="shared" si="157"/>
        <v>-0.61860947026386048</v>
      </c>
      <c r="AQ14" s="65">
        <f t="shared" si="157"/>
        <v>-0.61860947026386048</v>
      </c>
      <c r="AR14" s="65">
        <f t="shared" si="157"/>
        <v>-0.61860947026386048</v>
      </c>
      <c r="AS14" s="65">
        <f t="shared" si="157"/>
        <v>-0.61860947026386048</v>
      </c>
      <c r="AT14" s="65">
        <f t="shared" si="157"/>
        <v>-0.61860947026386048</v>
      </c>
      <c r="AU14" s="65">
        <f t="shared" si="157"/>
        <v>-0.61860947026386048</v>
      </c>
      <c r="AV14" s="65">
        <f t="shared" si="157"/>
        <v>-0.61860947026386048</v>
      </c>
      <c r="AW14" s="65">
        <f t="shared" ref="AW14:BK14" si="158">IF(AW10="","",IFERROR(AW12/AW13,""))</f>
        <v>-0.61860947026386048</v>
      </c>
      <c r="AX14" s="65">
        <f t="shared" si="158"/>
        <v>-0.61860947026386048</v>
      </c>
      <c r="AY14" s="65">
        <f t="shared" si="158"/>
        <v>-0.61860947026386048</v>
      </c>
      <c r="AZ14" s="65">
        <f t="shared" si="158"/>
        <v>1.003114515238231</v>
      </c>
      <c r="BA14" s="65">
        <f t="shared" si="158"/>
        <v>1.003114515238231</v>
      </c>
      <c r="BB14" s="65">
        <f t="shared" si="158"/>
        <v>1.003114515238231</v>
      </c>
      <c r="BC14" s="65">
        <f t="shared" si="158"/>
        <v>1.003114515238231</v>
      </c>
      <c r="BD14" s="65">
        <f t="shared" si="158"/>
        <v>1.003114515238231</v>
      </c>
      <c r="BE14" s="65">
        <f t="shared" si="158"/>
        <v>1.003114515238231</v>
      </c>
      <c r="BF14" s="65">
        <f t="shared" si="158"/>
        <v>1.003114515238231</v>
      </c>
      <c r="BG14" s="65">
        <f t="shared" si="158"/>
        <v>1.003114515238231</v>
      </c>
      <c r="BH14" s="65">
        <f t="shared" si="158"/>
        <v>1.003114515238231</v>
      </c>
      <c r="BI14" s="65">
        <f t="shared" si="158"/>
        <v>1.003114515238231</v>
      </c>
      <c r="BJ14" s="65">
        <f t="shared" si="158"/>
        <v>1.003114515238231</v>
      </c>
      <c r="BK14" s="65">
        <f t="shared" si="158"/>
        <v>1.003114515238231</v>
      </c>
    </row>
    <row r="15" spans="1:75" s="52" customFormat="1" x14ac:dyDescent="0.3">
      <c r="A15" s="260"/>
      <c r="B15" s="73" t="s">
        <v>53</v>
      </c>
      <c r="C15" s="63">
        <f>+C14*C10</f>
        <v>0</v>
      </c>
      <c r="D15" s="63">
        <f>+ROUND(D14*D10,2)</f>
        <v>57670.81</v>
      </c>
      <c r="E15" s="63">
        <f>+ROUND(E14*E10,2)</f>
        <v>51199.34</v>
      </c>
      <c r="F15" s="63">
        <f>IF(F10="","",ROUND(F14*F10,2))</f>
        <v>48454.46</v>
      </c>
      <c r="G15" s="63">
        <f t="shared" ref="G15:Z15" si="159">IF(G10="","",ROUND(G14*G10,2))</f>
        <v>47961.66</v>
      </c>
      <c r="H15" s="63">
        <f t="shared" si="159"/>
        <v>56993.58</v>
      </c>
      <c r="I15" s="63">
        <f t="shared" si="159"/>
        <v>66068.81</v>
      </c>
      <c r="J15" s="63">
        <f t="shared" si="159"/>
        <v>66699.539999999994</v>
      </c>
      <c r="K15" s="63">
        <f t="shared" si="159"/>
        <v>59653.25</v>
      </c>
      <c r="L15" s="63">
        <f t="shared" si="159"/>
        <v>56484.08</v>
      </c>
      <c r="M15" s="63">
        <f t="shared" si="159"/>
        <v>50487.58</v>
      </c>
      <c r="N15" s="63">
        <f t="shared" si="159"/>
        <v>55758.36</v>
      </c>
      <c r="O15" s="63">
        <f t="shared" si="159"/>
        <v>80581.48</v>
      </c>
      <c r="P15" s="63">
        <f t="shared" si="159"/>
        <v>22915.75</v>
      </c>
      <c r="Q15" s="63">
        <f t="shared" si="159"/>
        <v>20081.22</v>
      </c>
      <c r="R15" s="63">
        <f t="shared" si="159"/>
        <v>19791.830000000002</v>
      </c>
      <c r="S15" s="63">
        <f t="shared" si="159"/>
        <v>17914.810000000001</v>
      </c>
      <c r="T15" s="63">
        <f t="shared" si="159"/>
        <v>22552.86</v>
      </c>
      <c r="U15" s="63">
        <f t="shared" si="159"/>
        <v>24883.18</v>
      </c>
      <c r="V15" s="63">
        <f t="shared" si="159"/>
        <v>23251.17</v>
      </c>
      <c r="W15" s="63">
        <f t="shared" si="159"/>
        <v>22846.74</v>
      </c>
      <c r="X15" s="63">
        <f t="shared" si="159"/>
        <v>20130.740000000002</v>
      </c>
      <c r="Y15" s="63">
        <f t="shared" si="159"/>
        <v>18136.46</v>
      </c>
      <c r="Z15" s="63">
        <f t="shared" si="159"/>
        <v>21919.72</v>
      </c>
      <c r="AA15" s="63">
        <f t="shared" ref="AA15:AC15" si="160">IF(AA10="","",ROUND(AA14*AA10,2))</f>
        <v>25229.34</v>
      </c>
      <c r="AB15" s="63">
        <f t="shared" si="160"/>
        <v>41190.97</v>
      </c>
      <c r="AC15" s="63">
        <f t="shared" si="160"/>
        <v>38787.67</v>
      </c>
      <c r="AD15" s="63">
        <f t="shared" ref="AD15:AJ15" si="161">IF(AD10="","",ROUND(AD14*AD10,2))</f>
        <v>31443.78</v>
      </c>
      <c r="AE15" s="63">
        <f t="shared" si="161"/>
        <v>29644</v>
      </c>
      <c r="AF15" s="63">
        <f t="shared" si="161"/>
        <v>34609.08</v>
      </c>
      <c r="AG15" s="63">
        <f t="shared" si="161"/>
        <v>39585.75</v>
      </c>
      <c r="AH15" s="63">
        <f t="shared" si="161"/>
        <v>40683.480000000003</v>
      </c>
      <c r="AI15" s="63">
        <f t="shared" si="161"/>
        <v>39274.67</v>
      </c>
      <c r="AJ15" s="63">
        <f t="shared" si="161"/>
        <v>35394.61</v>
      </c>
      <c r="AK15" s="63">
        <f t="shared" ref="AK15:AV15" si="162">IF(AK10="","",ROUND(AK14*AK10,2))</f>
        <v>31714.62</v>
      </c>
      <c r="AL15" s="63">
        <f t="shared" si="162"/>
        <v>37264.32</v>
      </c>
      <c r="AM15" s="63">
        <f t="shared" si="162"/>
        <v>39738.61</v>
      </c>
      <c r="AN15" s="63">
        <f t="shared" si="162"/>
        <v>-259244.3</v>
      </c>
      <c r="AO15" s="63">
        <f t="shared" si="162"/>
        <v>-54461.07</v>
      </c>
      <c r="AP15" s="63">
        <f t="shared" si="162"/>
        <v>-40308.699999999997</v>
      </c>
      <c r="AQ15" s="63">
        <f t="shared" si="162"/>
        <v>-36689.64</v>
      </c>
      <c r="AR15" s="63">
        <f t="shared" si="162"/>
        <v>-45879.44</v>
      </c>
      <c r="AS15" s="63">
        <f t="shared" si="162"/>
        <v>-57185.74</v>
      </c>
      <c r="AT15" s="63">
        <f t="shared" si="162"/>
        <v>-56277.09</v>
      </c>
      <c r="AU15" s="63">
        <f t="shared" si="162"/>
        <v>-53447.12</v>
      </c>
      <c r="AV15" s="63">
        <f t="shared" si="162"/>
        <v>-43395.75</v>
      </c>
      <c r="AW15" s="63">
        <f t="shared" ref="AW15:BK15" si="163">IF(AW10="","",ROUND(AW14*AW10,2))</f>
        <v>-43326.04</v>
      </c>
      <c r="AX15" s="63">
        <f t="shared" si="163"/>
        <v>-49988.83</v>
      </c>
      <c r="AY15" s="63">
        <f t="shared" si="163"/>
        <v>-59615.22</v>
      </c>
      <c r="AZ15" s="63">
        <f t="shared" si="163"/>
        <v>-2335.62</v>
      </c>
      <c r="BA15" s="63">
        <f t="shared" si="163"/>
        <v>-104083.7</v>
      </c>
      <c r="BB15" s="63">
        <f t="shared" si="163"/>
        <v>-82832.47</v>
      </c>
      <c r="BC15" s="63">
        <f t="shared" si="163"/>
        <v>-81630.89</v>
      </c>
      <c r="BD15" s="63">
        <f t="shared" si="163"/>
        <v>-96732.3</v>
      </c>
      <c r="BE15" s="63">
        <f t="shared" si="163"/>
        <v>-113949.84</v>
      </c>
      <c r="BF15" s="63">
        <f t="shared" si="163"/>
        <v>-114477</v>
      </c>
      <c r="BG15" s="63">
        <f t="shared" si="163"/>
        <v>-115688.1</v>
      </c>
      <c r="BH15" s="63">
        <f t="shared" si="163"/>
        <v>-96527.89</v>
      </c>
      <c r="BI15" s="63">
        <f t="shared" si="163"/>
        <v>-85698.98</v>
      </c>
      <c r="BJ15" s="63">
        <f t="shared" si="163"/>
        <v>-102444.41</v>
      </c>
      <c r="BK15" s="63">
        <f t="shared" si="163"/>
        <v>-120433.59</v>
      </c>
    </row>
    <row r="16" spans="1:75" s="52" customFormat="1" ht="9" customHeight="1" x14ac:dyDescent="0.3">
      <c r="A16" s="76"/>
      <c r="B16" s="7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</row>
    <row r="17" spans="1:63" x14ac:dyDescent="0.3">
      <c r="A17" s="260" t="s">
        <v>35</v>
      </c>
      <c r="B17" s="72" t="s">
        <v>49</v>
      </c>
      <c r="C17" s="62">
        <f>+'MEEIA 2 calcs'!O48</f>
        <v>63808.639999999999</v>
      </c>
      <c r="D17" s="62">
        <f>+'MEEIA 2 calcs'!P48</f>
        <v>334912.75</v>
      </c>
      <c r="E17" s="62">
        <f>+'MEEIA 2 calcs'!Q48</f>
        <v>311859.65000000002</v>
      </c>
      <c r="F17" s="62">
        <f>+'M2 Allocations - TD'!Q52</f>
        <v>306431.03999999998</v>
      </c>
      <c r="G17" s="62">
        <f>IF(+'M2 Allocations - TD'!R52="","",'M2 Allocations - TD'!R52)</f>
        <v>315079.21999999997</v>
      </c>
      <c r="H17" s="62">
        <f>IF(+'M2 Allocations - TD'!S52="","",'M2 Allocations - TD'!S52)</f>
        <v>357143.49</v>
      </c>
      <c r="I17" s="62">
        <f>IF(+'M2 Allocations - TD'!T52="","",'M2 Allocations - TD'!T52)</f>
        <v>388918.74</v>
      </c>
      <c r="J17" s="62">
        <f>IF(+'M2 Allocations - TD'!U52="","",'M2 Allocations - TD'!U52)</f>
        <v>396209.91</v>
      </c>
      <c r="K17" s="62">
        <f>IF(+'M2 Allocations - TD'!V52="","",'M2 Allocations - TD'!V52)</f>
        <v>373506.75</v>
      </c>
      <c r="L17" s="62">
        <f>IF(+'M2 Allocations - TD'!W52="","",'M2 Allocations - TD'!W52)</f>
        <v>358646.38</v>
      </c>
      <c r="M17" s="62">
        <f>IF(+'M2 Allocations - TD'!X52="","",'M2 Allocations - TD'!X52)</f>
        <v>321927.84000000003</v>
      </c>
      <c r="N17" s="62">
        <f>IF(+'M2 Allocations - TD'!Y52="","",'M2 Allocations - TD'!Y52)</f>
        <v>337190.07</v>
      </c>
      <c r="O17" s="62">
        <f>IF(+'M2 Allocations - TD'!Z52="","",'M2 Allocations - TD'!Z52)</f>
        <v>406112.33</v>
      </c>
      <c r="P17" s="62">
        <f>IF(+'M2 Allocations - TD'!AA52="","",'M2 Allocations - TD'!AA52)</f>
        <v>569283.56999999995</v>
      </c>
      <c r="Q17" s="62">
        <f>IF(+'M2 Allocations - TD'!AB52="","",'M2 Allocations - TD'!AB52)</f>
        <v>530638.37</v>
      </c>
      <c r="R17" s="62">
        <f>IF(+'M2 Allocations - TD'!AC52="","",'M2 Allocations - TD'!AC52)</f>
        <v>535419.43000000005</v>
      </c>
      <c r="S17" s="62">
        <f>IF(+'M2 Allocations - TD'!AD52="","",'M2 Allocations - TD'!AD52)</f>
        <v>530865.09</v>
      </c>
      <c r="T17" s="62">
        <f>IF(+'M2 Allocations - TD'!AE52="","",'M2 Allocations - TD'!AE52)</f>
        <v>632987.31999999995</v>
      </c>
      <c r="U17" s="62">
        <f>IF(+'M2 Allocations - TD'!AF52="","",'M2 Allocations - TD'!AF52)</f>
        <v>672168.03</v>
      </c>
      <c r="V17" s="62">
        <f>IF(+'M2 Allocations - TD'!AG52="","",'M2 Allocations - TD'!AG52)</f>
        <v>636130.80000000005</v>
      </c>
      <c r="W17" s="62">
        <f>IF(+'M2 Allocations - TD'!AH52="","",'M2 Allocations - TD'!AH52)</f>
        <v>647286.31999999995</v>
      </c>
      <c r="X17" s="62">
        <f>IF(+'M2 Allocations - TD'!AI52="","",'M2 Allocations - TD'!AI52)</f>
        <v>588134.43000000005</v>
      </c>
      <c r="Y17" s="62">
        <f>IF(+'M2 Allocations - TD'!AJ52="","",'M2 Allocations - TD'!AJ52)</f>
        <v>523066.9</v>
      </c>
      <c r="Z17" s="62">
        <f>IF(+'M2 Allocations - TD'!AK52="","",'M2 Allocations - TD'!AK52)</f>
        <v>569652.57999999996</v>
      </c>
      <c r="AA17" s="62">
        <f>IF(+'M2 Allocations - TD'!AL52="","",'M2 Allocations - TD'!AL52)</f>
        <v>622149.86</v>
      </c>
      <c r="AB17" s="62">
        <f>IF(+'M2 Allocations - TD'!AM52="","",'M2 Allocations - TD'!AM52)</f>
        <v>1121084.3899999999</v>
      </c>
      <c r="AC17" s="62">
        <f>IF(+'M2 Allocations - TD'!AN52="","",'M2 Allocations - TD'!AN52)</f>
        <v>1064143.96</v>
      </c>
      <c r="AD17" s="62">
        <f>IF(+'M2 Allocations - TD'!AO52="","",'M2 Allocations - TD'!AO52)</f>
        <v>956310.33</v>
      </c>
      <c r="AE17" s="62">
        <f>IF(+'M2 Allocations - TD'!AP52="","",'M2 Allocations - TD'!AP52)</f>
        <v>988397.62</v>
      </c>
      <c r="AF17" s="62">
        <f>IF(+'M2 Allocations - TD'!AQ52="","",'M2 Allocations - TD'!AQ52)</f>
        <v>1099738.51</v>
      </c>
      <c r="AG17" s="62">
        <f>IF(+'M2 Allocations - TD'!AR52="","",'M2 Allocations - TD'!AR52)</f>
        <v>1183208.1399999999</v>
      </c>
      <c r="AH17" s="62">
        <f>IF(+'M2 Allocations - TD'!AS52="","",'M2 Allocations - TD'!AS52)</f>
        <v>1210589.8</v>
      </c>
      <c r="AI17" s="62">
        <f>IF(+'M2 Allocations - TD'!AT52="","",'M2 Allocations - TD'!AT52)</f>
        <v>1222150.02</v>
      </c>
      <c r="AJ17" s="62">
        <f>IF(+'M2 Allocations - TD'!AU52="","",'M2 Allocations - TD'!AU52)</f>
        <v>1122226.3600000001</v>
      </c>
      <c r="AK17" s="62">
        <f>IF(+'M2 Allocations - TD'!AV52="","",'M2 Allocations - TD'!AV52)</f>
        <v>990572.78</v>
      </c>
      <c r="AL17" s="62">
        <f>IF(+'M2 Allocations - TD'!AW52="","",'M2 Allocations - TD'!AW52)</f>
        <v>1074771.6100000001</v>
      </c>
      <c r="AM17" s="62">
        <f>IF(+'M2 Allocations - TD'!AX52="","",'M2 Allocations - TD'!AX52)</f>
        <v>1111703.5</v>
      </c>
      <c r="AN17" s="62">
        <f>IF(+'M2 Allocations - TD'!AY52="","",'M2 Allocations - TD'!AY52)</f>
        <v>772025.26</v>
      </c>
      <c r="AO17" s="62">
        <f>IF(+'M2 Allocations - TD'!AZ52="","",'M2 Allocations - TD'!AZ52)</f>
        <v>319798.53000000003</v>
      </c>
      <c r="AP17" s="62">
        <f>IF(+'M2 Allocations - TD'!BA52="","",'M2 Allocations - TD'!BA52)</f>
        <v>269033.2</v>
      </c>
      <c r="AQ17" s="62">
        <f>IF(+'M2 Allocations - TD'!BB52="","",'M2 Allocations - TD'!BB52)</f>
        <v>249777.14</v>
      </c>
      <c r="AR17" s="62">
        <f>IF(+'M2 Allocations - TD'!BC52="","",'M2 Allocations - TD'!BC52)</f>
        <v>297315.93</v>
      </c>
      <c r="AS17" s="62">
        <f>IF(+'M2 Allocations - TD'!BD52="","",'M2 Allocations - TD'!BD52)</f>
        <v>347144.51</v>
      </c>
      <c r="AT17" s="62">
        <f>IF(+'M2 Allocations - TD'!BE52="","",'M2 Allocations - TD'!BE52)</f>
        <v>345440.09</v>
      </c>
      <c r="AU17" s="62">
        <f>IF(+'M2 Allocations - TD'!BF52="","",'M2 Allocations - TD'!BF52)</f>
        <v>344230.11</v>
      </c>
      <c r="AV17" s="62">
        <f>IF(+'M2 Allocations - TD'!BG52="","",'M2 Allocations - TD'!BG52)</f>
        <v>293731.96999999997</v>
      </c>
      <c r="AW17" s="62">
        <f>IF(+'M2 Allocations - TD'!BH52="","",'M2 Allocations - TD'!BH52)</f>
        <v>286094.82</v>
      </c>
      <c r="AX17" s="62">
        <f>IF(+'M2 Allocations - TD'!BI52="","",'M2 Allocations - TD'!BI52)</f>
        <v>307534.57</v>
      </c>
      <c r="AY17" s="62">
        <f>IF(+'M2 Allocations - TD'!BJ52="","",'M2 Allocations - TD'!BJ52)</f>
        <v>329595.59000000003</v>
      </c>
      <c r="AZ17" s="62">
        <f>IF(+'M2 Allocations - TD'!BK52="","",'M2 Allocations - TD'!BK52)</f>
        <v>128230.92</v>
      </c>
      <c r="BA17" s="62">
        <f>IF(+'M2 Allocations - TD'!BL52="","",'M2 Allocations - TD'!BL52)</f>
        <v>-119113.36</v>
      </c>
      <c r="BB17" s="62">
        <f>IF(+'M2 Allocations - TD'!BM52="","",'M2 Allocations - TD'!BM52)</f>
        <v>-106709.26</v>
      </c>
      <c r="BC17" s="62">
        <f>IF(+'M2 Allocations - TD'!BN52="","",'M2 Allocations - TD'!BN52)</f>
        <v>-108656.28</v>
      </c>
      <c r="BD17" s="62">
        <f>IF(+'M2 Allocations - TD'!BO52="","",'M2 Allocations - TD'!BO52)</f>
        <v>-121205.96</v>
      </c>
      <c r="BE17" s="62">
        <f>IF(+'M2 Allocations - TD'!BP52="","",'M2 Allocations - TD'!BP52)</f>
        <v>-141073.82999999999</v>
      </c>
      <c r="BF17" s="62">
        <f>IF(+'M2 Allocations - TD'!BQ52="","",'M2 Allocations - TD'!BQ52)</f>
        <v>-140301.07</v>
      </c>
      <c r="BG17" s="62">
        <f>IF(+'M2 Allocations - TD'!BR52="","",'M2 Allocations - TD'!BR52)</f>
        <v>-142985.78</v>
      </c>
      <c r="BH17" s="62">
        <f>IF(+'M2 Allocations - TD'!BS52="","",'M2 Allocations - TD'!BS52)</f>
        <v>-125672.79</v>
      </c>
      <c r="BI17" s="62">
        <f>IF(+'M2 Allocations - TD'!BT52="","",'M2 Allocations - TD'!BT52)</f>
        <v>-114196.73608519165</v>
      </c>
      <c r="BJ17" s="62">
        <f>IF(+'M2 Allocations - TD'!BU52="","",'M2 Allocations - TD'!BU52)</f>
        <v>-123439.98998249101</v>
      </c>
      <c r="BK17" s="62">
        <f>IF(+'M2 Allocations - TD'!BV52="","",'M2 Allocations - TD'!BV52)</f>
        <v>-135005.30398801446</v>
      </c>
    </row>
    <row r="18" spans="1:63" x14ac:dyDescent="0.3">
      <c r="A18" s="260"/>
      <c r="B18" s="72" t="s">
        <v>51</v>
      </c>
      <c r="C18" s="88">
        <v>6.2000000000000003E-5</v>
      </c>
      <c r="D18" s="88">
        <v>4.28E-4</v>
      </c>
      <c r="E18" s="70">
        <f>+D18</f>
        <v>4.28E-4</v>
      </c>
      <c r="F18" s="70">
        <f>IF(F17="","",E18)</f>
        <v>4.28E-4</v>
      </c>
      <c r="G18" s="70">
        <f t="shared" ref="G18:Z18" si="164">IF(G17="","",F18)</f>
        <v>4.28E-4</v>
      </c>
      <c r="H18" s="70">
        <f t="shared" si="164"/>
        <v>4.28E-4</v>
      </c>
      <c r="I18" s="70">
        <f t="shared" si="164"/>
        <v>4.28E-4</v>
      </c>
      <c r="J18" s="70">
        <f t="shared" si="164"/>
        <v>4.28E-4</v>
      </c>
      <c r="K18" s="70">
        <f t="shared" si="164"/>
        <v>4.28E-4</v>
      </c>
      <c r="L18" s="70">
        <f t="shared" si="164"/>
        <v>4.28E-4</v>
      </c>
      <c r="M18" s="70">
        <f t="shared" si="164"/>
        <v>4.28E-4</v>
      </c>
      <c r="N18" s="70">
        <f t="shared" si="164"/>
        <v>4.28E-4</v>
      </c>
      <c r="O18" s="70">
        <f t="shared" si="164"/>
        <v>4.28E-4</v>
      </c>
      <c r="P18" s="88">
        <v>9.6322685443095489E-4</v>
      </c>
      <c r="Q18" s="70">
        <f t="shared" si="164"/>
        <v>9.6322685443095489E-4</v>
      </c>
      <c r="R18" s="92">
        <f t="shared" si="164"/>
        <v>9.6322685443095489E-4</v>
      </c>
      <c r="S18" s="92">
        <f t="shared" si="164"/>
        <v>9.6322685443095489E-4</v>
      </c>
      <c r="T18" s="92">
        <f t="shared" si="164"/>
        <v>9.6322685443095489E-4</v>
      </c>
      <c r="U18" s="92">
        <f t="shared" si="164"/>
        <v>9.6322685443095489E-4</v>
      </c>
      <c r="V18" s="92">
        <f t="shared" si="164"/>
        <v>9.6322685443095489E-4</v>
      </c>
      <c r="W18" s="92">
        <f t="shared" si="164"/>
        <v>9.6322685443095489E-4</v>
      </c>
      <c r="X18" s="92">
        <f t="shared" si="164"/>
        <v>9.6322685443095489E-4</v>
      </c>
      <c r="Y18" s="92">
        <f t="shared" si="164"/>
        <v>9.6322685443095489E-4</v>
      </c>
      <c r="Z18" s="92">
        <f t="shared" si="164"/>
        <v>9.6322685443095489E-4</v>
      </c>
      <c r="AA18" s="92">
        <f t="shared" ref="AA18" si="165">IF(AA17="","",Z18)</f>
        <v>9.6322685443095489E-4</v>
      </c>
      <c r="AB18" s="88">
        <v>1.7376912608362781E-3</v>
      </c>
      <c r="AC18" s="70">
        <f t="shared" ref="AC18" si="166">IF(AC17="","",AB18)</f>
        <v>1.7376912608362781E-3</v>
      </c>
      <c r="AD18" s="70">
        <f t="shared" ref="AD18" si="167">IF(AD17="","",AC18)</f>
        <v>1.7376912608362781E-3</v>
      </c>
      <c r="AE18" s="70">
        <f t="shared" ref="AE18" si="168">IF(AE17="","",AD18)</f>
        <v>1.7376912608362781E-3</v>
      </c>
      <c r="AF18" s="70">
        <f t="shared" ref="AF18" si="169">IF(AF17="","",AE18)</f>
        <v>1.7376912608362781E-3</v>
      </c>
      <c r="AG18" s="70">
        <f t="shared" ref="AG18" si="170">IF(AG17="","",AF18)</f>
        <v>1.7376912608362781E-3</v>
      </c>
      <c r="AH18" s="70">
        <f t="shared" ref="AH18" si="171">IF(AH17="","",AG18)</f>
        <v>1.7376912608362781E-3</v>
      </c>
      <c r="AI18" s="70">
        <f t="shared" ref="AI18" si="172">IF(AI17="","",AH18)</f>
        <v>1.7376912608362781E-3</v>
      </c>
      <c r="AJ18" s="70">
        <f t="shared" ref="AJ18" si="173">IF(AJ17="","",AI18)</f>
        <v>1.7376912608362781E-3</v>
      </c>
      <c r="AK18" s="70">
        <f t="shared" ref="AK18" si="174">IF(AK17="","",AJ18)</f>
        <v>1.7376912608362781E-3</v>
      </c>
      <c r="AL18" s="70">
        <f t="shared" ref="AL18" si="175">IF(AL17="","",AK18)</f>
        <v>1.7376912608362781E-3</v>
      </c>
      <c r="AM18" s="70">
        <f t="shared" ref="AM18" si="176">IF(AM17="","",AL18)</f>
        <v>1.7376912608362781E-3</v>
      </c>
      <c r="AN18" s="139">
        <v>4.5805746473138027E-4</v>
      </c>
      <c r="AO18" s="70">
        <f t="shared" ref="AO18" si="177">IF(AO17="","",AN18)</f>
        <v>4.5805746473138027E-4</v>
      </c>
      <c r="AP18" s="70">
        <f t="shared" ref="AP18" si="178">IF(AP17="","",AO18)</f>
        <v>4.5805746473138027E-4</v>
      </c>
      <c r="AQ18" s="70">
        <f t="shared" ref="AQ18" si="179">IF(AQ17="","",AP18)</f>
        <v>4.5805746473138027E-4</v>
      </c>
      <c r="AR18" s="70">
        <f t="shared" ref="AR18" si="180">IF(AR17="","",AQ18)</f>
        <v>4.5805746473138027E-4</v>
      </c>
      <c r="AS18" s="70">
        <f t="shared" ref="AS18" si="181">IF(AS17="","",AR18)</f>
        <v>4.5805746473138027E-4</v>
      </c>
      <c r="AT18" s="70">
        <f t="shared" ref="AT18" si="182">IF(AT17="","",AS18)</f>
        <v>4.5805746473138027E-4</v>
      </c>
      <c r="AU18" s="70">
        <f t="shared" ref="AU18" si="183">IF(AU17="","",AT18)</f>
        <v>4.5805746473138027E-4</v>
      </c>
      <c r="AV18" s="70">
        <f t="shared" ref="AV18" si="184">IF(AV17="","",AU18)</f>
        <v>4.5805746473138027E-4</v>
      </c>
      <c r="AW18" s="70">
        <f t="shared" ref="AW18" si="185">IF(AW17="","",AV18)</f>
        <v>4.5805746473138027E-4</v>
      </c>
      <c r="AX18" s="70">
        <f t="shared" ref="AX18" si="186">IF(AX17="","",AW18)</f>
        <v>4.5805746473138027E-4</v>
      </c>
      <c r="AY18" s="70">
        <f t="shared" ref="AY18" si="187">IF(AY17="","",AX18)</f>
        <v>4.5805746473138027E-4</v>
      </c>
      <c r="AZ18" s="139">
        <v>4.6536199470864085E-5</v>
      </c>
      <c r="BA18" s="70">
        <f t="shared" ref="BA18" si="188">IF(BA17="","",AZ18)</f>
        <v>4.6536199470864085E-5</v>
      </c>
      <c r="BB18" s="70">
        <f t="shared" ref="BB18" si="189">IF(BB17="","",BA18)</f>
        <v>4.6536199470864085E-5</v>
      </c>
      <c r="BC18" s="70">
        <f t="shared" ref="BC18" si="190">IF(BC17="","",BB18)</f>
        <v>4.6536199470864085E-5</v>
      </c>
      <c r="BD18" s="70">
        <f t="shared" ref="BD18" si="191">IF(BD17="","",BC18)</f>
        <v>4.6536199470864085E-5</v>
      </c>
      <c r="BE18" s="70">
        <f t="shared" ref="BE18" si="192">IF(BE17="","",BD18)</f>
        <v>4.6536199470864085E-5</v>
      </c>
      <c r="BF18" s="70">
        <f t="shared" ref="BF18" si="193">IF(BF17="","",BE18)</f>
        <v>4.6536199470864085E-5</v>
      </c>
      <c r="BG18" s="70">
        <f t="shared" ref="BG18" si="194">IF(BG17="","",BF18)</f>
        <v>4.6536199470864085E-5</v>
      </c>
      <c r="BH18" s="70">
        <f t="shared" ref="BH18" si="195">IF(BH17="","",BG18)</f>
        <v>4.6536199470864085E-5</v>
      </c>
      <c r="BI18" s="70">
        <f t="shared" ref="BI18" si="196">IF(BI17="","",BH18)</f>
        <v>4.6536199470864085E-5</v>
      </c>
      <c r="BJ18" s="70">
        <f t="shared" ref="BJ18" si="197">IF(BJ17="","",BI18)</f>
        <v>4.6536199470864085E-5</v>
      </c>
      <c r="BK18" s="70">
        <f t="shared" ref="BK18" si="198">IF(BK17="","",BJ18)</f>
        <v>4.6536199470864085E-5</v>
      </c>
    </row>
    <row r="19" spans="1:63" x14ac:dyDescent="0.3">
      <c r="A19" s="260"/>
      <c r="B19" s="72" t="s">
        <v>50</v>
      </c>
      <c r="C19" s="46">
        <v>0</v>
      </c>
      <c r="D19" s="88">
        <v>1.17E-4</v>
      </c>
      <c r="E19" s="70">
        <f>+D19</f>
        <v>1.17E-4</v>
      </c>
      <c r="F19" s="70">
        <f>IF(F17="","",E19)</f>
        <v>1.17E-4</v>
      </c>
      <c r="G19" s="70">
        <f t="shared" ref="G19:Z19" si="199">IF(G17="","",F19)</f>
        <v>1.17E-4</v>
      </c>
      <c r="H19" s="70">
        <f t="shared" si="199"/>
        <v>1.17E-4</v>
      </c>
      <c r="I19" s="70">
        <f t="shared" si="199"/>
        <v>1.17E-4</v>
      </c>
      <c r="J19" s="70">
        <f t="shared" si="199"/>
        <v>1.17E-4</v>
      </c>
      <c r="K19" s="70">
        <f t="shared" si="199"/>
        <v>1.17E-4</v>
      </c>
      <c r="L19" s="70">
        <f t="shared" si="199"/>
        <v>1.17E-4</v>
      </c>
      <c r="M19" s="70">
        <f t="shared" si="199"/>
        <v>1.17E-4</v>
      </c>
      <c r="N19" s="70">
        <f t="shared" si="199"/>
        <v>1.17E-4</v>
      </c>
      <c r="O19" s="70">
        <f t="shared" si="199"/>
        <v>1.17E-4</v>
      </c>
      <c r="P19" s="93">
        <v>-6.5977518462868702E-5</v>
      </c>
      <c r="Q19" s="92">
        <f t="shared" si="199"/>
        <v>-6.5977518462868702E-5</v>
      </c>
      <c r="R19" s="92">
        <f t="shared" si="199"/>
        <v>-6.5977518462868702E-5</v>
      </c>
      <c r="S19" s="92">
        <f t="shared" si="199"/>
        <v>-6.5977518462868702E-5</v>
      </c>
      <c r="T19" s="92">
        <f t="shared" si="199"/>
        <v>-6.5977518462868702E-5</v>
      </c>
      <c r="U19" s="92">
        <f t="shared" si="199"/>
        <v>-6.5977518462868702E-5</v>
      </c>
      <c r="V19" s="92">
        <f t="shared" si="199"/>
        <v>-6.5977518462868702E-5</v>
      </c>
      <c r="W19" s="92">
        <f t="shared" si="199"/>
        <v>-6.5977518462868702E-5</v>
      </c>
      <c r="X19" s="92">
        <f t="shared" si="199"/>
        <v>-6.5977518462868702E-5</v>
      </c>
      <c r="Y19" s="92">
        <f t="shared" si="199"/>
        <v>-6.5977518462868702E-5</v>
      </c>
      <c r="Z19" s="92">
        <f t="shared" si="199"/>
        <v>-6.5977518462868702E-5</v>
      </c>
      <c r="AA19" s="92">
        <f t="shared" ref="AA19" si="200">IF(AA17="","",Z19)</f>
        <v>-6.5977518462868702E-5</v>
      </c>
      <c r="AB19" s="93">
        <v>6.4203213386111483E-5</v>
      </c>
      <c r="AC19" s="92">
        <f t="shared" ref="AC19" si="201">IF(AC17="","",AB19)</f>
        <v>6.4203213386111483E-5</v>
      </c>
      <c r="AD19" s="92">
        <f t="shared" ref="AD19" si="202">IF(AD17="","",AC19)</f>
        <v>6.4203213386111483E-5</v>
      </c>
      <c r="AE19" s="92">
        <f t="shared" ref="AE19" si="203">IF(AE17="","",AD19)</f>
        <v>6.4203213386111483E-5</v>
      </c>
      <c r="AF19" s="92">
        <f t="shared" ref="AF19" si="204">IF(AF17="","",AE19)</f>
        <v>6.4203213386111483E-5</v>
      </c>
      <c r="AG19" s="92">
        <f t="shared" ref="AG19" si="205">IF(AG17="","",AF19)</f>
        <v>6.4203213386111483E-5</v>
      </c>
      <c r="AH19" s="92">
        <f t="shared" ref="AH19" si="206">IF(AH17="","",AG19)</f>
        <v>6.4203213386111483E-5</v>
      </c>
      <c r="AI19" s="92">
        <f t="shared" ref="AI19" si="207">IF(AI17="","",AH19)</f>
        <v>6.4203213386111483E-5</v>
      </c>
      <c r="AJ19" s="92">
        <f t="shared" ref="AJ19" si="208">IF(AJ17="","",AI19)</f>
        <v>6.4203213386111483E-5</v>
      </c>
      <c r="AK19" s="92">
        <f t="shared" ref="AK19" si="209">IF(AK17="","",AJ19)</f>
        <v>6.4203213386111483E-5</v>
      </c>
      <c r="AL19" s="92">
        <f t="shared" ref="AL19" si="210">IF(AL17="","",AK19)</f>
        <v>6.4203213386111483E-5</v>
      </c>
      <c r="AM19" s="92">
        <f t="shared" ref="AM19" si="211">IF(AM17="","",AL19)</f>
        <v>6.4203213386111483E-5</v>
      </c>
      <c r="AN19" s="141">
        <v>9.7754935298837687E-5</v>
      </c>
      <c r="AO19" s="92">
        <f t="shared" ref="AO19" si="212">IF(AO17="","",AN19)</f>
        <v>9.7754935298837687E-5</v>
      </c>
      <c r="AP19" s="92">
        <f t="shared" ref="AP19" si="213">IF(AP17="","",AO19)</f>
        <v>9.7754935298837687E-5</v>
      </c>
      <c r="AQ19" s="92">
        <f t="shared" ref="AQ19" si="214">IF(AQ17="","",AP19)</f>
        <v>9.7754935298837687E-5</v>
      </c>
      <c r="AR19" s="92">
        <f t="shared" ref="AR19" si="215">IF(AR17="","",AQ19)</f>
        <v>9.7754935298837687E-5</v>
      </c>
      <c r="AS19" s="92">
        <f t="shared" ref="AS19" si="216">IF(AS17="","",AR19)</f>
        <v>9.7754935298837687E-5</v>
      </c>
      <c r="AT19" s="92">
        <f t="shared" ref="AT19" si="217">IF(AT17="","",AS19)</f>
        <v>9.7754935298837687E-5</v>
      </c>
      <c r="AU19" s="92">
        <f t="shared" ref="AU19" si="218">IF(AU17="","",AT19)</f>
        <v>9.7754935298837687E-5</v>
      </c>
      <c r="AV19" s="92">
        <f t="shared" ref="AV19" si="219">IF(AV17="","",AU19)</f>
        <v>9.7754935298837687E-5</v>
      </c>
      <c r="AW19" s="92">
        <f t="shared" ref="AW19" si="220">IF(AW17="","",AV19)</f>
        <v>9.7754935298837687E-5</v>
      </c>
      <c r="AX19" s="92">
        <f t="shared" ref="AX19" si="221">IF(AX17="","",AW19)</f>
        <v>9.7754935298837687E-5</v>
      </c>
      <c r="AY19" s="92">
        <f t="shared" ref="AY19" si="222">IF(AY17="","",AX19)</f>
        <v>9.7754935298837687E-5</v>
      </c>
      <c r="AZ19" s="141">
        <v>-2.6792444489892511E-4</v>
      </c>
      <c r="BA19" s="92">
        <f t="shared" ref="BA19" si="223">IF(BA17="","",AZ19)</f>
        <v>-2.6792444489892511E-4</v>
      </c>
      <c r="BB19" s="92">
        <f t="shared" ref="BB19" si="224">IF(BB17="","",BA19)</f>
        <v>-2.6792444489892511E-4</v>
      </c>
      <c r="BC19" s="92">
        <f t="shared" ref="BC19" si="225">IF(BC17="","",BB19)</f>
        <v>-2.6792444489892511E-4</v>
      </c>
      <c r="BD19" s="92">
        <f t="shared" ref="BD19" si="226">IF(BD17="","",BC19)</f>
        <v>-2.6792444489892511E-4</v>
      </c>
      <c r="BE19" s="92">
        <f t="shared" ref="BE19" si="227">IF(BE17="","",BD19)</f>
        <v>-2.6792444489892511E-4</v>
      </c>
      <c r="BF19" s="92">
        <f t="shared" ref="BF19" si="228">IF(BF17="","",BE19)</f>
        <v>-2.6792444489892511E-4</v>
      </c>
      <c r="BG19" s="92">
        <f t="shared" ref="BG19" si="229">IF(BG17="","",BF19)</f>
        <v>-2.6792444489892511E-4</v>
      </c>
      <c r="BH19" s="92">
        <f t="shared" ref="BH19" si="230">IF(BH17="","",BG19)</f>
        <v>-2.6792444489892511E-4</v>
      </c>
      <c r="BI19" s="92">
        <f t="shared" ref="BI19" si="231">IF(BI17="","",BH19)</f>
        <v>-2.6792444489892511E-4</v>
      </c>
      <c r="BJ19" s="92">
        <f t="shared" ref="BJ19" si="232">IF(BJ17="","",BI19)</f>
        <v>-2.6792444489892511E-4</v>
      </c>
      <c r="BK19" s="92">
        <f t="shared" ref="BK19" si="233">IF(BK17="","",BJ19)</f>
        <v>-2.6792444489892511E-4</v>
      </c>
    </row>
    <row r="20" spans="1:63" x14ac:dyDescent="0.3">
      <c r="A20" s="260"/>
      <c r="B20" s="72" t="s">
        <v>59</v>
      </c>
      <c r="C20" s="61">
        <f>SUM(C18:C19)</f>
        <v>6.2000000000000003E-5</v>
      </c>
      <c r="D20" s="61">
        <f t="shared" ref="D20:E20" si="234">SUM(D18:D19)</f>
        <v>5.4500000000000002E-4</v>
      </c>
      <c r="E20" s="61">
        <f t="shared" si="234"/>
        <v>5.4500000000000002E-4</v>
      </c>
      <c r="F20" s="61">
        <f>IF(F17="","",SUM(F18:F19))</f>
        <v>5.4500000000000002E-4</v>
      </c>
      <c r="G20" s="61">
        <f t="shared" ref="G20:Z20" si="235">IF(G17="","",SUM(G18:G19))</f>
        <v>5.4500000000000002E-4</v>
      </c>
      <c r="H20" s="61">
        <f t="shared" si="235"/>
        <v>5.4500000000000002E-4</v>
      </c>
      <c r="I20" s="61">
        <f t="shared" si="235"/>
        <v>5.4500000000000002E-4</v>
      </c>
      <c r="J20" s="61">
        <f t="shared" si="235"/>
        <v>5.4500000000000002E-4</v>
      </c>
      <c r="K20" s="61">
        <f t="shared" si="235"/>
        <v>5.4500000000000002E-4</v>
      </c>
      <c r="L20" s="61">
        <f t="shared" si="235"/>
        <v>5.4500000000000002E-4</v>
      </c>
      <c r="M20" s="61">
        <f t="shared" si="235"/>
        <v>5.4500000000000002E-4</v>
      </c>
      <c r="N20" s="61">
        <f t="shared" si="235"/>
        <v>5.4500000000000002E-4</v>
      </c>
      <c r="O20" s="61">
        <f t="shared" si="235"/>
        <v>5.4500000000000002E-4</v>
      </c>
      <c r="P20" s="61">
        <f t="shared" si="235"/>
        <v>8.9724933596808617E-4</v>
      </c>
      <c r="Q20" s="61">
        <f t="shared" si="235"/>
        <v>8.9724933596808617E-4</v>
      </c>
      <c r="R20" s="61">
        <f t="shared" si="235"/>
        <v>8.9724933596808617E-4</v>
      </c>
      <c r="S20" s="61">
        <f t="shared" si="235"/>
        <v>8.9724933596808617E-4</v>
      </c>
      <c r="T20" s="61">
        <f t="shared" si="235"/>
        <v>8.9724933596808617E-4</v>
      </c>
      <c r="U20" s="61">
        <f t="shared" si="235"/>
        <v>8.9724933596808617E-4</v>
      </c>
      <c r="V20" s="61">
        <f t="shared" si="235"/>
        <v>8.9724933596808617E-4</v>
      </c>
      <c r="W20" s="61">
        <f t="shared" si="235"/>
        <v>8.9724933596808617E-4</v>
      </c>
      <c r="X20" s="61">
        <f t="shared" si="235"/>
        <v>8.9724933596808617E-4</v>
      </c>
      <c r="Y20" s="61">
        <f t="shared" si="235"/>
        <v>8.9724933596808617E-4</v>
      </c>
      <c r="Z20" s="61">
        <f t="shared" si="235"/>
        <v>8.9724933596808617E-4</v>
      </c>
      <c r="AA20" s="61">
        <f t="shared" ref="AA20:AC20" si="236">IF(AA17="","",SUM(AA18:AA19))</f>
        <v>8.9724933596808617E-4</v>
      </c>
      <c r="AB20" s="61">
        <f t="shared" si="236"/>
        <v>1.8018944742223895E-3</v>
      </c>
      <c r="AC20" s="61">
        <f t="shared" si="236"/>
        <v>1.8018944742223895E-3</v>
      </c>
      <c r="AD20" s="61">
        <f t="shared" ref="AD20:AJ20" si="237">IF(AD17="","",SUM(AD18:AD19))</f>
        <v>1.8018944742223895E-3</v>
      </c>
      <c r="AE20" s="61">
        <f t="shared" si="237"/>
        <v>1.8018944742223895E-3</v>
      </c>
      <c r="AF20" s="61">
        <f t="shared" si="237"/>
        <v>1.8018944742223895E-3</v>
      </c>
      <c r="AG20" s="61">
        <f t="shared" si="237"/>
        <v>1.8018944742223895E-3</v>
      </c>
      <c r="AH20" s="61">
        <f t="shared" si="237"/>
        <v>1.8018944742223895E-3</v>
      </c>
      <c r="AI20" s="61">
        <f t="shared" si="237"/>
        <v>1.8018944742223895E-3</v>
      </c>
      <c r="AJ20" s="61">
        <f t="shared" si="237"/>
        <v>1.8018944742223895E-3</v>
      </c>
      <c r="AK20" s="61">
        <f t="shared" ref="AK20:AV20" si="238">IF(AK17="","",SUM(AK18:AK19))</f>
        <v>1.8018944742223895E-3</v>
      </c>
      <c r="AL20" s="61">
        <f t="shared" si="238"/>
        <v>1.8018944742223895E-3</v>
      </c>
      <c r="AM20" s="61">
        <f t="shared" si="238"/>
        <v>1.8018944742223895E-3</v>
      </c>
      <c r="AN20" s="61">
        <f t="shared" si="238"/>
        <v>5.5581240003021797E-4</v>
      </c>
      <c r="AO20" s="61">
        <f t="shared" si="238"/>
        <v>5.5581240003021797E-4</v>
      </c>
      <c r="AP20" s="61">
        <f t="shared" si="238"/>
        <v>5.5581240003021797E-4</v>
      </c>
      <c r="AQ20" s="61">
        <f t="shared" si="238"/>
        <v>5.5581240003021797E-4</v>
      </c>
      <c r="AR20" s="61">
        <f t="shared" si="238"/>
        <v>5.5581240003021797E-4</v>
      </c>
      <c r="AS20" s="61">
        <f t="shared" si="238"/>
        <v>5.5581240003021797E-4</v>
      </c>
      <c r="AT20" s="61">
        <f t="shared" si="238"/>
        <v>5.5581240003021797E-4</v>
      </c>
      <c r="AU20" s="61">
        <f t="shared" si="238"/>
        <v>5.5581240003021797E-4</v>
      </c>
      <c r="AV20" s="61">
        <f t="shared" si="238"/>
        <v>5.5581240003021797E-4</v>
      </c>
      <c r="AW20" s="61">
        <f t="shared" ref="AW20:BK20" si="239">IF(AW17="","",SUM(AW18:AW19))</f>
        <v>5.5581240003021797E-4</v>
      </c>
      <c r="AX20" s="61">
        <f t="shared" si="239"/>
        <v>5.5581240003021797E-4</v>
      </c>
      <c r="AY20" s="61">
        <f t="shared" si="239"/>
        <v>5.5581240003021797E-4</v>
      </c>
      <c r="AZ20" s="61">
        <f t="shared" si="239"/>
        <v>-2.2138824542806103E-4</v>
      </c>
      <c r="BA20" s="61">
        <f t="shared" si="239"/>
        <v>-2.2138824542806103E-4</v>
      </c>
      <c r="BB20" s="61">
        <f t="shared" si="239"/>
        <v>-2.2138824542806103E-4</v>
      </c>
      <c r="BC20" s="61">
        <f t="shared" si="239"/>
        <v>-2.2138824542806103E-4</v>
      </c>
      <c r="BD20" s="61">
        <f t="shared" si="239"/>
        <v>-2.2138824542806103E-4</v>
      </c>
      <c r="BE20" s="61">
        <f t="shared" si="239"/>
        <v>-2.2138824542806103E-4</v>
      </c>
      <c r="BF20" s="61">
        <f t="shared" si="239"/>
        <v>-2.2138824542806103E-4</v>
      </c>
      <c r="BG20" s="61">
        <f t="shared" si="239"/>
        <v>-2.2138824542806103E-4</v>
      </c>
      <c r="BH20" s="61">
        <f t="shared" si="239"/>
        <v>-2.2138824542806103E-4</v>
      </c>
      <c r="BI20" s="61">
        <f t="shared" si="239"/>
        <v>-2.2138824542806103E-4</v>
      </c>
      <c r="BJ20" s="61">
        <f t="shared" si="239"/>
        <v>-2.2138824542806103E-4</v>
      </c>
      <c r="BK20" s="61">
        <f t="shared" si="239"/>
        <v>-2.2138824542806103E-4</v>
      </c>
    </row>
    <row r="21" spans="1:63" x14ac:dyDescent="0.3">
      <c r="A21" s="260"/>
      <c r="B21" s="72" t="s">
        <v>52</v>
      </c>
      <c r="C21" s="65">
        <f>+C19/C20</f>
        <v>0</v>
      </c>
      <c r="D21" s="65">
        <f>+IFERROR(D19/D20,"")</f>
        <v>0.21467889908256879</v>
      </c>
      <c r="E21" s="65">
        <f>+IFERROR(E19/E20,"")</f>
        <v>0.21467889908256879</v>
      </c>
      <c r="F21" s="65">
        <f>IF(F17="","",IFERROR(F19/F20,""))</f>
        <v>0.21467889908256879</v>
      </c>
      <c r="G21" s="65">
        <f t="shared" ref="G21:Z21" si="240">IF(G17="","",IFERROR(G19/G20,""))</f>
        <v>0.21467889908256879</v>
      </c>
      <c r="H21" s="65">
        <f t="shared" si="240"/>
        <v>0.21467889908256879</v>
      </c>
      <c r="I21" s="65">
        <f t="shared" si="240"/>
        <v>0.21467889908256879</v>
      </c>
      <c r="J21" s="65">
        <f t="shared" si="240"/>
        <v>0.21467889908256879</v>
      </c>
      <c r="K21" s="65">
        <f t="shared" si="240"/>
        <v>0.21467889908256879</v>
      </c>
      <c r="L21" s="65">
        <f t="shared" si="240"/>
        <v>0.21467889908256879</v>
      </c>
      <c r="M21" s="65">
        <f t="shared" si="240"/>
        <v>0.21467889908256879</v>
      </c>
      <c r="N21" s="65">
        <f t="shared" si="240"/>
        <v>0.21467889908256879</v>
      </c>
      <c r="O21" s="65">
        <f t="shared" si="240"/>
        <v>0.21467889908256879</v>
      </c>
      <c r="P21" s="65">
        <f t="shared" si="240"/>
        <v>-7.3533092550781692E-2</v>
      </c>
      <c r="Q21" s="65">
        <f t="shared" si="240"/>
        <v>-7.3533092550781692E-2</v>
      </c>
      <c r="R21" s="65">
        <f t="shared" si="240"/>
        <v>-7.3533092550781692E-2</v>
      </c>
      <c r="S21" s="65">
        <f t="shared" si="240"/>
        <v>-7.3533092550781692E-2</v>
      </c>
      <c r="T21" s="65">
        <f t="shared" si="240"/>
        <v>-7.3533092550781692E-2</v>
      </c>
      <c r="U21" s="65">
        <f t="shared" si="240"/>
        <v>-7.3533092550781692E-2</v>
      </c>
      <c r="V21" s="65">
        <f t="shared" si="240"/>
        <v>-7.3533092550781692E-2</v>
      </c>
      <c r="W21" s="65">
        <f t="shared" si="240"/>
        <v>-7.3533092550781692E-2</v>
      </c>
      <c r="X21" s="65">
        <f t="shared" si="240"/>
        <v>-7.3533092550781692E-2</v>
      </c>
      <c r="Y21" s="65">
        <f t="shared" si="240"/>
        <v>-7.3533092550781692E-2</v>
      </c>
      <c r="Z21" s="65">
        <f t="shared" si="240"/>
        <v>-7.3533092550781692E-2</v>
      </c>
      <c r="AA21" s="65">
        <f t="shared" ref="AA21:AC21" si="241">IF(AA17="","",IFERROR(AA19/AA20,""))</f>
        <v>-7.3533092550781692E-2</v>
      </c>
      <c r="AB21" s="65">
        <f t="shared" si="241"/>
        <v>3.5630950815706608E-2</v>
      </c>
      <c r="AC21" s="65">
        <f t="shared" si="241"/>
        <v>3.5630950815706608E-2</v>
      </c>
      <c r="AD21" s="65">
        <f t="shared" ref="AD21:AJ21" si="242">IF(AD17="","",IFERROR(AD19/AD20,""))</f>
        <v>3.5630950815706608E-2</v>
      </c>
      <c r="AE21" s="65">
        <f t="shared" si="242"/>
        <v>3.5630950815706608E-2</v>
      </c>
      <c r="AF21" s="65">
        <f t="shared" si="242"/>
        <v>3.5630950815706608E-2</v>
      </c>
      <c r="AG21" s="65">
        <f t="shared" si="242"/>
        <v>3.5630950815706608E-2</v>
      </c>
      <c r="AH21" s="65">
        <f t="shared" si="242"/>
        <v>3.5630950815706608E-2</v>
      </c>
      <c r="AI21" s="65">
        <f t="shared" si="242"/>
        <v>3.5630950815706608E-2</v>
      </c>
      <c r="AJ21" s="65">
        <f t="shared" si="242"/>
        <v>3.5630950815706608E-2</v>
      </c>
      <c r="AK21" s="65">
        <f t="shared" ref="AK21:AV21" si="243">IF(AK17="","",IFERROR(AK19/AK20,""))</f>
        <v>3.5630950815706608E-2</v>
      </c>
      <c r="AL21" s="65">
        <f t="shared" si="243"/>
        <v>3.5630950815706608E-2</v>
      </c>
      <c r="AM21" s="65">
        <f t="shared" si="243"/>
        <v>3.5630950815706608E-2</v>
      </c>
      <c r="AN21" s="65">
        <f t="shared" si="243"/>
        <v>0.17587757180934255</v>
      </c>
      <c r="AO21" s="65">
        <f t="shared" si="243"/>
        <v>0.17587757180934255</v>
      </c>
      <c r="AP21" s="65">
        <f t="shared" si="243"/>
        <v>0.17587757180934255</v>
      </c>
      <c r="AQ21" s="65">
        <f t="shared" si="243"/>
        <v>0.17587757180934255</v>
      </c>
      <c r="AR21" s="65">
        <f t="shared" si="243"/>
        <v>0.17587757180934255</v>
      </c>
      <c r="AS21" s="65">
        <f t="shared" si="243"/>
        <v>0.17587757180934255</v>
      </c>
      <c r="AT21" s="65">
        <f t="shared" si="243"/>
        <v>0.17587757180934255</v>
      </c>
      <c r="AU21" s="65">
        <f t="shared" si="243"/>
        <v>0.17587757180934255</v>
      </c>
      <c r="AV21" s="65">
        <f t="shared" si="243"/>
        <v>0.17587757180934255</v>
      </c>
      <c r="AW21" s="65">
        <f t="shared" ref="AW21:BK21" si="244">IF(AW17="","",IFERROR(AW19/AW20,""))</f>
        <v>0.17587757180934255</v>
      </c>
      <c r="AX21" s="65">
        <f t="shared" si="244"/>
        <v>0.17587757180934255</v>
      </c>
      <c r="AY21" s="65">
        <f t="shared" si="244"/>
        <v>0.17587757180934255</v>
      </c>
      <c r="AZ21" s="65">
        <f t="shared" si="244"/>
        <v>1.2102017628844066</v>
      </c>
      <c r="BA21" s="65">
        <f t="shared" si="244"/>
        <v>1.2102017628844066</v>
      </c>
      <c r="BB21" s="65">
        <f t="shared" si="244"/>
        <v>1.2102017628844066</v>
      </c>
      <c r="BC21" s="65">
        <f t="shared" si="244"/>
        <v>1.2102017628844066</v>
      </c>
      <c r="BD21" s="65">
        <f t="shared" si="244"/>
        <v>1.2102017628844066</v>
      </c>
      <c r="BE21" s="65">
        <f t="shared" si="244"/>
        <v>1.2102017628844066</v>
      </c>
      <c r="BF21" s="65">
        <f t="shared" si="244"/>
        <v>1.2102017628844066</v>
      </c>
      <c r="BG21" s="65">
        <f t="shared" si="244"/>
        <v>1.2102017628844066</v>
      </c>
      <c r="BH21" s="65">
        <f t="shared" si="244"/>
        <v>1.2102017628844066</v>
      </c>
      <c r="BI21" s="65">
        <f t="shared" si="244"/>
        <v>1.2102017628844066</v>
      </c>
      <c r="BJ21" s="65">
        <f t="shared" si="244"/>
        <v>1.2102017628844066</v>
      </c>
      <c r="BK21" s="65">
        <f t="shared" si="244"/>
        <v>1.2102017628844066</v>
      </c>
    </row>
    <row r="22" spans="1:63" s="52" customFormat="1" x14ac:dyDescent="0.3">
      <c r="A22" s="260"/>
      <c r="B22" s="73" t="s">
        <v>53</v>
      </c>
      <c r="C22" s="63">
        <f>+C21*C17</f>
        <v>0</v>
      </c>
      <c r="D22" s="63">
        <f>+ROUND(D21*D17,2)</f>
        <v>71898.7</v>
      </c>
      <c r="E22" s="63">
        <f>+ROUND(E21*E17,2)</f>
        <v>66949.69</v>
      </c>
      <c r="F22" s="63">
        <f>IF(F17="","",ROUND(F21*F17,2))</f>
        <v>65784.28</v>
      </c>
      <c r="G22" s="63">
        <f t="shared" ref="G22:Z22" si="245">IF(G17="","",ROUND(G21*G17,2))</f>
        <v>67640.86</v>
      </c>
      <c r="H22" s="63">
        <f t="shared" si="245"/>
        <v>76671.17</v>
      </c>
      <c r="I22" s="63">
        <f t="shared" si="245"/>
        <v>83492.649999999994</v>
      </c>
      <c r="J22" s="63">
        <f t="shared" si="245"/>
        <v>85057.91</v>
      </c>
      <c r="K22" s="63">
        <f t="shared" si="245"/>
        <v>80184.02</v>
      </c>
      <c r="L22" s="63">
        <f t="shared" si="245"/>
        <v>76993.81</v>
      </c>
      <c r="M22" s="63">
        <f t="shared" si="245"/>
        <v>69111.11</v>
      </c>
      <c r="N22" s="63">
        <f t="shared" si="245"/>
        <v>72387.59</v>
      </c>
      <c r="O22" s="63">
        <f t="shared" si="245"/>
        <v>87183.75</v>
      </c>
      <c r="P22" s="63">
        <f t="shared" si="245"/>
        <v>-41861.18</v>
      </c>
      <c r="Q22" s="63">
        <f t="shared" si="245"/>
        <v>-39019.480000000003</v>
      </c>
      <c r="R22" s="63">
        <f t="shared" si="245"/>
        <v>-39371.050000000003</v>
      </c>
      <c r="S22" s="63">
        <f t="shared" si="245"/>
        <v>-39036.15</v>
      </c>
      <c r="T22" s="63">
        <f t="shared" si="245"/>
        <v>-46545.52</v>
      </c>
      <c r="U22" s="63">
        <f t="shared" si="245"/>
        <v>-49426.59</v>
      </c>
      <c r="V22" s="63">
        <f t="shared" si="245"/>
        <v>-46776.66</v>
      </c>
      <c r="W22" s="63">
        <f t="shared" si="245"/>
        <v>-47596.959999999999</v>
      </c>
      <c r="X22" s="63">
        <f t="shared" si="245"/>
        <v>-43247.34</v>
      </c>
      <c r="Y22" s="63">
        <f t="shared" si="245"/>
        <v>-38462.730000000003</v>
      </c>
      <c r="Z22" s="63">
        <f t="shared" si="245"/>
        <v>-41888.32</v>
      </c>
      <c r="AA22" s="63">
        <f t="shared" ref="AA22:AC22" si="246">IF(AA17="","",ROUND(AA21*AA17,2))</f>
        <v>-45748.6</v>
      </c>
      <c r="AB22" s="63">
        <f t="shared" si="246"/>
        <v>39945.300000000003</v>
      </c>
      <c r="AC22" s="63">
        <f t="shared" si="246"/>
        <v>37916.46</v>
      </c>
      <c r="AD22" s="63">
        <f t="shared" ref="AD22:AJ22" si="247">IF(AD17="","",ROUND(AD21*AD17,2))</f>
        <v>34074.25</v>
      </c>
      <c r="AE22" s="63">
        <f t="shared" si="247"/>
        <v>35217.550000000003</v>
      </c>
      <c r="AF22" s="63">
        <f t="shared" si="247"/>
        <v>39184.730000000003</v>
      </c>
      <c r="AG22" s="63">
        <f t="shared" si="247"/>
        <v>42158.83</v>
      </c>
      <c r="AH22" s="112">
        <f t="shared" si="247"/>
        <v>43134.47</v>
      </c>
      <c r="AI22" s="63">
        <f t="shared" si="247"/>
        <v>43546.37</v>
      </c>
      <c r="AJ22" s="63">
        <f t="shared" si="247"/>
        <v>39985.99</v>
      </c>
      <c r="AK22" s="63">
        <f t="shared" ref="AK22:AV22" si="248">IF(AK17="","",ROUND(AK21*AK17,2))</f>
        <v>35295.050000000003</v>
      </c>
      <c r="AL22" s="63">
        <f t="shared" si="248"/>
        <v>38295.129999999997</v>
      </c>
      <c r="AM22" s="63">
        <f t="shared" si="248"/>
        <v>39611.050000000003</v>
      </c>
      <c r="AN22" s="63">
        <f t="shared" si="248"/>
        <v>135781.93</v>
      </c>
      <c r="AO22" s="63">
        <f t="shared" si="248"/>
        <v>56245.39</v>
      </c>
      <c r="AP22" s="63">
        <f t="shared" si="248"/>
        <v>47316.91</v>
      </c>
      <c r="AQ22" s="63">
        <f t="shared" si="248"/>
        <v>43930.2</v>
      </c>
      <c r="AR22" s="63">
        <f t="shared" si="248"/>
        <v>52291.199999999997</v>
      </c>
      <c r="AS22" s="63">
        <f t="shared" si="248"/>
        <v>61054.93</v>
      </c>
      <c r="AT22" s="63">
        <f t="shared" si="248"/>
        <v>60755.16</v>
      </c>
      <c r="AU22" s="63">
        <f t="shared" si="248"/>
        <v>60542.36</v>
      </c>
      <c r="AV22" s="63">
        <f t="shared" si="248"/>
        <v>51660.87</v>
      </c>
      <c r="AW22" s="63">
        <f t="shared" ref="AW22:BK22" si="249">IF(AW17="","",ROUND(AW21*AW17,2))</f>
        <v>50317.66</v>
      </c>
      <c r="AX22" s="63">
        <f t="shared" si="249"/>
        <v>54088.43</v>
      </c>
      <c r="AY22" s="63">
        <f t="shared" si="249"/>
        <v>57968.47</v>
      </c>
      <c r="AZ22" s="63">
        <f t="shared" si="249"/>
        <v>155185.29</v>
      </c>
      <c r="BA22" s="63">
        <f t="shared" si="249"/>
        <v>-144151.20000000001</v>
      </c>
      <c r="BB22" s="63">
        <f t="shared" si="249"/>
        <v>-129139.73</v>
      </c>
      <c r="BC22" s="63">
        <f t="shared" si="249"/>
        <v>-131496.01999999999</v>
      </c>
      <c r="BD22" s="63">
        <f t="shared" si="249"/>
        <v>-146683.67000000001</v>
      </c>
      <c r="BE22" s="63">
        <f t="shared" si="249"/>
        <v>-170727.8</v>
      </c>
      <c r="BF22" s="63">
        <f t="shared" si="249"/>
        <v>-169792.6</v>
      </c>
      <c r="BG22" s="63">
        <f t="shared" si="249"/>
        <v>-173041.64</v>
      </c>
      <c r="BH22" s="63">
        <f t="shared" si="249"/>
        <v>-152089.43</v>
      </c>
      <c r="BI22" s="63">
        <f t="shared" si="249"/>
        <v>-138201.09</v>
      </c>
      <c r="BJ22" s="63">
        <f t="shared" si="249"/>
        <v>-149387.29</v>
      </c>
      <c r="BK22" s="63">
        <f t="shared" si="249"/>
        <v>-163383.66</v>
      </c>
    </row>
    <row r="23" spans="1:63" s="52" customFormat="1" ht="9" customHeight="1" x14ac:dyDescent="0.3">
      <c r="A23" s="76"/>
      <c r="B23" s="7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</row>
    <row r="24" spans="1:63" x14ac:dyDescent="0.3">
      <c r="A24" s="260" t="s">
        <v>36</v>
      </c>
      <c r="B24" s="72" t="s">
        <v>49</v>
      </c>
      <c r="C24" s="62">
        <f>+'MEEIA 2 calcs'!O58</f>
        <v>31958.9</v>
      </c>
      <c r="D24" s="62">
        <f>+'MEEIA 2 calcs'!P58</f>
        <v>328456.91000000003</v>
      </c>
      <c r="E24" s="62">
        <f>+'MEEIA 2 calcs'!Q58</f>
        <v>267175.5</v>
      </c>
      <c r="F24" s="62">
        <f>+'M2 Allocations - TD'!Q53</f>
        <v>287500.39</v>
      </c>
      <c r="G24" s="62">
        <f>IF(+'M2 Allocations - TD'!R53="","",'M2 Allocations - TD'!R53)</f>
        <v>291239.59000000003</v>
      </c>
      <c r="H24" s="62">
        <f>IF(+'M2 Allocations - TD'!S53="","",'M2 Allocations - TD'!S53)</f>
        <v>334700.84000000003</v>
      </c>
      <c r="I24" s="62">
        <f>IF(+'M2 Allocations - TD'!T53="","",'M2 Allocations - TD'!T53)</f>
        <v>327858.78000000003</v>
      </c>
      <c r="J24" s="62">
        <f>IF(+'M2 Allocations - TD'!U53="","",'M2 Allocations - TD'!U53)</f>
        <v>345877.98</v>
      </c>
      <c r="K24" s="62">
        <f>IF(+'M2 Allocations - TD'!V53="","",'M2 Allocations - TD'!V53)</f>
        <v>332796.82</v>
      </c>
      <c r="L24" s="62">
        <f>IF(+'M2 Allocations - TD'!W53="","",'M2 Allocations - TD'!W53)</f>
        <v>325738.77</v>
      </c>
      <c r="M24" s="62">
        <f>IF(+'M2 Allocations - TD'!X53="","",'M2 Allocations - TD'!X53)</f>
        <v>293261.37</v>
      </c>
      <c r="N24" s="62">
        <f>IF(+'M2 Allocations - TD'!Y53="","",'M2 Allocations - TD'!Y53)</f>
        <v>307322.53000000003</v>
      </c>
      <c r="O24" s="62">
        <f>IF(+'M2 Allocations - TD'!Z53="","",'M2 Allocations - TD'!Z53)</f>
        <v>339565.96</v>
      </c>
      <c r="P24" s="62">
        <f>IF(+'M2 Allocations - TD'!AA53="","",'M2 Allocations - TD'!AA53)</f>
        <v>307869.25</v>
      </c>
      <c r="Q24" s="62">
        <f>IF(+'M2 Allocations - TD'!AB53="","",'M2 Allocations - TD'!AB53)</f>
        <v>306963.45</v>
      </c>
      <c r="R24" s="62">
        <f>IF(+'M2 Allocations - TD'!AC53="","",'M2 Allocations - TD'!AC53)</f>
        <v>283370.14</v>
      </c>
      <c r="S24" s="62">
        <f>IF(+'M2 Allocations - TD'!AD53="","",'M2 Allocations - TD'!AD53)</f>
        <v>326351.34000000003</v>
      </c>
      <c r="T24" s="62">
        <f>IF(+'M2 Allocations - TD'!AE53="","",'M2 Allocations - TD'!AE53)</f>
        <v>353914.84</v>
      </c>
      <c r="U24" s="62">
        <f>IF(+'M2 Allocations - TD'!AF53="","",'M2 Allocations - TD'!AF53)</f>
        <v>366503.78</v>
      </c>
      <c r="V24" s="62">
        <f>IF(+'M2 Allocations - TD'!AG53="","",'M2 Allocations - TD'!AG53)</f>
        <v>360257.72</v>
      </c>
      <c r="W24" s="62">
        <f>IF(+'M2 Allocations - TD'!AH53="","",'M2 Allocations - TD'!AH53)</f>
        <v>350605.05</v>
      </c>
      <c r="X24" s="62">
        <f>IF(+'M2 Allocations - TD'!AI53="","",'M2 Allocations - TD'!AI53)</f>
        <v>328773.59000000003</v>
      </c>
      <c r="Y24" s="62">
        <f>IF(+'M2 Allocations - TD'!AJ53="","",'M2 Allocations - TD'!AJ53)</f>
        <v>305971.46999999997</v>
      </c>
      <c r="Z24" s="62">
        <f>IF(+'M2 Allocations - TD'!AK53="","",'M2 Allocations - TD'!AK53)</f>
        <v>329009.21000000002</v>
      </c>
      <c r="AA24" s="62">
        <f>IF(+'M2 Allocations - TD'!AL53="","",'M2 Allocations - TD'!AL53)</f>
        <v>301972.13</v>
      </c>
      <c r="AB24" s="62">
        <f>IF(+'M2 Allocations - TD'!AM53="","",'M2 Allocations - TD'!AM53)</f>
        <v>361271.84</v>
      </c>
      <c r="AC24" s="62">
        <f>IF(+'M2 Allocations - TD'!AN53="","",'M2 Allocations - TD'!AN53)</f>
        <v>357649</v>
      </c>
      <c r="AD24" s="62">
        <f>IF(+'M2 Allocations - TD'!AO53="","",'M2 Allocations - TD'!AO53)</f>
        <v>342832.09</v>
      </c>
      <c r="AE24" s="62">
        <f>IF(+'M2 Allocations - TD'!AP53="","",'M2 Allocations - TD'!AP53)</f>
        <v>342002.7</v>
      </c>
      <c r="AF24" s="62">
        <f>IF(+'M2 Allocations - TD'!AQ53="","",'M2 Allocations - TD'!AQ53)</f>
        <v>397393.17</v>
      </c>
      <c r="AG24" s="62">
        <f>IF(+'M2 Allocations - TD'!AR53="","",'M2 Allocations - TD'!AR53)</f>
        <v>399370.7</v>
      </c>
      <c r="AH24" s="62">
        <f>IF(+'M2 Allocations - TD'!AS53="","",'M2 Allocations - TD'!AS53)</f>
        <v>419257.53</v>
      </c>
      <c r="AI24" s="62">
        <f>IF(+'M2 Allocations - TD'!AT53="","",'M2 Allocations - TD'!AT53)</f>
        <v>416719</v>
      </c>
      <c r="AJ24" s="62">
        <f>IF(+'M2 Allocations - TD'!AU53="","",'M2 Allocations - TD'!AU53)</f>
        <v>386141.21</v>
      </c>
      <c r="AK24" s="62">
        <f>IF(+'M2 Allocations - TD'!AV53="","",'M2 Allocations - TD'!AV53)</f>
        <v>357086.62</v>
      </c>
      <c r="AL24" s="62">
        <f>IF(+'M2 Allocations - TD'!AW53="","",'M2 Allocations - TD'!AW53)</f>
        <v>359534.39</v>
      </c>
      <c r="AM24" s="62">
        <f>IF(+'M2 Allocations - TD'!AX53="","",'M2 Allocations - TD'!AX53)</f>
        <v>369865.83</v>
      </c>
      <c r="AN24" s="62">
        <f>IF(+'M2 Allocations - TD'!AY53="","",'M2 Allocations - TD'!AY53)</f>
        <v>293791.12</v>
      </c>
      <c r="AO24" s="62">
        <f>IF(+'M2 Allocations - TD'!AZ53="","",'M2 Allocations - TD'!AZ53)</f>
        <v>123483.39</v>
      </c>
      <c r="AP24" s="62">
        <f>IF(+'M2 Allocations - TD'!BA53="","",'M2 Allocations - TD'!BA53)</f>
        <v>118999.09</v>
      </c>
      <c r="AQ24" s="62">
        <f>IF(+'M2 Allocations - TD'!BB53="","",'M2 Allocations - TD'!BB53)</f>
        <v>112027.34</v>
      </c>
      <c r="AR24" s="62">
        <f>IF(+'M2 Allocations - TD'!BC53="","",'M2 Allocations - TD'!BC53)</f>
        <v>130470.39999999999</v>
      </c>
      <c r="AS24" s="62">
        <f>IF(+'M2 Allocations - TD'!BD53="","",'M2 Allocations - TD'!BD53)</f>
        <v>137323.88</v>
      </c>
      <c r="AT24" s="62">
        <f>IF(+'M2 Allocations - TD'!BE53="","",'M2 Allocations - TD'!BE53)</f>
        <v>143937.82999999999</v>
      </c>
      <c r="AU24" s="62">
        <f>IF(+'M2 Allocations - TD'!BF53="","",'M2 Allocations - TD'!BF53)</f>
        <v>143974.57</v>
      </c>
      <c r="AV24" s="62">
        <f>IF(+'M2 Allocations - TD'!BG53="","",'M2 Allocations - TD'!BG53)</f>
        <v>127974.65</v>
      </c>
      <c r="AW24" s="62">
        <f>IF(+'M2 Allocations - TD'!BH53="","",'M2 Allocations - TD'!BH53)</f>
        <v>127068.08</v>
      </c>
      <c r="AX24" s="62">
        <f>IF(+'M2 Allocations - TD'!BI53="","",'M2 Allocations - TD'!BI53)</f>
        <v>132955.76999999999</v>
      </c>
      <c r="AY24" s="62">
        <f>IF(+'M2 Allocations - TD'!BJ53="","",'M2 Allocations - TD'!BJ53)</f>
        <v>130544.63</v>
      </c>
      <c r="AZ24" s="62">
        <f>IF(+'M2 Allocations - TD'!BK53="","",'M2 Allocations - TD'!BK53)</f>
        <v>73117.320000000007</v>
      </c>
      <c r="BA24" s="62">
        <f>IF(+'M2 Allocations - TD'!BL53="","",'M2 Allocations - TD'!BL53)</f>
        <v>-23752.07</v>
      </c>
      <c r="BB24" s="62">
        <f>IF(+'M2 Allocations - TD'!BM53="","",'M2 Allocations - TD'!BM53)</f>
        <v>-25347.52</v>
      </c>
      <c r="BC24" s="62">
        <f>IF(+'M2 Allocations - TD'!BN53="","",'M2 Allocations - TD'!BN53)</f>
        <v>-27081.25</v>
      </c>
      <c r="BD24" s="62">
        <f>IF(+'M2 Allocations - TD'!BO53="","",'M2 Allocations - TD'!BO53)</f>
        <v>-24437.95</v>
      </c>
      <c r="BE24" s="62">
        <f>IF(+'M2 Allocations - TD'!BP53="","",'M2 Allocations - TD'!BP53)</f>
        <v>-33816.269999999997</v>
      </c>
      <c r="BF24" s="62">
        <f>IF(+'M2 Allocations - TD'!BQ53="","",'M2 Allocations - TD'!BQ53)</f>
        <v>-31047.43</v>
      </c>
      <c r="BG24" s="62">
        <f>IF(+'M2 Allocations - TD'!BR53="","",'M2 Allocations - TD'!BR53)</f>
        <v>-31441.61</v>
      </c>
      <c r="BH24" s="62">
        <f>IF(+'M2 Allocations - TD'!BS53="","",'M2 Allocations - TD'!BS53)</f>
        <v>-27149.439999999999</v>
      </c>
      <c r="BI24" s="62">
        <f>IF(+'M2 Allocations - TD'!BT53="","",'M2 Allocations - TD'!BT53)</f>
        <v>-27331.837091396625</v>
      </c>
      <c r="BJ24" s="62">
        <f>IF(+'M2 Allocations - TD'!BU53="","",'M2 Allocations - TD'!BU53)</f>
        <v>-28368.795626591374</v>
      </c>
      <c r="BK24" s="62">
        <f>IF(+'M2 Allocations - TD'!BV53="","",'M2 Allocations - TD'!BV53)</f>
        <v>-28867.511934611623</v>
      </c>
    </row>
    <row r="25" spans="1:63" x14ac:dyDescent="0.3">
      <c r="A25" s="260"/>
      <c r="B25" s="72" t="s">
        <v>51</v>
      </c>
      <c r="C25" s="88">
        <v>6.2000000000000003E-5</v>
      </c>
      <c r="D25" s="88">
        <v>3.6699999999999998E-4</v>
      </c>
      <c r="E25" s="70">
        <f>+D25</f>
        <v>3.6699999999999998E-4</v>
      </c>
      <c r="F25" s="70">
        <f>IF(F24="","",E25)</f>
        <v>3.6699999999999998E-4</v>
      </c>
      <c r="G25" s="70">
        <f t="shared" ref="G25:Z25" si="250">IF(G24="","",F25)</f>
        <v>3.6699999999999998E-4</v>
      </c>
      <c r="H25" s="70">
        <f t="shared" si="250"/>
        <v>3.6699999999999998E-4</v>
      </c>
      <c r="I25" s="70">
        <f t="shared" si="250"/>
        <v>3.6699999999999998E-4</v>
      </c>
      <c r="J25" s="70">
        <f t="shared" si="250"/>
        <v>3.6699999999999998E-4</v>
      </c>
      <c r="K25" s="70">
        <f t="shared" si="250"/>
        <v>3.6699999999999998E-4</v>
      </c>
      <c r="L25" s="70">
        <f t="shared" si="250"/>
        <v>3.6699999999999998E-4</v>
      </c>
      <c r="M25" s="70">
        <f t="shared" si="250"/>
        <v>3.6699999999999998E-4</v>
      </c>
      <c r="N25" s="70">
        <f t="shared" si="250"/>
        <v>3.6699999999999998E-4</v>
      </c>
      <c r="O25" s="70">
        <f t="shared" si="250"/>
        <v>3.6699999999999998E-4</v>
      </c>
      <c r="P25" s="88">
        <v>1.1375575439833872E-3</v>
      </c>
      <c r="Q25" s="70">
        <f t="shared" si="250"/>
        <v>1.1375575439833872E-3</v>
      </c>
      <c r="R25" s="92">
        <f t="shared" si="250"/>
        <v>1.1375575439833872E-3</v>
      </c>
      <c r="S25" s="92">
        <f t="shared" si="250"/>
        <v>1.1375575439833872E-3</v>
      </c>
      <c r="T25" s="92">
        <f t="shared" si="250"/>
        <v>1.1375575439833872E-3</v>
      </c>
      <c r="U25" s="92">
        <f t="shared" si="250"/>
        <v>1.1375575439833872E-3</v>
      </c>
      <c r="V25" s="92">
        <f t="shared" si="250"/>
        <v>1.1375575439833872E-3</v>
      </c>
      <c r="W25" s="92">
        <f t="shared" si="250"/>
        <v>1.1375575439833872E-3</v>
      </c>
      <c r="X25" s="92">
        <f t="shared" si="250"/>
        <v>1.1375575439833872E-3</v>
      </c>
      <c r="Y25" s="92">
        <f t="shared" si="250"/>
        <v>1.1375575439833872E-3</v>
      </c>
      <c r="Z25" s="92">
        <f t="shared" si="250"/>
        <v>1.1375575439833872E-3</v>
      </c>
      <c r="AA25" s="92">
        <f t="shared" ref="AA25" si="251">IF(AA24="","",Z25)</f>
        <v>1.1375575439833872E-3</v>
      </c>
      <c r="AB25" s="88">
        <v>1.6772626739548866E-3</v>
      </c>
      <c r="AC25" s="70">
        <f t="shared" ref="AC25" si="252">IF(AC24="","",AB25)</f>
        <v>1.6772626739548866E-3</v>
      </c>
      <c r="AD25" s="70">
        <f t="shared" ref="AD25" si="253">IF(AD24="","",AC25)</f>
        <v>1.6772626739548866E-3</v>
      </c>
      <c r="AE25" s="70">
        <f t="shared" ref="AE25" si="254">IF(AE24="","",AD25)</f>
        <v>1.6772626739548866E-3</v>
      </c>
      <c r="AF25" s="70">
        <f t="shared" ref="AF25" si="255">IF(AF24="","",AE25)</f>
        <v>1.6772626739548866E-3</v>
      </c>
      <c r="AG25" s="70">
        <f t="shared" ref="AG25" si="256">IF(AG24="","",AF25)</f>
        <v>1.6772626739548866E-3</v>
      </c>
      <c r="AH25" s="70">
        <f t="shared" ref="AH25" si="257">IF(AH24="","",AG25)</f>
        <v>1.6772626739548866E-3</v>
      </c>
      <c r="AI25" s="70">
        <f t="shared" ref="AI25" si="258">IF(AI24="","",AH25)</f>
        <v>1.6772626739548866E-3</v>
      </c>
      <c r="AJ25" s="70">
        <f t="shared" ref="AJ25" si="259">IF(AJ24="","",AI25)</f>
        <v>1.6772626739548866E-3</v>
      </c>
      <c r="AK25" s="70">
        <f t="shared" ref="AK25" si="260">IF(AK24="","",AJ25)</f>
        <v>1.6772626739548866E-3</v>
      </c>
      <c r="AL25" s="70">
        <f t="shared" ref="AL25" si="261">IF(AL24="","",AK25)</f>
        <v>1.6772626739548866E-3</v>
      </c>
      <c r="AM25" s="70">
        <f t="shared" ref="AM25" si="262">IF(AM24="","",AL25)</f>
        <v>1.6772626739548866E-3</v>
      </c>
      <c r="AN25" s="139">
        <v>3.8823682673368192E-4</v>
      </c>
      <c r="AO25" s="70">
        <f t="shared" ref="AO25" si="263">IF(AO24="","",AN25)</f>
        <v>3.8823682673368192E-4</v>
      </c>
      <c r="AP25" s="70">
        <f t="shared" ref="AP25" si="264">IF(AP24="","",AO25)</f>
        <v>3.8823682673368192E-4</v>
      </c>
      <c r="AQ25" s="70">
        <f t="shared" ref="AQ25" si="265">IF(AQ24="","",AP25)</f>
        <v>3.8823682673368192E-4</v>
      </c>
      <c r="AR25" s="70">
        <f t="shared" ref="AR25" si="266">IF(AR24="","",AQ25)</f>
        <v>3.8823682673368192E-4</v>
      </c>
      <c r="AS25" s="70">
        <f t="shared" ref="AS25" si="267">IF(AS24="","",AR25)</f>
        <v>3.8823682673368192E-4</v>
      </c>
      <c r="AT25" s="70">
        <f t="shared" ref="AT25" si="268">IF(AT24="","",AS25)</f>
        <v>3.8823682673368192E-4</v>
      </c>
      <c r="AU25" s="70">
        <f t="shared" ref="AU25" si="269">IF(AU24="","",AT25)</f>
        <v>3.8823682673368192E-4</v>
      </c>
      <c r="AV25" s="70">
        <f t="shared" ref="AV25" si="270">IF(AV24="","",AU25)</f>
        <v>3.8823682673368192E-4</v>
      </c>
      <c r="AW25" s="70">
        <f t="shared" ref="AW25" si="271">IF(AW24="","",AV25)</f>
        <v>3.8823682673368192E-4</v>
      </c>
      <c r="AX25" s="70">
        <f t="shared" ref="AX25" si="272">IF(AX24="","",AW25)</f>
        <v>3.8823682673368192E-4</v>
      </c>
      <c r="AY25" s="70">
        <f t="shared" ref="AY25" si="273">IF(AY24="","",AX25)</f>
        <v>3.8823682673368192E-4</v>
      </c>
      <c r="AZ25" s="139">
        <v>8.085325899005284E-5</v>
      </c>
      <c r="BA25" s="70">
        <f t="shared" ref="BA25" si="274">IF(BA24="","",AZ25)</f>
        <v>8.085325899005284E-5</v>
      </c>
      <c r="BB25" s="70">
        <f t="shared" ref="BB25" si="275">IF(BB24="","",BA25)</f>
        <v>8.085325899005284E-5</v>
      </c>
      <c r="BC25" s="70">
        <f t="shared" ref="BC25" si="276">IF(BC24="","",BB25)</f>
        <v>8.085325899005284E-5</v>
      </c>
      <c r="BD25" s="70">
        <f t="shared" ref="BD25" si="277">IF(BD24="","",BC25)</f>
        <v>8.085325899005284E-5</v>
      </c>
      <c r="BE25" s="70">
        <f t="shared" ref="BE25" si="278">IF(BE24="","",BD25)</f>
        <v>8.085325899005284E-5</v>
      </c>
      <c r="BF25" s="70">
        <f t="shared" ref="BF25" si="279">IF(BF24="","",BE25)</f>
        <v>8.085325899005284E-5</v>
      </c>
      <c r="BG25" s="70">
        <f t="shared" ref="BG25" si="280">IF(BG24="","",BF25)</f>
        <v>8.085325899005284E-5</v>
      </c>
      <c r="BH25" s="70">
        <f t="shared" ref="BH25" si="281">IF(BH24="","",BG25)</f>
        <v>8.085325899005284E-5</v>
      </c>
      <c r="BI25" s="70">
        <f t="shared" ref="BI25" si="282">IF(BI24="","",BH25)</f>
        <v>8.085325899005284E-5</v>
      </c>
      <c r="BJ25" s="70">
        <f t="shared" ref="BJ25" si="283">IF(BJ24="","",BI25)</f>
        <v>8.085325899005284E-5</v>
      </c>
      <c r="BK25" s="70">
        <f t="shared" ref="BK25" si="284">IF(BK24="","",BJ25)</f>
        <v>8.085325899005284E-5</v>
      </c>
    </row>
    <row r="26" spans="1:63" x14ac:dyDescent="0.3">
      <c r="A26" s="260"/>
      <c r="B26" s="72" t="s">
        <v>50</v>
      </c>
      <c r="C26" s="46">
        <v>0</v>
      </c>
      <c r="D26" s="88">
        <v>7.2900000000000005E-4</v>
      </c>
      <c r="E26" s="70">
        <f>+D26</f>
        <v>7.2900000000000005E-4</v>
      </c>
      <c r="F26" s="70">
        <f>IF(F24="","",E26)</f>
        <v>7.2900000000000005E-4</v>
      </c>
      <c r="G26" s="70">
        <f t="shared" ref="G26:Z26" si="285">IF(G24="","",F26)</f>
        <v>7.2900000000000005E-4</v>
      </c>
      <c r="H26" s="70">
        <f t="shared" si="285"/>
        <v>7.2900000000000005E-4</v>
      </c>
      <c r="I26" s="70">
        <f t="shared" si="285"/>
        <v>7.2900000000000005E-4</v>
      </c>
      <c r="J26" s="70">
        <f t="shared" si="285"/>
        <v>7.2900000000000005E-4</v>
      </c>
      <c r="K26" s="70">
        <f t="shared" si="285"/>
        <v>7.2900000000000005E-4</v>
      </c>
      <c r="L26" s="70">
        <f t="shared" si="285"/>
        <v>7.2900000000000005E-4</v>
      </c>
      <c r="M26" s="70">
        <f t="shared" si="285"/>
        <v>7.2900000000000005E-4</v>
      </c>
      <c r="N26" s="70">
        <f t="shared" si="285"/>
        <v>7.2900000000000005E-4</v>
      </c>
      <c r="O26" s="70">
        <f t="shared" si="285"/>
        <v>7.2900000000000005E-4</v>
      </c>
      <c r="P26" s="93">
        <v>-1.0652584799076657E-5</v>
      </c>
      <c r="Q26" s="92">
        <f t="shared" si="285"/>
        <v>-1.0652584799076657E-5</v>
      </c>
      <c r="R26" s="92">
        <f t="shared" si="285"/>
        <v>-1.0652584799076657E-5</v>
      </c>
      <c r="S26" s="92">
        <f t="shared" si="285"/>
        <v>-1.0652584799076657E-5</v>
      </c>
      <c r="T26" s="92">
        <f t="shared" si="285"/>
        <v>-1.0652584799076657E-5</v>
      </c>
      <c r="U26" s="92">
        <f t="shared" si="285"/>
        <v>-1.0652584799076657E-5</v>
      </c>
      <c r="V26" s="92">
        <f t="shared" si="285"/>
        <v>-1.0652584799076657E-5</v>
      </c>
      <c r="W26" s="92">
        <f t="shared" si="285"/>
        <v>-1.0652584799076657E-5</v>
      </c>
      <c r="X26" s="92">
        <f t="shared" si="285"/>
        <v>-1.0652584799076657E-5</v>
      </c>
      <c r="Y26" s="92">
        <f t="shared" si="285"/>
        <v>-1.0652584799076657E-5</v>
      </c>
      <c r="Z26" s="92">
        <f t="shared" si="285"/>
        <v>-1.0652584799076657E-5</v>
      </c>
      <c r="AA26" s="92">
        <f t="shared" ref="AA26" si="286">IF(AA24="","",Z26)</f>
        <v>-1.0652584799076657E-5</v>
      </c>
      <c r="AB26" s="93">
        <v>-1.8549729178825712E-4</v>
      </c>
      <c r="AC26" s="92">
        <f t="shared" ref="AC26" si="287">IF(AC24="","",AB26)</f>
        <v>-1.8549729178825712E-4</v>
      </c>
      <c r="AD26" s="92">
        <f t="shared" ref="AD26" si="288">IF(AD24="","",AC26)</f>
        <v>-1.8549729178825712E-4</v>
      </c>
      <c r="AE26" s="92">
        <f t="shared" ref="AE26" si="289">IF(AE24="","",AD26)</f>
        <v>-1.8549729178825712E-4</v>
      </c>
      <c r="AF26" s="92">
        <f t="shared" ref="AF26" si="290">IF(AF24="","",AE26)</f>
        <v>-1.8549729178825712E-4</v>
      </c>
      <c r="AG26" s="92">
        <f t="shared" ref="AG26" si="291">IF(AG24="","",AF26)</f>
        <v>-1.8549729178825712E-4</v>
      </c>
      <c r="AH26" s="92">
        <f t="shared" ref="AH26" si="292">IF(AH24="","",AG26)</f>
        <v>-1.8549729178825712E-4</v>
      </c>
      <c r="AI26" s="92">
        <f t="shared" ref="AI26" si="293">IF(AI24="","",AH26)</f>
        <v>-1.8549729178825712E-4</v>
      </c>
      <c r="AJ26" s="92">
        <f t="shared" ref="AJ26" si="294">IF(AJ24="","",AI26)</f>
        <v>-1.8549729178825712E-4</v>
      </c>
      <c r="AK26" s="92">
        <f t="shared" ref="AK26" si="295">IF(AK24="","",AJ26)</f>
        <v>-1.8549729178825712E-4</v>
      </c>
      <c r="AL26" s="92">
        <f t="shared" ref="AL26" si="296">IF(AL24="","",AK26)</f>
        <v>-1.8549729178825712E-4</v>
      </c>
      <c r="AM26" s="92">
        <f t="shared" ref="AM26" si="297">IF(AM24="","",AL26)</f>
        <v>-1.8549729178825712E-4</v>
      </c>
      <c r="AN26" s="141">
        <v>1.5247620220748583E-4</v>
      </c>
      <c r="AO26" s="92">
        <f t="shared" ref="AO26" si="298">IF(AO24="","",AN26)</f>
        <v>1.5247620220748583E-4</v>
      </c>
      <c r="AP26" s="92">
        <f t="shared" ref="AP26" si="299">IF(AP24="","",AO26)</f>
        <v>1.5247620220748583E-4</v>
      </c>
      <c r="AQ26" s="92">
        <f t="shared" ref="AQ26" si="300">IF(AQ24="","",AP26)</f>
        <v>1.5247620220748583E-4</v>
      </c>
      <c r="AR26" s="92">
        <f t="shared" ref="AR26" si="301">IF(AR24="","",AQ26)</f>
        <v>1.5247620220748583E-4</v>
      </c>
      <c r="AS26" s="92">
        <f t="shared" ref="AS26" si="302">IF(AS24="","",AR26)</f>
        <v>1.5247620220748583E-4</v>
      </c>
      <c r="AT26" s="92">
        <f t="shared" ref="AT26" si="303">IF(AT24="","",AS26)</f>
        <v>1.5247620220748583E-4</v>
      </c>
      <c r="AU26" s="92">
        <f t="shared" ref="AU26" si="304">IF(AU24="","",AT26)</f>
        <v>1.5247620220748583E-4</v>
      </c>
      <c r="AV26" s="92">
        <f t="shared" ref="AV26" si="305">IF(AV24="","",AU26)</f>
        <v>1.5247620220748583E-4</v>
      </c>
      <c r="AW26" s="92">
        <f t="shared" ref="AW26" si="306">IF(AW24="","",AV26)</f>
        <v>1.5247620220748583E-4</v>
      </c>
      <c r="AX26" s="92">
        <f t="shared" ref="AX26" si="307">IF(AX24="","",AW26)</f>
        <v>1.5247620220748583E-4</v>
      </c>
      <c r="AY26" s="92">
        <f t="shared" ref="AY26" si="308">IF(AY24="","",AX26)</f>
        <v>1.5247620220748583E-4</v>
      </c>
      <c r="AZ26" s="141">
        <v>-1.9899392382553466E-4</v>
      </c>
      <c r="BA26" s="92">
        <f t="shared" ref="BA26" si="309">IF(BA24="","",AZ26)</f>
        <v>-1.9899392382553466E-4</v>
      </c>
      <c r="BB26" s="92">
        <f t="shared" ref="BB26" si="310">IF(BB24="","",BA26)</f>
        <v>-1.9899392382553466E-4</v>
      </c>
      <c r="BC26" s="92">
        <f t="shared" ref="BC26" si="311">IF(BC24="","",BB26)</f>
        <v>-1.9899392382553466E-4</v>
      </c>
      <c r="BD26" s="92">
        <f t="shared" ref="BD26" si="312">IF(BD24="","",BC26)</f>
        <v>-1.9899392382553466E-4</v>
      </c>
      <c r="BE26" s="92">
        <f t="shared" ref="BE26" si="313">IF(BE24="","",BD26)</f>
        <v>-1.9899392382553466E-4</v>
      </c>
      <c r="BF26" s="92">
        <f t="shared" ref="BF26" si="314">IF(BF24="","",BE26)</f>
        <v>-1.9899392382553466E-4</v>
      </c>
      <c r="BG26" s="92">
        <f t="shared" ref="BG26" si="315">IF(BG24="","",BF26)</f>
        <v>-1.9899392382553466E-4</v>
      </c>
      <c r="BH26" s="92">
        <f t="shared" ref="BH26" si="316">IF(BH24="","",BG26)</f>
        <v>-1.9899392382553466E-4</v>
      </c>
      <c r="BI26" s="92">
        <f t="shared" ref="BI26" si="317">IF(BI24="","",BH26)</f>
        <v>-1.9899392382553466E-4</v>
      </c>
      <c r="BJ26" s="92">
        <f t="shared" ref="BJ26" si="318">IF(BJ24="","",BI26)</f>
        <v>-1.9899392382553466E-4</v>
      </c>
      <c r="BK26" s="92">
        <f t="shared" ref="BK26" si="319">IF(BK24="","",BJ26)</f>
        <v>-1.9899392382553466E-4</v>
      </c>
    </row>
    <row r="27" spans="1:63" x14ac:dyDescent="0.3">
      <c r="A27" s="260"/>
      <c r="B27" s="72" t="s">
        <v>59</v>
      </c>
      <c r="C27" s="61">
        <f>SUM(C25:C26)</f>
        <v>6.2000000000000003E-5</v>
      </c>
      <c r="D27" s="61">
        <f t="shared" ref="D27:E27" si="320">SUM(D25:D26)</f>
        <v>1.096E-3</v>
      </c>
      <c r="E27" s="61">
        <f t="shared" si="320"/>
        <v>1.096E-3</v>
      </c>
      <c r="F27" s="61">
        <f>IF(F24="","",SUM(F25:F26))</f>
        <v>1.096E-3</v>
      </c>
      <c r="G27" s="61">
        <f t="shared" ref="G27:Z27" si="321">IF(G24="","",SUM(G25:G26))</f>
        <v>1.096E-3</v>
      </c>
      <c r="H27" s="61">
        <f t="shared" si="321"/>
        <v>1.096E-3</v>
      </c>
      <c r="I27" s="61">
        <f t="shared" si="321"/>
        <v>1.096E-3</v>
      </c>
      <c r="J27" s="61">
        <f t="shared" si="321"/>
        <v>1.096E-3</v>
      </c>
      <c r="K27" s="61">
        <f t="shared" si="321"/>
        <v>1.096E-3</v>
      </c>
      <c r="L27" s="61">
        <f t="shared" si="321"/>
        <v>1.096E-3</v>
      </c>
      <c r="M27" s="61">
        <f t="shared" si="321"/>
        <v>1.096E-3</v>
      </c>
      <c r="N27" s="61">
        <f t="shared" si="321"/>
        <v>1.096E-3</v>
      </c>
      <c r="O27" s="61">
        <f t="shared" si="321"/>
        <v>1.096E-3</v>
      </c>
      <c r="P27" s="61">
        <f t="shared" si="321"/>
        <v>1.1269049591843105E-3</v>
      </c>
      <c r="Q27" s="61">
        <f t="shared" si="321"/>
        <v>1.1269049591843105E-3</v>
      </c>
      <c r="R27" s="61">
        <f t="shared" si="321"/>
        <v>1.1269049591843105E-3</v>
      </c>
      <c r="S27" s="61">
        <f t="shared" si="321"/>
        <v>1.1269049591843105E-3</v>
      </c>
      <c r="T27" s="61">
        <f t="shared" si="321"/>
        <v>1.1269049591843105E-3</v>
      </c>
      <c r="U27" s="61">
        <f t="shared" si="321"/>
        <v>1.1269049591843105E-3</v>
      </c>
      <c r="V27" s="61">
        <f t="shared" si="321"/>
        <v>1.1269049591843105E-3</v>
      </c>
      <c r="W27" s="61">
        <f t="shared" si="321"/>
        <v>1.1269049591843105E-3</v>
      </c>
      <c r="X27" s="61">
        <f t="shared" si="321"/>
        <v>1.1269049591843105E-3</v>
      </c>
      <c r="Y27" s="61">
        <f t="shared" si="321"/>
        <v>1.1269049591843105E-3</v>
      </c>
      <c r="Z27" s="61">
        <f t="shared" si="321"/>
        <v>1.1269049591843105E-3</v>
      </c>
      <c r="AA27" s="61">
        <f t="shared" ref="AA27:AC27" si="322">IF(AA24="","",SUM(AA25:AA26))</f>
        <v>1.1269049591843105E-3</v>
      </c>
      <c r="AB27" s="61">
        <f t="shared" si="322"/>
        <v>1.4917653821666294E-3</v>
      </c>
      <c r="AC27" s="61">
        <f t="shared" si="322"/>
        <v>1.4917653821666294E-3</v>
      </c>
      <c r="AD27" s="61">
        <f t="shared" ref="AD27:AJ27" si="323">IF(AD24="","",SUM(AD25:AD26))</f>
        <v>1.4917653821666294E-3</v>
      </c>
      <c r="AE27" s="61">
        <f t="shared" si="323"/>
        <v>1.4917653821666294E-3</v>
      </c>
      <c r="AF27" s="61">
        <f t="shared" si="323"/>
        <v>1.4917653821666294E-3</v>
      </c>
      <c r="AG27" s="61">
        <f t="shared" si="323"/>
        <v>1.4917653821666294E-3</v>
      </c>
      <c r="AH27" s="61">
        <f t="shared" si="323"/>
        <v>1.4917653821666294E-3</v>
      </c>
      <c r="AI27" s="61">
        <f t="shared" si="323"/>
        <v>1.4917653821666294E-3</v>
      </c>
      <c r="AJ27" s="61">
        <f t="shared" si="323"/>
        <v>1.4917653821666294E-3</v>
      </c>
      <c r="AK27" s="61">
        <f t="shared" ref="AK27:AV27" si="324">IF(AK24="","",SUM(AK25:AK26))</f>
        <v>1.4917653821666294E-3</v>
      </c>
      <c r="AL27" s="61">
        <f t="shared" si="324"/>
        <v>1.4917653821666294E-3</v>
      </c>
      <c r="AM27" s="61">
        <f t="shared" si="324"/>
        <v>1.4917653821666294E-3</v>
      </c>
      <c r="AN27" s="61">
        <f t="shared" si="324"/>
        <v>5.4071302894116778E-4</v>
      </c>
      <c r="AO27" s="61">
        <f t="shared" si="324"/>
        <v>5.4071302894116778E-4</v>
      </c>
      <c r="AP27" s="61">
        <f t="shared" si="324"/>
        <v>5.4071302894116778E-4</v>
      </c>
      <c r="AQ27" s="61">
        <f t="shared" si="324"/>
        <v>5.4071302894116778E-4</v>
      </c>
      <c r="AR27" s="61">
        <f t="shared" si="324"/>
        <v>5.4071302894116778E-4</v>
      </c>
      <c r="AS27" s="61">
        <f t="shared" si="324"/>
        <v>5.4071302894116778E-4</v>
      </c>
      <c r="AT27" s="61">
        <f t="shared" si="324"/>
        <v>5.4071302894116778E-4</v>
      </c>
      <c r="AU27" s="61">
        <f t="shared" si="324"/>
        <v>5.4071302894116778E-4</v>
      </c>
      <c r="AV27" s="61">
        <f t="shared" si="324"/>
        <v>5.4071302894116778E-4</v>
      </c>
      <c r="AW27" s="61">
        <f t="shared" ref="AW27:BK27" si="325">IF(AW24="","",SUM(AW25:AW26))</f>
        <v>5.4071302894116778E-4</v>
      </c>
      <c r="AX27" s="61">
        <f t="shared" si="325"/>
        <v>5.4071302894116778E-4</v>
      </c>
      <c r="AY27" s="61">
        <f t="shared" si="325"/>
        <v>5.4071302894116778E-4</v>
      </c>
      <c r="AZ27" s="61">
        <f t="shared" si="325"/>
        <v>-1.1814066483548182E-4</v>
      </c>
      <c r="BA27" s="61">
        <f t="shared" si="325"/>
        <v>-1.1814066483548182E-4</v>
      </c>
      <c r="BB27" s="61">
        <f t="shared" si="325"/>
        <v>-1.1814066483548182E-4</v>
      </c>
      <c r="BC27" s="61">
        <f t="shared" si="325"/>
        <v>-1.1814066483548182E-4</v>
      </c>
      <c r="BD27" s="61">
        <f t="shared" si="325"/>
        <v>-1.1814066483548182E-4</v>
      </c>
      <c r="BE27" s="61">
        <f t="shared" si="325"/>
        <v>-1.1814066483548182E-4</v>
      </c>
      <c r="BF27" s="61">
        <f t="shared" si="325"/>
        <v>-1.1814066483548182E-4</v>
      </c>
      <c r="BG27" s="61">
        <f t="shared" si="325"/>
        <v>-1.1814066483548182E-4</v>
      </c>
      <c r="BH27" s="61">
        <f t="shared" si="325"/>
        <v>-1.1814066483548182E-4</v>
      </c>
      <c r="BI27" s="61">
        <f t="shared" si="325"/>
        <v>-1.1814066483548182E-4</v>
      </c>
      <c r="BJ27" s="61">
        <f t="shared" si="325"/>
        <v>-1.1814066483548182E-4</v>
      </c>
      <c r="BK27" s="61">
        <f t="shared" si="325"/>
        <v>-1.1814066483548182E-4</v>
      </c>
    </row>
    <row r="28" spans="1:63" x14ac:dyDescent="0.3">
      <c r="A28" s="260"/>
      <c r="B28" s="72" t="s">
        <v>52</v>
      </c>
      <c r="C28" s="65">
        <f>+C26/C27</f>
        <v>0</v>
      </c>
      <c r="D28" s="65">
        <f>+IFERROR(D26/D27,"")</f>
        <v>0.66514598540145986</v>
      </c>
      <c r="E28" s="65">
        <f>+IFERROR(E26/E27,"")</f>
        <v>0.66514598540145986</v>
      </c>
      <c r="F28" s="65">
        <f>IF(F24="","",IFERROR(F26/F27,""))</f>
        <v>0.66514598540145986</v>
      </c>
      <c r="G28" s="65">
        <f t="shared" ref="G28:Z28" si="326">IF(G24="","",IFERROR(G26/G27,""))</f>
        <v>0.66514598540145986</v>
      </c>
      <c r="H28" s="65">
        <f t="shared" si="326"/>
        <v>0.66514598540145986</v>
      </c>
      <c r="I28" s="65">
        <f t="shared" si="326"/>
        <v>0.66514598540145986</v>
      </c>
      <c r="J28" s="65">
        <f t="shared" si="326"/>
        <v>0.66514598540145986</v>
      </c>
      <c r="K28" s="65">
        <f t="shared" si="326"/>
        <v>0.66514598540145986</v>
      </c>
      <c r="L28" s="65">
        <f t="shared" si="326"/>
        <v>0.66514598540145986</v>
      </c>
      <c r="M28" s="65">
        <f t="shared" si="326"/>
        <v>0.66514598540145986</v>
      </c>
      <c r="N28" s="65">
        <f t="shared" si="326"/>
        <v>0.66514598540145986</v>
      </c>
      <c r="O28" s="65">
        <f t="shared" si="326"/>
        <v>0.66514598540145986</v>
      </c>
      <c r="P28" s="65">
        <f t="shared" si="326"/>
        <v>-9.4529576006013288E-3</v>
      </c>
      <c r="Q28" s="65">
        <f t="shared" si="326"/>
        <v>-9.4529576006013288E-3</v>
      </c>
      <c r="R28" s="65">
        <f t="shared" si="326"/>
        <v>-9.4529576006013288E-3</v>
      </c>
      <c r="S28" s="65">
        <f t="shared" si="326"/>
        <v>-9.4529576006013288E-3</v>
      </c>
      <c r="T28" s="65">
        <f t="shared" si="326"/>
        <v>-9.4529576006013288E-3</v>
      </c>
      <c r="U28" s="65">
        <f t="shared" si="326"/>
        <v>-9.4529576006013288E-3</v>
      </c>
      <c r="V28" s="65">
        <f t="shared" si="326"/>
        <v>-9.4529576006013288E-3</v>
      </c>
      <c r="W28" s="65">
        <f t="shared" si="326"/>
        <v>-9.4529576006013288E-3</v>
      </c>
      <c r="X28" s="65">
        <f t="shared" si="326"/>
        <v>-9.4529576006013288E-3</v>
      </c>
      <c r="Y28" s="65">
        <f t="shared" si="326"/>
        <v>-9.4529576006013288E-3</v>
      </c>
      <c r="Z28" s="65">
        <f t="shared" si="326"/>
        <v>-9.4529576006013288E-3</v>
      </c>
      <c r="AA28" s="65">
        <f t="shared" ref="AA28:AC28" si="327">IF(AA24="","",IFERROR(AA26/AA27,""))</f>
        <v>-9.4529576006013288E-3</v>
      </c>
      <c r="AB28" s="65">
        <f t="shared" si="327"/>
        <v>-0.12434749727121444</v>
      </c>
      <c r="AC28" s="65">
        <f t="shared" si="327"/>
        <v>-0.12434749727121444</v>
      </c>
      <c r="AD28" s="65">
        <f t="shared" ref="AD28:AJ28" si="328">IF(AD24="","",IFERROR(AD26/AD27,""))</f>
        <v>-0.12434749727121444</v>
      </c>
      <c r="AE28" s="65">
        <f t="shared" si="328"/>
        <v>-0.12434749727121444</v>
      </c>
      <c r="AF28" s="65">
        <f t="shared" si="328"/>
        <v>-0.12434749727121444</v>
      </c>
      <c r="AG28" s="65">
        <f t="shared" si="328"/>
        <v>-0.12434749727121444</v>
      </c>
      <c r="AH28" s="65">
        <f t="shared" si="328"/>
        <v>-0.12434749727121444</v>
      </c>
      <c r="AI28" s="65">
        <f t="shared" si="328"/>
        <v>-0.12434749727121444</v>
      </c>
      <c r="AJ28" s="65">
        <f t="shared" si="328"/>
        <v>-0.12434749727121444</v>
      </c>
      <c r="AK28" s="65">
        <f t="shared" ref="AK28:AV28" si="329">IF(AK24="","",IFERROR(AK26/AK27,""))</f>
        <v>-0.12434749727121444</v>
      </c>
      <c r="AL28" s="65">
        <f t="shared" si="329"/>
        <v>-0.12434749727121444</v>
      </c>
      <c r="AM28" s="65">
        <f t="shared" si="329"/>
        <v>-0.12434749727121444</v>
      </c>
      <c r="AN28" s="65">
        <f t="shared" si="329"/>
        <v>0.2819909897604409</v>
      </c>
      <c r="AO28" s="65">
        <f t="shared" si="329"/>
        <v>0.2819909897604409</v>
      </c>
      <c r="AP28" s="65">
        <f t="shared" si="329"/>
        <v>0.2819909897604409</v>
      </c>
      <c r="AQ28" s="65">
        <f t="shared" si="329"/>
        <v>0.2819909897604409</v>
      </c>
      <c r="AR28" s="65">
        <f t="shared" si="329"/>
        <v>0.2819909897604409</v>
      </c>
      <c r="AS28" s="65">
        <f t="shared" si="329"/>
        <v>0.2819909897604409</v>
      </c>
      <c r="AT28" s="65">
        <f t="shared" si="329"/>
        <v>0.2819909897604409</v>
      </c>
      <c r="AU28" s="65">
        <f t="shared" si="329"/>
        <v>0.2819909897604409</v>
      </c>
      <c r="AV28" s="65">
        <f t="shared" si="329"/>
        <v>0.2819909897604409</v>
      </c>
      <c r="AW28" s="65">
        <f t="shared" ref="AW28:BK28" si="330">IF(AW24="","",IFERROR(AW26/AW27,""))</f>
        <v>0.2819909897604409</v>
      </c>
      <c r="AX28" s="65">
        <f t="shared" si="330"/>
        <v>0.2819909897604409</v>
      </c>
      <c r="AY28" s="65">
        <f t="shared" si="330"/>
        <v>0.2819909897604409</v>
      </c>
      <c r="AZ28" s="65">
        <f t="shared" si="330"/>
        <v>1.6843812763593806</v>
      </c>
      <c r="BA28" s="65">
        <f t="shared" si="330"/>
        <v>1.6843812763593806</v>
      </c>
      <c r="BB28" s="65">
        <f t="shared" si="330"/>
        <v>1.6843812763593806</v>
      </c>
      <c r="BC28" s="65">
        <f t="shared" si="330"/>
        <v>1.6843812763593806</v>
      </c>
      <c r="BD28" s="65">
        <f t="shared" si="330"/>
        <v>1.6843812763593806</v>
      </c>
      <c r="BE28" s="65">
        <f t="shared" si="330"/>
        <v>1.6843812763593806</v>
      </c>
      <c r="BF28" s="65">
        <f t="shared" si="330"/>
        <v>1.6843812763593806</v>
      </c>
      <c r="BG28" s="65">
        <f t="shared" si="330"/>
        <v>1.6843812763593806</v>
      </c>
      <c r="BH28" s="65">
        <f t="shared" si="330"/>
        <v>1.6843812763593806</v>
      </c>
      <c r="BI28" s="65">
        <f t="shared" si="330"/>
        <v>1.6843812763593806</v>
      </c>
      <c r="BJ28" s="65">
        <f t="shared" si="330"/>
        <v>1.6843812763593806</v>
      </c>
      <c r="BK28" s="65">
        <f t="shared" si="330"/>
        <v>1.6843812763593806</v>
      </c>
    </row>
    <row r="29" spans="1:63" s="52" customFormat="1" x14ac:dyDescent="0.3">
      <c r="A29" s="260"/>
      <c r="B29" s="73" t="s">
        <v>53</v>
      </c>
      <c r="C29" s="63">
        <f>+C28*C24</f>
        <v>0</v>
      </c>
      <c r="D29" s="63">
        <f>+ROUND(D28*D24,2)</f>
        <v>218471.8</v>
      </c>
      <c r="E29" s="63">
        <f>+ROUND(E28*E24,2)</f>
        <v>177710.71</v>
      </c>
      <c r="F29" s="63">
        <f>IF(F24="","",ROUND(F28*F24,2))</f>
        <v>191229.73</v>
      </c>
      <c r="G29" s="63">
        <f t="shared" ref="G29:Z29" si="331">IF(G24="","",ROUND(G28*G24,2))</f>
        <v>193716.84</v>
      </c>
      <c r="H29" s="63">
        <f t="shared" si="331"/>
        <v>222624.92</v>
      </c>
      <c r="I29" s="63">
        <f t="shared" si="331"/>
        <v>218073.95</v>
      </c>
      <c r="J29" s="63">
        <f t="shared" si="331"/>
        <v>230059.35</v>
      </c>
      <c r="K29" s="63">
        <f t="shared" si="331"/>
        <v>221358.47</v>
      </c>
      <c r="L29" s="63">
        <f t="shared" si="331"/>
        <v>216663.84</v>
      </c>
      <c r="M29" s="63">
        <f t="shared" si="331"/>
        <v>195061.62</v>
      </c>
      <c r="N29" s="63">
        <f t="shared" si="331"/>
        <v>204414.35</v>
      </c>
      <c r="O29" s="63">
        <f t="shared" si="331"/>
        <v>225860.94</v>
      </c>
      <c r="P29" s="63">
        <f t="shared" si="331"/>
        <v>-2910.27</v>
      </c>
      <c r="Q29" s="63">
        <f t="shared" si="331"/>
        <v>-2901.71</v>
      </c>
      <c r="R29" s="63">
        <f t="shared" si="331"/>
        <v>-2678.69</v>
      </c>
      <c r="S29" s="63">
        <f t="shared" si="331"/>
        <v>-3084.99</v>
      </c>
      <c r="T29" s="63">
        <f t="shared" si="331"/>
        <v>-3345.54</v>
      </c>
      <c r="U29" s="63">
        <f t="shared" si="331"/>
        <v>-3464.54</v>
      </c>
      <c r="V29" s="63">
        <f t="shared" si="331"/>
        <v>-3405.5</v>
      </c>
      <c r="W29" s="63">
        <f t="shared" si="331"/>
        <v>-3314.25</v>
      </c>
      <c r="X29" s="63">
        <f t="shared" si="331"/>
        <v>-3107.88</v>
      </c>
      <c r="Y29" s="63">
        <f t="shared" si="331"/>
        <v>-2892.34</v>
      </c>
      <c r="Z29" s="63">
        <f t="shared" si="331"/>
        <v>-3110.11</v>
      </c>
      <c r="AA29" s="63">
        <f t="shared" ref="AA29:AC29" si="332">IF(AA24="","",ROUND(AA28*AA24,2))</f>
        <v>-2854.53</v>
      </c>
      <c r="AB29" s="63">
        <f t="shared" si="332"/>
        <v>-44923.25</v>
      </c>
      <c r="AC29" s="63">
        <f t="shared" si="332"/>
        <v>-44472.76</v>
      </c>
      <c r="AD29" s="63">
        <f t="shared" ref="AD29:AJ29" si="333">IF(AD24="","",ROUND(AD28*AD24,2))</f>
        <v>-42630.31</v>
      </c>
      <c r="AE29" s="63">
        <f t="shared" si="333"/>
        <v>-42527.18</v>
      </c>
      <c r="AF29" s="63">
        <f t="shared" si="333"/>
        <v>-49414.85</v>
      </c>
      <c r="AG29" s="63">
        <f t="shared" si="333"/>
        <v>-49660.75</v>
      </c>
      <c r="AH29" s="63">
        <f t="shared" si="333"/>
        <v>-52133.62</v>
      </c>
      <c r="AI29" s="63">
        <f t="shared" si="333"/>
        <v>-51817.96</v>
      </c>
      <c r="AJ29" s="63">
        <f t="shared" si="333"/>
        <v>-48015.69</v>
      </c>
      <c r="AK29" s="63">
        <f t="shared" ref="AK29:AV29" si="334">IF(AK24="","",ROUND(AK28*AK24,2))</f>
        <v>-44402.83</v>
      </c>
      <c r="AL29" s="63">
        <f t="shared" si="334"/>
        <v>-44707.199999999997</v>
      </c>
      <c r="AM29" s="63">
        <f t="shared" si="334"/>
        <v>-45991.89</v>
      </c>
      <c r="AN29" s="63">
        <f t="shared" si="334"/>
        <v>82846.45</v>
      </c>
      <c r="AO29" s="63">
        <f t="shared" si="334"/>
        <v>34821.199999999997</v>
      </c>
      <c r="AP29" s="63">
        <f t="shared" si="334"/>
        <v>33556.67</v>
      </c>
      <c r="AQ29" s="63">
        <f t="shared" si="334"/>
        <v>31590.7</v>
      </c>
      <c r="AR29" s="63">
        <f t="shared" si="334"/>
        <v>36791.480000000003</v>
      </c>
      <c r="AS29" s="63">
        <f t="shared" si="334"/>
        <v>38724.1</v>
      </c>
      <c r="AT29" s="63">
        <f t="shared" si="334"/>
        <v>40589.17</v>
      </c>
      <c r="AU29" s="63">
        <f t="shared" si="334"/>
        <v>40599.53</v>
      </c>
      <c r="AV29" s="63">
        <f t="shared" si="334"/>
        <v>36087.699999999997</v>
      </c>
      <c r="AW29" s="63">
        <f t="shared" ref="AW29:BK29" si="335">IF(AW24="","",ROUND(AW28*AW24,2))</f>
        <v>35832.050000000003</v>
      </c>
      <c r="AX29" s="63">
        <f t="shared" si="335"/>
        <v>37492.33</v>
      </c>
      <c r="AY29" s="63">
        <f t="shared" si="335"/>
        <v>36812.410000000003</v>
      </c>
      <c r="AZ29" s="63">
        <f t="shared" si="335"/>
        <v>123157.44</v>
      </c>
      <c r="BA29" s="63">
        <f t="shared" si="335"/>
        <v>-40007.54</v>
      </c>
      <c r="BB29" s="63">
        <f t="shared" si="335"/>
        <v>-42694.89</v>
      </c>
      <c r="BC29" s="63">
        <f t="shared" si="335"/>
        <v>-45615.15</v>
      </c>
      <c r="BD29" s="63">
        <f t="shared" si="335"/>
        <v>-41162.83</v>
      </c>
      <c r="BE29" s="63">
        <f t="shared" si="335"/>
        <v>-56959.49</v>
      </c>
      <c r="BF29" s="63">
        <f t="shared" si="335"/>
        <v>-52295.71</v>
      </c>
      <c r="BG29" s="63">
        <f t="shared" si="335"/>
        <v>-52959.66</v>
      </c>
      <c r="BH29" s="63">
        <f t="shared" si="335"/>
        <v>-45730.01</v>
      </c>
      <c r="BI29" s="63">
        <f t="shared" si="335"/>
        <v>-46037.23</v>
      </c>
      <c r="BJ29" s="63">
        <f t="shared" si="335"/>
        <v>-47783.87</v>
      </c>
      <c r="BK29" s="63">
        <f t="shared" si="335"/>
        <v>-48623.9</v>
      </c>
    </row>
    <row r="30" spans="1:63" s="52" customFormat="1" ht="9" customHeight="1" x14ac:dyDescent="0.3">
      <c r="A30" s="76"/>
      <c r="B30" s="7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</row>
    <row r="31" spans="1:63" x14ac:dyDescent="0.3">
      <c r="A31" s="260" t="s">
        <v>37</v>
      </c>
      <c r="B31" s="72" t="s">
        <v>49</v>
      </c>
      <c r="C31" s="62">
        <f>+'MEEIA 2 calcs'!O68</f>
        <v>7958.8</v>
      </c>
      <c r="D31" s="62">
        <f>+'MEEIA 2 calcs'!P68</f>
        <v>202699.47</v>
      </c>
      <c r="E31" s="62">
        <f>+'MEEIA 2 calcs'!Q68</f>
        <v>167678.56</v>
      </c>
      <c r="F31" s="62">
        <f>+'M2 Allocations - TD'!Q54</f>
        <v>185826.61</v>
      </c>
      <c r="G31" s="62">
        <f>IF(+'M2 Allocations - TD'!R54="","",'M2 Allocations - TD'!R54)</f>
        <v>189002.31</v>
      </c>
      <c r="H31" s="62">
        <f>IF(+'M2 Allocations - TD'!S54="","",'M2 Allocations - TD'!S54)</f>
        <v>225674.13</v>
      </c>
      <c r="I31" s="62">
        <f>IF(+'M2 Allocations - TD'!T54="","",'M2 Allocations - TD'!T54)</f>
        <v>213450.91</v>
      </c>
      <c r="J31" s="62">
        <f>IF(+'M2 Allocations - TD'!U54="","",'M2 Allocations - TD'!U54)</f>
        <v>236566.37</v>
      </c>
      <c r="K31" s="62">
        <f>IF(+'M2 Allocations - TD'!V54="","",'M2 Allocations - TD'!V54)</f>
        <v>225419.26</v>
      </c>
      <c r="L31" s="62">
        <f>IF(+'M2 Allocations - TD'!W54="","",'M2 Allocations - TD'!W54)</f>
        <v>214922.7</v>
      </c>
      <c r="M31" s="62">
        <f>IF(+'M2 Allocations - TD'!X54="","",'M2 Allocations - TD'!X54)</f>
        <v>204773.48</v>
      </c>
      <c r="N31" s="62">
        <f>IF(+'M2 Allocations - TD'!Y54="","",'M2 Allocations - TD'!Y54)</f>
        <v>187770.83</v>
      </c>
      <c r="O31" s="62">
        <f>IF(+'M2 Allocations - TD'!Z54="","",'M2 Allocations - TD'!Z54)</f>
        <v>190411.74</v>
      </c>
      <c r="P31" s="62">
        <f>IF(+'M2 Allocations - TD'!AA54="","",'M2 Allocations - TD'!AA54)</f>
        <v>104692.59</v>
      </c>
      <c r="Q31" s="62">
        <f>IF(+'M2 Allocations - TD'!AB54="","",'M2 Allocations - TD'!AB54)</f>
        <v>18094.560000000001</v>
      </c>
      <c r="R31" s="62">
        <f>IF(+'M2 Allocations - TD'!AC54="","",'M2 Allocations - TD'!AC54)</f>
        <v>17212.91</v>
      </c>
      <c r="S31" s="62">
        <f>IF(+'M2 Allocations - TD'!AD54="","",'M2 Allocations - TD'!AD54)</f>
        <v>19682.41</v>
      </c>
      <c r="T31" s="62">
        <f>IF(+'M2 Allocations - TD'!AE54="","",'M2 Allocations - TD'!AE54)</f>
        <v>21781.17</v>
      </c>
      <c r="U31" s="62">
        <f>IF(+'M2 Allocations - TD'!AF54="","",'M2 Allocations - TD'!AF54)</f>
        <v>13233.54</v>
      </c>
      <c r="V31" s="62">
        <f>IF(+'M2 Allocations - TD'!AG54="","",'M2 Allocations - TD'!AG54)</f>
        <v>22431.52</v>
      </c>
      <c r="W31" s="62">
        <f>IF(+'M2 Allocations - TD'!AH54="","",'M2 Allocations - TD'!AH54)</f>
        <v>21067.32</v>
      </c>
      <c r="X31" s="62">
        <f>IF(+'M2 Allocations - TD'!AI54="","",'M2 Allocations - TD'!AI54)</f>
        <v>20801.22</v>
      </c>
      <c r="Y31" s="62">
        <f>IF(+'M2 Allocations - TD'!AJ54="","",'M2 Allocations - TD'!AJ54)</f>
        <v>19547.939999999999</v>
      </c>
      <c r="Z31" s="62">
        <f>IF(+'M2 Allocations - TD'!AK54="","",'M2 Allocations - TD'!AK54)</f>
        <v>19036.14</v>
      </c>
      <c r="AA31" s="62">
        <f>IF(+'M2 Allocations - TD'!AL54="","",'M2 Allocations - TD'!AL54)</f>
        <v>21300.85</v>
      </c>
      <c r="AB31" s="62">
        <f>IF(+'M2 Allocations - TD'!AM54="","",'M2 Allocations - TD'!AM54)</f>
        <v>41051.660000000003</v>
      </c>
      <c r="AC31" s="62">
        <f>IF(+'M2 Allocations - TD'!AN54="","",'M2 Allocations - TD'!AN54)</f>
        <v>64352.88</v>
      </c>
      <c r="AD31" s="62">
        <f>IF(+'M2 Allocations - TD'!AO54="","",'M2 Allocations - TD'!AO54)</f>
        <v>64072.1</v>
      </c>
      <c r="AE31" s="62">
        <f>IF(+'M2 Allocations - TD'!AP54="","",'M2 Allocations - TD'!AP54)</f>
        <v>62519.33</v>
      </c>
      <c r="AF31" s="62">
        <f>IF(+'M2 Allocations - TD'!AQ54="","",'M2 Allocations - TD'!AQ54)</f>
        <v>78748.960000000006</v>
      </c>
      <c r="AG31" s="62">
        <f>IF(+'M2 Allocations - TD'!AR54="","",'M2 Allocations - TD'!AR54)</f>
        <v>73304.259999999995</v>
      </c>
      <c r="AH31" s="62">
        <f>IF(+'M2 Allocations - TD'!AS54="","",'M2 Allocations - TD'!AS54)</f>
        <v>81170.33</v>
      </c>
      <c r="AI31" s="62">
        <f>IF(+'M2 Allocations - TD'!AT54="","",'M2 Allocations - TD'!AT54)</f>
        <v>82260.42</v>
      </c>
      <c r="AJ31" s="62">
        <f>IF(+'M2 Allocations - TD'!AU54="","",'M2 Allocations - TD'!AU54)</f>
        <v>77599.5</v>
      </c>
      <c r="AK31" s="62">
        <f>IF(+'M2 Allocations - TD'!AV54="","",'M2 Allocations - TD'!AV54)</f>
        <v>68913.850000000006</v>
      </c>
      <c r="AL31" s="62">
        <f>IF(+'M2 Allocations - TD'!AW54="","",'M2 Allocations - TD'!AW54)</f>
        <v>64843.48</v>
      </c>
      <c r="AM31" s="62">
        <f>IF(+'M2 Allocations - TD'!AX54="","",'M2 Allocations - TD'!AX54)</f>
        <v>68622.929999999993</v>
      </c>
      <c r="AN31" s="62">
        <f>IF(+'M2 Allocations - TD'!AY54="","",'M2 Allocations - TD'!AY54)</f>
        <v>67842.5</v>
      </c>
      <c r="AO31" s="62">
        <f>IF(+'M2 Allocations - TD'!AZ54="","",'M2 Allocations - TD'!AZ54)</f>
        <v>38688.33</v>
      </c>
      <c r="AP31" s="62">
        <f>IF(+'M2 Allocations - TD'!BA54="","",'M2 Allocations - TD'!BA54)</f>
        <v>44298.87</v>
      </c>
      <c r="AQ31" s="62">
        <f>IF(+'M2 Allocations - TD'!BB54="","",'M2 Allocations - TD'!BB54)</f>
        <v>44976.56</v>
      </c>
      <c r="AR31" s="62">
        <f>IF(+'M2 Allocations - TD'!BC54="","",'M2 Allocations - TD'!BC54)</f>
        <v>11431.37</v>
      </c>
      <c r="AS31" s="62">
        <f>IF(+'M2 Allocations - TD'!BD54="","",'M2 Allocations - TD'!BD54)</f>
        <v>50558.239999999998</v>
      </c>
      <c r="AT31" s="62">
        <f>IF(+'M2 Allocations - TD'!BE54="","",'M2 Allocations - TD'!BE54)</f>
        <v>52075.91</v>
      </c>
      <c r="AU31" s="62">
        <f>IF(+'M2 Allocations - TD'!BF54="","",'M2 Allocations - TD'!BF54)</f>
        <v>52816.959999999999</v>
      </c>
      <c r="AV31" s="62">
        <f>IF(+'M2 Allocations - TD'!BG54="","",'M2 Allocations - TD'!BG54)</f>
        <v>46523.24</v>
      </c>
      <c r="AW31" s="62">
        <f>IF(+'M2 Allocations - TD'!BH54="","",'M2 Allocations - TD'!BH54)</f>
        <v>45630.69</v>
      </c>
      <c r="AX31" s="62">
        <f>IF(+'M2 Allocations - TD'!BI54="","",'M2 Allocations - TD'!BI54)</f>
        <v>46596.58</v>
      </c>
      <c r="AY31" s="62">
        <f>IF(+'M2 Allocations - TD'!BJ54="","",'M2 Allocations - TD'!BJ54)</f>
        <v>42614.78</v>
      </c>
      <c r="AZ31" s="62">
        <f>IF(+'M2 Allocations - TD'!BK54="","",'M2 Allocations - TD'!BK54)</f>
        <v>37690.370000000003</v>
      </c>
      <c r="BA31" s="62">
        <f>IF(+'M2 Allocations - TD'!BL54="","",'M2 Allocations - TD'!BL54)</f>
        <v>-999.06</v>
      </c>
      <c r="BB31" s="62">
        <f>IF(+'M2 Allocations - TD'!BM54="","",'M2 Allocations - TD'!BM54)</f>
        <v>1068.3499999999999</v>
      </c>
      <c r="BC31" s="62">
        <f>IF(+'M2 Allocations - TD'!BN54="","",'M2 Allocations - TD'!BN54)</f>
        <v>1085.3800000000001</v>
      </c>
      <c r="BD31" s="62">
        <f>IF(+'M2 Allocations - TD'!BO54="","",'M2 Allocations - TD'!BO54)</f>
        <v>1047.53</v>
      </c>
      <c r="BE31" s="62">
        <f>IF(+'M2 Allocations - TD'!BP54="","",'M2 Allocations - TD'!BP54)</f>
        <v>1336.85</v>
      </c>
      <c r="BF31" s="62">
        <f>IF(+'M2 Allocations - TD'!BQ54="","",'M2 Allocations - TD'!BQ54)</f>
        <v>1272.6199999999999</v>
      </c>
      <c r="BG31" s="62">
        <f>IF(+'M2 Allocations - TD'!BR54="","",'M2 Allocations - TD'!BR54)</f>
        <v>1376.1</v>
      </c>
      <c r="BH31" s="62">
        <f>IF(+'M2 Allocations - TD'!BS54="","",'M2 Allocations - TD'!BS54)</f>
        <v>1261.3</v>
      </c>
      <c r="BI31" s="62">
        <f>IF(+'M2 Allocations - TD'!BT54="","",'M2 Allocations - TD'!BT54)</f>
        <v>1153.9659687724061</v>
      </c>
      <c r="BJ31" s="62">
        <f>IF(+'M2 Allocations - TD'!BU54="","",'M2 Allocations - TD'!BU54)</f>
        <v>1129.308810696346</v>
      </c>
      <c r="BK31" s="62">
        <f>IF(+'M2 Allocations - TD'!BV54="","",'M2 Allocations - TD'!BV54)</f>
        <v>1123.8469469866175</v>
      </c>
    </row>
    <row r="32" spans="1:63" x14ac:dyDescent="0.3">
      <c r="A32" s="260"/>
      <c r="B32" s="72" t="s">
        <v>51</v>
      </c>
      <c r="C32" s="88">
        <v>6.0000000000000002E-5</v>
      </c>
      <c r="D32" s="88">
        <v>3.8400000000000001E-4</v>
      </c>
      <c r="E32" s="70">
        <f>+D32</f>
        <v>3.8400000000000001E-4</v>
      </c>
      <c r="F32" s="70">
        <f>IF(F31="","",E32)</f>
        <v>3.8400000000000001E-4</v>
      </c>
      <c r="G32" s="70">
        <f t="shared" ref="G32:Z32" si="336">IF(G31="","",F32)</f>
        <v>3.8400000000000001E-4</v>
      </c>
      <c r="H32" s="70">
        <f t="shared" si="336"/>
        <v>3.8400000000000001E-4</v>
      </c>
      <c r="I32" s="70">
        <f t="shared" si="336"/>
        <v>3.8400000000000001E-4</v>
      </c>
      <c r="J32" s="70">
        <f t="shared" si="336"/>
        <v>3.8400000000000001E-4</v>
      </c>
      <c r="K32" s="70">
        <f t="shared" si="336"/>
        <v>3.8400000000000001E-4</v>
      </c>
      <c r="L32" s="70">
        <f t="shared" si="336"/>
        <v>3.8400000000000001E-4</v>
      </c>
      <c r="M32" s="70">
        <f t="shared" si="336"/>
        <v>3.8400000000000001E-4</v>
      </c>
      <c r="N32" s="70">
        <f t="shared" si="336"/>
        <v>3.8400000000000001E-4</v>
      </c>
      <c r="O32" s="70">
        <f t="shared" si="336"/>
        <v>3.8400000000000001E-4</v>
      </c>
      <c r="P32" s="88">
        <v>3.5731019249486359E-4</v>
      </c>
      <c r="Q32" s="70">
        <f t="shared" si="336"/>
        <v>3.5731019249486359E-4</v>
      </c>
      <c r="R32" s="92">
        <f t="shared" si="336"/>
        <v>3.5731019249486359E-4</v>
      </c>
      <c r="S32" s="92">
        <f t="shared" si="336"/>
        <v>3.5731019249486359E-4</v>
      </c>
      <c r="T32" s="92">
        <f t="shared" si="336"/>
        <v>3.5731019249486359E-4</v>
      </c>
      <c r="U32" s="92">
        <f t="shared" si="336"/>
        <v>3.5731019249486359E-4</v>
      </c>
      <c r="V32" s="92">
        <f t="shared" si="336"/>
        <v>3.5731019249486359E-4</v>
      </c>
      <c r="W32" s="92">
        <f t="shared" si="336"/>
        <v>3.5731019249486359E-4</v>
      </c>
      <c r="X32" s="92">
        <f t="shared" si="336"/>
        <v>3.5731019249486359E-4</v>
      </c>
      <c r="Y32" s="92">
        <f t="shared" si="336"/>
        <v>3.5731019249486359E-4</v>
      </c>
      <c r="Z32" s="92">
        <f t="shared" si="336"/>
        <v>3.5731019249486359E-4</v>
      </c>
      <c r="AA32" s="92">
        <f t="shared" ref="AA32" si="337">IF(AA31="","",Z32)</f>
        <v>3.5731019249486359E-4</v>
      </c>
      <c r="AB32" s="88">
        <v>6.7202311992673749E-4</v>
      </c>
      <c r="AC32" s="70">
        <f t="shared" ref="AC32" si="338">IF(AC31="","",AB32)</f>
        <v>6.7202311992673749E-4</v>
      </c>
      <c r="AD32" s="70">
        <f t="shared" ref="AD32" si="339">IF(AD31="","",AC32)</f>
        <v>6.7202311992673749E-4</v>
      </c>
      <c r="AE32" s="70">
        <f t="shared" ref="AE32" si="340">IF(AE31="","",AD32)</f>
        <v>6.7202311992673749E-4</v>
      </c>
      <c r="AF32" s="70">
        <f t="shared" ref="AF32" si="341">IF(AF31="","",AE32)</f>
        <v>6.7202311992673749E-4</v>
      </c>
      <c r="AG32" s="70">
        <f t="shared" ref="AG32" si="342">IF(AG31="","",AF32)</f>
        <v>6.7202311992673749E-4</v>
      </c>
      <c r="AH32" s="70">
        <f t="shared" ref="AH32" si="343">IF(AH31="","",AG32)</f>
        <v>6.7202311992673749E-4</v>
      </c>
      <c r="AI32" s="70">
        <f t="shared" ref="AI32" si="344">IF(AI31="","",AH32)</f>
        <v>6.7202311992673749E-4</v>
      </c>
      <c r="AJ32" s="70">
        <f t="shared" ref="AJ32" si="345">IF(AJ31="","",AI32)</f>
        <v>6.7202311992673749E-4</v>
      </c>
      <c r="AK32" s="70">
        <f t="shared" ref="AK32" si="346">IF(AK31="","",AJ32)</f>
        <v>6.7202311992673749E-4</v>
      </c>
      <c r="AL32" s="70">
        <f t="shared" ref="AL32" si="347">IF(AL31="","",AK32)</f>
        <v>6.7202311992673749E-4</v>
      </c>
      <c r="AM32" s="70">
        <f t="shared" ref="AM32" si="348">IF(AM31="","",AL32)</f>
        <v>6.7202311992673749E-4</v>
      </c>
      <c r="AN32" s="139">
        <v>1.712590854401589E-4</v>
      </c>
      <c r="AO32" s="70">
        <f t="shared" ref="AO32" si="349">IF(AO31="","",AN32)</f>
        <v>1.712590854401589E-4</v>
      </c>
      <c r="AP32" s="70">
        <f t="shared" ref="AP32" si="350">IF(AP31="","",AO32)</f>
        <v>1.712590854401589E-4</v>
      </c>
      <c r="AQ32" s="70">
        <f t="shared" ref="AQ32" si="351">IF(AQ31="","",AP32)</f>
        <v>1.712590854401589E-4</v>
      </c>
      <c r="AR32" s="70">
        <f t="shared" ref="AR32" si="352">IF(AR31="","",AQ32)</f>
        <v>1.712590854401589E-4</v>
      </c>
      <c r="AS32" s="70">
        <f t="shared" ref="AS32" si="353">IF(AS31="","",AR32)</f>
        <v>1.712590854401589E-4</v>
      </c>
      <c r="AT32" s="70">
        <f t="shared" ref="AT32" si="354">IF(AT31="","",AS32)</f>
        <v>1.712590854401589E-4</v>
      </c>
      <c r="AU32" s="70">
        <f t="shared" ref="AU32" si="355">IF(AU31="","",AT32)</f>
        <v>1.712590854401589E-4</v>
      </c>
      <c r="AV32" s="70">
        <f t="shared" ref="AV32" si="356">IF(AV31="","",AU32)</f>
        <v>1.712590854401589E-4</v>
      </c>
      <c r="AW32" s="70">
        <f t="shared" ref="AW32" si="357">IF(AW31="","",AV32)</f>
        <v>1.712590854401589E-4</v>
      </c>
      <c r="AX32" s="70">
        <f t="shared" ref="AX32" si="358">IF(AX31="","",AW32)</f>
        <v>1.712590854401589E-4</v>
      </c>
      <c r="AY32" s="70">
        <f t="shared" ref="AY32" si="359">IF(AY31="","",AX32)</f>
        <v>1.712590854401589E-4</v>
      </c>
      <c r="AZ32" s="139">
        <v>0</v>
      </c>
      <c r="BA32" s="70">
        <f t="shared" ref="BA32" si="360">IF(BA31="","",AZ32)</f>
        <v>0</v>
      </c>
      <c r="BB32" s="70">
        <f t="shared" ref="BB32" si="361">IF(BB31="","",BA32)</f>
        <v>0</v>
      </c>
      <c r="BC32" s="70">
        <f t="shared" ref="BC32" si="362">IF(BC31="","",BB32)</f>
        <v>0</v>
      </c>
      <c r="BD32" s="70">
        <f t="shared" ref="BD32" si="363">IF(BD31="","",BC32)</f>
        <v>0</v>
      </c>
      <c r="BE32" s="70">
        <f t="shared" ref="BE32" si="364">IF(BE31="","",BD32)</f>
        <v>0</v>
      </c>
      <c r="BF32" s="70">
        <f t="shared" ref="BF32" si="365">IF(BF31="","",BE32)</f>
        <v>0</v>
      </c>
      <c r="BG32" s="70">
        <f t="shared" ref="BG32" si="366">IF(BG31="","",BF32)</f>
        <v>0</v>
      </c>
      <c r="BH32" s="70">
        <f t="shared" ref="BH32" si="367">IF(BH31="","",BG32)</f>
        <v>0</v>
      </c>
      <c r="BI32" s="70">
        <f t="shared" ref="BI32" si="368">IF(BI31="","",BH32)</f>
        <v>0</v>
      </c>
      <c r="BJ32" s="70">
        <f t="shared" ref="BJ32" si="369">IF(BJ31="","",BI32)</f>
        <v>0</v>
      </c>
      <c r="BK32" s="70">
        <f t="shared" ref="BK32" si="370">IF(BK31="","",BJ32)</f>
        <v>0</v>
      </c>
    </row>
    <row r="33" spans="1:63" x14ac:dyDescent="0.3">
      <c r="A33" s="260"/>
      <c r="B33" s="72" t="s">
        <v>50</v>
      </c>
      <c r="C33" s="46">
        <v>0</v>
      </c>
      <c r="D33" s="88">
        <v>1.0369999999999999E-3</v>
      </c>
      <c r="E33" s="70">
        <f>+D33</f>
        <v>1.0369999999999999E-3</v>
      </c>
      <c r="F33" s="70">
        <f>IF(F31="","",E33)</f>
        <v>1.0369999999999999E-3</v>
      </c>
      <c r="G33" s="70">
        <f t="shared" ref="G33:Z33" si="371">IF(G31="","",F33)</f>
        <v>1.0369999999999999E-3</v>
      </c>
      <c r="H33" s="70">
        <f t="shared" si="371"/>
        <v>1.0369999999999999E-3</v>
      </c>
      <c r="I33" s="70">
        <f t="shared" si="371"/>
        <v>1.0369999999999999E-3</v>
      </c>
      <c r="J33" s="70">
        <f t="shared" si="371"/>
        <v>1.0369999999999999E-3</v>
      </c>
      <c r="K33" s="70">
        <f t="shared" si="371"/>
        <v>1.0369999999999999E-3</v>
      </c>
      <c r="L33" s="70">
        <f t="shared" si="371"/>
        <v>1.0369999999999999E-3</v>
      </c>
      <c r="M33" s="70">
        <f t="shared" si="371"/>
        <v>1.0369999999999999E-3</v>
      </c>
      <c r="N33" s="70">
        <f t="shared" si="371"/>
        <v>1.0369999999999999E-3</v>
      </c>
      <c r="O33" s="70">
        <f t="shared" si="371"/>
        <v>1.0369999999999999E-3</v>
      </c>
      <c r="P33" s="93">
        <v>-2.1760723836864655E-4</v>
      </c>
      <c r="Q33" s="92">
        <f t="shared" si="371"/>
        <v>-2.1760723836864655E-4</v>
      </c>
      <c r="R33" s="92">
        <f t="shared" si="371"/>
        <v>-2.1760723836864655E-4</v>
      </c>
      <c r="S33" s="92">
        <f t="shared" si="371"/>
        <v>-2.1760723836864655E-4</v>
      </c>
      <c r="T33" s="92">
        <f t="shared" si="371"/>
        <v>-2.1760723836864655E-4</v>
      </c>
      <c r="U33" s="92">
        <f t="shared" si="371"/>
        <v>-2.1760723836864655E-4</v>
      </c>
      <c r="V33" s="92">
        <f t="shared" si="371"/>
        <v>-2.1760723836864655E-4</v>
      </c>
      <c r="W33" s="92">
        <f t="shared" si="371"/>
        <v>-2.1760723836864655E-4</v>
      </c>
      <c r="X33" s="92">
        <f t="shared" si="371"/>
        <v>-2.1760723836864655E-4</v>
      </c>
      <c r="Y33" s="92">
        <f t="shared" si="371"/>
        <v>-2.1760723836864655E-4</v>
      </c>
      <c r="Z33" s="92">
        <f t="shared" si="371"/>
        <v>-2.1760723836864655E-4</v>
      </c>
      <c r="AA33" s="92">
        <f t="shared" ref="AA33" si="372">IF(AA31="","",Z33)</f>
        <v>-2.1760723836864655E-4</v>
      </c>
      <c r="AB33" s="93">
        <v>-2.3696165881846651E-5</v>
      </c>
      <c r="AC33" s="92">
        <f t="shared" ref="AC33" si="373">IF(AC31="","",AB33)</f>
        <v>-2.3696165881846651E-5</v>
      </c>
      <c r="AD33" s="92">
        <f t="shared" ref="AD33" si="374">IF(AD31="","",AC33)</f>
        <v>-2.3696165881846651E-5</v>
      </c>
      <c r="AE33" s="92">
        <f t="shared" ref="AE33" si="375">IF(AE31="","",AD33)</f>
        <v>-2.3696165881846651E-5</v>
      </c>
      <c r="AF33" s="92">
        <f t="shared" ref="AF33" si="376">IF(AF31="","",AE33)</f>
        <v>-2.3696165881846651E-5</v>
      </c>
      <c r="AG33" s="92">
        <f t="shared" ref="AG33" si="377">IF(AG31="","",AF33)</f>
        <v>-2.3696165881846651E-5</v>
      </c>
      <c r="AH33" s="92">
        <f t="shared" ref="AH33" si="378">IF(AH31="","",AG33)</f>
        <v>-2.3696165881846651E-5</v>
      </c>
      <c r="AI33" s="92">
        <f t="shared" ref="AI33" si="379">IF(AI31="","",AH33)</f>
        <v>-2.3696165881846651E-5</v>
      </c>
      <c r="AJ33" s="92">
        <f t="shared" ref="AJ33" si="380">IF(AJ31="","",AI33)</f>
        <v>-2.3696165881846651E-5</v>
      </c>
      <c r="AK33" s="92">
        <f t="shared" ref="AK33" si="381">IF(AK31="","",AJ33)</f>
        <v>-2.3696165881846651E-5</v>
      </c>
      <c r="AL33" s="92">
        <f t="shared" ref="AL33" si="382">IF(AL31="","",AK33)</f>
        <v>-2.3696165881846651E-5</v>
      </c>
      <c r="AM33" s="92">
        <f t="shared" ref="AM33" si="383">IF(AM31="","",AL33)</f>
        <v>-2.3696165881846651E-5</v>
      </c>
      <c r="AN33" s="141">
        <v>3.0940916964556395E-4</v>
      </c>
      <c r="AO33" s="92">
        <f t="shared" ref="AO33" si="384">IF(AO31="","",AN33)</f>
        <v>3.0940916964556395E-4</v>
      </c>
      <c r="AP33" s="92">
        <f t="shared" ref="AP33" si="385">IF(AP31="","",AO33)</f>
        <v>3.0940916964556395E-4</v>
      </c>
      <c r="AQ33" s="92">
        <f t="shared" ref="AQ33" si="386">IF(AQ31="","",AP33)</f>
        <v>3.0940916964556395E-4</v>
      </c>
      <c r="AR33" s="92">
        <f t="shared" ref="AR33" si="387">IF(AR31="","",AQ33)</f>
        <v>3.0940916964556395E-4</v>
      </c>
      <c r="AS33" s="92">
        <f t="shared" ref="AS33" si="388">IF(AS31="","",AR33)</f>
        <v>3.0940916964556395E-4</v>
      </c>
      <c r="AT33" s="92">
        <f t="shared" ref="AT33" si="389">IF(AT31="","",AS33)</f>
        <v>3.0940916964556395E-4</v>
      </c>
      <c r="AU33" s="92">
        <f t="shared" ref="AU33" si="390">IF(AU31="","",AT33)</f>
        <v>3.0940916964556395E-4</v>
      </c>
      <c r="AV33" s="92">
        <f t="shared" ref="AV33" si="391">IF(AV31="","",AU33)</f>
        <v>3.0940916964556395E-4</v>
      </c>
      <c r="AW33" s="92">
        <f t="shared" ref="AW33" si="392">IF(AW31="","",AV33)</f>
        <v>3.0940916964556395E-4</v>
      </c>
      <c r="AX33" s="92">
        <f t="shared" ref="AX33" si="393">IF(AX31="","",AW33)</f>
        <v>3.0940916964556395E-4</v>
      </c>
      <c r="AY33" s="92">
        <f t="shared" ref="AY33" si="394">IF(AY31="","",AX33)</f>
        <v>3.0940916964556395E-4</v>
      </c>
      <c r="AZ33" s="141">
        <v>1.2474670529833156E-5</v>
      </c>
      <c r="BA33" s="92">
        <f t="shared" ref="BA33" si="395">IF(BA31="","",AZ33)</f>
        <v>1.2474670529833156E-5</v>
      </c>
      <c r="BB33" s="92">
        <f t="shared" ref="BB33" si="396">IF(BB31="","",BA33)</f>
        <v>1.2474670529833156E-5</v>
      </c>
      <c r="BC33" s="92">
        <f t="shared" ref="BC33" si="397">IF(BC31="","",BB33)</f>
        <v>1.2474670529833156E-5</v>
      </c>
      <c r="BD33" s="92">
        <f t="shared" ref="BD33" si="398">IF(BD31="","",BC33)</f>
        <v>1.2474670529833156E-5</v>
      </c>
      <c r="BE33" s="92">
        <f t="shared" ref="BE33" si="399">IF(BE31="","",BD33)</f>
        <v>1.2474670529833156E-5</v>
      </c>
      <c r="BF33" s="92">
        <f t="shared" ref="BF33" si="400">IF(BF31="","",BE33)</f>
        <v>1.2474670529833156E-5</v>
      </c>
      <c r="BG33" s="92">
        <f t="shared" ref="BG33" si="401">IF(BG31="","",BF33)</f>
        <v>1.2474670529833156E-5</v>
      </c>
      <c r="BH33" s="92">
        <f t="shared" ref="BH33" si="402">IF(BH31="","",BG33)</f>
        <v>1.2474670529833156E-5</v>
      </c>
      <c r="BI33" s="92">
        <f t="shared" ref="BI33" si="403">IF(BI31="","",BH33)</f>
        <v>1.2474670529833156E-5</v>
      </c>
      <c r="BJ33" s="92">
        <f t="shared" ref="BJ33" si="404">IF(BJ31="","",BI33)</f>
        <v>1.2474670529833156E-5</v>
      </c>
      <c r="BK33" s="92">
        <f t="shared" ref="BK33" si="405">IF(BK31="","",BJ33)</f>
        <v>1.2474670529833156E-5</v>
      </c>
    </row>
    <row r="34" spans="1:63" x14ac:dyDescent="0.3">
      <c r="A34" s="260"/>
      <c r="B34" s="72" t="s">
        <v>59</v>
      </c>
      <c r="C34" s="61">
        <f>SUM(C32:C33)</f>
        <v>6.0000000000000002E-5</v>
      </c>
      <c r="D34" s="61">
        <f t="shared" ref="D34:E34" si="406">SUM(D32:D33)</f>
        <v>1.421E-3</v>
      </c>
      <c r="E34" s="61">
        <f t="shared" si="406"/>
        <v>1.421E-3</v>
      </c>
      <c r="F34" s="61">
        <f>IF(F31="","",SUM(F32:F33))</f>
        <v>1.421E-3</v>
      </c>
      <c r="G34" s="61">
        <f t="shared" ref="G34:Z34" si="407">IF(G31="","",SUM(G32:G33))</f>
        <v>1.421E-3</v>
      </c>
      <c r="H34" s="61">
        <f t="shared" si="407"/>
        <v>1.421E-3</v>
      </c>
      <c r="I34" s="61">
        <f t="shared" si="407"/>
        <v>1.421E-3</v>
      </c>
      <c r="J34" s="61">
        <f t="shared" si="407"/>
        <v>1.421E-3</v>
      </c>
      <c r="K34" s="61">
        <f t="shared" si="407"/>
        <v>1.421E-3</v>
      </c>
      <c r="L34" s="61">
        <f t="shared" si="407"/>
        <v>1.421E-3</v>
      </c>
      <c r="M34" s="61">
        <f t="shared" si="407"/>
        <v>1.421E-3</v>
      </c>
      <c r="N34" s="61">
        <f t="shared" si="407"/>
        <v>1.421E-3</v>
      </c>
      <c r="O34" s="61">
        <f t="shared" si="407"/>
        <v>1.421E-3</v>
      </c>
      <c r="P34" s="61">
        <f t="shared" si="407"/>
        <v>1.3970295412621704E-4</v>
      </c>
      <c r="Q34" s="61">
        <f t="shared" si="407"/>
        <v>1.3970295412621704E-4</v>
      </c>
      <c r="R34" s="61">
        <f t="shared" si="407"/>
        <v>1.3970295412621704E-4</v>
      </c>
      <c r="S34" s="61">
        <f t="shared" si="407"/>
        <v>1.3970295412621704E-4</v>
      </c>
      <c r="T34" s="61">
        <f t="shared" si="407"/>
        <v>1.3970295412621704E-4</v>
      </c>
      <c r="U34" s="61">
        <f t="shared" si="407"/>
        <v>1.3970295412621704E-4</v>
      </c>
      <c r="V34" s="61">
        <f t="shared" si="407"/>
        <v>1.3970295412621704E-4</v>
      </c>
      <c r="W34" s="61">
        <f t="shared" si="407"/>
        <v>1.3970295412621704E-4</v>
      </c>
      <c r="X34" s="61">
        <f t="shared" si="407"/>
        <v>1.3970295412621704E-4</v>
      </c>
      <c r="Y34" s="61">
        <f t="shared" si="407"/>
        <v>1.3970295412621704E-4</v>
      </c>
      <c r="Z34" s="61">
        <f t="shared" si="407"/>
        <v>1.3970295412621704E-4</v>
      </c>
      <c r="AA34" s="61">
        <f t="shared" ref="AA34:AC34" si="408">IF(AA31="","",SUM(AA32:AA33))</f>
        <v>1.3970295412621704E-4</v>
      </c>
      <c r="AB34" s="61">
        <f t="shared" si="408"/>
        <v>6.4832695404489079E-4</v>
      </c>
      <c r="AC34" s="61">
        <f t="shared" si="408"/>
        <v>6.4832695404489079E-4</v>
      </c>
      <c r="AD34" s="61">
        <f t="shared" ref="AD34:AJ34" si="409">IF(AD31="","",SUM(AD32:AD33))</f>
        <v>6.4832695404489079E-4</v>
      </c>
      <c r="AE34" s="61">
        <f t="shared" si="409"/>
        <v>6.4832695404489079E-4</v>
      </c>
      <c r="AF34" s="61">
        <f t="shared" si="409"/>
        <v>6.4832695404489079E-4</v>
      </c>
      <c r="AG34" s="61">
        <f t="shared" si="409"/>
        <v>6.4832695404489079E-4</v>
      </c>
      <c r="AH34" s="61">
        <f t="shared" si="409"/>
        <v>6.4832695404489079E-4</v>
      </c>
      <c r="AI34" s="61">
        <f t="shared" si="409"/>
        <v>6.4832695404489079E-4</v>
      </c>
      <c r="AJ34" s="61">
        <f t="shared" si="409"/>
        <v>6.4832695404489079E-4</v>
      </c>
      <c r="AK34" s="61">
        <f t="shared" ref="AK34:AV34" si="410">IF(AK31="","",SUM(AK32:AK33))</f>
        <v>6.4832695404489079E-4</v>
      </c>
      <c r="AL34" s="61">
        <f t="shared" si="410"/>
        <v>6.4832695404489079E-4</v>
      </c>
      <c r="AM34" s="61">
        <f t="shared" si="410"/>
        <v>6.4832695404489079E-4</v>
      </c>
      <c r="AN34" s="61">
        <f t="shared" si="410"/>
        <v>4.8066825508572285E-4</v>
      </c>
      <c r="AO34" s="61">
        <f t="shared" si="410"/>
        <v>4.8066825508572285E-4</v>
      </c>
      <c r="AP34" s="61">
        <f t="shared" si="410"/>
        <v>4.8066825508572285E-4</v>
      </c>
      <c r="AQ34" s="61">
        <f t="shared" si="410"/>
        <v>4.8066825508572285E-4</v>
      </c>
      <c r="AR34" s="61">
        <f t="shared" si="410"/>
        <v>4.8066825508572285E-4</v>
      </c>
      <c r="AS34" s="61">
        <f t="shared" si="410"/>
        <v>4.8066825508572285E-4</v>
      </c>
      <c r="AT34" s="61">
        <f t="shared" si="410"/>
        <v>4.8066825508572285E-4</v>
      </c>
      <c r="AU34" s="61">
        <f t="shared" si="410"/>
        <v>4.8066825508572285E-4</v>
      </c>
      <c r="AV34" s="61">
        <f t="shared" si="410"/>
        <v>4.8066825508572285E-4</v>
      </c>
      <c r="AW34" s="61">
        <f t="shared" ref="AW34:BK34" si="411">IF(AW31="","",SUM(AW32:AW33))</f>
        <v>4.8066825508572285E-4</v>
      </c>
      <c r="AX34" s="61">
        <f t="shared" si="411"/>
        <v>4.8066825508572285E-4</v>
      </c>
      <c r="AY34" s="61">
        <f t="shared" si="411"/>
        <v>4.8066825508572285E-4</v>
      </c>
      <c r="AZ34" s="61">
        <f t="shared" si="411"/>
        <v>1.2474670529833156E-5</v>
      </c>
      <c r="BA34" s="61">
        <f t="shared" si="411"/>
        <v>1.2474670529833156E-5</v>
      </c>
      <c r="BB34" s="61">
        <f t="shared" si="411"/>
        <v>1.2474670529833156E-5</v>
      </c>
      <c r="BC34" s="61">
        <f t="shared" si="411"/>
        <v>1.2474670529833156E-5</v>
      </c>
      <c r="BD34" s="61">
        <f t="shared" si="411"/>
        <v>1.2474670529833156E-5</v>
      </c>
      <c r="BE34" s="61">
        <f t="shared" si="411"/>
        <v>1.2474670529833156E-5</v>
      </c>
      <c r="BF34" s="61">
        <f t="shared" si="411"/>
        <v>1.2474670529833156E-5</v>
      </c>
      <c r="BG34" s="61">
        <f t="shared" si="411"/>
        <v>1.2474670529833156E-5</v>
      </c>
      <c r="BH34" s="61">
        <f t="shared" si="411"/>
        <v>1.2474670529833156E-5</v>
      </c>
      <c r="BI34" s="61">
        <f t="shared" si="411"/>
        <v>1.2474670529833156E-5</v>
      </c>
      <c r="BJ34" s="61">
        <f t="shared" si="411"/>
        <v>1.2474670529833156E-5</v>
      </c>
      <c r="BK34" s="61">
        <f t="shared" si="411"/>
        <v>1.2474670529833156E-5</v>
      </c>
    </row>
    <row r="35" spans="1:63" x14ac:dyDescent="0.3">
      <c r="A35" s="260"/>
      <c r="B35" s="72" t="s">
        <v>52</v>
      </c>
      <c r="C35" s="65">
        <f>+C33/C34</f>
        <v>0</v>
      </c>
      <c r="D35" s="65">
        <f>+IFERROR(D33/D34,"")</f>
        <v>0.72976776917663611</v>
      </c>
      <c r="E35" s="65">
        <f>+IFERROR(E33/E34,"")</f>
        <v>0.72976776917663611</v>
      </c>
      <c r="F35" s="65">
        <f>IF(F31="","",IFERROR(F33/F34,""))</f>
        <v>0.72976776917663611</v>
      </c>
      <c r="G35" s="65">
        <f t="shared" ref="G35:Z35" si="412">IF(G31="","",IFERROR(G33/G34,""))</f>
        <v>0.72976776917663611</v>
      </c>
      <c r="H35" s="65">
        <f t="shared" si="412"/>
        <v>0.72976776917663611</v>
      </c>
      <c r="I35" s="65">
        <f t="shared" si="412"/>
        <v>0.72976776917663611</v>
      </c>
      <c r="J35" s="65">
        <f t="shared" si="412"/>
        <v>0.72976776917663611</v>
      </c>
      <c r="K35" s="65">
        <f t="shared" si="412"/>
        <v>0.72976776917663611</v>
      </c>
      <c r="L35" s="65">
        <f t="shared" si="412"/>
        <v>0.72976776917663611</v>
      </c>
      <c r="M35" s="65">
        <f t="shared" si="412"/>
        <v>0.72976776917663611</v>
      </c>
      <c r="N35" s="65">
        <f t="shared" si="412"/>
        <v>0.72976776917663611</v>
      </c>
      <c r="O35" s="65">
        <f t="shared" si="412"/>
        <v>0.72976776917663611</v>
      </c>
      <c r="P35" s="65">
        <f>IF(P31="","",IFERROR(P33/P34,""))</f>
        <v>-1.5576423543058764</v>
      </c>
      <c r="Q35" s="65">
        <f t="shared" si="412"/>
        <v>-1.5576423543058764</v>
      </c>
      <c r="R35" s="65">
        <f t="shared" si="412"/>
        <v>-1.5576423543058764</v>
      </c>
      <c r="S35" s="65">
        <f t="shared" si="412"/>
        <v>-1.5576423543058764</v>
      </c>
      <c r="T35" s="65">
        <f t="shared" si="412"/>
        <v>-1.5576423543058764</v>
      </c>
      <c r="U35" s="65">
        <f t="shared" si="412"/>
        <v>-1.5576423543058764</v>
      </c>
      <c r="V35" s="65">
        <f t="shared" si="412"/>
        <v>-1.5576423543058764</v>
      </c>
      <c r="W35" s="65">
        <f t="shared" si="412"/>
        <v>-1.5576423543058764</v>
      </c>
      <c r="X35" s="65">
        <f t="shared" si="412"/>
        <v>-1.5576423543058764</v>
      </c>
      <c r="Y35" s="65">
        <f t="shared" si="412"/>
        <v>-1.5576423543058764</v>
      </c>
      <c r="Z35" s="65">
        <f t="shared" si="412"/>
        <v>-1.5576423543058764</v>
      </c>
      <c r="AA35" s="65">
        <f t="shared" ref="AA35:AC35" si="413">IF(AA31="","",IFERROR(AA33/AA34,""))</f>
        <v>-1.5576423543058764</v>
      </c>
      <c r="AB35" s="65">
        <f t="shared" si="413"/>
        <v>-3.6549715747597786E-2</v>
      </c>
      <c r="AC35" s="65">
        <f t="shared" si="413"/>
        <v>-3.6549715747597786E-2</v>
      </c>
      <c r="AD35" s="65">
        <f t="shared" ref="AD35:AJ35" si="414">IF(AD31="","",IFERROR(AD33/AD34,""))</f>
        <v>-3.6549715747597786E-2</v>
      </c>
      <c r="AE35" s="65">
        <f t="shared" si="414"/>
        <v>-3.6549715747597786E-2</v>
      </c>
      <c r="AF35" s="65">
        <f t="shared" si="414"/>
        <v>-3.6549715747597786E-2</v>
      </c>
      <c r="AG35" s="65">
        <f t="shared" si="414"/>
        <v>-3.6549715747597786E-2</v>
      </c>
      <c r="AH35" s="65">
        <f t="shared" si="414"/>
        <v>-3.6549715747597786E-2</v>
      </c>
      <c r="AI35" s="65">
        <f t="shared" si="414"/>
        <v>-3.6549715747597786E-2</v>
      </c>
      <c r="AJ35" s="65">
        <f t="shared" si="414"/>
        <v>-3.6549715747597786E-2</v>
      </c>
      <c r="AK35" s="65">
        <f t="shared" ref="AK35:AV35" si="415">IF(AK31="","",IFERROR(AK33/AK34,""))</f>
        <v>-3.6549715747597786E-2</v>
      </c>
      <c r="AL35" s="65">
        <f t="shared" si="415"/>
        <v>-3.6549715747597786E-2</v>
      </c>
      <c r="AM35" s="65">
        <f t="shared" si="415"/>
        <v>-3.6549715747597786E-2</v>
      </c>
      <c r="AN35" s="65">
        <f t="shared" si="415"/>
        <v>0.6437062701184284</v>
      </c>
      <c r="AO35" s="65">
        <f t="shared" si="415"/>
        <v>0.6437062701184284</v>
      </c>
      <c r="AP35" s="65">
        <f t="shared" si="415"/>
        <v>0.6437062701184284</v>
      </c>
      <c r="AQ35" s="65">
        <f t="shared" si="415"/>
        <v>0.6437062701184284</v>
      </c>
      <c r="AR35" s="65">
        <f t="shared" si="415"/>
        <v>0.6437062701184284</v>
      </c>
      <c r="AS35" s="65">
        <f t="shared" si="415"/>
        <v>0.6437062701184284</v>
      </c>
      <c r="AT35" s="65">
        <f t="shared" si="415"/>
        <v>0.6437062701184284</v>
      </c>
      <c r="AU35" s="65">
        <f t="shared" si="415"/>
        <v>0.6437062701184284</v>
      </c>
      <c r="AV35" s="65">
        <f t="shared" si="415"/>
        <v>0.6437062701184284</v>
      </c>
      <c r="AW35" s="65">
        <f t="shared" ref="AW35:BK35" si="416">IF(AW31="","",IFERROR(AW33/AW34,""))</f>
        <v>0.6437062701184284</v>
      </c>
      <c r="AX35" s="65">
        <f t="shared" si="416"/>
        <v>0.6437062701184284</v>
      </c>
      <c r="AY35" s="65">
        <f t="shared" si="416"/>
        <v>0.6437062701184284</v>
      </c>
      <c r="AZ35" s="65">
        <f t="shared" si="416"/>
        <v>1</v>
      </c>
      <c r="BA35" s="65">
        <f t="shared" si="416"/>
        <v>1</v>
      </c>
      <c r="BB35" s="65">
        <f t="shared" si="416"/>
        <v>1</v>
      </c>
      <c r="BC35" s="65">
        <f t="shared" si="416"/>
        <v>1</v>
      </c>
      <c r="BD35" s="65">
        <f t="shared" si="416"/>
        <v>1</v>
      </c>
      <c r="BE35" s="65">
        <f t="shared" si="416"/>
        <v>1</v>
      </c>
      <c r="BF35" s="65">
        <f t="shared" si="416"/>
        <v>1</v>
      </c>
      <c r="BG35" s="65">
        <f t="shared" si="416"/>
        <v>1</v>
      </c>
      <c r="BH35" s="65">
        <f t="shared" si="416"/>
        <v>1</v>
      </c>
      <c r="BI35" s="65">
        <f t="shared" si="416"/>
        <v>1</v>
      </c>
      <c r="BJ35" s="65">
        <f t="shared" si="416"/>
        <v>1</v>
      </c>
      <c r="BK35" s="65">
        <f t="shared" si="416"/>
        <v>1</v>
      </c>
    </row>
    <row r="36" spans="1:63" s="52" customFormat="1" x14ac:dyDescent="0.3">
      <c r="A36" s="260"/>
      <c r="B36" s="73" t="s">
        <v>53</v>
      </c>
      <c r="C36" s="63">
        <f>+C35*C31</f>
        <v>0</v>
      </c>
      <c r="D36" s="63">
        <f>+ROUND(D35*D31,2)</f>
        <v>147923.54</v>
      </c>
      <c r="E36" s="63">
        <f>+ROUND(E35*E31,2)</f>
        <v>122366.41</v>
      </c>
      <c r="F36" s="63">
        <f>IF(F31="","",ROUND(F35*F31,2))</f>
        <v>135610.26999999999</v>
      </c>
      <c r="G36" s="63">
        <f t="shared" ref="G36:Z36" si="417">IF(G31="","",ROUND(G35*G31,2))</f>
        <v>137927.79</v>
      </c>
      <c r="H36" s="63">
        <f t="shared" si="417"/>
        <v>164689.71</v>
      </c>
      <c r="I36" s="63">
        <f t="shared" si="417"/>
        <v>155769.59</v>
      </c>
      <c r="J36" s="63">
        <f t="shared" si="417"/>
        <v>172638.51</v>
      </c>
      <c r="K36" s="63">
        <f t="shared" si="417"/>
        <v>164503.71</v>
      </c>
      <c r="L36" s="63">
        <f t="shared" si="417"/>
        <v>156843.66</v>
      </c>
      <c r="M36" s="63">
        <f t="shared" si="417"/>
        <v>149437.09</v>
      </c>
      <c r="N36" s="63">
        <f t="shared" si="417"/>
        <v>137029.1</v>
      </c>
      <c r="O36" s="63">
        <f t="shared" si="417"/>
        <v>138956.35</v>
      </c>
      <c r="P36" s="63">
        <f t="shared" si="417"/>
        <v>-163073.60999999999</v>
      </c>
      <c r="Q36" s="63">
        <f t="shared" si="417"/>
        <v>-28184.85</v>
      </c>
      <c r="R36" s="63">
        <f t="shared" si="417"/>
        <v>-26811.56</v>
      </c>
      <c r="S36" s="63">
        <f t="shared" si="417"/>
        <v>-30658.16</v>
      </c>
      <c r="T36" s="63">
        <f t="shared" si="417"/>
        <v>-33927.269999999997</v>
      </c>
      <c r="U36" s="63">
        <f t="shared" si="417"/>
        <v>-20613.12</v>
      </c>
      <c r="V36" s="63">
        <f t="shared" si="417"/>
        <v>-34940.29</v>
      </c>
      <c r="W36" s="63">
        <f t="shared" si="417"/>
        <v>-32815.35</v>
      </c>
      <c r="X36" s="63">
        <f t="shared" si="417"/>
        <v>-32400.86</v>
      </c>
      <c r="Y36" s="63">
        <f t="shared" si="417"/>
        <v>-30448.7</v>
      </c>
      <c r="Z36" s="63">
        <f t="shared" si="417"/>
        <v>-29651.5</v>
      </c>
      <c r="AA36" s="63">
        <f t="shared" ref="AA36:AC36" si="418">IF(AA31="","",ROUND(AA35*AA31,2))</f>
        <v>-33179.11</v>
      </c>
      <c r="AB36" s="63">
        <f t="shared" si="418"/>
        <v>-1500.43</v>
      </c>
      <c r="AC36" s="63">
        <f t="shared" si="418"/>
        <v>-2352.08</v>
      </c>
      <c r="AD36" s="63">
        <f t="shared" ref="AD36:AJ36" si="419">IF(AD31="","",ROUND(AD35*AD31,2))</f>
        <v>-2341.8200000000002</v>
      </c>
      <c r="AE36" s="63">
        <f t="shared" si="419"/>
        <v>-2285.06</v>
      </c>
      <c r="AF36" s="63">
        <f t="shared" si="419"/>
        <v>-2878.25</v>
      </c>
      <c r="AG36" s="63">
        <f t="shared" si="419"/>
        <v>-2679.25</v>
      </c>
      <c r="AH36" s="63">
        <f t="shared" si="419"/>
        <v>-2966.75</v>
      </c>
      <c r="AI36" s="63">
        <f t="shared" si="419"/>
        <v>-3006.59</v>
      </c>
      <c r="AJ36" s="63">
        <f t="shared" si="419"/>
        <v>-2836.24</v>
      </c>
      <c r="AK36" s="63">
        <f t="shared" ref="AK36:AV36" si="420">IF(AK31="","",ROUND(AK35*AK31,2))</f>
        <v>-2518.7800000000002</v>
      </c>
      <c r="AL36" s="63">
        <f t="shared" si="420"/>
        <v>-2370.0100000000002</v>
      </c>
      <c r="AM36" s="63">
        <f t="shared" si="420"/>
        <v>-2508.15</v>
      </c>
      <c r="AN36" s="63">
        <f t="shared" si="420"/>
        <v>43670.64</v>
      </c>
      <c r="AO36" s="63">
        <f t="shared" si="420"/>
        <v>24903.919999999998</v>
      </c>
      <c r="AP36" s="63">
        <f t="shared" si="420"/>
        <v>28515.46</v>
      </c>
      <c r="AQ36" s="63">
        <f t="shared" si="420"/>
        <v>28951.69</v>
      </c>
      <c r="AR36" s="63">
        <f t="shared" si="420"/>
        <v>7358.44</v>
      </c>
      <c r="AS36" s="63">
        <f t="shared" si="420"/>
        <v>32544.66</v>
      </c>
      <c r="AT36" s="63">
        <f t="shared" si="420"/>
        <v>33521.589999999997</v>
      </c>
      <c r="AU36" s="63">
        <f t="shared" si="420"/>
        <v>33998.61</v>
      </c>
      <c r="AV36" s="63">
        <f t="shared" si="420"/>
        <v>29947.3</v>
      </c>
      <c r="AW36" s="63">
        <f t="shared" ref="AW36:BK36" si="421">IF(AW31="","",ROUND(AW35*AW31,2))</f>
        <v>29372.76</v>
      </c>
      <c r="AX36" s="63">
        <f t="shared" si="421"/>
        <v>29994.51</v>
      </c>
      <c r="AY36" s="63">
        <f t="shared" si="421"/>
        <v>27431.4</v>
      </c>
      <c r="AZ36" s="63">
        <f t="shared" si="421"/>
        <v>37690.370000000003</v>
      </c>
      <c r="BA36" s="63">
        <f t="shared" si="421"/>
        <v>-999.06</v>
      </c>
      <c r="BB36" s="63">
        <f t="shared" si="421"/>
        <v>1068.3499999999999</v>
      </c>
      <c r="BC36" s="63">
        <f t="shared" si="421"/>
        <v>1085.3800000000001</v>
      </c>
      <c r="BD36" s="63">
        <f t="shared" si="421"/>
        <v>1047.53</v>
      </c>
      <c r="BE36" s="63">
        <f t="shared" si="421"/>
        <v>1336.85</v>
      </c>
      <c r="BF36" s="63">
        <f t="shared" si="421"/>
        <v>1272.6199999999999</v>
      </c>
      <c r="BG36" s="63">
        <f t="shared" si="421"/>
        <v>1376.1</v>
      </c>
      <c r="BH36" s="63">
        <f t="shared" si="421"/>
        <v>1261.3</v>
      </c>
      <c r="BI36" s="63">
        <f t="shared" si="421"/>
        <v>1153.97</v>
      </c>
      <c r="BJ36" s="63">
        <f t="shared" si="421"/>
        <v>1129.31</v>
      </c>
      <c r="BK36" s="63">
        <f t="shared" si="421"/>
        <v>1123.8499999999999</v>
      </c>
    </row>
    <row r="37" spans="1:63" s="52" customFormat="1" ht="9" customHeight="1" x14ac:dyDescent="0.3">
      <c r="A37" s="77"/>
      <c r="B37" s="75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</row>
    <row r="38" spans="1:63" x14ac:dyDescent="0.3">
      <c r="P38" s="89"/>
    </row>
  </sheetData>
  <mergeCells count="5">
    <mergeCell ref="A3:A8"/>
    <mergeCell ref="A10:A15"/>
    <mergeCell ref="A17:A22"/>
    <mergeCell ref="A24:A29"/>
    <mergeCell ref="A31:A3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Comments xmlns="$ListId:Library;" xsi:nil="true"/>
  </documentManagement>
</p:properties>
</file>

<file path=customXml/itemProps1.xml><?xml version="1.0" encoding="utf-8"?>
<ds:datastoreItem xmlns:ds="http://schemas.openxmlformats.org/officeDocument/2006/customXml" ds:itemID="{FC2266EE-F790-4F17-88FA-4D6718DB62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67e41609-3a20-4215-b51d-97d9b7cff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B4CCAA-8671-4113-8547-D2C9334702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F07B67-19EB-4B96-A323-3D485BBA4FF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$ListId:Library;"/>
    <ds:schemaRef ds:uri="67e41609-3a20-4215-b51d-97d9b7cff2f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MEEIA 3 calcs</vt:lpstr>
      <vt:lpstr>PAYS interest</vt:lpstr>
      <vt:lpstr>MEEIA 3 adjs</vt:lpstr>
      <vt:lpstr>M3 Allocations - TD</vt:lpstr>
      <vt:lpstr>M3 TD amort</vt:lpstr>
      <vt:lpstr>MEEIA 2 calcs</vt:lpstr>
      <vt:lpstr>MEEIA 2 adjs</vt:lpstr>
      <vt:lpstr>M2 Allocations - TD</vt:lpstr>
      <vt:lpstr>M2 TD amort</vt:lpstr>
      <vt:lpstr>'MEEIA 2 adjs'!Print_Area</vt:lpstr>
      <vt:lpstr>'MEEIA 2 calcs'!Print_Area</vt:lpstr>
      <vt:lpstr>'MEEIA 3 adjs'!Print_Area</vt:lpstr>
      <vt:lpstr>'MEEIA 3 calcs'!Print_Area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e21586</dc:creator>
  <cp:lastModifiedBy>Best, Geri A</cp:lastModifiedBy>
  <cp:lastPrinted>2021-12-01T15:04:46Z</cp:lastPrinted>
  <dcterms:created xsi:type="dcterms:W3CDTF">2013-01-09T19:50:07Z</dcterms:created>
  <dcterms:modified xsi:type="dcterms:W3CDTF">2021-12-01T15:04:56Z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